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9600" activeTab="1"/>
  </bookViews>
  <sheets>
    <sheet name="Вводные" sheetId="4" r:id="rId1"/>
    <sheet name="ОПУ" sheetId="1" r:id="rId2"/>
  </sheets>
  <calcPr calcId="145621"/>
</workbook>
</file>

<file path=xl/calcChain.xml><?xml version="1.0" encoding="utf-8"?>
<calcChain xmlns="http://schemas.openxmlformats.org/spreadsheetml/2006/main">
  <c r="N37" i="1" l="1"/>
  <c r="I37" i="1"/>
  <c r="J37" i="1"/>
  <c r="K37" i="1"/>
  <c r="L37" i="1"/>
  <c r="M37" i="1"/>
  <c r="H37" i="1"/>
  <c r="D33" i="1"/>
  <c r="E33" i="1"/>
  <c r="F33" i="1"/>
  <c r="G33" i="1"/>
  <c r="H33" i="1"/>
  <c r="I33" i="1"/>
  <c r="J33" i="1"/>
  <c r="K33" i="1"/>
  <c r="L33" i="1"/>
  <c r="M33" i="1"/>
  <c r="N33" i="1"/>
  <c r="C33" i="1"/>
  <c r="N32" i="1"/>
  <c r="F32" i="1"/>
  <c r="G32" i="1"/>
  <c r="H32" i="1"/>
  <c r="I32" i="1"/>
  <c r="J32" i="1"/>
  <c r="K32" i="1"/>
  <c r="L32" i="1"/>
  <c r="M32" i="1"/>
  <c r="E31" i="1"/>
  <c r="E32" i="1"/>
  <c r="D32" i="1"/>
  <c r="C32" i="1"/>
  <c r="H36" i="1"/>
  <c r="I36" i="1"/>
  <c r="J36" i="1"/>
  <c r="K36" i="1"/>
  <c r="L36" i="1"/>
  <c r="M36" i="1"/>
  <c r="N36" i="1"/>
  <c r="G36" i="1"/>
  <c r="G37" i="1"/>
  <c r="N26" i="1"/>
  <c r="F52" i="1"/>
  <c r="E52" i="1"/>
  <c r="D52" i="1"/>
  <c r="C52" i="1"/>
  <c r="C5" i="1"/>
  <c r="D46" i="1"/>
  <c r="E46" i="1"/>
  <c r="F46" i="1"/>
  <c r="G46" i="1"/>
  <c r="H46" i="1"/>
  <c r="I46" i="1"/>
  <c r="J46" i="1"/>
  <c r="K46" i="1"/>
  <c r="L46" i="1"/>
  <c r="M46" i="1"/>
  <c r="C46" i="1"/>
  <c r="N6" i="1"/>
  <c r="N46" i="1" s="1"/>
  <c r="G25" i="1"/>
  <c r="D17" i="1"/>
  <c r="E17" i="1"/>
  <c r="F17" i="1"/>
  <c r="G17" i="1"/>
  <c r="H17" i="1"/>
  <c r="I17" i="1"/>
  <c r="J17" i="1"/>
  <c r="K17" i="1"/>
  <c r="L17" i="1"/>
  <c r="M17" i="1"/>
  <c r="N17" i="1"/>
  <c r="C17" i="1"/>
  <c r="D20" i="1"/>
  <c r="E20" i="1"/>
  <c r="F20" i="1"/>
  <c r="G20" i="1"/>
  <c r="H20" i="1"/>
  <c r="I20" i="1"/>
  <c r="J20" i="1"/>
  <c r="K20" i="1"/>
  <c r="L20" i="1"/>
  <c r="M20" i="1"/>
  <c r="N20" i="1"/>
  <c r="C20" i="1"/>
  <c r="D21" i="1"/>
  <c r="E21" i="1"/>
  <c r="F21" i="1"/>
  <c r="G21" i="1"/>
  <c r="H21" i="1"/>
  <c r="I21" i="1"/>
  <c r="J21" i="1"/>
  <c r="K21" i="1"/>
  <c r="L21" i="1"/>
  <c r="M21" i="1"/>
  <c r="N21" i="1"/>
  <c r="C21" i="1"/>
  <c r="E47" i="4"/>
  <c r="E46" i="4"/>
  <c r="E45" i="4"/>
  <c r="F40" i="4"/>
  <c r="F39" i="4"/>
  <c r="E44" i="4"/>
  <c r="E43" i="4"/>
  <c r="F35" i="4"/>
  <c r="F20" i="4"/>
  <c r="G20" i="4" s="1"/>
  <c r="H20" i="4" s="1"/>
  <c r="I20" i="4" s="1"/>
  <c r="J20" i="4" s="1"/>
  <c r="K20" i="4" s="1"/>
  <c r="L20" i="4" s="1"/>
  <c r="M20" i="4" s="1"/>
  <c r="N20" i="4" s="1"/>
  <c r="O20" i="4" s="1"/>
  <c r="F19" i="4"/>
  <c r="G19" i="4" s="1"/>
  <c r="H19" i="4" s="1"/>
  <c r="I19" i="4" s="1"/>
  <c r="J19" i="4" s="1"/>
  <c r="F13" i="4"/>
  <c r="E13" i="4"/>
  <c r="N52" i="1" l="1"/>
  <c r="P20" i="4"/>
  <c r="K19" i="4"/>
  <c r="L19" i="4" s="1"/>
  <c r="M19" i="4" s="1"/>
  <c r="N19" i="4" s="1"/>
  <c r="O19" i="4" s="1"/>
  <c r="H12" i="4"/>
  <c r="J12" i="4" s="1"/>
  <c r="P19" i="4" l="1"/>
  <c r="D54" i="1" l="1"/>
  <c r="E54" i="1"/>
  <c r="F54" i="1"/>
  <c r="G54" i="1"/>
  <c r="H54" i="1"/>
  <c r="I54" i="1"/>
  <c r="J54" i="1"/>
  <c r="D36" i="1"/>
  <c r="E36" i="1"/>
  <c r="F36" i="1"/>
  <c r="C31" i="1"/>
  <c r="H8" i="4"/>
  <c r="J8" i="4" s="1"/>
  <c r="H11" i="4"/>
  <c r="J11" i="4" s="1"/>
  <c r="A57" i="1" l="1"/>
  <c r="C54" i="1"/>
  <c r="N23" i="1"/>
  <c r="N24" i="1"/>
  <c r="E17" i="4" l="1"/>
  <c r="G6" i="4"/>
  <c r="H6" i="4"/>
  <c r="E22" i="4" l="1"/>
  <c r="E24" i="4" s="1"/>
  <c r="E23" i="4"/>
  <c r="J6" i="4"/>
  <c r="H13" i="4"/>
  <c r="G13" i="4"/>
  <c r="I6" i="4"/>
  <c r="J13" i="4" l="1"/>
  <c r="I13" i="4"/>
  <c r="K17" i="4"/>
  <c r="C19" i="1"/>
  <c r="C18" i="1"/>
  <c r="C15" i="1"/>
  <c r="F21" i="4"/>
  <c r="G21" i="4" s="1"/>
  <c r="F18" i="4"/>
  <c r="G18" i="4" s="1"/>
  <c r="F17" i="4"/>
  <c r="K23" i="4" l="1"/>
  <c r="K22" i="4"/>
  <c r="F22" i="4"/>
  <c r="F23" i="4"/>
  <c r="D48" i="1" s="1"/>
  <c r="G17" i="4"/>
  <c r="F24" i="4"/>
  <c r="C22" i="1"/>
  <c r="C47" i="1"/>
  <c r="C48" i="1"/>
  <c r="F18" i="1"/>
  <c r="H18" i="4"/>
  <c r="F16" i="1" s="1"/>
  <c r="H21" i="4"/>
  <c r="F19" i="1" s="1"/>
  <c r="D18" i="1"/>
  <c r="E19" i="1"/>
  <c r="E16" i="1"/>
  <c r="D19" i="1"/>
  <c r="E18" i="1"/>
  <c r="D16" i="1"/>
  <c r="D15" i="1"/>
  <c r="H17" i="4" l="1"/>
  <c r="G23" i="4"/>
  <c r="G22" i="4"/>
  <c r="E15" i="1"/>
  <c r="G24" i="4"/>
  <c r="C8" i="1"/>
  <c r="I18" i="4"/>
  <c r="I21" i="4"/>
  <c r="K21" i="4"/>
  <c r="F47" i="1"/>
  <c r="D47" i="1"/>
  <c r="E47" i="1"/>
  <c r="D22" i="1"/>
  <c r="I17" i="4" l="1"/>
  <c r="H22" i="4"/>
  <c r="H24" i="4" s="1"/>
  <c r="H23" i="4"/>
  <c r="F15" i="1"/>
  <c r="E22" i="1"/>
  <c r="E48" i="1"/>
  <c r="H18" i="1"/>
  <c r="G18" i="1"/>
  <c r="J18" i="4"/>
  <c r="G16" i="1"/>
  <c r="I18" i="1"/>
  <c r="L21" i="4"/>
  <c r="I19" i="1"/>
  <c r="J21" i="4"/>
  <c r="H19" i="1" s="1"/>
  <c r="G19" i="1"/>
  <c r="D28" i="1"/>
  <c r="I22" i="4" l="1"/>
  <c r="I23" i="4"/>
  <c r="I24" i="4" s="1"/>
  <c r="J17" i="4"/>
  <c r="G15" i="1"/>
  <c r="H16" i="1"/>
  <c r="H47" i="1" s="1"/>
  <c r="K18" i="4"/>
  <c r="N25" i="1"/>
  <c r="D31" i="1"/>
  <c r="D4" i="1" s="1"/>
  <c r="F22" i="1"/>
  <c r="F48" i="1"/>
  <c r="G47" i="1"/>
  <c r="M21" i="4"/>
  <c r="J19" i="1"/>
  <c r="J18" i="1"/>
  <c r="L17" i="4"/>
  <c r="I15" i="1"/>
  <c r="E28" i="1"/>
  <c r="G48" i="1" l="1"/>
  <c r="J22" i="4"/>
  <c r="J24" i="4" s="1"/>
  <c r="J23" i="4"/>
  <c r="H15" i="1"/>
  <c r="L22" i="4"/>
  <c r="L23" i="4"/>
  <c r="L18" i="4"/>
  <c r="I16" i="1"/>
  <c r="I47" i="1" s="1"/>
  <c r="G22" i="1"/>
  <c r="G8" i="1" s="1"/>
  <c r="F28" i="1"/>
  <c r="J15" i="1"/>
  <c r="M17" i="4"/>
  <c r="N21" i="4"/>
  <c r="K19" i="1"/>
  <c r="K18" i="1"/>
  <c r="D5" i="1"/>
  <c r="D7" i="1" s="1"/>
  <c r="M23" i="4" l="1"/>
  <c r="M22" i="4"/>
  <c r="J16" i="1"/>
  <c r="J47" i="1" s="1"/>
  <c r="M18" i="4"/>
  <c r="F31" i="1"/>
  <c r="H22" i="1"/>
  <c r="H48" i="1"/>
  <c r="E4" i="1"/>
  <c r="E5" i="1"/>
  <c r="G28" i="1"/>
  <c r="L18" i="1"/>
  <c r="O21" i="4"/>
  <c r="L19" i="1"/>
  <c r="N17" i="4"/>
  <c r="K15" i="1"/>
  <c r="K24" i="4"/>
  <c r="D44" i="1"/>
  <c r="E7" i="1" l="1"/>
  <c r="N23" i="4"/>
  <c r="N22" i="4"/>
  <c r="N18" i="4"/>
  <c r="K16" i="1"/>
  <c r="K47" i="1" s="1"/>
  <c r="G31" i="1"/>
  <c r="I22" i="1"/>
  <c r="I8" i="1" s="1"/>
  <c r="I48" i="1"/>
  <c r="H28" i="1"/>
  <c r="H31" i="1" s="1"/>
  <c r="F4" i="1"/>
  <c r="F5" i="1"/>
  <c r="O17" i="4"/>
  <c r="L15" i="1"/>
  <c r="M18" i="1"/>
  <c r="N18" i="1" s="1"/>
  <c r="M19" i="1"/>
  <c r="N19" i="1" s="1"/>
  <c r="P21" i="4"/>
  <c r="L24" i="4"/>
  <c r="E44" i="1"/>
  <c r="E8" i="1"/>
  <c r="E45" i="1"/>
  <c r="F8" i="1"/>
  <c r="F45" i="1"/>
  <c r="H42" i="1" l="1"/>
  <c r="F7" i="1"/>
  <c r="F9" i="1" s="1"/>
  <c r="M15" i="1"/>
  <c r="N15" i="1" s="1"/>
  <c r="O23" i="4"/>
  <c r="O22" i="4"/>
  <c r="L16" i="1"/>
  <c r="L47" i="1" s="1"/>
  <c r="O18" i="4"/>
  <c r="I31" i="1"/>
  <c r="J22" i="1"/>
  <c r="J48" i="1"/>
  <c r="G4" i="1"/>
  <c r="F44" i="1"/>
  <c r="M24" i="4"/>
  <c r="E9" i="1"/>
  <c r="D45" i="1"/>
  <c r="M16" i="1" l="1"/>
  <c r="N16" i="1" s="1"/>
  <c r="N47" i="1" s="1"/>
  <c r="P18" i="4"/>
  <c r="J28" i="1"/>
  <c r="E11" i="1"/>
  <c r="F11" i="1"/>
  <c r="G5" i="1"/>
  <c r="G7" i="1" s="1"/>
  <c r="K22" i="1"/>
  <c r="K48" i="1"/>
  <c r="H4" i="1"/>
  <c r="H5" i="1"/>
  <c r="H44" i="1" s="1"/>
  <c r="N24" i="4"/>
  <c r="G45" i="1"/>
  <c r="D8" i="1"/>
  <c r="H8" i="1"/>
  <c r="H45" i="1"/>
  <c r="I42" i="1" l="1"/>
  <c r="H7" i="1"/>
  <c r="H9" i="1" s="1"/>
  <c r="M47" i="1"/>
  <c r="J31" i="1"/>
  <c r="G44" i="1"/>
  <c r="F49" i="1"/>
  <c r="F50" i="1" s="1"/>
  <c r="I4" i="1"/>
  <c r="L22" i="1"/>
  <c r="L48" i="1"/>
  <c r="I5" i="1"/>
  <c r="O24" i="4"/>
  <c r="D9" i="1"/>
  <c r="E49" i="1"/>
  <c r="E50" i="1" s="1"/>
  <c r="E57" i="1" s="1"/>
  <c r="I45" i="1"/>
  <c r="P17" i="4"/>
  <c r="L28" i="1" l="1"/>
  <c r="K31" i="1"/>
  <c r="J42" i="1"/>
  <c r="I7" i="1"/>
  <c r="P23" i="4"/>
  <c r="P22" i="4"/>
  <c r="F57" i="1"/>
  <c r="F59" i="1" s="1"/>
  <c r="J4" i="1"/>
  <c r="L31" i="1"/>
  <c r="D11" i="1"/>
  <c r="H10" i="1"/>
  <c r="H11" i="1" s="1"/>
  <c r="I9" i="1"/>
  <c r="J5" i="1"/>
  <c r="J44" i="1" s="1"/>
  <c r="M22" i="1"/>
  <c r="N22" i="1" s="1"/>
  <c r="M48" i="1"/>
  <c r="N48" i="1"/>
  <c r="M28" i="1"/>
  <c r="I44" i="1"/>
  <c r="E59" i="1"/>
  <c r="L8" i="1"/>
  <c r="L45" i="1"/>
  <c r="K45" i="1"/>
  <c r="G9" i="1"/>
  <c r="J45" i="1"/>
  <c r="K8" i="1"/>
  <c r="J7" i="1" l="1"/>
  <c r="P24" i="4"/>
  <c r="K4" i="1"/>
  <c r="M31" i="1"/>
  <c r="H12" i="1"/>
  <c r="H49" i="1"/>
  <c r="H50" i="1" s="1"/>
  <c r="G10" i="1"/>
  <c r="G11" i="1" s="1"/>
  <c r="G49" i="1" s="1"/>
  <c r="I11" i="1"/>
  <c r="K5" i="1"/>
  <c r="M8" i="1"/>
  <c r="M45" i="1"/>
  <c r="D49" i="1"/>
  <c r="D50" i="1" s="1"/>
  <c r="D57" i="1" s="1"/>
  <c r="N28" i="1"/>
  <c r="J8" i="1"/>
  <c r="K42" i="1" l="1"/>
  <c r="K7" i="1"/>
  <c r="K9" i="1" s="1"/>
  <c r="H57" i="1"/>
  <c r="H59" i="1" s="1"/>
  <c r="N31" i="1"/>
  <c r="I49" i="1"/>
  <c r="I50" i="1" s="1"/>
  <c r="I57" i="1" s="1"/>
  <c r="N8" i="1"/>
  <c r="L4" i="1"/>
  <c r="L5" i="1"/>
  <c r="L44" i="1" s="1"/>
  <c r="D59" i="1"/>
  <c r="K44" i="1"/>
  <c r="N45" i="1"/>
  <c r="J9" i="1"/>
  <c r="G12" i="1"/>
  <c r="L42" i="1" l="1"/>
  <c r="L7" i="1"/>
  <c r="L9" i="1" s="1"/>
  <c r="J10" i="1"/>
  <c r="J11" i="1" s="1"/>
  <c r="K10" i="1"/>
  <c r="K11" i="1" s="1"/>
  <c r="M4" i="1"/>
  <c r="I59" i="1"/>
  <c r="M5" i="1"/>
  <c r="N5" i="1"/>
  <c r="N44" i="1" s="1"/>
  <c r="M42" i="1" l="1"/>
  <c r="M7" i="1"/>
  <c r="K12" i="1"/>
  <c r="K49" i="1"/>
  <c r="K50" i="1" s="1"/>
  <c r="L10" i="1"/>
  <c r="L11" i="1" s="1"/>
  <c r="L12" i="1" s="1"/>
  <c r="M9" i="1"/>
  <c r="M44" i="1"/>
  <c r="J49" i="1"/>
  <c r="J12" i="1"/>
  <c r="L53" i="1" l="1"/>
  <c r="L54" i="1" s="1"/>
  <c r="K57" i="1"/>
  <c r="L49" i="1"/>
  <c r="L50" i="1" s="1"/>
  <c r="M10" i="1"/>
  <c r="M11" i="1" s="1"/>
  <c r="J50" i="1"/>
  <c r="C45" i="1"/>
  <c r="M53" i="1" l="1"/>
  <c r="M54" i="1" s="1"/>
  <c r="L57" i="1"/>
  <c r="L59" i="1" s="1"/>
  <c r="K53" i="1"/>
  <c r="J57" i="1"/>
  <c r="J59" i="1" s="1"/>
  <c r="M49" i="1"/>
  <c r="M50" i="1" s="1"/>
  <c r="M12" i="1"/>
  <c r="O53" i="1" l="1"/>
  <c r="N53" i="1" s="1"/>
  <c r="M57" i="1"/>
  <c r="M59" i="1" s="1"/>
  <c r="K54" i="1"/>
  <c r="K59" i="1" s="1"/>
  <c r="C44" i="1" l="1"/>
  <c r="C4" i="1"/>
  <c r="G42" i="1" l="1"/>
  <c r="G50" i="1" s="1"/>
  <c r="G57" i="1" s="1"/>
  <c r="C7" i="1"/>
  <c r="C9" i="1" s="1"/>
  <c r="N4" i="1"/>
  <c r="N42" i="1" l="1"/>
  <c r="N7" i="1"/>
  <c r="N10" i="1"/>
  <c r="N9" i="1"/>
  <c r="G59" i="1"/>
  <c r="C11" i="1" l="1"/>
  <c r="C49" i="1" l="1"/>
  <c r="C50" i="1" s="1"/>
  <c r="N11" i="1"/>
  <c r="N49" i="1" s="1"/>
  <c r="N50" i="1" s="1"/>
  <c r="C57" i="1" l="1"/>
  <c r="C59" i="1" s="1"/>
  <c r="C62" i="1"/>
  <c r="C63" i="1" s="1"/>
  <c r="C58" i="1" l="1"/>
  <c r="C60" i="1" s="1"/>
  <c r="D58" i="1" l="1"/>
  <c r="D60" i="1" s="1"/>
  <c r="E58" i="1" l="1"/>
  <c r="E60" i="1" s="1"/>
  <c r="F58" i="1" l="1"/>
  <c r="F60" i="1" s="1"/>
  <c r="G58" i="1" l="1"/>
  <c r="G60" i="1" s="1"/>
  <c r="H58" i="1" l="1"/>
  <c r="I58" i="1" s="1"/>
  <c r="H60" i="1" l="1"/>
  <c r="I60" i="1"/>
  <c r="J58" i="1"/>
  <c r="J60" i="1" l="1"/>
  <c r="K58" i="1"/>
  <c r="N54" i="1"/>
  <c r="N56" i="1" s="1"/>
  <c r="N57" i="1" s="1"/>
  <c r="L58" i="1" l="1"/>
  <c r="K60" i="1"/>
  <c r="N59" i="1"/>
  <c r="M61" i="1" s="1"/>
  <c r="M58" i="1" l="1"/>
  <c r="L60" i="1"/>
  <c r="N58" i="1" l="1"/>
  <c r="N60" i="1" s="1"/>
  <c r="M60" i="1"/>
</calcChain>
</file>

<file path=xl/sharedStrings.xml><?xml version="1.0" encoding="utf-8"?>
<sst xmlns="http://schemas.openxmlformats.org/spreadsheetml/2006/main" count="148" uniqueCount="114">
  <si>
    <t>Период</t>
  </si>
  <si>
    <t>Выручка</t>
  </si>
  <si>
    <t>П/П</t>
  </si>
  <si>
    <t>Себестоимость</t>
  </si>
  <si>
    <t>Валовая прибыль</t>
  </si>
  <si>
    <t>Затраты на маркетинг</t>
  </si>
  <si>
    <t>Прибыль до уплаты налогов</t>
  </si>
  <si>
    <t>Чистая прибыль</t>
  </si>
  <si>
    <t>ФОТ</t>
  </si>
  <si>
    <t>Коммерческие  и управленческие затраты</t>
  </si>
  <si>
    <t xml:space="preserve">Итого: общая выручка </t>
  </si>
  <si>
    <t>Итого: Операционных расходов</t>
  </si>
  <si>
    <t>Операционные затраты</t>
  </si>
  <si>
    <t>Итого</t>
  </si>
  <si>
    <t>Коммерческие и управленческие(Операционные) затраты</t>
  </si>
  <si>
    <t>Должность</t>
  </si>
  <si>
    <t>Всего</t>
  </si>
  <si>
    <t xml:space="preserve">Итого </t>
  </si>
  <si>
    <t>2 кв.</t>
  </si>
  <si>
    <t>3 кв.</t>
  </si>
  <si>
    <t>4 кв.</t>
  </si>
  <si>
    <t>Количество</t>
  </si>
  <si>
    <t>Ставка в месяц</t>
  </si>
  <si>
    <t>Статьи расходов</t>
  </si>
  <si>
    <t>Операционные затраты, тысяч рублей</t>
  </si>
  <si>
    <t>Прогноз Отчета о прибылях и убытках (тыс.руб)</t>
  </si>
  <si>
    <t>Вводные данные для прогнозирования финансовой модели</t>
  </si>
  <si>
    <t>Маркетинговые затраты</t>
  </si>
  <si>
    <t>Денежный поток от операционной деятельности</t>
  </si>
  <si>
    <t>Поступления</t>
  </si>
  <si>
    <t>Выбытия</t>
  </si>
  <si>
    <t>Налог на прибыль</t>
  </si>
  <si>
    <t xml:space="preserve">Аренда помещения </t>
  </si>
  <si>
    <t xml:space="preserve">Управленческие и хозяйственные расходы </t>
  </si>
  <si>
    <t>Связь (телефон  + интернет Wi-Fi)</t>
  </si>
  <si>
    <t>Налоги (НДФЛ + ЕСН) (от 1/2 части ФОТ)</t>
  </si>
  <si>
    <t>Закуп продуктов + сдельная оплата event-агентства</t>
  </si>
  <si>
    <t>Общая выручка</t>
  </si>
  <si>
    <t>План движения денежных средств</t>
  </si>
  <si>
    <t>Чистый денежный поток от операционной деятельности</t>
  </si>
  <si>
    <t>Денежный поток от инвестиционной деятельности</t>
  </si>
  <si>
    <t>Чистый денежный поток от инвестиционной деятельности</t>
  </si>
  <si>
    <t>Денежный поток от финансовой деятельности</t>
  </si>
  <si>
    <t>Инвестиции полученные</t>
  </si>
  <si>
    <t>Доля от выручки (ЧП) % (рентабельность)</t>
  </si>
  <si>
    <t>Чистый денежный поток всего</t>
  </si>
  <si>
    <t>Чистый денежный поток нарастающим итогом</t>
  </si>
  <si>
    <t>Наименование затрат</t>
  </si>
  <si>
    <t>Стоимость,  тыс. руб.</t>
  </si>
  <si>
    <t>Инвестиционные затраты</t>
  </si>
  <si>
    <t>1 год</t>
  </si>
  <si>
    <t>2 год</t>
  </si>
  <si>
    <t>3 год</t>
  </si>
  <si>
    <t xml:space="preserve">Дисконтированный денеж. поток нарастающим итогом </t>
  </si>
  <si>
    <t>NPV</t>
  </si>
  <si>
    <t xml:space="preserve">Дисконтированный денежный поток </t>
  </si>
  <si>
    <t>ВСЕГО</t>
  </si>
  <si>
    <t>1 месяц</t>
  </si>
  <si>
    <t>2 месяц</t>
  </si>
  <si>
    <t>3 месяц</t>
  </si>
  <si>
    <t>III полугодие</t>
  </si>
  <si>
    <t>IV полугодие</t>
  </si>
  <si>
    <t>4 год</t>
  </si>
  <si>
    <t>5 год</t>
  </si>
  <si>
    <t>Ставка в мес</t>
  </si>
  <si>
    <t>Кол-во</t>
  </si>
  <si>
    <t>1 кв. 6 года</t>
  </si>
  <si>
    <t>Общая чистая прибыль за 5 лет (недисконтированная)</t>
  </si>
  <si>
    <t xml:space="preserve">Налог  </t>
  </si>
  <si>
    <t xml:space="preserve">Получение инвестиционной прибыли </t>
  </si>
  <si>
    <t>Фонд оплаты труда головного офиса, тысяч рублей</t>
  </si>
  <si>
    <t xml:space="preserve">Затраты Головного офиса </t>
  </si>
  <si>
    <t>Доля чистой прибыли пулом инвесторов  30%</t>
  </si>
  <si>
    <t>1 мес</t>
  </si>
  <si>
    <t>2 мес</t>
  </si>
  <si>
    <t>3 мес</t>
  </si>
  <si>
    <t>III полугод</t>
  </si>
  <si>
    <t>IV полугод</t>
  </si>
  <si>
    <t>IV п/год</t>
  </si>
  <si>
    <t>III п/год</t>
  </si>
  <si>
    <t>Налоги НДФЛ</t>
  </si>
  <si>
    <t xml:space="preserve">Исполнительный Директор </t>
  </si>
  <si>
    <t>График финансирования проекта</t>
  </si>
  <si>
    <t>Март 2019</t>
  </si>
  <si>
    <t>Апрель 2019</t>
  </si>
  <si>
    <t>Механик</t>
  </si>
  <si>
    <t>Сторож</t>
  </si>
  <si>
    <t>Тракторист</t>
  </si>
  <si>
    <t>Бухгалтер аутсорсинг</t>
  </si>
  <si>
    <t>Работник склада</t>
  </si>
  <si>
    <t>Агроном</t>
  </si>
  <si>
    <t>Налоги ЕСН + ПФР</t>
  </si>
  <si>
    <t>Аренда земли</t>
  </si>
  <si>
    <t>Коммунальные платежи</t>
  </si>
  <si>
    <t>Строительство складского помещения</t>
  </si>
  <si>
    <t>Приобретение сельхозтехники</t>
  </si>
  <si>
    <t>Посевной материал</t>
  </si>
  <si>
    <t>Химикаты и удобрения</t>
  </si>
  <si>
    <t>ГСМ</t>
  </si>
  <si>
    <t>Приобретение оборудования склада</t>
  </si>
  <si>
    <t>Упаковка, маркировка, штрих-кодирование, сертификация</t>
  </si>
  <si>
    <t>Май 2019</t>
  </si>
  <si>
    <t>Затраты за 10 месяцев</t>
  </si>
  <si>
    <t>Июнь 2019</t>
  </si>
  <si>
    <t>Картофель мытый</t>
  </si>
  <si>
    <t>Налоги ПФР + ЕСН</t>
  </si>
  <si>
    <t xml:space="preserve">Налоги НДФЛ </t>
  </si>
  <si>
    <t>План продаж в тоннах</t>
  </si>
  <si>
    <t>Стоимость за тонну в тысячах рублей</t>
  </si>
  <si>
    <t>Доходы, тысяч рублей</t>
  </si>
  <si>
    <t>70%</t>
  </si>
  <si>
    <t>Упаковка</t>
  </si>
  <si>
    <t>Картофель мытый закупной</t>
  </si>
  <si>
    <t>Закуп картофеля у фермеров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</si>
</sst>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1" fontId="0" fillId="0" borderId="1" xfId="0" applyNumberFormat="1" applyBorder="1" applyAlignment="1">
      <alignment horizontal="center"/>
    </xf>
    <xf numFmtId="16" fontId="0" fillId="4" borderId="1" xfId="0" applyNumberFormat="1" applyFill="1" applyBorder="1"/>
    <xf numFmtId="0" fontId="3" fillId="0" borderId="0" xfId="0" applyFont="1"/>
    <xf numFmtId="9" fontId="0" fillId="0" borderId="0" xfId="0" applyNumberFormat="1"/>
    <xf numFmtId="0" fontId="2" fillId="0" borderId="1" xfId="0" applyFont="1" applyFill="1" applyBorder="1"/>
    <xf numFmtId="0" fontId="3" fillId="0" borderId="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/>
    <xf numFmtId="2" fontId="2" fillId="0" borderId="1" xfId="0" applyNumberFormat="1" applyFont="1" applyBorder="1"/>
    <xf numFmtId="0" fontId="0" fillId="0" borderId="1" xfId="0" applyFill="1" applyBorder="1"/>
    <xf numFmtId="0" fontId="5" fillId="0" borderId="1" xfId="0" applyFont="1" applyBorder="1"/>
    <xf numFmtId="2" fontId="0" fillId="0" borderId="1" xfId="0" applyNumberFormat="1" applyBorder="1"/>
    <xf numFmtId="0" fontId="2" fillId="4" borderId="1" xfId="0" applyFont="1" applyFill="1" applyBorder="1" applyAlignment="1"/>
    <xf numFmtId="0" fontId="2" fillId="3" borderId="1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3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5" fillId="0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4" borderId="2" xfId="0" applyFont="1" applyFill="1" applyBorder="1"/>
    <xf numFmtId="0" fontId="3" fillId="6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/>
    <xf numFmtId="17" fontId="3" fillId="4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" fontId="6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1" fontId="3" fillId="7" borderId="1" xfId="0" applyNumberFormat="1" applyFont="1" applyFill="1" applyBorder="1"/>
    <xf numFmtId="1" fontId="3" fillId="4" borderId="1" xfId="0" applyNumberFormat="1" applyFont="1" applyFill="1" applyBorder="1"/>
    <xf numFmtId="1" fontId="0" fillId="0" borderId="1" xfId="0" applyNumberFormat="1" applyBorder="1"/>
    <xf numFmtId="1" fontId="9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3" fillId="0" borderId="1" xfId="0" applyNumberFormat="1" applyFont="1" applyBorder="1"/>
    <xf numFmtId="0" fontId="0" fillId="0" borderId="1" xfId="0" applyNumberFormat="1" applyFill="1" applyBorder="1"/>
    <xf numFmtId="0" fontId="3" fillId="0" borderId="1" xfId="0" applyFont="1" applyBorder="1" applyAlignment="1"/>
    <xf numFmtId="0" fontId="0" fillId="0" borderId="1" xfId="0" applyBorder="1" applyAlignment="1">
      <alignment horizontal="center"/>
    </xf>
    <xf numFmtId="0" fontId="4" fillId="0" borderId="9" xfId="0" applyFont="1" applyBorder="1" applyAlignment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/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3" fillId="5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6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Fill="1" applyBorder="1" applyAlignment="1"/>
    <xf numFmtId="49" fontId="2" fillId="0" borderId="1" xfId="0" applyNumberFormat="1" applyFont="1" applyBorder="1" applyAlignment="1"/>
    <xf numFmtId="49" fontId="0" fillId="0" borderId="0" xfId="0" applyNumberFormat="1" applyAlignment="1"/>
    <xf numFmtId="0" fontId="0" fillId="3" borderId="1" xfId="0" applyFill="1" applyBorder="1" applyAlignment="1">
      <alignment horizontal="center"/>
    </xf>
    <xf numFmtId="49" fontId="3" fillId="0" borderId="1" xfId="0" applyNumberFormat="1" applyFont="1" applyBorder="1" applyAlignment="1"/>
    <xf numFmtId="49" fontId="0" fillId="0" borderId="1" xfId="0" applyNumberFormat="1" applyBorder="1" applyAlignment="1"/>
    <xf numFmtId="164" fontId="0" fillId="0" borderId="7" xfId="0" applyNumberFormat="1" applyBorder="1" applyAlignment="1"/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28" workbookViewId="0">
      <selection activeCell="A19" sqref="A19:D19"/>
    </sheetView>
  </sheetViews>
  <sheetFormatPr defaultRowHeight="12.75" x14ac:dyDescent="0.2"/>
  <cols>
    <col min="3" max="3" width="9.140625" customWidth="1"/>
    <col min="4" max="4" width="29.7109375" customWidth="1"/>
    <col min="5" max="5" width="18.7109375" customWidth="1"/>
    <col min="6" max="6" width="17.85546875" customWidth="1"/>
    <col min="7" max="7" width="8.42578125" customWidth="1"/>
    <col min="8" max="8" width="8.5703125" customWidth="1"/>
    <col min="9" max="9" width="7.7109375" customWidth="1"/>
    <col min="10" max="10" width="11.140625" customWidth="1"/>
    <col min="11" max="11" width="14.5703125" customWidth="1"/>
    <col min="12" max="12" width="13.85546875" customWidth="1"/>
    <col min="13" max="13" width="9.7109375" customWidth="1"/>
    <col min="14" max="14" width="8.28515625" customWidth="1"/>
    <col min="15" max="15" width="9" customWidth="1"/>
    <col min="16" max="16" width="7.140625" customWidth="1"/>
  </cols>
  <sheetData>
    <row r="1" spans="1:27" ht="18" x14ac:dyDescent="0.25">
      <c r="A1" s="56" t="s">
        <v>26</v>
      </c>
      <c r="B1" s="56"/>
      <c r="C1" s="56"/>
      <c r="D1" s="56"/>
      <c r="E1" s="56"/>
      <c r="F1" s="56"/>
    </row>
    <row r="3" spans="1:27" x14ac:dyDescent="0.2">
      <c r="A3" s="72" t="s">
        <v>70</v>
      </c>
      <c r="B3" s="73"/>
      <c r="C3" s="73"/>
      <c r="D3" s="73"/>
      <c r="E3" s="74"/>
      <c r="F3" s="74"/>
      <c r="G3" s="75"/>
      <c r="H3" s="76"/>
    </row>
    <row r="4" spans="1:27" x14ac:dyDescent="0.2">
      <c r="A4" s="33"/>
      <c r="B4" s="34"/>
      <c r="C4" s="34"/>
      <c r="D4" s="34"/>
      <c r="E4" s="70" t="s">
        <v>50</v>
      </c>
      <c r="F4" s="71"/>
      <c r="G4" s="68" t="s">
        <v>51</v>
      </c>
      <c r="H4" s="69"/>
      <c r="I4" s="68" t="s">
        <v>52</v>
      </c>
      <c r="J4" s="69"/>
    </row>
    <row r="5" spans="1:27" x14ac:dyDescent="0.2">
      <c r="A5" s="63" t="s">
        <v>15</v>
      </c>
      <c r="B5" s="64"/>
      <c r="C5" s="64"/>
      <c r="D5" s="65"/>
      <c r="E5" s="15" t="s">
        <v>21</v>
      </c>
      <c r="F5" s="15" t="s">
        <v>22</v>
      </c>
      <c r="G5" s="15" t="s">
        <v>65</v>
      </c>
      <c r="H5" s="15" t="s">
        <v>64</v>
      </c>
      <c r="I5" s="15" t="s">
        <v>65</v>
      </c>
      <c r="J5" s="15" t="s">
        <v>64</v>
      </c>
    </row>
    <row r="6" spans="1:27" x14ac:dyDescent="0.2">
      <c r="A6" s="60" t="s">
        <v>81</v>
      </c>
      <c r="B6" s="61"/>
      <c r="C6" s="61"/>
      <c r="D6" s="62"/>
      <c r="E6" s="29">
        <v>1</v>
      </c>
      <c r="F6" s="29">
        <v>50</v>
      </c>
      <c r="G6" s="29">
        <f>E6</f>
        <v>1</v>
      </c>
      <c r="H6" s="2">
        <f>F6*1.05</f>
        <v>52.5</v>
      </c>
      <c r="I6" s="29">
        <f>G6</f>
        <v>1</v>
      </c>
      <c r="J6" s="2">
        <f>H6*1.1</f>
        <v>57.750000000000007</v>
      </c>
    </row>
    <row r="7" spans="1:27" x14ac:dyDescent="0.2">
      <c r="A7" s="60" t="s">
        <v>90</v>
      </c>
      <c r="B7" s="61"/>
      <c r="C7" s="61"/>
      <c r="D7" s="62"/>
      <c r="E7" s="29">
        <v>1</v>
      </c>
      <c r="F7" s="29">
        <v>20</v>
      </c>
      <c r="G7" s="29"/>
      <c r="H7" s="2"/>
      <c r="I7" s="29"/>
      <c r="J7" s="2"/>
    </row>
    <row r="8" spans="1:27" x14ac:dyDescent="0.2">
      <c r="A8" s="60" t="s">
        <v>85</v>
      </c>
      <c r="B8" s="66"/>
      <c r="C8" s="66"/>
      <c r="D8" s="67"/>
      <c r="E8" s="29">
        <v>1</v>
      </c>
      <c r="F8" s="29">
        <v>20</v>
      </c>
      <c r="G8" s="29">
        <v>1</v>
      </c>
      <c r="H8" s="2">
        <f t="shared" ref="H8:H11" si="0">F8*1.05</f>
        <v>21</v>
      </c>
      <c r="I8" s="29">
        <v>1</v>
      </c>
      <c r="J8" s="2">
        <f t="shared" ref="J8:J12" si="1">H8*1.1</f>
        <v>23.1</v>
      </c>
    </row>
    <row r="9" spans="1:27" x14ac:dyDescent="0.2">
      <c r="A9" s="60" t="s">
        <v>86</v>
      </c>
      <c r="B9" s="66"/>
      <c r="C9" s="66"/>
      <c r="D9" s="67"/>
      <c r="E9" s="29">
        <v>3</v>
      </c>
      <c r="F9" s="29">
        <v>10</v>
      </c>
      <c r="G9" s="29">
        <v>1</v>
      </c>
      <c r="H9" s="2">
        <v>100</v>
      </c>
      <c r="I9" s="29">
        <v>1</v>
      </c>
      <c r="J9" s="2">
        <v>100</v>
      </c>
    </row>
    <row r="10" spans="1:27" x14ac:dyDescent="0.2">
      <c r="A10" s="60" t="s">
        <v>89</v>
      </c>
      <c r="B10" s="66"/>
      <c r="C10" s="66"/>
      <c r="D10" s="67"/>
      <c r="E10" s="29">
        <v>4</v>
      </c>
      <c r="F10" s="29">
        <v>25</v>
      </c>
      <c r="G10" s="29"/>
      <c r="H10" s="2"/>
      <c r="I10" s="29"/>
      <c r="J10" s="2"/>
    </row>
    <row r="11" spans="1:27" x14ac:dyDescent="0.2">
      <c r="A11" s="60" t="s">
        <v>87</v>
      </c>
      <c r="B11" s="66"/>
      <c r="C11" s="66"/>
      <c r="D11" s="67"/>
      <c r="E11" s="29">
        <v>2</v>
      </c>
      <c r="F11" s="29">
        <v>25</v>
      </c>
      <c r="G11" s="29">
        <v>5</v>
      </c>
      <c r="H11" s="2">
        <f t="shared" si="0"/>
        <v>26.25</v>
      </c>
      <c r="I11" s="29">
        <v>5</v>
      </c>
      <c r="J11" s="2">
        <f t="shared" si="1"/>
        <v>28.875000000000004</v>
      </c>
    </row>
    <row r="12" spans="1:27" x14ac:dyDescent="0.2">
      <c r="A12" s="60" t="s">
        <v>88</v>
      </c>
      <c r="B12" s="61"/>
      <c r="C12" s="61"/>
      <c r="D12" s="62"/>
      <c r="E12" s="29">
        <v>1</v>
      </c>
      <c r="F12" s="29">
        <v>5</v>
      </c>
      <c r="G12" s="29">
        <v>1</v>
      </c>
      <c r="H12" s="2">
        <f t="shared" ref="H12" si="2">F12*1.05</f>
        <v>5.25</v>
      </c>
      <c r="I12" s="29">
        <v>1</v>
      </c>
      <c r="J12" s="2">
        <f t="shared" si="1"/>
        <v>5.7750000000000004</v>
      </c>
    </row>
    <row r="13" spans="1:27" x14ac:dyDescent="0.2">
      <c r="A13" s="79" t="s">
        <v>17</v>
      </c>
      <c r="B13" s="79"/>
      <c r="C13" s="79"/>
      <c r="D13" s="79"/>
      <c r="E13" s="2">
        <f>SUM(E6:E12)</f>
        <v>13</v>
      </c>
      <c r="F13" s="5">
        <f>E6*F6+E7*F7+E10*F10+E8*F8+E11*F11+E9*F9+E12*F12</f>
        <v>275</v>
      </c>
      <c r="G13" s="2">
        <f>SUM(G6:G12)</f>
        <v>9</v>
      </c>
      <c r="H13" s="5">
        <f>G6*H6+G8*H8+G11*H11</f>
        <v>204.75</v>
      </c>
      <c r="I13" s="2">
        <f>SUM(I6:I12)</f>
        <v>9</v>
      </c>
      <c r="J13" s="5">
        <f>I6*J6+I8*J8+I11*J11</f>
        <v>225.22500000000002</v>
      </c>
    </row>
    <row r="14" spans="1:27" x14ac:dyDescent="0.2">
      <c r="A14" s="16"/>
      <c r="B14" s="16"/>
      <c r="C14" s="16"/>
      <c r="D14" s="16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7"/>
      <c r="Q14" s="8"/>
      <c r="R14" s="7"/>
      <c r="S14" s="8"/>
      <c r="T14" s="7"/>
      <c r="U14" s="8"/>
      <c r="V14" s="7"/>
      <c r="W14" s="8"/>
      <c r="X14" s="7"/>
      <c r="Y14" s="8"/>
      <c r="Z14" s="7"/>
      <c r="AA14" s="8"/>
    </row>
    <row r="15" spans="1:27" x14ac:dyDescent="0.2">
      <c r="A15" s="57" t="s">
        <v>24</v>
      </c>
      <c r="B15" s="58"/>
      <c r="C15" s="58"/>
      <c r="D15" s="58"/>
      <c r="E15" s="59"/>
      <c r="F15" s="59"/>
      <c r="G15" s="59"/>
      <c r="H15" s="59"/>
      <c r="I15" s="7"/>
      <c r="J15" s="8"/>
      <c r="K15" s="7"/>
      <c r="L15" s="8"/>
      <c r="M15" s="7"/>
      <c r="N15" s="8"/>
      <c r="O15" s="7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</row>
    <row r="16" spans="1:27" x14ac:dyDescent="0.2">
      <c r="A16" s="68" t="s">
        <v>23</v>
      </c>
      <c r="B16" s="77"/>
      <c r="C16" s="77"/>
      <c r="D16" s="78"/>
      <c r="E16" s="31" t="s">
        <v>57</v>
      </c>
      <c r="F16" s="31" t="s">
        <v>58</v>
      </c>
      <c r="G16" s="31" t="s">
        <v>59</v>
      </c>
      <c r="H16" s="31" t="s">
        <v>18</v>
      </c>
      <c r="I16" s="31" t="s">
        <v>19</v>
      </c>
      <c r="J16" s="31" t="s">
        <v>20</v>
      </c>
      <c r="K16" s="31" t="s">
        <v>60</v>
      </c>
      <c r="L16" s="31" t="s">
        <v>61</v>
      </c>
      <c r="M16" s="31" t="s">
        <v>52</v>
      </c>
      <c r="N16" s="31" t="s">
        <v>62</v>
      </c>
      <c r="O16" s="31" t="s">
        <v>63</v>
      </c>
      <c r="P16" s="32" t="s">
        <v>16</v>
      </c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</row>
    <row r="17" spans="1:27" x14ac:dyDescent="0.2">
      <c r="A17" s="80" t="s">
        <v>8</v>
      </c>
      <c r="B17" s="66"/>
      <c r="C17" s="66"/>
      <c r="D17" s="67"/>
      <c r="E17" s="52">
        <f>F13</f>
        <v>275</v>
      </c>
      <c r="F17" s="52">
        <f>E17</f>
        <v>275</v>
      </c>
      <c r="G17" s="52">
        <f>F17</f>
        <v>275</v>
      </c>
      <c r="H17" s="52">
        <f>G17*3</f>
        <v>825</v>
      </c>
      <c r="I17" s="52">
        <f>H17</f>
        <v>825</v>
      </c>
      <c r="J17" s="52">
        <f>I17</f>
        <v>825</v>
      </c>
      <c r="K17" s="52">
        <f>H13*6</f>
        <v>1228.5</v>
      </c>
      <c r="L17" s="52">
        <f t="shared" ref="L17:L21" si="3">K17</f>
        <v>1228.5</v>
      </c>
      <c r="M17" s="52">
        <f>L17*2</f>
        <v>2457</v>
      </c>
      <c r="N17" s="52">
        <f>M17</f>
        <v>2457</v>
      </c>
      <c r="O17" s="52">
        <f>N17*1.1</f>
        <v>2702.7000000000003</v>
      </c>
      <c r="P17" s="51">
        <f t="shared" ref="P17:P21" si="4">SUM(E17:O17)</f>
        <v>13373.7</v>
      </c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</row>
    <row r="18" spans="1:27" x14ac:dyDescent="0.2">
      <c r="A18" s="81" t="s">
        <v>92</v>
      </c>
      <c r="B18" s="82"/>
      <c r="C18" s="82"/>
      <c r="D18" s="82"/>
      <c r="E18" s="52">
        <v>30</v>
      </c>
      <c r="F18" s="52">
        <f>E18</f>
        <v>30</v>
      </c>
      <c r="G18" s="52">
        <f t="shared" ref="G18" si="5">F18</f>
        <v>30</v>
      </c>
      <c r="H18" s="52">
        <f t="shared" ref="H18:H21" si="6">G18*3</f>
        <v>90</v>
      </c>
      <c r="I18" s="52">
        <f t="shared" ref="I18:J21" si="7">H18</f>
        <v>90</v>
      </c>
      <c r="J18" s="52">
        <f t="shared" si="7"/>
        <v>90</v>
      </c>
      <c r="K18" s="52">
        <f>J18*2</f>
        <v>180</v>
      </c>
      <c r="L18" s="52">
        <f t="shared" si="3"/>
        <v>180</v>
      </c>
      <c r="M18" s="52">
        <f t="shared" ref="M18:M21" si="8">L18*2</f>
        <v>360</v>
      </c>
      <c r="N18" s="52">
        <f t="shared" ref="N18:N21" si="9">M18</f>
        <v>360</v>
      </c>
      <c r="O18" s="52">
        <f t="shared" ref="O18:O21" si="10">N18*1.1</f>
        <v>396.00000000000006</v>
      </c>
      <c r="P18" s="51">
        <f t="shared" si="4"/>
        <v>1836</v>
      </c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</row>
    <row r="19" spans="1:27" x14ac:dyDescent="0.2">
      <c r="A19" s="81" t="s">
        <v>93</v>
      </c>
      <c r="B19" s="82"/>
      <c r="C19" s="82"/>
      <c r="D19" s="82"/>
      <c r="E19" s="52">
        <v>5</v>
      </c>
      <c r="F19" s="52">
        <f>E19</f>
        <v>5</v>
      </c>
      <c r="G19" s="52">
        <f t="shared" ref="G19" si="11">F19</f>
        <v>5</v>
      </c>
      <c r="H19" s="52">
        <f t="shared" ref="H19" si="12">G19*3</f>
        <v>15</v>
      </c>
      <c r="I19" s="52">
        <f t="shared" ref="I19" si="13">H19</f>
        <v>15</v>
      </c>
      <c r="J19" s="52">
        <f t="shared" ref="J19" si="14">I19</f>
        <v>15</v>
      </c>
      <c r="K19" s="52">
        <f>J19*2</f>
        <v>30</v>
      </c>
      <c r="L19" s="52">
        <f t="shared" ref="L19" si="15">K19</f>
        <v>30</v>
      </c>
      <c r="M19" s="52">
        <f t="shared" ref="M19" si="16">L19*2</f>
        <v>60</v>
      </c>
      <c r="N19" s="52">
        <f t="shared" ref="N19" si="17">M19</f>
        <v>60</v>
      </c>
      <c r="O19" s="52">
        <f t="shared" ref="O19" si="18">N19*1.1</f>
        <v>66</v>
      </c>
      <c r="P19" s="51">
        <f t="shared" ref="P19" si="19">SUM(E19:O19)</f>
        <v>306</v>
      </c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</row>
    <row r="20" spans="1:27" x14ac:dyDescent="0.2">
      <c r="A20" s="81" t="s">
        <v>33</v>
      </c>
      <c r="B20" s="82"/>
      <c r="C20" s="82"/>
      <c r="D20" s="82"/>
      <c r="E20" s="48">
        <v>20</v>
      </c>
      <c r="F20" s="52">
        <f>E20</f>
        <v>20</v>
      </c>
      <c r="G20" s="52">
        <f t="shared" ref="G20" si="20">F20</f>
        <v>20</v>
      </c>
      <c r="H20" s="52">
        <f t="shared" ref="H20" si="21">G20*3</f>
        <v>60</v>
      </c>
      <c r="I20" s="52">
        <f t="shared" ref="I20" si="22">H20</f>
        <v>60</v>
      </c>
      <c r="J20" s="52">
        <f t="shared" ref="J20" si="23">I20</f>
        <v>60</v>
      </c>
      <c r="K20" s="52">
        <f>J20*2</f>
        <v>120</v>
      </c>
      <c r="L20" s="52">
        <f t="shared" ref="L20" si="24">K20</f>
        <v>120</v>
      </c>
      <c r="M20" s="52">
        <f t="shared" ref="M20" si="25">L20*2</f>
        <v>240</v>
      </c>
      <c r="N20" s="52">
        <f t="shared" ref="N20" si="26">M20</f>
        <v>240</v>
      </c>
      <c r="O20" s="52">
        <f t="shared" ref="O20" si="27">N20*1.1</f>
        <v>264</v>
      </c>
      <c r="P20" s="51">
        <f t="shared" ref="P20" si="28">SUM(E20:O20)</f>
        <v>1224</v>
      </c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</row>
    <row r="21" spans="1:27" x14ac:dyDescent="0.2">
      <c r="A21" s="82" t="s">
        <v>34</v>
      </c>
      <c r="B21" s="82"/>
      <c r="C21" s="82"/>
      <c r="D21" s="82"/>
      <c r="E21" s="48">
        <v>5</v>
      </c>
      <c r="F21" s="52">
        <f t="shared" ref="F21:G21" si="29">E21</f>
        <v>5</v>
      </c>
      <c r="G21" s="52">
        <f t="shared" si="29"/>
        <v>5</v>
      </c>
      <c r="H21" s="52">
        <f t="shared" si="6"/>
        <v>15</v>
      </c>
      <c r="I21" s="52">
        <f t="shared" si="7"/>
        <v>15</v>
      </c>
      <c r="J21" s="52">
        <f t="shared" si="7"/>
        <v>15</v>
      </c>
      <c r="K21" s="52">
        <f t="shared" ref="K21" si="30">H21*2</f>
        <v>30</v>
      </c>
      <c r="L21" s="52">
        <f t="shared" si="3"/>
        <v>30</v>
      </c>
      <c r="M21" s="52">
        <f t="shared" si="8"/>
        <v>60</v>
      </c>
      <c r="N21" s="52">
        <f t="shared" si="9"/>
        <v>60</v>
      </c>
      <c r="O21" s="52">
        <f t="shared" si="10"/>
        <v>66</v>
      </c>
      <c r="P21" s="51">
        <f t="shared" si="4"/>
        <v>306</v>
      </c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</row>
    <row r="22" spans="1:27" x14ac:dyDescent="0.2">
      <c r="A22" s="80" t="s">
        <v>80</v>
      </c>
      <c r="B22" s="66"/>
      <c r="C22" s="66"/>
      <c r="D22" s="67"/>
      <c r="E22" s="48">
        <f>E17*0.13</f>
        <v>35.75</v>
      </c>
      <c r="F22" s="48">
        <f t="shared" ref="F22:P22" si="31">F17*0.13</f>
        <v>35.75</v>
      </c>
      <c r="G22" s="48">
        <f t="shared" si="31"/>
        <v>35.75</v>
      </c>
      <c r="H22" s="48">
        <f t="shared" si="31"/>
        <v>107.25</v>
      </c>
      <c r="I22" s="48">
        <f t="shared" si="31"/>
        <v>107.25</v>
      </c>
      <c r="J22" s="48">
        <f t="shared" si="31"/>
        <v>107.25</v>
      </c>
      <c r="K22" s="48">
        <f t="shared" si="31"/>
        <v>159.70500000000001</v>
      </c>
      <c r="L22" s="48">
        <f t="shared" si="31"/>
        <v>159.70500000000001</v>
      </c>
      <c r="M22" s="48">
        <f t="shared" si="31"/>
        <v>319.41000000000003</v>
      </c>
      <c r="N22" s="48">
        <f t="shared" si="31"/>
        <v>319.41000000000003</v>
      </c>
      <c r="O22" s="48">
        <f t="shared" si="31"/>
        <v>351.35100000000006</v>
      </c>
      <c r="P22" s="48">
        <f t="shared" si="31"/>
        <v>1738.5810000000001</v>
      </c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</row>
    <row r="23" spans="1:27" x14ac:dyDescent="0.2">
      <c r="A23" s="80" t="s">
        <v>91</v>
      </c>
      <c r="B23" s="66"/>
      <c r="C23" s="66"/>
      <c r="D23" s="67"/>
      <c r="E23" s="48">
        <f>E17*0.3</f>
        <v>82.5</v>
      </c>
      <c r="F23" s="48">
        <f t="shared" ref="F23:P23" si="32">F17*0.3</f>
        <v>82.5</v>
      </c>
      <c r="G23" s="48">
        <f t="shared" si="32"/>
        <v>82.5</v>
      </c>
      <c r="H23" s="48">
        <f t="shared" si="32"/>
        <v>247.5</v>
      </c>
      <c r="I23" s="48">
        <f t="shared" si="32"/>
        <v>247.5</v>
      </c>
      <c r="J23" s="48">
        <f t="shared" si="32"/>
        <v>247.5</v>
      </c>
      <c r="K23" s="48">
        <f t="shared" si="32"/>
        <v>368.55</v>
      </c>
      <c r="L23" s="48">
        <f t="shared" si="32"/>
        <v>368.55</v>
      </c>
      <c r="M23" s="48">
        <f t="shared" si="32"/>
        <v>737.1</v>
      </c>
      <c r="N23" s="48">
        <f t="shared" si="32"/>
        <v>737.1</v>
      </c>
      <c r="O23" s="48">
        <f t="shared" si="32"/>
        <v>810.81000000000006</v>
      </c>
      <c r="P23" s="48">
        <f t="shared" si="32"/>
        <v>4012.11</v>
      </c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</row>
    <row r="24" spans="1:27" x14ac:dyDescent="0.2">
      <c r="A24" s="79" t="s">
        <v>13</v>
      </c>
      <c r="B24" s="79"/>
      <c r="C24" s="79"/>
      <c r="D24" s="79"/>
      <c r="E24" s="51">
        <f>SUM(E17:E23)</f>
        <v>453.25</v>
      </c>
      <c r="F24" s="51">
        <f t="shared" ref="F24" si="33">SUM(F17:F23)</f>
        <v>453.25</v>
      </c>
      <c r="G24" s="51">
        <f t="shared" ref="G24" si="34">SUM(G17:G23)</f>
        <v>453.25</v>
      </c>
      <c r="H24" s="51">
        <f t="shared" ref="H24:P24" si="35">SUM(H17:H23)</f>
        <v>1359.75</v>
      </c>
      <c r="I24" s="51">
        <f t="shared" si="35"/>
        <v>1359.75</v>
      </c>
      <c r="J24" s="51">
        <f t="shared" si="35"/>
        <v>1359.75</v>
      </c>
      <c r="K24" s="51">
        <f t="shared" si="35"/>
        <v>2116.7550000000001</v>
      </c>
      <c r="L24" s="51">
        <f t="shared" si="35"/>
        <v>2116.7550000000001</v>
      </c>
      <c r="M24" s="51">
        <f t="shared" si="35"/>
        <v>4233.51</v>
      </c>
      <c r="N24" s="51">
        <f t="shared" si="35"/>
        <v>4233.51</v>
      </c>
      <c r="O24" s="51">
        <f t="shared" si="35"/>
        <v>4656.8610000000008</v>
      </c>
      <c r="P24" s="14">
        <f t="shared" si="35"/>
        <v>22796.391000000003</v>
      </c>
      <c r="Q24" s="8"/>
      <c r="R24" s="7"/>
      <c r="S24" s="8"/>
      <c r="T24" s="7"/>
      <c r="U24" s="8"/>
      <c r="V24" s="7"/>
      <c r="W24" s="8"/>
      <c r="X24" s="7"/>
      <c r="Y24" s="8"/>
      <c r="Z24" s="7"/>
      <c r="AA24" s="8"/>
    </row>
    <row r="25" spans="1:27" x14ac:dyDescent="0.2">
      <c r="A25" s="16"/>
      <c r="B25" s="16"/>
      <c r="C25" s="16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</row>
    <row r="26" spans="1:27" x14ac:dyDescent="0.2">
      <c r="A26" s="83" t="s">
        <v>49</v>
      </c>
      <c r="B26" s="83"/>
      <c r="C26" s="83"/>
      <c r="D26" s="83"/>
      <c r="E26" s="83"/>
      <c r="F26" s="83"/>
      <c r="G26" s="83"/>
      <c r="H26" s="83"/>
    </row>
    <row r="27" spans="1:27" x14ac:dyDescent="0.2">
      <c r="A27" s="84" t="s">
        <v>47</v>
      </c>
      <c r="B27" s="84"/>
      <c r="C27" s="84"/>
      <c r="D27" s="84"/>
      <c r="E27" s="84"/>
      <c r="F27" s="38" t="s">
        <v>48</v>
      </c>
      <c r="G27" s="88"/>
      <c r="H27" s="82"/>
    </row>
    <row r="28" spans="1:27" x14ac:dyDescent="0.2">
      <c r="A28" s="85" t="s">
        <v>71</v>
      </c>
      <c r="B28" s="86"/>
      <c r="C28" s="86"/>
      <c r="D28" s="86"/>
      <c r="E28" s="86"/>
      <c r="F28" s="86"/>
      <c r="G28" s="86"/>
      <c r="H28" s="87"/>
    </row>
    <row r="29" spans="1:27" x14ac:dyDescent="0.2">
      <c r="A29" s="88" t="s">
        <v>94</v>
      </c>
      <c r="B29" s="88"/>
      <c r="C29" s="88"/>
      <c r="D29" s="88"/>
      <c r="E29" s="88"/>
      <c r="F29" s="29">
        <v>5650</v>
      </c>
      <c r="G29" s="29"/>
      <c r="H29" s="29"/>
    </row>
    <row r="30" spans="1:27" x14ac:dyDescent="0.2">
      <c r="A30" s="88" t="s">
        <v>95</v>
      </c>
      <c r="B30" s="88"/>
      <c r="C30" s="88"/>
      <c r="D30" s="88"/>
      <c r="E30" s="88"/>
      <c r="F30" s="29">
        <v>6277</v>
      </c>
      <c r="G30" s="29"/>
      <c r="H30" s="29"/>
    </row>
    <row r="31" spans="1:27" x14ac:dyDescent="0.2">
      <c r="A31" s="88" t="s">
        <v>96</v>
      </c>
      <c r="B31" s="88"/>
      <c r="C31" s="88"/>
      <c r="D31" s="88"/>
      <c r="E31" s="88"/>
      <c r="F31" s="29">
        <v>9055</v>
      </c>
      <c r="G31" s="29"/>
      <c r="H31" s="29"/>
    </row>
    <row r="32" spans="1:27" x14ac:dyDescent="0.2">
      <c r="A32" s="60" t="s">
        <v>97</v>
      </c>
      <c r="B32" s="61"/>
      <c r="C32" s="61"/>
      <c r="D32" s="61"/>
      <c r="E32" s="62"/>
      <c r="F32" s="43">
        <v>1800</v>
      </c>
      <c r="G32" s="29"/>
      <c r="H32" s="29"/>
    </row>
    <row r="33" spans="1:14" x14ac:dyDescent="0.2">
      <c r="A33" s="60" t="s">
        <v>98</v>
      </c>
      <c r="B33" s="61"/>
      <c r="C33" s="61"/>
      <c r="D33" s="61"/>
      <c r="E33" s="62"/>
      <c r="F33" s="43">
        <v>1150</v>
      </c>
      <c r="G33" s="29"/>
      <c r="H33" s="29"/>
    </row>
    <row r="34" spans="1:14" x14ac:dyDescent="0.2">
      <c r="A34" s="60" t="s">
        <v>99</v>
      </c>
      <c r="B34" s="61"/>
      <c r="C34" s="61"/>
      <c r="D34" s="61"/>
      <c r="E34" s="62"/>
      <c r="F34" s="43">
        <v>680</v>
      </c>
      <c r="G34" s="29"/>
      <c r="H34" s="29"/>
    </row>
    <row r="35" spans="1:14" ht="14.25" x14ac:dyDescent="0.2">
      <c r="A35" s="89" t="s">
        <v>17</v>
      </c>
      <c r="B35" s="82"/>
      <c r="C35" s="82"/>
      <c r="D35" s="82"/>
      <c r="E35" s="82"/>
      <c r="F35" s="43">
        <f>SUM(F29:F34)</f>
        <v>24612</v>
      </c>
      <c r="G35" s="29"/>
      <c r="H35" s="37"/>
    </row>
    <row r="36" spans="1:14" x14ac:dyDescent="0.2">
      <c r="A36" s="85" t="s">
        <v>27</v>
      </c>
      <c r="B36" s="86"/>
      <c r="C36" s="86"/>
      <c r="D36" s="86"/>
      <c r="E36" s="86"/>
      <c r="F36" s="86"/>
      <c r="G36" s="86"/>
      <c r="H36" s="87"/>
    </row>
    <row r="37" spans="1:14" x14ac:dyDescent="0.2">
      <c r="A37" s="89" t="s">
        <v>100</v>
      </c>
      <c r="B37" s="89"/>
      <c r="C37" s="89"/>
      <c r="D37" s="89"/>
      <c r="E37" s="89"/>
      <c r="F37" s="29">
        <v>360</v>
      </c>
      <c r="G37" s="29"/>
      <c r="H37" s="29"/>
      <c r="J37" s="88"/>
      <c r="K37" s="88"/>
      <c r="L37" s="88"/>
      <c r="M37" s="88"/>
      <c r="N37" s="88"/>
    </row>
    <row r="38" spans="1:14" x14ac:dyDescent="0.2">
      <c r="A38" s="85" t="s">
        <v>12</v>
      </c>
      <c r="B38" s="86"/>
      <c r="C38" s="86"/>
      <c r="D38" s="86"/>
      <c r="E38" s="86"/>
      <c r="F38" s="86"/>
      <c r="G38" s="86"/>
      <c r="H38" s="87"/>
      <c r="J38" s="96"/>
      <c r="K38" s="96"/>
      <c r="L38" s="96"/>
      <c r="M38" s="96"/>
      <c r="N38" s="96"/>
    </row>
    <row r="39" spans="1:14" x14ac:dyDescent="0.2">
      <c r="A39" s="89" t="s">
        <v>102</v>
      </c>
      <c r="B39" s="89"/>
      <c r="C39" s="89"/>
      <c r="D39" s="89"/>
      <c r="E39" s="89"/>
      <c r="F39" s="43">
        <f>E24*10</f>
        <v>4532.5</v>
      </c>
      <c r="G39" s="29"/>
      <c r="H39" s="29"/>
      <c r="J39" s="96"/>
      <c r="K39" s="96"/>
      <c r="L39" s="96"/>
      <c r="M39" s="96"/>
      <c r="N39" s="96"/>
    </row>
    <row r="40" spans="1:14" ht="15.75" x14ac:dyDescent="0.25">
      <c r="A40" s="88" t="s">
        <v>56</v>
      </c>
      <c r="B40" s="88"/>
      <c r="C40" s="88"/>
      <c r="D40" s="88"/>
      <c r="E40" s="88"/>
      <c r="F40" s="49">
        <f>F35+F37+F39</f>
        <v>29504.5</v>
      </c>
      <c r="G40" s="29"/>
      <c r="H40" s="29"/>
    </row>
    <row r="42" spans="1:14" x14ac:dyDescent="0.2">
      <c r="A42" s="57" t="s">
        <v>82</v>
      </c>
      <c r="B42" s="92"/>
      <c r="C42" s="92"/>
      <c r="D42" s="92"/>
      <c r="E42" s="92"/>
    </row>
    <row r="43" spans="1:14" x14ac:dyDescent="0.2">
      <c r="A43" s="93" t="s">
        <v>83</v>
      </c>
      <c r="B43" s="94"/>
      <c r="C43" s="94"/>
      <c r="D43" s="94"/>
      <c r="E43" s="53">
        <f>F30+F29</f>
        <v>11927</v>
      </c>
    </row>
    <row r="44" spans="1:14" x14ac:dyDescent="0.2">
      <c r="A44" s="93" t="s">
        <v>84</v>
      </c>
      <c r="B44" s="94"/>
      <c r="C44" s="94"/>
      <c r="D44" s="94"/>
      <c r="E44" s="48">
        <f>F31+F33+F32</f>
        <v>12005</v>
      </c>
    </row>
    <row r="45" spans="1:14" x14ac:dyDescent="0.2">
      <c r="A45" s="93" t="s">
        <v>101</v>
      </c>
      <c r="B45" s="94"/>
      <c r="C45" s="94"/>
      <c r="D45" s="94"/>
      <c r="E45" s="48">
        <f>F34</f>
        <v>680</v>
      </c>
    </row>
    <row r="46" spans="1:14" x14ac:dyDescent="0.2">
      <c r="A46" s="93" t="s">
        <v>103</v>
      </c>
      <c r="B46" s="94"/>
      <c r="C46" s="94"/>
      <c r="D46" s="94"/>
      <c r="E46" s="48">
        <f>F37+F39</f>
        <v>4892.5</v>
      </c>
    </row>
    <row r="47" spans="1:14" x14ac:dyDescent="0.2">
      <c r="A47" s="90" t="s">
        <v>13</v>
      </c>
      <c r="B47" s="90"/>
      <c r="C47" s="90"/>
      <c r="D47" s="90"/>
      <c r="E47" s="51">
        <f>SUM(E43:E46)</f>
        <v>29504.5</v>
      </c>
    </row>
    <row r="48" spans="1:14" x14ac:dyDescent="0.2">
      <c r="A48" s="91"/>
      <c r="B48" s="91"/>
      <c r="C48" s="91"/>
      <c r="D48" s="91"/>
    </row>
  </sheetData>
  <mergeCells count="48">
    <mergeCell ref="A19:D19"/>
    <mergeCell ref="A33:E33"/>
    <mergeCell ref="A34:E34"/>
    <mergeCell ref="A38:H38"/>
    <mergeCell ref="A39:E39"/>
    <mergeCell ref="A47:D47"/>
    <mergeCell ref="A48:D48"/>
    <mergeCell ref="A42:E42"/>
    <mergeCell ref="A43:D43"/>
    <mergeCell ref="A44:D44"/>
    <mergeCell ref="A45:D45"/>
    <mergeCell ref="A46:D46"/>
    <mergeCell ref="J37:N37"/>
    <mergeCell ref="A37:E37"/>
    <mergeCell ref="A36:H36"/>
    <mergeCell ref="A30:E30"/>
    <mergeCell ref="A32:E32"/>
    <mergeCell ref="A35:E35"/>
    <mergeCell ref="A16:D16"/>
    <mergeCell ref="A24:D24"/>
    <mergeCell ref="A17:D17"/>
    <mergeCell ref="A18:D18"/>
    <mergeCell ref="A20:D20"/>
    <mergeCell ref="A21:D21"/>
    <mergeCell ref="A26:H26"/>
    <mergeCell ref="A27:E27"/>
    <mergeCell ref="A28:H28"/>
    <mergeCell ref="A40:E40"/>
    <mergeCell ref="A31:E31"/>
    <mergeCell ref="A29:E29"/>
    <mergeCell ref="A23:D23"/>
    <mergeCell ref="G27:H27"/>
    <mergeCell ref="A22:D22"/>
    <mergeCell ref="I4:J4"/>
    <mergeCell ref="E4:F4"/>
    <mergeCell ref="A3:H3"/>
    <mergeCell ref="A11:D11"/>
    <mergeCell ref="G4:H4"/>
    <mergeCell ref="A8:D8"/>
    <mergeCell ref="A10:D10"/>
    <mergeCell ref="A7:D7"/>
    <mergeCell ref="A1:F1"/>
    <mergeCell ref="A15:H15"/>
    <mergeCell ref="A6:D6"/>
    <mergeCell ref="A5:D5"/>
    <mergeCell ref="A12:D12"/>
    <mergeCell ref="A9:D9"/>
    <mergeCell ref="A13:D13"/>
  </mergeCells>
  <pageMargins left="0.31496062992125984" right="0.11811023622047245" top="0.78740157480314965" bottom="0.74803149606299213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A18" workbookViewId="0">
      <selection activeCell="P44" sqref="P44"/>
    </sheetView>
  </sheetViews>
  <sheetFormatPr defaultRowHeight="12.75" x14ac:dyDescent="0.2"/>
  <cols>
    <col min="1" max="1" width="5.42578125" customWidth="1"/>
    <col min="2" max="2" width="49.42578125" customWidth="1"/>
    <col min="3" max="3" width="9.42578125" customWidth="1"/>
    <col min="4" max="5" width="6.42578125" customWidth="1"/>
    <col min="6" max="6" width="6.140625" customWidth="1"/>
    <col min="7" max="8" width="6.5703125" customWidth="1"/>
    <col min="9" max="9" width="7.7109375" customWidth="1"/>
    <col min="10" max="10" width="7.85546875" customWidth="1"/>
    <col min="11" max="11" width="7.5703125" customWidth="1"/>
    <col min="12" max="13" width="7.42578125" customWidth="1"/>
    <col min="14" max="14" width="9.28515625" customWidth="1"/>
  </cols>
  <sheetData>
    <row r="1" spans="1:14" ht="18" x14ac:dyDescent="0.25">
      <c r="A1" s="1" t="s">
        <v>25</v>
      </c>
    </row>
    <row r="2" spans="1:14" hidden="1" x14ac:dyDescent="0.2"/>
    <row r="3" spans="1:14" x14ac:dyDescent="0.2">
      <c r="A3" s="2" t="s">
        <v>2</v>
      </c>
      <c r="B3" s="11" t="s">
        <v>0</v>
      </c>
      <c r="C3" s="42" t="s">
        <v>73</v>
      </c>
      <c r="D3" s="42" t="s">
        <v>74</v>
      </c>
      <c r="E3" s="42" t="s">
        <v>75</v>
      </c>
      <c r="F3" s="42" t="s">
        <v>18</v>
      </c>
      <c r="G3" s="42" t="s">
        <v>19</v>
      </c>
      <c r="H3" s="42" t="s">
        <v>20</v>
      </c>
      <c r="I3" s="42" t="s">
        <v>79</v>
      </c>
      <c r="J3" s="42" t="s">
        <v>78</v>
      </c>
      <c r="K3" s="42" t="s">
        <v>52</v>
      </c>
      <c r="L3" s="42" t="s">
        <v>62</v>
      </c>
      <c r="M3" s="42" t="s">
        <v>63</v>
      </c>
      <c r="N3" s="41" t="s">
        <v>13</v>
      </c>
    </row>
    <row r="4" spans="1:14" x14ac:dyDescent="0.2">
      <c r="A4" s="3">
        <v>1</v>
      </c>
      <c r="B4" s="2" t="s">
        <v>1</v>
      </c>
      <c r="C4" s="44">
        <f>C33</f>
        <v>0</v>
      </c>
      <c r="D4" s="44">
        <f t="shared" ref="D4:M4" si="0">D33</f>
        <v>0</v>
      </c>
      <c r="E4" s="44">
        <f t="shared" si="0"/>
        <v>0</v>
      </c>
      <c r="F4" s="44">
        <f t="shared" si="0"/>
        <v>0</v>
      </c>
      <c r="G4" s="44">
        <f t="shared" si="0"/>
        <v>45900</v>
      </c>
      <c r="H4" s="44">
        <f t="shared" si="0"/>
        <v>25500</v>
      </c>
      <c r="I4" s="44">
        <f t="shared" si="0"/>
        <v>0</v>
      </c>
      <c r="J4" s="44">
        <f t="shared" si="0"/>
        <v>102600</v>
      </c>
      <c r="K4" s="44">
        <f t="shared" si="0"/>
        <v>127300</v>
      </c>
      <c r="L4" s="44">
        <f t="shared" si="0"/>
        <v>136800</v>
      </c>
      <c r="M4" s="44">
        <f t="shared" si="0"/>
        <v>154660.00000000003</v>
      </c>
      <c r="N4" s="44">
        <f>SUM(C4:M4)</f>
        <v>592760</v>
      </c>
    </row>
    <row r="5" spans="1:14" x14ac:dyDescent="0.2">
      <c r="A5" s="3">
        <v>2</v>
      </c>
      <c r="B5" s="2" t="s">
        <v>3</v>
      </c>
      <c r="C5" s="10">
        <f>SUM(C36:C36)</f>
        <v>0.3</v>
      </c>
      <c r="D5" s="10">
        <f>SUM(D36:D36)</f>
        <v>0</v>
      </c>
      <c r="E5" s="10">
        <f>SUM(E36:E36)</f>
        <v>0</v>
      </c>
      <c r="F5" s="10">
        <f>SUM(F36:F36)</f>
        <v>0</v>
      </c>
      <c r="G5" s="10">
        <f>SUM(G36:G36)</f>
        <v>810</v>
      </c>
      <c r="H5" s="10">
        <f>SUM(H36:H36)</f>
        <v>300</v>
      </c>
      <c r="I5" s="10">
        <f>SUM(I36:I36)</f>
        <v>0</v>
      </c>
      <c r="J5" s="10">
        <f>SUM(J36:J36)</f>
        <v>1110</v>
      </c>
      <c r="K5" s="10">
        <f>SUM(K36:K36)</f>
        <v>1110</v>
      </c>
      <c r="L5" s="10">
        <f>SUM(L36:L36)</f>
        <v>1110</v>
      </c>
      <c r="M5" s="10">
        <f>SUM(M36:M36)</f>
        <v>1110</v>
      </c>
      <c r="N5" s="44">
        <f>SUM(N36:N36)</f>
        <v>5550</v>
      </c>
    </row>
    <row r="6" spans="1:14" x14ac:dyDescent="0.2">
      <c r="A6" s="3">
        <v>3</v>
      </c>
      <c r="B6" s="2" t="s">
        <v>5</v>
      </c>
      <c r="C6" s="10">
        <v>30</v>
      </c>
      <c r="D6" s="10">
        <v>10</v>
      </c>
      <c r="E6" s="10">
        <v>10</v>
      </c>
      <c r="F6" s="10">
        <v>10</v>
      </c>
      <c r="G6" s="10">
        <v>30</v>
      </c>
      <c r="H6" s="10">
        <v>90</v>
      </c>
      <c r="I6" s="10">
        <v>150</v>
      </c>
      <c r="J6" s="10">
        <v>150</v>
      </c>
      <c r="K6" s="10">
        <v>300</v>
      </c>
      <c r="L6" s="10">
        <v>300</v>
      </c>
      <c r="M6" s="10">
        <v>300</v>
      </c>
      <c r="N6" s="44">
        <f>SUM(C6:M6)</f>
        <v>1380</v>
      </c>
    </row>
    <row r="7" spans="1:14" x14ac:dyDescent="0.2">
      <c r="A7" s="3">
        <v>4</v>
      </c>
      <c r="B7" s="2" t="s">
        <v>4</v>
      </c>
      <c r="C7" s="10">
        <f>C4-C5-C6</f>
        <v>-30.3</v>
      </c>
      <c r="D7" s="10">
        <f t="shared" ref="D7:N7" si="1">D4-D5-D6</f>
        <v>-10</v>
      </c>
      <c r="E7" s="10">
        <f t="shared" si="1"/>
        <v>-10</v>
      </c>
      <c r="F7" s="10">
        <f t="shared" si="1"/>
        <v>-10</v>
      </c>
      <c r="G7" s="10">
        <f t="shared" si="1"/>
        <v>45060</v>
      </c>
      <c r="H7" s="10">
        <f t="shared" si="1"/>
        <v>25110</v>
      </c>
      <c r="I7" s="10">
        <f t="shared" si="1"/>
        <v>-150</v>
      </c>
      <c r="J7" s="10">
        <f t="shared" si="1"/>
        <v>101340</v>
      </c>
      <c r="K7" s="10">
        <f t="shared" si="1"/>
        <v>125890</v>
      </c>
      <c r="L7" s="10">
        <f t="shared" si="1"/>
        <v>135390</v>
      </c>
      <c r="M7" s="10">
        <f t="shared" si="1"/>
        <v>153250.00000000003</v>
      </c>
      <c r="N7" s="44">
        <f t="shared" si="1"/>
        <v>585830</v>
      </c>
    </row>
    <row r="8" spans="1:14" x14ac:dyDescent="0.2">
      <c r="A8" s="3">
        <v>5</v>
      </c>
      <c r="B8" s="9" t="s">
        <v>9</v>
      </c>
      <c r="C8" s="10">
        <f>C22</f>
        <v>370.75</v>
      </c>
      <c r="D8" s="10">
        <f t="shared" ref="D8:M8" si="2">D22</f>
        <v>370.75</v>
      </c>
      <c r="E8" s="10">
        <f t="shared" si="2"/>
        <v>370.75</v>
      </c>
      <c r="F8" s="10">
        <f t="shared" si="2"/>
        <v>1112.25</v>
      </c>
      <c r="G8" s="10">
        <f>G22</f>
        <v>1112.25</v>
      </c>
      <c r="H8" s="10">
        <f t="shared" si="2"/>
        <v>1112.25</v>
      </c>
      <c r="I8" s="10">
        <f>I22</f>
        <v>1748.2049999999999</v>
      </c>
      <c r="J8" s="10">
        <f t="shared" si="2"/>
        <v>1748.2049999999999</v>
      </c>
      <c r="K8" s="10">
        <f t="shared" si="2"/>
        <v>3496.41</v>
      </c>
      <c r="L8" s="10">
        <f t="shared" si="2"/>
        <v>3496.41</v>
      </c>
      <c r="M8" s="10">
        <f t="shared" si="2"/>
        <v>3846.0510000000004</v>
      </c>
      <c r="N8" s="44">
        <f t="shared" ref="N8" si="3">SUM(C8:M8)</f>
        <v>18784.280999999999</v>
      </c>
    </row>
    <row r="9" spans="1:14" x14ac:dyDescent="0.2">
      <c r="A9" s="3">
        <v>6</v>
      </c>
      <c r="B9" s="2" t="s">
        <v>6</v>
      </c>
      <c r="C9" s="10">
        <f>C7-C8</f>
        <v>-401.05</v>
      </c>
      <c r="D9" s="10">
        <f t="shared" ref="D9:M9" si="4">D7-D8</f>
        <v>-380.75</v>
      </c>
      <c r="E9" s="10">
        <f t="shared" si="4"/>
        <v>-380.75</v>
      </c>
      <c r="F9" s="10">
        <f t="shared" si="4"/>
        <v>-1122.25</v>
      </c>
      <c r="G9" s="10">
        <f t="shared" si="4"/>
        <v>43947.75</v>
      </c>
      <c r="H9" s="10">
        <f t="shared" si="4"/>
        <v>23997.75</v>
      </c>
      <c r="I9" s="10">
        <f>I7-I8</f>
        <v>-1898.2049999999999</v>
      </c>
      <c r="J9" s="10">
        <f t="shared" si="4"/>
        <v>99591.794999999998</v>
      </c>
      <c r="K9" s="10">
        <f t="shared" si="4"/>
        <v>122393.59</v>
      </c>
      <c r="L9" s="10">
        <f t="shared" si="4"/>
        <v>131893.59</v>
      </c>
      <c r="M9" s="10">
        <f t="shared" si="4"/>
        <v>149403.94900000002</v>
      </c>
      <c r="N9" s="44">
        <f>SUM(C9:M9)</f>
        <v>567045.41899999999</v>
      </c>
    </row>
    <row r="10" spans="1:14" x14ac:dyDescent="0.2">
      <c r="A10" s="3">
        <v>7</v>
      </c>
      <c r="B10" s="9" t="s">
        <v>68</v>
      </c>
      <c r="C10" s="10">
        <v>0</v>
      </c>
      <c r="D10" s="10">
        <v>0</v>
      </c>
      <c r="E10" s="10">
        <v>0</v>
      </c>
      <c r="F10" s="10">
        <v>0</v>
      </c>
      <c r="G10" s="10">
        <f t="shared" ref="G10:M10" si="5">G9*0.2</f>
        <v>8789.5500000000011</v>
      </c>
      <c r="H10" s="10">
        <f t="shared" si="5"/>
        <v>4799.55</v>
      </c>
      <c r="I10" s="10">
        <v>0</v>
      </c>
      <c r="J10" s="10">
        <f t="shared" si="5"/>
        <v>19918.359</v>
      </c>
      <c r="K10" s="10">
        <f t="shared" si="5"/>
        <v>24478.718000000001</v>
      </c>
      <c r="L10" s="10">
        <f t="shared" si="5"/>
        <v>26378.718000000001</v>
      </c>
      <c r="M10" s="10">
        <f t="shared" si="5"/>
        <v>29880.789800000006</v>
      </c>
      <c r="N10" s="44">
        <f t="shared" ref="N10" si="6">SUM(C10:M10)</f>
        <v>114245.68480000002</v>
      </c>
    </row>
    <row r="11" spans="1:14" x14ac:dyDescent="0.2">
      <c r="A11" s="3">
        <v>8</v>
      </c>
      <c r="B11" s="2" t="s">
        <v>7</v>
      </c>
      <c r="C11" s="44">
        <f>C9-C10</f>
        <v>-401.05</v>
      </c>
      <c r="D11" s="44">
        <f t="shared" ref="D11:M11" si="7">D9-D10</f>
        <v>-380.75</v>
      </c>
      <c r="E11" s="44">
        <f t="shared" si="7"/>
        <v>-380.75</v>
      </c>
      <c r="F11" s="44">
        <f t="shared" si="7"/>
        <v>-1122.25</v>
      </c>
      <c r="G11" s="44">
        <f t="shared" si="7"/>
        <v>35158.199999999997</v>
      </c>
      <c r="H11" s="44">
        <f t="shared" si="7"/>
        <v>19198.2</v>
      </c>
      <c r="I11" s="44">
        <f t="shared" si="7"/>
        <v>-1898.2049999999999</v>
      </c>
      <c r="J11" s="44">
        <f t="shared" si="7"/>
        <v>79673.436000000002</v>
      </c>
      <c r="K11" s="44">
        <f t="shared" si="7"/>
        <v>97914.872000000003</v>
      </c>
      <c r="L11" s="44">
        <f t="shared" si="7"/>
        <v>105514.872</v>
      </c>
      <c r="M11" s="44">
        <f t="shared" si="7"/>
        <v>119523.15920000002</v>
      </c>
      <c r="N11" s="44">
        <f>SUM(C11:M11)</f>
        <v>452799.73419999995</v>
      </c>
    </row>
    <row r="12" spans="1:14" x14ac:dyDescent="0.2">
      <c r="A12" s="3">
        <v>9</v>
      </c>
      <c r="B12" s="9" t="s">
        <v>44</v>
      </c>
      <c r="C12" s="10">
        <v>0</v>
      </c>
      <c r="D12" s="10">
        <v>0</v>
      </c>
      <c r="E12" s="10">
        <v>0</v>
      </c>
      <c r="F12" s="10">
        <v>0</v>
      </c>
      <c r="G12" s="10">
        <f t="shared" ref="G12:M12" si="8">G11*100/G4</f>
        <v>76.59738562091502</v>
      </c>
      <c r="H12" s="10">
        <f t="shared" si="8"/>
        <v>75.287058823529406</v>
      </c>
      <c r="I12" s="10">
        <v>0</v>
      </c>
      <c r="J12" s="10">
        <f t="shared" si="8"/>
        <v>77.654421052631591</v>
      </c>
      <c r="K12" s="10">
        <f t="shared" si="8"/>
        <v>76.916631578947374</v>
      </c>
      <c r="L12" s="10">
        <f t="shared" si="8"/>
        <v>77.13075438596492</v>
      </c>
      <c r="M12" s="10">
        <f t="shared" si="8"/>
        <v>77.281235742919947</v>
      </c>
      <c r="N12" s="50" t="s">
        <v>110</v>
      </c>
    </row>
    <row r="13" spans="1:14" x14ac:dyDescent="0.2">
      <c r="A13" s="3"/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3"/>
      <c r="B14" s="4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A15" s="3">
        <v>1</v>
      </c>
      <c r="B15" s="25" t="s">
        <v>8</v>
      </c>
      <c r="C15" s="10">
        <f>Вводные!E17</f>
        <v>275</v>
      </c>
      <c r="D15" s="10">
        <f>Вводные!F17</f>
        <v>275</v>
      </c>
      <c r="E15" s="10">
        <f>Вводные!G17</f>
        <v>275</v>
      </c>
      <c r="F15" s="10">
        <f>Вводные!H17</f>
        <v>825</v>
      </c>
      <c r="G15" s="10">
        <f>Вводные!I17</f>
        <v>825</v>
      </c>
      <c r="H15" s="10">
        <f>Вводные!J17</f>
        <v>825</v>
      </c>
      <c r="I15" s="10">
        <f>Вводные!K17</f>
        <v>1228.5</v>
      </c>
      <c r="J15" s="10">
        <f>Вводные!L17</f>
        <v>1228.5</v>
      </c>
      <c r="K15" s="10">
        <f>Вводные!M17</f>
        <v>2457</v>
      </c>
      <c r="L15" s="10">
        <f>Вводные!N17</f>
        <v>2457</v>
      </c>
      <c r="M15" s="10">
        <f>Вводные!O17</f>
        <v>2702.7000000000003</v>
      </c>
      <c r="N15" s="10">
        <f t="shared" ref="N15:N24" si="9">SUM(C15:M15)</f>
        <v>13373.7</v>
      </c>
    </row>
    <row r="16" spans="1:14" x14ac:dyDescent="0.2">
      <c r="A16" s="3">
        <v>2</v>
      </c>
      <c r="B16" s="25" t="s">
        <v>32</v>
      </c>
      <c r="C16" s="10">
        <v>30</v>
      </c>
      <c r="D16" s="10">
        <f>Вводные!F18</f>
        <v>30</v>
      </c>
      <c r="E16" s="10">
        <f>Вводные!G18</f>
        <v>30</v>
      </c>
      <c r="F16" s="10">
        <f>Вводные!H18</f>
        <v>90</v>
      </c>
      <c r="G16" s="10">
        <f>Вводные!I18</f>
        <v>90</v>
      </c>
      <c r="H16" s="10">
        <f>Вводные!J18</f>
        <v>90</v>
      </c>
      <c r="I16" s="10">
        <f>Вводные!K18</f>
        <v>180</v>
      </c>
      <c r="J16" s="10">
        <f>Вводные!L18</f>
        <v>180</v>
      </c>
      <c r="K16" s="10">
        <f>Вводные!M18</f>
        <v>360</v>
      </c>
      <c r="L16" s="10">
        <f>Вводные!N18</f>
        <v>360</v>
      </c>
      <c r="M16" s="10">
        <f>Вводные!O18</f>
        <v>396.00000000000006</v>
      </c>
      <c r="N16" s="10">
        <f t="shared" si="9"/>
        <v>1836</v>
      </c>
    </row>
    <row r="17" spans="1:14" x14ac:dyDescent="0.2">
      <c r="A17" s="55">
        <v>3</v>
      </c>
      <c r="B17" s="54" t="s">
        <v>93</v>
      </c>
      <c r="C17" s="10">
        <f>Вводные!E19</f>
        <v>5</v>
      </c>
      <c r="D17" s="10">
        <f>Вводные!F19</f>
        <v>5</v>
      </c>
      <c r="E17" s="10">
        <f>Вводные!G19</f>
        <v>5</v>
      </c>
      <c r="F17" s="10">
        <f>Вводные!H19</f>
        <v>15</v>
      </c>
      <c r="G17" s="10">
        <f>Вводные!I19</f>
        <v>15</v>
      </c>
      <c r="H17" s="10">
        <f>Вводные!J19</f>
        <v>15</v>
      </c>
      <c r="I17" s="10">
        <f>Вводные!K19</f>
        <v>30</v>
      </c>
      <c r="J17" s="10">
        <f>Вводные!L19</f>
        <v>30</v>
      </c>
      <c r="K17" s="10">
        <f>Вводные!M19</f>
        <v>60</v>
      </c>
      <c r="L17" s="10">
        <f>Вводные!N19</f>
        <v>60</v>
      </c>
      <c r="M17" s="10">
        <f>Вводные!O19</f>
        <v>66</v>
      </c>
      <c r="N17" s="10">
        <f>Вводные!P19</f>
        <v>306</v>
      </c>
    </row>
    <row r="18" spans="1:14" x14ac:dyDescent="0.2">
      <c r="A18" s="28">
        <v>4</v>
      </c>
      <c r="B18" s="40" t="s">
        <v>33</v>
      </c>
      <c r="C18" s="10">
        <f>Вводные!E20</f>
        <v>20</v>
      </c>
      <c r="D18" s="10">
        <f>Вводные!F20</f>
        <v>20</v>
      </c>
      <c r="E18" s="10">
        <f>Вводные!G20</f>
        <v>20</v>
      </c>
      <c r="F18" s="10">
        <f>Вводные!H20</f>
        <v>60</v>
      </c>
      <c r="G18" s="10">
        <f>Вводные!I20</f>
        <v>60</v>
      </c>
      <c r="H18" s="10">
        <f>Вводные!J20</f>
        <v>60</v>
      </c>
      <c r="I18" s="10">
        <f>Вводные!K20</f>
        <v>120</v>
      </c>
      <c r="J18" s="10">
        <f>Вводные!L20</f>
        <v>120</v>
      </c>
      <c r="K18" s="10">
        <f>Вводные!M20</f>
        <v>240</v>
      </c>
      <c r="L18" s="10">
        <f>Вводные!N20</f>
        <v>240</v>
      </c>
      <c r="M18" s="10">
        <f>Вводные!O20</f>
        <v>264</v>
      </c>
      <c r="N18" s="10">
        <f t="shared" si="9"/>
        <v>1224</v>
      </c>
    </row>
    <row r="19" spans="1:14" x14ac:dyDescent="0.2">
      <c r="A19" s="28">
        <v>5</v>
      </c>
      <c r="B19" s="27" t="s">
        <v>34</v>
      </c>
      <c r="C19" s="10">
        <f>Вводные!E21</f>
        <v>5</v>
      </c>
      <c r="D19" s="10">
        <f>Вводные!F21</f>
        <v>5</v>
      </c>
      <c r="E19" s="10">
        <f>Вводные!G21</f>
        <v>5</v>
      </c>
      <c r="F19" s="10">
        <f>Вводные!H21</f>
        <v>15</v>
      </c>
      <c r="G19" s="10">
        <f>Вводные!I21</f>
        <v>15</v>
      </c>
      <c r="H19" s="10">
        <f>Вводные!J21</f>
        <v>15</v>
      </c>
      <c r="I19" s="10">
        <f>Вводные!K21</f>
        <v>30</v>
      </c>
      <c r="J19" s="10">
        <f>Вводные!L21</f>
        <v>30</v>
      </c>
      <c r="K19" s="10">
        <f>Вводные!M21</f>
        <v>60</v>
      </c>
      <c r="L19" s="10">
        <f>Вводные!N21</f>
        <v>60</v>
      </c>
      <c r="M19" s="10">
        <f>Вводные!O21</f>
        <v>66</v>
      </c>
      <c r="N19" s="10">
        <f t="shared" si="9"/>
        <v>306</v>
      </c>
    </row>
    <row r="20" spans="1:14" x14ac:dyDescent="0.2">
      <c r="A20" s="28">
        <v>6</v>
      </c>
      <c r="B20" s="25" t="s">
        <v>106</v>
      </c>
      <c r="C20" s="10">
        <f>Вводные!E22</f>
        <v>35.75</v>
      </c>
      <c r="D20" s="10">
        <f>Вводные!F22</f>
        <v>35.75</v>
      </c>
      <c r="E20" s="10">
        <f>Вводные!G22</f>
        <v>35.75</v>
      </c>
      <c r="F20" s="10">
        <f>Вводные!H22</f>
        <v>107.25</v>
      </c>
      <c r="G20" s="10">
        <f>Вводные!I22</f>
        <v>107.25</v>
      </c>
      <c r="H20" s="10">
        <f>Вводные!J22</f>
        <v>107.25</v>
      </c>
      <c r="I20" s="10">
        <f>Вводные!K22</f>
        <v>159.70500000000001</v>
      </c>
      <c r="J20" s="10">
        <f>Вводные!L22</f>
        <v>159.70500000000001</v>
      </c>
      <c r="K20" s="10">
        <f>Вводные!M22</f>
        <v>319.41000000000003</v>
      </c>
      <c r="L20" s="10">
        <f>Вводные!N22</f>
        <v>319.41000000000003</v>
      </c>
      <c r="M20" s="10">
        <f>Вводные!O22</f>
        <v>351.35100000000006</v>
      </c>
      <c r="N20" s="10">
        <f>Вводные!P22</f>
        <v>1738.5810000000001</v>
      </c>
    </row>
    <row r="21" spans="1:14" x14ac:dyDescent="0.2">
      <c r="A21" s="55">
        <v>7</v>
      </c>
      <c r="B21" s="54" t="s">
        <v>105</v>
      </c>
      <c r="C21" s="10">
        <f>Вводные!E23</f>
        <v>82.5</v>
      </c>
      <c r="D21" s="10">
        <f>Вводные!F23</f>
        <v>82.5</v>
      </c>
      <c r="E21" s="10">
        <f>Вводные!G23</f>
        <v>82.5</v>
      </c>
      <c r="F21" s="10">
        <f>Вводные!H23</f>
        <v>247.5</v>
      </c>
      <c r="G21" s="10">
        <f>Вводные!I23</f>
        <v>247.5</v>
      </c>
      <c r="H21" s="10">
        <f>Вводные!J23</f>
        <v>247.5</v>
      </c>
      <c r="I21" s="10">
        <f>Вводные!K23</f>
        <v>368.55</v>
      </c>
      <c r="J21" s="10">
        <f>Вводные!L23</f>
        <v>368.55</v>
      </c>
      <c r="K21" s="10">
        <f>Вводные!M23</f>
        <v>737.1</v>
      </c>
      <c r="L21" s="10">
        <f>Вводные!N23</f>
        <v>737.1</v>
      </c>
      <c r="M21" s="10">
        <f>Вводные!O23</f>
        <v>810.81000000000006</v>
      </c>
      <c r="N21" s="10">
        <f>Вводные!P23</f>
        <v>4012.11</v>
      </c>
    </row>
    <row r="22" spans="1:14" x14ac:dyDescent="0.2">
      <c r="A22" s="3"/>
      <c r="B22" s="5" t="s">
        <v>11</v>
      </c>
      <c r="C22" s="44">
        <f>SUM(C15:C20)</f>
        <v>370.75</v>
      </c>
      <c r="D22" s="44">
        <f>SUM(D15:D20)</f>
        <v>370.75</v>
      </c>
      <c r="E22" s="44">
        <f>SUM(E15:E20)</f>
        <v>370.75</v>
      </c>
      <c r="F22" s="44">
        <f>SUM(F15:F20)</f>
        <v>1112.25</v>
      </c>
      <c r="G22" s="44">
        <f>SUM(G15:G20)</f>
        <v>1112.25</v>
      </c>
      <c r="H22" s="44">
        <f>SUM(H15:H20)</f>
        <v>1112.25</v>
      </c>
      <c r="I22" s="44">
        <f>SUM(I15:I20)</f>
        <v>1748.2049999999999</v>
      </c>
      <c r="J22" s="44">
        <f>SUM(J15:J20)</f>
        <v>1748.2049999999999</v>
      </c>
      <c r="K22" s="44">
        <f>SUM(K15:K20)</f>
        <v>3496.41</v>
      </c>
      <c r="L22" s="44">
        <f>SUM(L15:L20)</f>
        <v>3496.41</v>
      </c>
      <c r="M22" s="44">
        <f>SUM(M15:M20)</f>
        <v>3846.0510000000004</v>
      </c>
      <c r="N22" s="10">
        <f t="shared" si="9"/>
        <v>18784.280999999999</v>
      </c>
    </row>
    <row r="23" spans="1:14" x14ac:dyDescent="0.2">
      <c r="A23" s="3"/>
      <c r="B23" s="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9"/>
        <v>0</v>
      </c>
    </row>
    <row r="24" spans="1:14" x14ac:dyDescent="0.2">
      <c r="A24" s="3"/>
      <c r="B24" s="6" t="s">
        <v>107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9"/>
        <v>0</v>
      </c>
    </row>
    <row r="25" spans="1:14" x14ac:dyDescent="0.2">
      <c r="A25" s="3">
        <v>1</v>
      </c>
      <c r="B25" s="9" t="s">
        <v>104</v>
      </c>
      <c r="C25" s="10">
        <v>0</v>
      </c>
      <c r="D25" s="10">
        <v>0</v>
      </c>
      <c r="E25" s="10">
        <v>0</v>
      </c>
      <c r="F25" s="10">
        <v>0</v>
      </c>
      <c r="G25" s="10">
        <f>900*3</f>
        <v>2700</v>
      </c>
      <c r="H25" s="10">
        <v>1000</v>
      </c>
      <c r="I25" s="10">
        <v>0</v>
      </c>
      <c r="J25" s="10">
        <v>3700</v>
      </c>
      <c r="K25" s="10">
        <v>3700</v>
      </c>
      <c r="L25" s="10">
        <v>3700</v>
      </c>
      <c r="M25" s="10">
        <v>3700</v>
      </c>
      <c r="N25" s="10">
        <f t="shared" ref="N25:N26" si="10">SUM(C25:M25)</f>
        <v>18500</v>
      </c>
    </row>
    <row r="26" spans="1:14" x14ac:dyDescent="0.2">
      <c r="A26" s="3"/>
      <c r="B26" s="9" t="s">
        <v>112</v>
      </c>
      <c r="C26" s="10"/>
      <c r="D26" s="10"/>
      <c r="E26" s="10"/>
      <c r="F26" s="10"/>
      <c r="G26" s="10">
        <v>0</v>
      </c>
      <c r="H26" s="10">
        <v>500</v>
      </c>
      <c r="I26" s="10"/>
      <c r="J26" s="10">
        <v>2000</v>
      </c>
      <c r="K26" s="10">
        <v>3000</v>
      </c>
      <c r="L26" s="10">
        <v>3500</v>
      </c>
      <c r="M26" s="10">
        <v>3700</v>
      </c>
      <c r="N26" s="10">
        <f t="shared" si="10"/>
        <v>12700</v>
      </c>
    </row>
    <row r="27" spans="1:14" x14ac:dyDescent="0.2">
      <c r="A27" s="3"/>
      <c r="B27" s="6" t="s">
        <v>108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3">
        <v>1</v>
      </c>
      <c r="B28" s="9" t="s">
        <v>104</v>
      </c>
      <c r="C28" s="10">
        <v>17</v>
      </c>
      <c r="D28" s="10">
        <f>C28</f>
        <v>17</v>
      </c>
      <c r="E28" s="10">
        <f t="shared" ref="E28:F28" si="11">D28</f>
        <v>17</v>
      </c>
      <c r="F28" s="10">
        <f t="shared" si="11"/>
        <v>17</v>
      </c>
      <c r="G28" s="10">
        <f>F28</f>
        <v>17</v>
      </c>
      <c r="H28" s="10">
        <f>G28</f>
        <v>17</v>
      </c>
      <c r="I28" s="10">
        <v>18</v>
      </c>
      <c r="J28" s="10">
        <f t="shared" ref="J28" si="12">I28</f>
        <v>18</v>
      </c>
      <c r="K28" s="10">
        <v>19</v>
      </c>
      <c r="L28" s="10">
        <f>K28</f>
        <v>19</v>
      </c>
      <c r="M28" s="10">
        <f>L28*1.1</f>
        <v>20.900000000000002</v>
      </c>
      <c r="N28" s="10">
        <f t="shared" ref="N28" si="13">M28</f>
        <v>20.900000000000002</v>
      </c>
    </row>
    <row r="29" spans="1:14" x14ac:dyDescent="0.2">
      <c r="A29" s="2"/>
      <c r="B29" s="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2"/>
      <c r="B30" s="6" t="s">
        <v>109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">
      <c r="A31" s="3">
        <v>1</v>
      </c>
      <c r="B31" s="9" t="s">
        <v>104</v>
      </c>
      <c r="C31" s="10">
        <f>C25*C28</f>
        <v>0</v>
      </c>
      <c r="D31" s="10">
        <f>D25*D28</f>
        <v>0</v>
      </c>
      <c r="E31" s="10">
        <f>E25*E28</f>
        <v>0</v>
      </c>
      <c r="F31" s="10">
        <f>F25*F28</f>
        <v>0</v>
      </c>
      <c r="G31" s="10">
        <f>G25*G28</f>
        <v>45900</v>
      </c>
      <c r="H31" s="10">
        <f>H25*H28</f>
        <v>17000</v>
      </c>
      <c r="I31" s="10">
        <f>I25*I28</f>
        <v>0</v>
      </c>
      <c r="J31" s="10">
        <f>J25*J28</f>
        <v>66600</v>
      </c>
      <c r="K31" s="10">
        <f>K25*K28</f>
        <v>70300</v>
      </c>
      <c r="L31" s="10">
        <f>L25*L28</f>
        <v>70300</v>
      </c>
      <c r="M31" s="10">
        <f>M25*M28</f>
        <v>77330.000000000015</v>
      </c>
      <c r="N31" s="10">
        <f>SUM(C31:M31)</f>
        <v>347430</v>
      </c>
    </row>
    <row r="32" spans="1:14" x14ac:dyDescent="0.2">
      <c r="A32" s="55">
        <v>2</v>
      </c>
      <c r="B32" s="9" t="s">
        <v>104</v>
      </c>
      <c r="C32" s="10">
        <f>C26*C29</f>
        <v>0</v>
      </c>
      <c r="D32" s="10">
        <f t="shared" ref="D32:N32" si="14">D26*D29</f>
        <v>0</v>
      </c>
      <c r="E32" s="10">
        <f>E26*E28</f>
        <v>0</v>
      </c>
      <c r="F32" s="10">
        <f t="shared" ref="F32:M32" si="15">F26*F28</f>
        <v>0</v>
      </c>
      <c r="G32" s="10">
        <f t="shared" si="15"/>
        <v>0</v>
      </c>
      <c r="H32" s="10">
        <f t="shared" si="15"/>
        <v>8500</v>
      </c>
      <c r="I32" s="10">
        <f t="shared" si="15"/>
        <v>0</v>
      </c>
      <c r="J32" s="10">
        <f t="shared" si="15"/>
        <v>36000</v>
      </c>
      <c r="K32" s="10">
        <f t="shared" si="15"/>
        <v>57000</v>
      </c>
      <c r="L32" s="10">
        <f t="shared" si="15"/>
        <v>66500</v>
      </c>
      <c r="M32" s="10">
        <f t="shared" si="15"/>
        <v>77330.000000000015</v>
      </c>
      <c r="N32" s="10">
        <f>SUM(C32:M32)</f>
        <v>245330</v>
      </c>
    </row>
    <row r="33" spans="1:15" x14ac:dyDescent="0.2">
      <c r="A33" s="2"/>
      <c r="B33" s="5" t="s">
        <v>10</v>
      </c>
      <c r="C33" s="44">
        <f>SUM(C31:C32)</f>
        <v>0</v>
      </c>
      <c r="D33" s="44">
        <f t="shared" ref="D33:N33" si="16">SUM(D31:D32)</f>
        <v>0</v>
      </c>
      <c r="E33" s="44">
        <f t="shared" si="16"/>
        <v>0</v>
      </c>
      <c r="F33" s="44">
        <f t="shared" si="16"/>
        <v>0</v>
      </c>
      <c r="G33" s="44">
        <f t="shared" si="16"/>
        <v>45900</v>
      </c>
      <c r="H33" s="44">
        <f t="shared" si="16"/>
        <v>25500</v>
      </c>
      <c r="I33" s="44">
        <f t="shared" si="16"/>
        <v>0</v>
      </c>
      <c r="J33" s="44">
        <f t="shared" si="16"/>
        <v>102600</v>
      </c>
      <c r="K33" s="44">
        <f t="shared" si="16"/>
        <v>127300</v>
      </c>
      <c r="L33" s="44">
        <f t="shared" si="16"/>
        <v>136800</v>
      </c>
      <c r="M33" s="44">
        <f t="shared" si="16"/>
        <v>154660.00000000003</v>
      </c>
      <c r="N33" s="44">
        <f t="shared" si="16"/>
        <v>592760</v>
      </c>
    </row>
    <row r="34" spans="1:15" x14ac:dyDescent="0.2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5" x14ac:dyDescent="0.2">
      <c r="A35" s="2"/>
      <c r="B35" s="6" t="s">
        <v>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5" x14ac:dyDescent="0.2">
      <c r="A36" s="2">
        <v>1</v>
      </c>
      <c r="B36" s="9" t="s">
        <v>111</v>
      </c>
      <c r="C36" s="10">
        <v>0.3</v>
      </c>
      <c r="D36" s="10">
        <f>D25*2.5</f>
        <v>0</v>
      </c>
      <c r="E36" s="10">
        <f>E25*2.5</f>
        <v>0</v>
      </c>
      <c r="F36" s="10">
        <f>F25*2.5</f>
        <v>0</v>
      </c>
      <c r="G36" s="10">
        <f>G25*0.3</f>
        <v>810</v>
      </c>
      <c r="H36" s="10">
        <f t="shared" ref="H36:N36" si="17">H25*0.3</f>
        <v>300</v>
      </c>
      <c r="I36" s="10">
        <f t="shared" si="17"/>
        <v>0</v>
      </c>
      <c r="J36" s="10">
        <f t="shared" si="17"/>
        <v>1110</v>
      </c>
      <c r="K36" s="10">
        <f t="shared" si="17"/>
        <v>1110</v>
      </c>
      <c r="L36" s="10">
        <f t="shared" si="17"/>
        <v>1110</v>
      </c>
      <c r="M36" s="10">
        <f t="shared" si="17"/>
        <v>1110</v>
      </c>
      <c r="N36" s="10">
        <f t="shared" si="17"/>
        <v>5550</v>
      </c>
    </row>
    <row r="37" spans="1:15" x14ac:dyDescent="0.2">
      <c r="A37" s="2"/>
      <c r="B37" s="9" t="s">
        <v>113</v>
      </c>
      <c r="C37" s="10"/>
      <c r="D37" s="10"/>
      <c r="E37" s="10"/>
      <c r="F37" s="10"/>
      <c r="G37" s="10">
        <f>G26*6</f>
        <v>0</v>
      </c>
      <c r="H37" s="10">
        <f>H26*8</f>
        <v>4000</v>
      </c>
      <c r="I37" s="10">
        <f t="shared" ref="I37:M37" si="18">I26*8</f>
        <v>0</v>
      </c>
      <c r="J37" s="10">
        <f t="shared" si="18"/>
        <v>16000</v>
      </c>
      <c r="K37" s="10">
        <f t="shared" si="18"/>
        <v>24000</v>
      </c>
      <c r="L37" s="10">
        <f t="shared" si="18"/>
        <v>28000</v>
      </c>
      <c r="M37" s="10">
        <f t="shared" si="18"/>
        <v>29600</v>
      </c>
      <c r="N37" s="10">
        <f>N26*8</f>
        <v>101600</v>
      </c>
    </row>
    <row r="38" spans="1:15" x14ac:dyDescent="0.2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5" x14ac:dyDescent="0.2">
      <c r="B39" s="22" t="s">
        <v>38</v>
      </c>
      <c r="C39" s="46" t="s">
        <v>73</v>
      </c>
      <c r="D39" s="46" t="s">
        <v>74</v>
      </c>
      <c r="E39" s="46" t="s">
        <v>75</v>
      </c>
      <c r="F39" s="46" t="s">
        <v>18</v>
      </c>
      <c r="G39" s="46" t="s">
        <v>19</v>
      </c>
      <c r="H39" s="46" t="s">
        <v>20</v>
      </c>
      <c r="I39" s="46" t="s">
        <v>76</v>
      </c>
      <c r="J39" s="46" t="s">
        <v>77</v>
      </c>
      <c r="K39" s="46" t="s">
        <v>52</v>
      </c>
      <c r="L39" s="46" t="s">
        <v>62</v>
      </c>
      <c r="M39" s="46" t="s">
        <v>63</v>
      </c>
      <c r="N39" s="47" t="s">
        <v>13</v>
      </c>
      <c r="O39" s="35" t="s">
        <v>66</v>
      </c>
    </row>
    <row r="40" spans="1:15" x14ac:dyDescent="0.2">
      <c r="B40" s="23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5" x14ac:dyDescent="0.2">
      <c r="B41" s="20" t="s">
        <v>29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5" x14ac:dyDescent="0.2">
      <c r="B42" s="9" t="s">
        <v>37</v>
      </c>
      <c r="C42" s="48">
        <v>0</v>
      </c>
      <c r="D42" s="48">
        <v>0</v>
      </c>
      <c r="E42" s="48">
        <v>0</v>
      </c>
      <c r="F42" s="48">
        <v>0</v>
      </c>
      <c r="G42" s="48">
        <f>SUM(C4:E4)</f>
        <v>0</v>
      </c>
      <c r="H42" s="48">
        <f>F4</f>
        <v>0</v>
      </c>
      <c r="I42" s="48">
        <f>G4+H4</f>
        <v>71400</v>
      </c>
      <c r="J42" s="48">
        <f>I4</f>
        <v>0</v>
      </c>
      <c r="K42" s="48">
        <f>K4</f>
        <v>127300</v>
      </c>
      <c r="L42" s="48">
        <f>L4</f>
        <v>136800</v>
      </c>
      <c r="M42" s="48">
        <f>M4</f>
        <v>154660.00000000003</v>
      </c>
      <c r="N42" s="48">
        <f>N4</f>
        <v>592760</v>
      </c>
    </row>
    <row r="43" spans="1:15" x14ac:dyDescent="0.2">
      <c r="B43" s="20" t="s">
        <v>30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5" x14ac:dyDescent="0.2">
      <c r="B44" s="9" t="s">
        <v>36</v>
      </c>
      <c r="C44" s="48">
        <f>C5</f>
        <v>0.3</v>
      </c>
      <c r="D44" s="48">
        <f>D5</f>
        <v>0</v>
      </c>
      <c r="E44" s="48">
        <f>E5</f>
        <v>0</v>
      </c>
      <c r="F44" s="48">
        <f>F5</f>
        <v>0</v>
      </c>
      <c r="G44" s="48">
        <f>G5</f>
        <v>810</v>
      </c>
      <c r="H44" s="48">
        <f>H5</f>
        <v>300</v>
      </c>
      <c r="I44" s="48">
        <f>I5</f>
        <v>0</v>
      </c>
      <c r="J44" s="48">
        <f>J5</f>
        <v>1110</v>
      </c>
      <c r="K44" s="48">
        <f>K5</f>
        <v>1110</v>
      </c>
      <c r="L44" s="48">
        <f>L5</f>
        <v>1110</v>
      </c>
      <c r="M44" s="48">
        <f>M5</f>
        <v>1110</v>
      </c>
      <c r="N44" s="48">
        <f>N5</f>
        <v>5550</v>
      </c>
    </row>
    <row r="45" spans="1:15" x14ac:dyDescent="0.2">
      <c r="B45" s="2" t="s">
        <v>8</v>
      </c>
      <c r="C45" s="48">
        <f>C15</f>
        <v>275</v>
      </c>
      <c r="D45" s="48">
        <f>D15</f>
        <v>275</v>
      </c>
      <c r="E45" s="48">
        <f>E15</f>
        <v>275</v>
      </c>
      <c r="F45" s="48">
        <f>F15</f>
        <v>825</v>
      </c>
      <c r="G45" s="48">
        <f>G15</f>
        <v>825</v>
      </c>
      <c r="H45" s="48">
        <f>H15</f>
        <v>825</v>
      </c>
      <c r="I45" s="48">
        <f>I15</f>
        <v>1228.5</v>
      </c>
      <c r="J45" s="48">
        <f>J15</f>
        <v>1228.5</v>
      </c>
      <c r="K45" s="48">
        <f>K15</f>
        <v>2457</v>
      </c>
      <c r="L45" s="48">
        <f>L15</f>
        <v>2457</v>
      </c>
      <c r="M45" s="48">
        <f>M15</f>
        <v>2702.7000000000003</v>
      </c>
      <c r="N45" s="48">
        <f>N15</f>
        <v>13373.7</v>
      </c>
    </row>
    <row r="46" spans="1:15" x14ac:dyDescent="0.2">
      <c r="B46" s="9" t="s">
        <v>27</v>
      </c>
      <c r="C46" s="45">
        <f>C6</f>
        <v>30</v>
      </c>
      <c r="D46" s="45">
        <f t="shared" ref="D46:N46" si="19">D6</f>
        <v>10</v>
      </c>
      <c r="E46" s="45">
        <f t="shared" si="19"/>
        <v>10</v>
      </c>
      <c r="F46" s="45">
        <f t="shared" si="19"/>
        <v>10</v>
      </c>
      <c r="G46" s="45">
        <f t="shared" si="19"/>
        <v>30</v>
      </c>
      <c r="H46" s="45">
        <f t="shared" si="19"/>
        <v>90</v>
      </c>
      <c r="I46" s="45">
        <f t="shared" si="19"/>
        <v>150</v>
      </c>
      <c r="J46" s="45">
        <f t="shared" si="19"/>
        <v>150</v>
      </c>
      <c r="K46" s="45">
        <f t="shared" si="19"/>
        <v>300</v>
      </c>
      <c r="L46" s="45">
        <f t="shared" si="19"/>
        <v>300</v>
      </c>
      <c r="M46" s="45">
        <f t="shared" si="19"/>
        <v>300</v>
      </c>
      <c r="N46" s="45">
        <f t="shared" si="19"/>
        <v>1380</v>
      </c>
    </row>
    <row r="47" spans="1:15" x14ac:dyDescent="0.2">
      <c r="B47" s="19" t="s">
        <v>12</v>
      </c>
      <c r="C47" s="48">
        <f>SUM(C16:C19)</f>
        <v>60</v>
      </c>
      <c r="D47" s="48">
        <f>SUM(D16:D19)</f>
        <v>60</v>
      </c>
      <c r="E47" s="48">
        <f>SUM(E16:E19)</f>
        <v>60</v>
      </c>
      <c r="F47" s="48">
        <f>SUM(F16:F19)</f>
        <v>180</v>
      </c>
      <c r="G47" s="48">
        <f>SUM(G16:G19)</f>
        <v>180</v>
      </c>
      <c r="H47" s="48">
        <f>SUM(H16:H19)</f>
        <v>180</v>
      </c>
      <c r="I47" s="48">
        <f>SUM(I16:I19)</f>
        <v>360</v>
      </c>
      <c r="J47" s="48">
        <f>SUM(J16:J19)</f>
        <v>360</v>
      </c>
      <c r="K47" s="48">
        <f>SUM(K16:K19)</f>
        <v>720</v>
      </c>
      <c r="L47" s="48">
        <f>SUM(L16:L19)</f>
        <v>720</v>
      </c>
      <c r="M47" s="48">
        <f>SUM(M16:M19)</f>
        <v>792</v>
      </c>
      <c r="N47" s="48">
        <f>SUM(N16:N19)</f>
        <v>3672</v>
      </c>
    </row>
    <row r="48" spans="1:15" x14ac:dyDescent="0.2">
      <c r="B48" s="26" t="s">
        <v>35</v>
      </c>
      <c r="C48" s="48">
        <f>C20</f>
        <v>35.75</v>
      </c>
      <c r="D48" s="48">
        <f>D20</f>
        <v>35.75</v>
      </c>
      <c r="E48" s="48">
        <f>E20</f>
        <v>35.75</v>
      </c>
      <c r="F48" s="48">
        <f>F20</f>
        <v>107.25</v>
      </c>
      <c r="G48" s="48">
        <f>G20</f>
        <v>107.25</v>
      </c>
      <c r="H48" s="48">
        <f>H20</f>
        <v>107.25</v>
      </c>
      <c r="I48" s="48">
        <f>I20</f>
        <v>159.70500000000001</v>
      </c>
      <c r="J48" s="48">
        <f>J20</f>
        <v>159.70500000000001</v>
      </c>
      <c r="K48" s="48">
        <f>K20</f>
        <v>319.41000000000003</v>
      </c>
      <c r="L48" s="48">
        <f>L20</f>
        <v>319.41000000000003</v>
      </c>
      <c r="M48" s="48">
        <f>M20</f>
        <v>351.35100000000006</v>
      </c>
      <c r="N48" s="48">
        <f>N20</f>
        <v>1738.5810000000001</v>
      </c>
    </row>
    <row r="49" spans="1:15" x14ac:dyDescent="0.2">
      <c r="B49" s="24" t="s">
        <v>31</v>
      </c>
      <c r="C49" s="48">
        <f>C9-C11</f>
        <v>0</v>
      </c>
      <c r="D49" s="48">
        <f>D9-D11</f>
        <v>0</v>
      </c>
      <c r="E49" s="48">
        <f>E9-E11</f>
        <v>0</v>
      </c>
      <c r="F49" s="48">
        <f>F9-F11</f>
        <v>0</v>
      </c>
      <c r="G49" s="48">
        <f>G9-G11</f>
        <v>8789.5500000000029</v>
      </c>
      <c r="H49" s="48">
        <f>H9-H11</f>
        <v>4799.5499999999993</v>
      </c>
      <c r="I49" s="48">
        <f>I9-I11</f>
        <v>0</v>
      </c>
      <c r="J49" s="48">
        <f>J9-J11</f>
        <v>19918.358999999997</v>
      </c>
      <c r="K49" s="48">
        <f>K9-K11</f>
        <v>24478.717999999993</v>
      </c>
      <c r="L49" s="48">
        <f>L9-L11</f>
        <v>26378.717999999993</v>
      </c>
      <c r="M49" s="48">
        <f>M9-M11</f>
        <v>29880.789799999999</v>
      </c>
      <c r="N49" s="48">
        <f>N9-N11</f>
        <v>114245.68480000005</v>
      </c>
    </row>
    <row r="50" spans="1:15" x14ac:dyDescent="0.2">
      <c r="B50" s="24" t="s">
        <v>39</v>
      </c>
      <c r="C50" s="48">
        <f>C42-SUM(C44:C49)</f>
        <v>-401.05</v>
      </c>
      <c r="D50" s="48">
        <f t="shared" ref="D50:M50" si="20">D42-SUM(D44:D49)</f>
        <v>-380.75</v>
      </c>
      <c r="E50" s="48">
        <f t="shared" si="20"/>
        <v>-380.75</v>
      </c>
      <c r="F50" s="48">
        <f t="shared" si="20"/>
        <v>-1122.25</v>
      </c>
      <c r="G50" s="48">
        <f t="shared" si="20"/>
        <v>-10741.800000000003</v>
      </c>
      <c r="H50" s="48">
        <f t="shared" si="20"/>
        <v>-6301.7999999999993</v>
      </c>
      <c r="I50" s="48">
        <f>I42-SUM(I44:I49)</f>
        <v>69501.794999999998</v>
      </c>
      <c r="J50" s="48">
        <f t="shared" si="20"/>
        <v>-22926.563999999998</v>
      </c>
      <c r="K50" s="48">
        <f t="shared" si="20"/>
        <v>97914.872000000003</v>
      </c>
      <c r="L50" s="48">
        <f t="shared" si="20"/>
        <v>105514.872</v>
      </c>
      <c r="M50" s="48">
        <f t="shared" si="20"/>
        <v>119523.15920000002</v>
      </c>
      <c r="N50" s="48">
        <f>N42-SUM(N44:N49)</f>
        <v>452800.03419999994</v>
      </c>
    </row>
    <row r="51" spans="1:15" x14ac:dyDescent="0.2">
      <c r="B51" s="23" t="s">
        <v>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5" x14ac:dyDescent="0.2">
      <c r="B52" s="30" t="s">
        <v>43</v>
      </c>
      <c r="C52" s="48">
        <f>Вводные!E43</f>
        <v>11927</v>
      </c>
      <c r="D52" s="48">
        <f>Вводные!E44</f>
        <v>12005</v>
      </c>
      <c r="E52" s="48">
        <f>Вводные!E45</f>
        <v>680</v>
      </c>
      <c r="F52" s="48">
        <f>Вводные!E46</f>
        <v>4892.5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>SUM(C52:M52)</f>
        <v>29504.5</v>
      </c>
    </row>
    <row r="53" spans="1:15" x14ac:dyDescent="0.2">
      <c r="B53" s="30" t="s">
        <v>30</v>
      </c>
      <c r="C53" s="48">
        <v>1500</v>
      </c>
      <c r="D53" s="48">
        <v>1000</v>
      </c>
      <c r="E53" s="48">
        <v>1000</v>
      </c>
      <c r="F53" s="45">
        <v>1000</v>
      </c>
      <c r="G53" s="48">
        <v>3000</v>
      </c>
      <c r="H53" s="45"/>
      <c r="I53" s="48">
        <v>0</v>
      </c>
      <c r="J53" s="48">
        <v>0</v>
      </c>
      <c r="K53" s="48">
        <f>J50*0.3</f>
        <v>-6877.9691999999995</v>
      </c>
      <c r="L53" s="48">
        <f>K50*0.3</f>
        <v>29374.461599999999</v>
      </c>
      <c r="M53" s="48">
        <f>L50*0.3</f>
        <v>31654.461599999999</v>
      </c>
      <c r="N53" s="48">
        <f>SUM(K53:M53)+O53</f>
        <v>90007.901760000008</v>
      </c>
      <c r="O53">
        <f>M50*0.3</f>
        <v>35856.947760000003</v>
      </c>
    </row>
    <row r="54" spans="1:15" x14ac:dyDescent="0.2">
      <c r="B54" s="24" t="s">
        <v>41</v>
      </c>
      <c r="C54" s="48">
        <f>C52-C53</f>
        <v>10427</v>
      </c>
      <c r="D54" s="48">
        <f t="shared" ref="D54:J54" si="21">D52-D53</f>
        <v>11005</v>
      </c>
      <c r="E54" s="48">
        <f t="shared" si="21"/>
        <v>-320</v>
      </c>
      <c r="F54" s="48">
        <f t="shared" si="21"/>
        <v>3892.5</v>
      </c>
      <c r="G54" s="48">
        <f t="shared" si="21"/>
        <v>-3000</v>
      </c>
      <c r="H54" s="48">
        <f t="shared" si="21"/>
        <v>0</v>
      </c>
      <c r="I54" s="48">
        <f t="shared" si="21"/>
        <v>0</v>
      </c>
      <c r="J54" s="48">
        <f t="shared" si="21"/>
        <v>0</v>
      </c>
      <c r="K54" s="48">
        <f>SUM(K52:K53)</f>
        <v>-6877.9691999999995</v>
      </c>
      <c r="L54" s="48">
        <f t="shared" ref="L54:M54" si="22">SUM(L52:L53)</f>
        <v>29374.461599999999</v>
      </c>
      <c r="M54" s="48">
        <f t="shared" si="22"/>
        <v>31654.461599999999</v>
      </c>
      <c r="N54" s="48">
        <f>SUM(N52:N53)</f>
        <v>119512.40176000001</v>
      </c>
    </row>
    <row r="55" spans="1:15" x14ac:dyDescent="0.2">
      <c r="B55" s="23" t="s">
        <v>42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5" x14ac:dyDescent="0.2">
      <c r="B56" s="5" t="s">
        <v>69</v>
      </c>
      <c r="C56" s="48">
        <v>0</v>
      </c>
      <c r="D56" s="48">
        <v>0</v>
      </c>
      <c r="E56" s="48">
        <v>0</v>
      </c>
      <c r="F56" s="48">
        <v>0</v>
      </c>
      <c r="G56" s="45"/>
      <c r="H56" s="48">
        <v>0</v>
      </c>
      <c r="I56" s="48"/>
      <c r="J56" s="48">
        <v>0</v>
      </c>
      <c r="K56" s="48"/>
      <c r="L56" s="48">
        <v>0</v>
      </c>
      <c r="M56" s="48">
        <v>0</v>
      </c>
      <c r="N56" s="48">
        <f>SUM(N54:N55)</f>
        <v>119512.40176000001</v>
      </c>
    </row>
    <row r="57" spans="1:15" x14ac:dyDescent="0.2">
      <c r="A57" s="21">
        <f t="shared" ref="A57" si="23">SUM(A55:A56)</f>
        <v>0</v>
      </c>
      <c r="B57" s="9" t="s">
        <v>45</v>
      </c>
      <c r="C57" s="48">
        <f>C50+C52+C56</f>
        <v>11525.95</v>
      </c>
      <c r="D57" s="48">
        <f>D50+D52+D56</f>
        <v>11624.25</v>
      </c>
      <c r="E57" s="48">
        <f t="shared" ref="E57:N57" si="24">E50+E52+E56</f>
        <v>299.25</v>
      </c>
      <c r="F57" s="48">
        <f>F50+F52+F56</f>
        <v>3770.25</v>
      </c>
      <c r="G57" s="48">
        <f t="shared" si="24"/>
        <v>-10741.800000000003</v>
      </c>
      <c r="H57" s="48">
        <f>H50+H52+H56</f>
        <v>-6301.7999999999993</v>
      </c>
      <c r="I57" s="48">
        <f t="shared" si="24"/>
        <v>69501.794999999998</v>
      </c>
      <c r="J57" s="48">
        <f t="shared" si="24"/>
        <v>-22926.563999999998</v>
      </c>
      <c r="K57" s="48">
        <f t="shared" si="24"/>
        <v>97914.872000000003</v>
      </c>
      <c r="L57" s="48">
        <f t="shared" si="24"/>
        <v>105514.872</v>
      </c>
      <c r="M57" s="48">
        <f t="shared" si="24"/>
        <v>119523.15920000002</v>
      </c>
      <c r="N57" s="48">
        <f t="shared" si="24"/>
        <v>601816.93595999992</v>
      </c>
    </row>
    <row r="58" spans="1:15" x14ac:dyDescent="0.2">
      <c r="B58" s="36" t="s">
        <v>46</v>
      </c>
      <c r="C58" s="48">
        <f>C57</f>
        <v>11525.95</v>
      </c>
      <c r="D58" s="48">
        <f>C58+D57</f>
        <v>23150.2</v>
      </c>
      <c r="E58" s="48">
        <f t="shared" ref="E58:L58" si="25">D58+E57</f>
        <v>23449.45</v>
      </c>
      <c r="F58" s="48">
        <f t="shared" si="25"/>
        <v>27219.7</v>
      </c>
      <c r="G58" s="48">
        <f t="shared" si="25"/>
        <v>16477.899999999998</v>
      </c>
      <c r="H58" s="48">
        <f t="shared" si="25"/>
        <v>10176.099999999999</v>
      </c>
      <c r="I58" s="48">
        <f t="shared" si="25"/>
        <v>79677.89499999999</v>
      </c>
      <c r="J58" s="48">
        <f t="shared" si="25"/>
        <v>56751.330999999991</v>
      </c>
      <c r="K58" s="48">
        <f t="shared" si="25"/>
        <v>154666.20299999998</v>
      </c>
      <c r="L58" s="48">
        <f t="shared" si="25"/>
        <v>260181.07499999998</v>
      </c>
      <c r="M58" s="48">
        <f>L58+M57</f>
        <v>379704.23420000001</v>
      </c>
      <c r="N58" s="48">
        <f>M58+M57</f>
        <v>499227.39340000006</v>
      </c>
    </row>
    <row r="59" spans="1:15" x14ac:dyDescent="0.2">
      <c r="B59" s="36" t="s">
        <v>55</v>
      </c>
      <c r="C59" s="48">
        <f>C57*0.85</f>
        <v>9797.0575000000008</v>
      </c>
      <c r="D59" s="48">
        <f t="shared" ref="D59:F59" si="26">D57*0.85</f>
        <v>9880.6124999999993</v>
      </c>
      <c r="E59" s="48">
        <f t="shared" si="26"/>
        <v>254.36249999999998</v>
      </c>
      <c r="F59" s="48">
        <f t="shared" si="26"/>
        <v>3204.7125000000001</v>
      </c>
      <c r="G59" s="48">
        <f>G57*0.85*0.85</f>
        <v>-7760.9505000000017</v>
      </c>
      <c r="H59" s="48">
        <f t="shared" ref="H59:J59" si="27">H57*0.85*0.85</f>
        <v>-4553.0504999999985</v>
      </c>
      <c r="I59" s="48">
        <f t="shared" si="27"/>
        <v>50215.046887499993</v>
      </c>
      <c r="J59" s="48">
        <f t="shared" si="27"/>
        <v>-16564.442489999998</v>
      </c>
      <c r="K59" s="48">
        <f>K57*0.85*0.85*0.85</f>
        <v>60131.970766999999</v>
      </c>
      <c r="L59" s="48">
        <f t="shared" ref="L59:N59" si="28">L57*0.85*0.85*0.85</f>
        <v>64799.320766999997</v>
      </c>
      <c r="M59" s="48">
        <f t="shared" si="28"/>
        <v>73402.160143700021</v>
      </c>
      <c r="N59" s="48">
        <f t="shared" si="28"/>
        <v>369590.82579643495</v>
      </c>
    </row>
    <row r="60" spans="1:15" x14ac:dyDescent="0.2">
      <c r="B60" s="23" t="s">
        <v>53</v>
      </c>
      <c r="C60" s="48">
        <f>C58*0.85</f>
        <v>9797.0575000000008</v>
      </c>
      <c r="D60" s="48">
        <f>D58*0.85</f>
        <v>19677.670000000002</v>
      </c>
      <c r="E60" s="48">
        <f>E58*0.85</f>
        <v>19932.032500000001</v>
      </c>
      <c r="F60" s="48">
        <f>F58*0.85</f>
        <v>23136.744999999999</v>
      </c>
      <c r="G60" s="48">
        <f>G58*0.85*0.85</f>
        <v>11905.282749999998</v>
      </c>
      <c r="H60" s="48">
        <f t="shared" ref="H60:J60" si="29">H58*0.85*0.85</f>
        <v>7352.2322499999982</v>
      </c>
      <c r="I60" s="48">
        <f t="shared" si="29"/>
        <v>57567.279137499987</v>
      </c>
      <c r="J60" s="48">
        <f t="shared" si="29"/>
        <v>41002.836647499993</v>
      </c>
      <c r="K60" s="48">
        <f>K58*0.85*0.85*0.85</f>
        <v>94984.381917374965</v>
      </c>
      <c r="L60" s="48">
        <f t="shared" ref="L60:N60" si="30">L58*0.85*0.85*0.85</f>
        <v>159783.70268437496</v>
      </c>
      <c r="M60" s="48">
        <f t="shared" si="30"/>
        <v>233185.86282807498</v>
      </c>
      <c r="N60" s="48">
        <f t="shared" si="30"/>
        <v>306588.02297177498</v>
      </c>
    </row>
    <row r="61" spans="1:15" x14ac:dyDescent="0.2">
      <c r="B61" s="12" t="s">
        <v>54</v>
      </c>
      <c r="M61" s="95">
        <f>NPV(0.1,C59:N59)</f>
        <v>224078.79102016802</v>
      </c>
      <c r="N61" s="75"/>
    </row>
    <row r="62" spans="1:15" x14ac:dyDescent="0.2">
      <c r="B62" s="39" t="s">
        <v>67</v>
      </c>
      <c r="C62" s="18">
        <f>N50</f>
        <v>452800.03419999994</v>
      </c>
      <c r="N62" s="13"/>
    </row>
    <row r="63" spans="1:15" x14ac:dyDescent="0.2">
      <c r="B63" s="9" t="s">
        <v>72</v>
      </c>
      <c r="C63" s="21">
        <f>C62*0.3</f>
        <v>135840.01025999998</v>
      </c>
    </row>
  </sheetData>
  <mergeCells count="1">
    <mergeCell ref="M61:N61"/>
  </mergeCells>
  <phoneticPr fontId="0" type="noConversion"/>
  <pageMargins left="0" right="0" top="0.39370078740157483" bottom="0.39370078740157483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Вводные</vt:lpstr>
      <vt:lpstr>ОПУ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2012-03-21T12:06:14Z</cp:lastPrinted>
  <dcterms:created xsi:type="dcterms:W3CDTF">1996-10-08T23:32:33Z</dcterms:created>
  <dcterms:modified xsi:type="dcterms:W3CDTF">2019-01-05T21:53:09Z</dcterms:modified>
</cp:coreProperties>
</file>