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36" activeTab="6"/>
  </bookViews>
  <sheets>
    <sheet name="Этапы проекта" sheetId="1" r:id="rId1"/>
    <sheet name="Расходы проекта" sheetId="2" r:id="rId2"/>
    <sheet name="Дисконтированные потоки" sheetId="3" r:id="rId3"/>
    <sheet name="ТОчк безуб" sheetId="4" r:id="rId4"/>
    <sheet name="Зарплаты" sheetId="5" r:id="rId5"/>
    <sheet name="Расходы на оплату труда персона" sheetId="6" r:id="rId6"/>
    <sheet name="Прейскурант" sheetId="7" r:id="rId7"/>
    <sheet name="Объем производства" sheetId="8" r:id="rId8"/>
    <sheet name="Техника оборудование мебель" sheetId="9" r:id="rId9"/>
    <sheet name="Ремонт и материалы" sheetId="10" r:id="rId10"/>
    <sheet name="Расходные материалы" sheetId="11" r:id="rId11"/>
    <sheet name="Комп_ры_тел_ оргтехника и ПО" sheetId="12" r:id="rId12"/>
    <sheet name="Подрядчики" sheetId="13" r:id="rId13"/>
    <sheet name="Командировочные и представитель" sheetId="14" r:id="rId14"/>
    <sheet name="Аренда" sheetId="15" r:id="rId15"/>
  </sheets>
  <definedNames/>
  <calcPr fullCalcOnLoad="1"/>
</workbook>
</file>

<file path=xl/sharedStrings.xml><?xml version="1.0" encoding="utf-8"?>
<sst xmlns="http://schemas.openxmlformats.org/spreadsheetml/2006/main" count="823" uniqueCount="365">
  <si>
    <t>Этапы проекта</t>
  </si>
  <si>
    <t>Карта проекта</t>
  </si>
  <si>
    <t>Условия выполнения</t>
  </si>
  <si>
    <t>Сроки выполнения с начала реализации проекта</t>
  </si>
  <si>
    <t>1 год проекта (месяцы проекта)</t>
  </si>
  <si>
    <t>2 год</t>
  </si>
  <si>
    <t>3 год</t>
  </si>
  <si>
    <t>4 год</t>
  </si>
  <si>
    <t>5 год</t>
  </si>
  <si>
    <t>Начало проекта</t>
  </si>
  <si>
    <t>01/5 год</t>
  </si>
  <si>
    <t>Создание документации по проекту (бизнес план, смета по ремонту помещения)</t>
  </si>
  <si>
    <t>1 месяц проекта</t>
  </si>
  <si>
    <t>01 месяц</t>
  </si>
  <si>
    <t>Заключение инвестиционного договора</t>
  </si>
  <si>
    <t>1-30 банковских дней</t>
  </si>
  <si>
    <t>Получение инвестиционных средств</t>
  </si>
  <si>
    <t>Наличие соответсвующего пакета документов</t>
  </si>
  <si>
    <t>Внесение в госреестр,  постановка на учет в административных и налоговых органах</t>
  </si>
  <si>
    <t>1-30 календарных дней</t>
  </si>
  <si>
    <t>Подбор местоположения и оформление документации</t>
  </si>
  <si>
    <t xml:space="preserve">Предварительные работы </t>
  </si>
  <si>
    <t>Покупка оборудования</t>
  </si>
  <si>
    <t>60 календарных дней</t>
  </si>
  <si>
    <t>Установка оборудования</t>
  </si>
  <si>
    <t>Найм персонала</t>
  </si>
  <si>
    <t xml:space="preserve">Производственная деятельность </t>
  </si>
  <si>
    <t>Обучение персонала</t>
  </si>
  <si>
    <t>Окончание этапа организации производственного процесса</t>
  </si>
  <si>
    <t>Проведение маркетинговой компании</t>
  </si>
  <si>
    <t>360 календарных дней</t>
  </si>
  <si>
    <t>1-360 календарных дней</t>
  </si>
  <si>
    <t>Реализация продукции предприятия</t>
  </si>
  <si>
    <t>12 месяц – 60 месяц</t>
  </si>
  <si>
    <t>Расходы проекта (в руб.)</t>
  </si>
  <si>
    <t>Наименование статьи расходов</t>
  </si>
  <si>
    <t>Стоимость</t>
  </si>
  <si>
    <t>Кол-во (шт)</t>
  </si>
  <si>
    <t>в месяц</t>
  </si>
  <si>
    <t>в год</t>
  </si>
  <si>
    <t>Единовре-менная покупка</t>
  </si>
  <si>
    <t>Итого расходы в год</t>
  </si>
  <si>
    <t>Строительство</t>
  </si>
  <si>
    <t>Хозрасходы и коммунальные платежи (базовая сумма – м.б. Изменена в зависимоcти от договора аренды)</t>
  </si>
  <si>
    <t>Согласно договору аренды помещения</t>
  </si>
  <si>
    <t>Покупка оборудования и мебели</t>
  </si>
  <si>
    <t>Согласно смете</t>
  </si>
  <si>
    <t>Приобретение расходных материалов</t>
  </si>
  <si>
    <t>Постоянные затраты на рекламу (покупка и установка банеров, разработка плакатов)</t>
  </si>
  <si>
    <t>Приобретение компьютерной техники и телефония</t>
  </si>
  <si>
    <t>Услуги подрядных организаций</t>
  </si>
  <si>
    <t>Зарплата</t>
  </si>
  <si>
    <t>- в т.ч. налоги</t>
  </si>
  <si>
    <t>Непредвиденные расходы (10%)</t>
  </si>
  <si>
    <t>Итого:</t>
  </si>
  <si>
    <t>Инвестиционные расходы проекта</t>
  </si>
  <si>
    <t>Переменные расходы</t>
  </si>
  <si>
    <t>1 мес.</t>
  </si>
  <si>
    <t>Постоянные расходы</t>
  </si>
  <si>
    <t>руб.</t>
  </si>
  <si>
    <t>долл.</t>
  </si>
  <si>
    <t>Налоги, перечисленные за работников</t>
  </si>
  <si>
    <t xml:space="preserve"> в год</t>
  </si>
  <si>
    <t>Налоги на прибыль</t>
  </si>
  <si>
    <t>Наименование статьи</t>
  </si>
  <si>
    <t>Периоды денежных поступлений и отчислений (месяцы)</t>
  </si>
  <si>
    <t>Периоды денежных поступлений и отчислений 2 год (месяцы)</t>
  </si>
  <si>
    <t>Периоды денежных поступлений и отчислений 3 год (месяцы)</t>
  </si>
  <si>
    <t>Периоды денежных поступлений и отчислений 4 год (месяцы)</t>
  </si>
  <si>
    <t>Валовый доход предприятия</t>
  </si>
  <si>
    <t>ПОДГОТОВИТЕЛЬНЫЕ РАБОТЫ</t>
  </si>
  <si>
    <t>Издержки:</t>
  </si>
  <si>
    <t>-единовременные выплаты:</t>
  </si>
  <si>
    <t>- ежемесячные выплаты:</t>
  </si>
  <si>
    <t>- затраты на сырье:</t>
  </si>
  <si>
    <t>Итого расходы:</t>
  </si>
  <si>
    <t>Сальдо месяца (ДОХОДЫ -РАСХОДЫ)</t>
  </si>
  <si>
    <t>Налог на прибыль (20%)</t>
  </si>
  <si>
    <t>Налог на землю</t>
  </si>
  <si>
    <t>Налог на имущество</t>
  </si>
  <si>
    <t>Чистый доход (КЭШ ФЛО)</t>
  </si>
  <si>
    <t>Нарастающим итогом</t>
  </si>
  <si>
    <t>Сумма инвестирования, руб.</t>
  </si>
  <si>
    <t>Инфляция</t>
  </si>
  <si>
    <t>17% в год</t>
  </si>
  <si>
    <t>Кинфляц.</t>
  </si>
  <si>
    <t>- затраты на материалы:</t>
  </si>
  <si>
    <t>Точка безубыточности предприятия — 1 месяц</t>
  </si>
  <si>
    <t>Расчет точки безубыточности</t>
  </si>
  <si>
    <t>1. Исходные данные</t>
  </si>
  <si>
    <t>Наименование</t>
  </si>
  <si>
    <t>Постоянные затраты, руб.</t>
  </si>
  <si>
    <t>Переменные затраты, руб.</t>
  </si>
  <si>
    <t>Выручка от продаж, руб.</t>
  </si>
  <si>
    <t>Выпуск (Объем реализации), ед.</t>
  </si>
  <si>
    <t>Средние переменные затраты на единицу продукции</t>
  </si>
  <si>
    <t>Цена за единицу</t>
  </si>
  <si>
    <t>Точка безубыточности в денежном выражении</t>
  </si>
  <si>
    <t>Точка безубыточности в натуральном выражении</t>
  </si>
  <si>
    <t>№ п.п.</t>
  </si>
  <si>
    <t>1 год</t>
  </si>
  <si>
    <t>6 год</t>
  </si>
  <si>
    <t>1.</t>
  </si>
  <si>
    <t>Валовая выручка предприятия</t>
  </si>
  <si>
    <t>2.</t>
  </si>
  <si>
    <t>3.</t>
  </si>
  <si>
    <t>Зарплатный фонд</t>
  </si>
  <si>
    <t>№</t>
  </si>
  <si>
    <t>Статья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</si>
  <si>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</si>
  <si>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</si>
  <si>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</si>
  <si>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</si>
  <si>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</si>
  <si>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</si>
  <si>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</si>
  <si>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</si>
  <si>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</si>
  <si>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</si>
  <si>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</si>
  <si>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</si>
  <si>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 ГОД</t>
  </si>
  <si>
    <t xml:space="preserve"> 1.0</t>
  </si>
  <si>
    <t>Заработная плата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</si>
  <si>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</si>
  <si>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</si>
  <si>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</si>
  <si>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</si>
  <si>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</si>
  <si>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2.0</t>
  </si>
  <si>
    <t>Налоги (13%)</t>
  </si>
  <si>
    <t xml:space="preserve"> 3.0</t>
  </si>
  <si>
    <t>Взносы в фонды (30%)</t>
  </si>
  <si>
    <t xml:space="preserve"> 4.0</t>
  </si>
  <si>
    <t>Итого зарплатный фонд</t>
  </si>
  <si>
    <t>Расходы на оплату труда и налоговые отчисления в год</t>
  </si>
  <si>
    <t>Наименование должности</t>
  </si>
  <si>
    <t>Оплата в месяц</t>
  </si>
  <si>
    <t>Количество работников</t>
  </si>
  <si>
    <t>Количество месяцев</t>
  </si>
  <si>
    <t>Итого ФОТ до налогообложения</t>
  </si>
  <si>
    <t>Сумма налоговых отчислений в год</t>
  </si>
  <si>
    <t>Всего расходов на оплату персонала</t>
  </si>
  <si>
    <t xml:space="preserve">Налоги к перечислению в бюджет </t>
  </si>
  <si>
    <t>Налог на доходы физических лиц, 13%</t>
  </si>
  <si>
    <t>Отчисления в социальные фонды, 30%</t>
  </si>
  <si>
    <t>ИТР</t>
  </si>
  <si>
    <t>Генеральный директор</t>
  </si>
  <si>
    <t>Рабочие производства</t>
  </si>
  <si>
    <t>оператор кассир</t>
  </si>
  <si>
    <t xml:space="preserve">Заправщик </t>
  </si>
  <si>
    <t>Уборщица</t>
  </si>
  <si>
    <t>Итого ФОТ</t>
  </si>
  <si>
    <t>Газ</t>
  </si>
  <si>
    <t>Жидкое топливо</t>
  </si>
  <si>
    <t>АИ 98</t>
  </si>
  <si>
    <t>4.</t>
  </si>
  <si>
    <t>АИ 95</t>
  </si>
  <si>
    <t>5.</t>
  </si>
  <si>
    <t>АИ-92</t>
  </si>
  <si>
    <t>6.</t>
  </si>
  <si>
    <t>ДТ</t>
  </si>
  <si>
    <t>7.</t>
  </si>
  <si>
    <t>Прейскурант</t>
  </si>
  <si>
    <t>Наименование услуги</t>
  </si>
  <si>
    <t>Ед.измерения</t>
  </si>
  <si>
    <t>Средняя стоимость</t>
  </si>
  <si>
    <t>валюта</t>
  </si>
  <si>
    <t>рубль</t>
  </si>
  <si>
    <t>ПРОИЗВОДИТЕЛЬНОСТЬ</t>
  </si>
  <si>
    <t>нкуб.м в час</t>
  </si>
  <si>
    <t>Объем разовой заправки автомобиля</t>
  </si>
  <si>
    <t>нкуб.м</t>
  </si>
  <si>
    <t>%</t>
  </si>
  <si>
    <t>л</t>
  </si>
  <si>
    <t>Объем разовой заправки фуры</t>
  </si>
  <si>
    <t>проходимость в сутки</t>
  </si>
  <si>
    <t>Трасса р-104</t>
  </si>
  <si>
    <t>автомобилей в сутки</t>
  </si>
  <si>
    <t xml:space="preserve">Расчет количества произведенной продукции (рабочий день — </t>
  </si>
  <si>
    <t xml:space="preserve"> часа) </t>
  </si>
  <si>
    <t>МОЩНОСТЬ работы предприятия, %%</t>
  </si>
  <si>
    <t>Количество произведенной продукции в месяц/ 1 год (50% мощности предприятия)</t>
  </si>
  <si>
    <t>Количество произведенной продукции в месяц/2 год (50% мощности предприятия)</t>
  </si>
  <si>
    <t>Количество произведенной продукции в месяц/ 3 год (80% мощности предприятия)</t>
  </si>
  <si>
    <t>Количество произведенной продукции в месяц/4 год (80% мощности предприятия)</t>
  </si>
  <si>
    <t>№ п./п.</t>
  </si>
  <si>
    <t xml:space="preserve">Наименование услуги </t>
  </si>
  <si>
    <t>Количество автомобилей в неделю, ед.</t>
  </si>
  <si>
    <t>Норматив (100%) объем производства в месяц</t>
  </si>
  <si>
    <t>80%</t>
  </si>
  <si>
    <t>50%</t>
  </si>
  <si>
    <t>В год</t>
  </si>
  <si>
    <t>Пн</t>
  </si>
  <si>
    <t>Вт</t>
  </si>
  <si>
    <t>Ср</t>
  </si>
  <si>
    <t>Чт</t>
  </si>
  <si>
    <t>Пт</t>
  </si>
  <si>
    <t>Сб</t>
  </si>
  <si>
    <t>Вс</t>
  </si>
  <si>
    <t>Расчет количества продаж (рабочий день — 24 часа)</t>
  </si>
  <si>
    <t>Количество продаж в месяц/ 1 год (50% мощности предприятия)</t>
  </si>
  <si>
    <t>Количество продаж в месяц/2 год (50% мощности предприятия)</t>
  </si>
  <si>
    <t>Количество продаж в месяц/ 3 год (80% мощности предприятия)</t>
  </si>
  <si>
    <t>Количество продаж в месяц/4 год (80% мощности предприятия)</t>
  </si>
  <si>
    <t>Продажи в неделю</t>
  </si>
  <si>
    <t>Норматив (100%) продаж в месяц</t>
  </si>
  <si>
    <t>Объем выручки с 1 по 12 месяц релизации проекта</t>
  </si>
  <si>
    <t>Выручка в неделю (руб.)</t>
  </si>
  <si>
    <t>Объем выручки в месяц (100%)</t>
  </si>
  <si>
    <t>Объем выручки 1 год (50% мощности предприятия)</t>
  </si>
  <si>
    <t>Объем выручки 2 год (50% мощности предприятия)</t>
  </si>
  <si>
    <t>Объем выручки 3 год (80% мощности предприятия)</t>
  </si>
  <si>
    <t>Объем выручки 4 год (80% мощности предприятия)</t>
  </si>
  <si>
    <t>Затраты в неделю (руб.)</t>
  </si>
  <si>
    <t>Количество затрат (100%)</t>
  </si>
  <si>
    <t>Объем затрат на сырье в мес/ 1 год</t>
  </si>
  <si>
    <t>Объем затрат на сырье в мес/ 2 год</t>
  </si>
  <si>
    <t>Объем затрат на сырье в мес/ 3 год</t>
  </si>
  <si>
    <t>Объем затрат на сырье в мес/ 4 год</t>
  </si>
  <si>
    <t>ЭЛЕКТРИЧЕСТВО</t>
  </si>
  <si>
    <t>руб./кВт</t>
  </si>
  <si>
    <t>Объем затрат на электричество в мес/ 1 год</t>
  </si>
  <si>
    <t>Объем затрат на электричество в мес/ 2 год</t>
  </si>
  <si>
    <t>Объем затрат на электричество в мес/ 3 год</t>
  </si>
  <si>
    <t>Объем затрат на материалы в мес/ 4 год</t>
  </si>
  <si>
    <t>кВт</t>
  </si>
  <si>
    <t>Установленный привод</t>
  </si>
  <si>
    <t>Мебель и Оборудование</t>
  </si>
  <si>
    <t>долл =</t>
  </si>
  <si>
    <t>Наименование помещения/мебели, предмета интерьера и т.д.</t>
  </si>
  <si>
    <t>Кол-во</t>
  </si>
  <si>
    <t>Цена за ед. в руб.</t>
  </si>
  <si>
    <t>Итого</t>
  </si>
  <si>
    <t>Оборудование для работы предприятия</t>
  </si>
  <si>
    <t>1.1</t>
  </si>
  <si>
    <t>1.2</t>
  </si>
  <si>
    <t>Колонки газораздаточные</t>
  </si>
  <si>
    <t>1.3</t>
  </si>
  <si>
    <t>Противопожарные стенды</t>
  </si>
  <si>
    <t>1.4</t>
  </si>
  <si>
    <t>1.5</t>
  </si>
  <si>
    <t>POS-терминал</t>
  </si>
  <si>
    <t>от банка обслуживания бесплатно</t>
  </si>
  <si>
    <t>1.6</t>
  </si>
  <si>
    <t>Мебель</t>
  </si>
  <si>
    <t>1.7</t>
  </si>
  <si>
    <t>Касса</t>
  </si>
  <si>
    <t>1.8</t>
  </si>
  <si>
    <t>Фронтальный погрузчик</t>
  </si>
  <si>
    <t>1.9</t>
  </si>
  <si>
    <t>Комплект для бесконтактной мойки</t>
  </si>
  <si>
    <t>Всего:</t>
  </si>
  <si>
    <t>Итого по категориям затрат (в руб.)</t>
  </si>
  <si>
    <t xml:space="preserve">Оборудование </t>
  </si>
  <si>
    <t>Расходные материалы</t>
  </si>
  <si>
    <t>ИТОГО:</t>
  </si>
  <si>
    <t>Строительные и ремонтные работы</t>
  </si>
  <si>
    <r>
      <t xml:space="preserve">Адрес объекта: </t>
    </r>
    <r>
      <rPr>
        <i/>
        <sz val="10"/>
        <color indexed="62"/>
        <rFont val="Arial"/>
        <family val="2"/>
      </rPr>
      <t>д.Селково. Сергиево-Посадского района, МО</t>
    </r>
  </si>
  <si>
    <t>$</t>
  </si>
  <si>
    <t>Полная стоимость:</t>
  </si>
  <si>
    <t>Ремонт помещения</t>
  </si>
  <si>
    <t>Наименование вида работ</t>
  </si>
  <si>
    <t>Метраж</t>
  </si>
  <si>
    <t>Количество</t>
  </si>
  <si>
    <t>Стоимость ремонта 1 кв. м (руб.)</t>
  </si>
  <si>
    <t>Дизайн проект/архитектурное решение</t>
  </si>
  <si>
    <t>Вентиляция и конденционирование</t>
  </si>
  <si>
    <t>Отопление, водоснабжение, канализация</t>
  </si>
  <si>
    <t>Электро-монтажные работы</t>
  </si>
  <si>
    <t>Строительство Многотопливного автозаправочного комплекса</t>
  </si>
  <si>
    <t>Водоотвод</t>
  </si>
  <si>
    <t>Озеленение</t>
  </si>
  <si>
    <t>8.</t>
  </si>
  <si>
    <t>Покрытия</t>
  </si>
  <si>
    <t>Хранилища:</t>
  </si>
  <si>
    <t>9.</t>
  </si>
  <si>
    <t>10.</t>
  </si>
  <si>
    <t>11.</t>
  </si>
  <si>
    <t>12.</t>
  </si>
  <si>
    <t>13.</t>
  </si>
  <si>
    <t>ВСЕГО:</t>
  </si>
  <si>
    <t>Расходные материалы для обеспечения жизнедеятельности проекта</t>
  </si>
  <si>
    <t>Наименование расходных материалов</t>
  </si>
  <si>
    <t>Для работы офиса</t>
  </si>
  <si>
    <t>Дезинфицирующее средство</t>
  </si>
  <si>
    <t>Набор одноразовых полотенец</t>
  </si>
  <si>
    <t>Бумага для кассового аппарата</t>
  </si>
  <si>
    <t>Набор салфеток для уборки</t>
  </si>
  <si>
    <t>Набор пластиковых стаканов</t>
  </si>
  <si>
    <t>Ручки</t>
  </si>
  <si>
    <t>Стикеры</t>
  </si>
  <si>
    <t xml:space="preserve">Канцелярские принадлежности </t>
  </si>
  <si>
    <t>Маркеры</t>
  </si>
  <si>
    <t>1.10</t>
  </si>
  <si>
    <t>Мыло (жидкое)</t>
  </si>
  <si>
    <t>Компьютеры, телефония, оргтехника, телевизоры и ПО</t>
  </si>
  <si>
    <t>Наименование оборудования</t>
  </si>
  <si>
    <t>Общая сумма затрат</t>
  </si>
  <si>
    <t>Видеонаблюдение</t>
  </si>
  <si>
    <t>Компьютер MSI Wind Top AE2282G-021RU (белый)</t>
  </si>
  <si>
    <t>Ноутбук HP PAVILION g6-2165sr</t>
  </si>
  <si>
    <r>
      <t>Ксерокс (</t>
    </r>
    <r>
      <rPr>
        <sz val="10"/>
        <rFont val="Arial"/>
        <family val="2"/>
      </rPr>
      <t>XEROX WorkCentre 3210)</t>
    </r>
  </si>
  <si>
    <t>ПО (1С)</t>
  </si>
  <si>
    <t>Картриджи</t>
  </si>
  <si>
    <t>Бумага</t>
  </si>
  <si>
    <t>Телефонный аппарат</t>
  </si>
  <si>
    <t>Абонентская плата (Мес.)</t>
  </si>
  <si>
    <t>Сайт</t>
  </si>
  <si>
    <t>Продвижение сайта</t>
  </si>
  <si>
    <t>Абонентская плата Интернет (Билайн)</t>
  </si>
  <si>
    <t>Оборудование и ПО</t>
  </si>
  <si>
    <t>Расходы на подрядные работы (в т.ч. НДС)</t>
  </si>
  <si>
    <t>Наименование услуг подрядчиков</t>
  </si>
  <si>
    <t>Маркетинг</t>
  </si>
  <si>
    <t>вывеска</t>
  </si>
  <si>
    <t>Реклама</t>
  </si>
  <si>
    <t xml:space="preserve">Проектное консультирование </t>
  </si>
  <si>
    <t>Бухгалтерия</t>
  </si>
  <si>
    <t>Охрана</t>
  </si>
  <si>
    <t>Юридические услуги</t>
  </si>
  <si>
    <t>Лицензирование</t>
  </si>
  <si>
    <t>Банковские услуги</t>
  </si>
  <si>
    <t>Смена учредителей</t>
  </si>
  <si>
    <t>Франшиза Лукойл</t>
  </si>
  <si>
    <t>Гос.экспертиза</t>
  </si>
  <si>
    <t>Расходы на коммандировочные и представительские расходы</t>
  </si>
  <si>
    <t>Наименование расходов</t>
  </si>
  <si>
    <t>Коммандировочные расходы</t>
  </si>
  <si>
    <t>Представительские расходы</t>
  </si>
  <si>
    <t>Аренда</t>
  </si>
  <si>
    <t>Наименование помещения</t>
  </si>
  <si>
    <t>В год:</t>
  </si>
  <si>
    <t>Налог</t>
  </si>
  <si>
    <t>Кв.м</t>
  </si>
  <si>
    <t>руб./кв.м/ в год</t>
  </si>
  <si>
    <t>Rub</t>
  </si>
  <si>
    <t>Земельный участок</t>
  </si>
  <si>
    <t>Рентабельность</t>
  </si>
  <si>
    <t>Механизатор</t>
  </si>
  <si>
    <t>Магазин</t>
  </si>
  <si>
    <t>Пропан - бутановая смесь (СУГ)</t>
  </si>
  <si>
    <t>Средняя цена</t>
  </si>
  <si>
    <t>1.11</t>
  </si>
  <si>
    <t>1.12</t>
  </si>
  <si>
    <t>1.13</t>
  </si>
  <si>
    <t>1.14</t>
  </si>
  <si>
    <t>1.15</t>
  </si>
  <si>
    <t>1.16</t>
  </si>
  <si>
    <t>себестоимость покупки</t>
  </si>
  <si>
    <t xml:space="preserve">Затраты на продукты </t>
  </si>
  <si>
    <t>Затраты на закупку  топлива/продуктов, (руб.)</t>
  </si>
  <si>
    <r>
      <t xml:space="preserve">Дисконтированные денежные потоки деятельности </t>
    </r>
    <r>
      <rPr>
        <sz val="14"/>
        <color indexed="8"/>
        <rFont val="Times New Roman"/>
        <family val="1"/>
      </rPr>
      <t>Многотопливный автозаправочный  комплекс</t>
    </r>
  </si>
  <si>
    <r>
      <t xml:space="preserve">Дисконтированные денежные потоки деятельности  </t>
    </r>
    <r>
      <rPr>
        <sz val="14"/>
        <color indexed="8"/>
        <rFont val="Times New Roman"/>
        <family val="1"/>
      </rPr>
      <t>Многотопливный автозаправочный  комплекс</t>
    </r>
    <r>
      <rPr>
        <sz val="14"/>
        <rFont val="Times New Roman"/>
        <family val="1"/>
      </rPr>
      <t xml:space="preserve"> </t>
    </r>
    <r>
      <rPr>
        <b/>
        <sz val="12"/>
        <rFont val="Calibri"/>
        <family val="1"/>
      </rPr>
      <t>ЧУВСТВИТЕЛЬНОСТЬ ПРОЕКТА 50%</t>
    </r>
  </si>
  <si>
    <r>
      <t xml:space="preserve">Направления работы  </t>
    </r>
    <r>
      <rPr>
        <sz val="14"/>
        <color indexed="8"/>
        <rFont val="Times New Roman"/>
        <family val="1"/>
      </rPr>
      <t>Многотопливный автозаправочный комплекс</t>
    </r>
  </si>
  <si>
    <r>
      <t xml:space="preserve">Услуги </t>
    </r>
    <r>
      <rPr>
        <sz val="14"/>
        <color indexed="8"/>
        <rFont val="Times New Roman"/>
        <family val="1"/>
      </rPr>
      <t>Многотопливный автозаправочный  комплекс</t>
    </r>
  </si>
  <si>
    <t>Проходимость МАЗК</t>
  </si>
  <si>
    <t>Продукты и товары для магазина</t>
  </si>
  <si>
    <t>Цистерны для сжиженного газа ( с насосом)</t>
  </si>
  <si>
    <t>Период полной окупаемости проекта с активной фазы — 18 месяц</t>
  </si>
  <si>
    <t>Период полной окупаемости проекта с момента инвестирования — 24 месяц</t>
  </si>
  <si>
    <t>Период полной окупаемости проекта с активной фазы — 34 месяц</t>
  </si>
  <si>
    <t>Период полной окупаемости проекта с момента инвестирования — 40 месяц</t>
  </si>
  <si>
    <t>Аппарат моечный- "Kèrher-600" с подогревом воды.</t>
  </si>
  <si>
    <t>Топливораздаточные колонки для ЖМТ 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</si>
</sst>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 #,##0.00&quot;    &quot;;\-#,##0.00&quot;    &quot;;&quot; -&quot;#&quot;    &quot;;@\ "/>
    <numFmt numFmtId="165" formatCode="#,##0;[Red]\-#,##0"/>
    <numFmt numFmtId="166" formatCode="#,##0;\-#,##0"/>
    <numFmt numFmtId="167" formatCode="mmmm\ yyyy;@"/>
    <numFmt numFmtId="168" formatCode="_-* #,##0.00&quot; ₽&quot;_-;\-* #,##0.00&quot; ₽&quot;_-;_-* \-??&quot; ₽&quot;_-;_-@_-"/>
    <numFmt numFmtId="169" formatCode="#,##0.000000"/>
    <numFmt numFmtId="170" formatCode="#,##0.00&quot; руб.&quot;;[Red]#,##0.00&quot; руб.&quot;"/>
    <numFmt numFmtId="171" formatCode="d\ mmm;@"/>
    <numFmt numFmtId="172" formatCode="\ #,##0.00&quot; руб. &quot;;\-#,##0.00&quot; руб. &quot;;&quot; -&quot;#&quot; руб. &quot;;@\ "/>
    <numFmt numFmtId="173" formatCode="[$$-409]#,##0_ ;[Red]\-[$$-409]#,##0\ "/>
    <numFmt numFmtId="174" formatCode="[$$-409]#,##0.00;[Red]\-[$$-409]#,#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3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9"/>
      <color indexed="8"/>
      <name val="Arial Narrow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10"/>
      <color indexed="9"/>
      <name val="Arial"/>
      <family val="2"/>
    </font>
    <font>
      <b/>
      <sz val="12"/>
      <name val="Calibri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2"/>
    </font>
    <font>
      <sz val="11"/>
      <name val="Times New Roman"/>
      <family val="1"/>
    </font>
    <font>
      <b/>
      <sz val="12"/>
      <color indexed="8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1"/>
      <color indexed="8"/>
      <name val="Calibri"/>
      <family val="2"/>
    </font>
    <font>
      <sz val="11.5"/>
      <name val="Arial"/>
      <family val="2"/>
    </font>
    <font>
      <b/>
      <sz val="10"/>
      <color indexed="10"/>
      <name val="Arial Narrow"/>
      <family val="2"/>
    </font>
    <font>
      <i/>
      <sz val="10"/>
      <color indexed="6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4" fontId="16" fillId="0" borderId="0" applyFill="0" applyBorder="0" applyAlignment="0" applyProtection="0"/>
    <xf numFmtId="41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33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justify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10" fontId="6" fillId="34" borderId="10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1" fontId="6" fillId="0" borderId="10" xfId="0" applyNumberFormat="1" applyFont="1" applyFill="1" applyBorder="1" applyAlignment="1">
      <alignment horizontal="right"/>
    </xf>
    <xf numFmtId="1" fontId="7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1" fontId="7" fillId="0" borderId="0" xfId="0" applyNumberFormat="1" applyFont="1" applyFill="1" applyAlignment="1">
      <alignment horizontal="right"/>
    </xf>
    <xf numFmtId="1" fontId="6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1" fontId="9" fillId="0" borderId="0" xfId="0" applyNumberFormat="1" applyFont="1" applyFill="1" applyAlignment="1">
      <alignment/>
    </xf>
    <xf numFmtId="1" fontId="10" fillId="35" borderId="10" xfId="0" applyNumberFormat="1" applyFont="1" applyFill="1" applyBorder="1" applyAlignment="1">
      <alignment horizontal="center" vertical="center"/>
    </xf>
    <xf numFmtId="1" fontId="9" fillId="35" borderId="10" xfId="0" applyNumberFormat="1" applyFont="1" applyFill="1" applyBorder="1" applyAlignment="1">
      <alignment horizontal="center"/>
    </xf>
    <xf numFmtId="1" fontId="9" fillId="35" borderId="10" xfId="0" applyNumberFormat="1" applyFont="1" applyFill="1" applyBorder="1" applyAlignment="1">
      <alignment/>
    </xf>
    <xf numFmtId="1" fontId="9" fillId="36" borderId="10" xfId="0" applyNumberFormat="1" applyFont="1" applyFill="1" applyBorder="1" applyAlignment="1">
      <alignment/>
    </xf>
    <xf numFmtId="1" fontId="0" fillId="37" borderId="10" xfId="0" applyNumberFormat="1" applyFill="1" applyBorder="1" applyAlignment="1">
      <alignment horizontal="center"/>
    </xf>
    <xf numFmtId="1" fontId="9" fillId="37" borderId="10" xfId="0" applyNumberFormat="1" applyFont="1" applyFill="1" applyBorder="1" applyAlignment="1">
      <alignment/>
    </xf>
    <xf numFmtId="1" fontId="0" fillId="36" borderId="10" xfId="0" applyNumberFormat="1" applyFill="1" applyBorder="1" applyAlignment="1">
      <alignment horizontal="center"/>
    </xf>
    <xf numFmtId="1" fontId="0" fillId="38" borderId="10" xfId="0" applyNumberFormat="1" applyFill="1" applyBorder="1" applyAlignment="1">
      <alignment horizontal="center"/>
    </xf>
    <xf numFmtId="1" fontId="9" fillId="38" borderId="10" xfId="0" applyNumberFormat="1" applyFont="1" applyFill="1" applyBorder="1" applyAlignment="1">
      <alignment/>
    </xf>
    <xf numFmtId="1" fontId="10" fillId="39" borderId="10" xfId="0" applyNumberFormat="1" applyFont="1" applyFill="1" applyBorder="1" applyAlignment="1">
      <alignment/>
    </xf>
    <xf numFmtId="1" fontId="9" fillId="39" borderId="10" xfId="0" applyNumberFormat="1" applyFont="1" applyFill="1" applyBorder="1" applyAlignment="1">
      <alignment/>
    </xf>
    <xf numFmtId="1" fontId="10" fillId="40" borderId="10" xfId="0" applyNumberFormat="1" applyFont="1" applyFill="1" applyBorder="1" applyAlignment="1">
      <alignment/>
    </xf>
    <xf numFmtId="1" fontId="9" fillId="40" borderId="10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/>
    </xf>
    <xf numFmtId="1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33" borderId="10" xfId="0" applyNumberFormat="1" applyFont="1" applyFill="1" applyBorder="1" applyAlignment="1">
      <alignment/>
    </xf>
    <xf numFmtId="1" fontId="9" fillId="41" borderId="10" xfId="0" applyNumberFormat="1" applyFont="1" applyFill="1" applyBorder="1" applyAlignment="1">
      <alignment/>
    </xf>
    <xf numFmtId="1" fontId="9" fillId="42" borderId="10" xfId="0" applyNumberFormat="1" applyFont="1" applyFill="1" applyBorder="1" applyAlignment="1">
      <alignment/>
    </xf>
    <xf numFmtId="1" fontId="9" fillId="43" borderId="10" xfId="0" applyNumberFormat="1" applyFont="1" applyFill="1" applyBorder="1" applyAlignment="1">
      <alignment/>
    </xf>
    <xf numFmtId="1" fontId="9" fillId="44" borderId="10" xfId="0" applyNumberFormat="1" applyFont="1" applyFill="1" applyBorder="1" applyAlignment="1">
      <alignment/>
    </xf>
    <xf numFmtId="1" fontId="12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 horizontal="right"/>
    </xf>
    <xf numFmtId="2" fontId="9" fillId="0" borderId="0" xfId="0" applyNumberFormat="1" applyFont="1" applyFill="1" applyAlignment="1">
      <alignment/>
    </xf>
    <xf numFmtId="1" fontId="10" fillId="45" borderId="10" xfId="0" applyNumberFormat="1" applyFont="1" applyFill="1" applyBorder="1" applyAlignment="1">
      <alignment/>
    </xf>
    <xf numFmtId="1" fontId="9" fillId="45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center" wrapText="1"/>
    </xf>
    <xf numFmtId="164" fontId="8" fillId="0" borderId="10" xfId="58" applyFont="1" applyFill="1" applyBorder="1" applyAlignment="1" applyProtection="1">
      <alignment horizontal="center"/>
      <protection/>
    </xf>
    <xf numFmtId="165" fontId="8" fillId="0" borderId="10" xfId="58" applyNumberFormat="1" applyFont="1" applyFill="1" applyBorder="1" applyAlignment="1" applyProtection="1">
      <alignment horizontal="center"/>
      <protection/>
    </xf>
    <xf numFmtId="164" fontId="8" fillId="0" borderId="10" xfId="58" applyFont="1" applyFill="1" applyBorder="1" applyAlignment="1" applyProtection="1">
      <alignment horizontal="center" vertical="center"/>
      <protection/>
    </xf>
    <xf numFmtId="166" fontId="8" fillId="0" borderId="10" xfId="58" applyNumberFormat="1" applyFont="1" applyFill="1" applyBorder="1" applyAlignment="1" applyProtection="1">
      <alignment horizontal="center" vertical="center"/>
      <protection/>
    </xf>
    <xf numFmtId="0" fontId="8" fillId="46" borderId="11" xfId="0" applyFont="1" applyFill="1" applyBorder="1" applyAlignment="1">
      <alignment horizontal="center"/>
    </xf>
    <xf numFmtId="0" fontId="8" fillId="46" borderId="10" xfId="0" applyFont="1" applyFill="1" applyBorder="1" applyAlignment="1">
      <alignment horizontal="center"/>
    </xf>
    <xf numFmtId="0" fontId="17" fillId="46" borderId="10" xfId="0" applyFont="1" applyFill="1" applyBorder="1" applyAlignment="1">
      <alignment horizontal="center"/>
    </xf>
    <xf numFmtId="0" fontId="17" fillId="46" borderId="0" xfId="0" applyFont="1" applyFill="1" applyAlignment="1">
      <alignment/>
    </xf>
    <xf numFmtId="0" fontId="9" fillId="0" borderId="0" xfId="0" applyFont="1" applyFill="1" applyAlignment="1">
      <alignment/>
    </xf>
    <xf numFmtId="0" fontId="17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46" borderId="10" xfId="0" applyNumberFormat="1" applyFont="1" applyFill="1" applyBorder="1" applyAlignment="1">
      <alignment horizontal="right"/>
    </xf>
    <xf numFmtId="0" fontId="8" fillId="46" borderId="12" xfId="0" applyFont="1" applyFill="1" applyBorder="1" applyAlignment="1">
      <alignment wrapText="1"/>
    </xf>
    <xf numFmtId="1" fontId="17" fillId="0" borderId="12" xfId="0" applyNumberFormat="1" applyFont="1" applyFill="1" applyBorder="1" applyAlignment="1">
      <alignment horizontal="right"/>
    </xf>
    <xf numFmtId="1" fontId="17" fillId="0" borderId="1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9" fillId="46" borderId="10" xfId="0" applyFont="1" applyFill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9" fillId="0" borderId="10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/>
    </xf>
    <xf numFmtId="167" fontId="3" fillId="0" borderId="1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2" fillId="33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9" fillId="33" borderId="0" xfId="0" applyFont="1" applyFill="1" applyAlignment="1">
      <alignment horizontal="left" wrapText="1"/>
    </xf>
    <xf numFmtId="0" fontId="9" fillId="33" borderId="0" xfId="0" applyFont="1" applyFill="1" applyAlignment="1">
      <alignment wrapText="1"/>
    </xf>
    <xf numFmtId="0" fontId="9" fillId="33" borderId="0" xfId="0" applyFont="1" applyFill="1" applyAlignment="1">
      <alignment/>
    </xf>
    <xf numFmtId="0" fontId="10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49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49" fontId="20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9" fontId="2" fillId="38" borderId="10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49" fontId="2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NumberFormat="1" applyAlignment="1">
      <alignment horizontal="center"/>
    </xf>
    <xf numFmtId="1" fontId="2" fillId="33" borderId="0" xfId="0" applyNumberFormat="1" applyFont="1" applyFill="1" applyAlignment="1">
      <alignment horizontal="right" wrapText="1"/>
    </xf>
    <xf numFmtId="1" fontId="2" fillId="33" borderId="0" xfId="0" applyNumberFormat="1" applyFont="1" applyFill="1" applyAlignment="1">
      <alignment wrapText="1"/>
    </xf>
    <xf numFmtId="1" fontId="2" fillId="33" borderId="0" xfId="0" applyNumberFormat="1" applyFont="1" applyFill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1" fontId="2" fillId="33" borderId="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/>
    </xf>
    <xf numFmtId="1" fontId="0" fillId="38" borderId="10" xfId="0" applyNumberFormat="1" applyFill="1" applyBorder="1" applyAlignment="1">
      <alignment wrapText="1"/>
    </xf>
    <xf numFmtId="2" fontId="2" fillId="34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0" fontId="0" fillId="34" borderId="10" xfId="0" applyFill="1" applyBorder="1" applyAlignment="1">
      <alignment horizontal="center"/>
    </xf>
    <xf numFmtId="1" fontId="0" fillId="33" borderId="0" xfId="0" applyNumberFormat="1" applyFont="1" applyFill="1" applyBorder="1" applyAlignment="1">
      <alignment/>
    </xf>
    <xf numFmtId="1" fontId="2" fillId="33" borderId="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33" borderId="0" xfId="0" applyNumberFormat="1" applyFont="1" applyFill="1" applyAlignment="1">
      <alignment horizontal="center" wrapText="1"/>
    </xf>
    <xf numFmtId="1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 wrapText="1"/>
    </xf>
    <xf numFmtId="1" fontId="0" fillId="33" borderId="0" xfId="0" applyNumberFormat="1" applyFill="1" applyAlignment="1">
      <alignment/>
    </xf>
    <xf numFmtId="1" fontId="0" fillId="33" borderId="0" xfId="0" applyNumberFormat="1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left" wrapText="1"/>
    </xf>
    <xf numFmtId="1" fontId="2" fillId="0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 horizontal="center"/>
    </xf>
    <xf numFmtId="1" fontId="2" fillId="38" borderId="10" xfId="0" applyNumberFormat="1" applyFont="1" applyFill="1" applyBorder="1" applyAlignment="1">
      <alignment wrapText="1"/>
    </xf>
    <xf numFmtId="1" fontId="0" fillId="0" borderId="10" xfId="0" applyNumberFormat="1" applyFill="1" applyBorder="1" applyAlignment="1">
      <alignment horizontal="center"/>
    </xf>
    <xf numFmtId="1" fontId="0" fillId="36" borderId="10" xfId="0" applyNumberFormat="1" applyFill="1" applyBorder="1" applyAlignment="1">
      <alignment/>
    </xf>
    <xf numFmtId="1" fontId="0" fillId="36" borderId="10" xfId="0" applyNumberFormat="1" applyFont="1" applyFill="1" applyBorder="1" applyAlignment="1">
      <alignment wrapText="1"/>
    </xf>
    <xf numFmtId="1" fontId="2" fillId="0" borderId="0" xfId="0" applyNumberFormat="1" applyFont="1" applyFill="1" applyAlignment="1">
      <alignment wrapText="1"/>
    </xf>
    <xf numFmtId="1" fontId="0" fillId="33" borderId="0" xfId="0" applyNumberFormat="1" applyFill="1" applyAlignment="1">
      <alignment horizontal="center"/>
    </xf>
    <xf numFmtId="1" fontId="21" fillId="0" borderId="10" xfId="0" applyNumberFormat="1" applyFont="1" applyFill="1" applyBorder="1" applyAlignment="1">
      <alignment horizontal="center" wrapText="1"/>
    </xf>
    <xf numFmtId="1" fontId="21" fillId="33" borderId="0" xfId="0" applyNumberFormat="1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right"/>
    </xf>
    <xf numFmtId="1" fontId="0" fillId="33" borderId="0" xfId="0" applyNumberFormat="1" applyFill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wrapText="1"/>
    </xf>
    <xf numFmtId="2" fontId="0" fillId="34" borderId="10" xfId="0" applyNumberFormat="1" applyFill="1" applyBorder="1" applyAlignment="1">
      <alignment/>
    </xf>
    <xf numFmtId="2" fontId="0" fillId="37" borderId="10" xfId="0" applyNumberFormat="1" applyFont="1" applyFill="1" applyBorder="1" applyAlignment="1">
      <alignment horizontal="center"/>
    </xf>
    <xf numFmtId="1" fontId="0" fillId="37" borderId="10" xfId="0" applyNumberFormat="1" applyFill="1" applyBorder="1" applyAlignment="1">
      <alignment/>
    </xf>
    <xf numFmtId="1" fontId="2" fillId="37" borderId="10" xfId="0" applyNumberFormat="1" applyFont="1" applyFill="1" applyBorder="1" applyAlignment="1">
      <alignment wrapText="1"/>
    </xf>
    <xf numFmtId="0" fontId="0" fillId="0" borderId="0" xfId="0" applyNumberFormat="1" applyAlignment="1">
      <alignment/>
    </xf>
    <xf numFmtId="1" fontId="2" fillId="36" borderId="10" xfId="0" applyNumberFormat="1" applyFont="1" applyFill="1" applyBorder="1" applyAlignment="1">
      <alignment wrapText="1"/>
    </xf>
    <xf numFmtId="2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69" fontId="2" fillId="33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wrapText="1" shrinkToFit="1"/>
    </xf>
    <xf numFmtId="0" fontId="0" fillId="33" borderId="14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0" fillId="46" borderId="1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22" fillId="33" borderId="14" xfId="0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170" fontId="20" fillId="0" borderId="1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4" fillId="46" borderId="10" xfId="0" applyFont="1" applyFill="1" applyBorder="1" applyAlignment="1">
      <alignment wrapText="1"/>
    </xf>
    <xf numFmtId="0" fontId="4" fillId="42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171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171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2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171" fontId="2" fillId="0" borderId="14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 wrapText="1"/>
    </xf>
    <xf numFmtId="4" fontId="2" fillId="0" borderId="14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2" fillId="0" borderId="14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0" fontId="9" fillId="33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justify"/>
    </xf>
    <xf numFmtId="0" fontId="9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170" fontId="10" fillId="0" borderId="10" xfId="0" applyNumberFormat="1" applyFont="1" applyFill="1" applyBorder="1" applyAlignment="1">
      <alignment wrapText="1"/>
    </xf>
    <xf numFmtId="49" fontId="9" fillId="33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left" wrapText="1"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justify"/>
    </xf>
    <xf numFmtId="0" fontId="0" fillId="0" borderId="10" xfId="0" applyBorder="1" applyAlignment="1">
      <alignment horizontal="right"/>
    </xf>
    <xf numFmtId="49" fontId="9" fillId="0" borderId="0" xfId="0" applyNumberFormat="1" applyFont="1" applyFill="1" applyAlignment="1">
      <alignment/>
    </xf>
    <xf numFmtId="0" fontId="9" fillId="0" borderId="0" xfId="0" applyFont="1" applyFill="1" applyAlignment="1">
      <alignment wrapText="1"/>
    </xf>
    <xf numFmtId="49" fontId="10" fillId="0" borderId="10" xfId="0" applyNumberFormat="1" applyFont="1" applyFill="1" applyBorder="1" applyAlignment="1">
      <alignment horizontal="center" wrapText="1"/>
    </xf>
    <xf numFmtId="49" fontId="9" fillId="33" borderId="0" xfId="0" applyNumberFormat="1" applyFont="1" applyFill="1" applyAlignment="1">
      <alignment wrapText="1"/>
    </xf>
    <xf numFmtId="0" fontId="25" fillId="33" borderId="0" xfId="0" applyFont="1" applyFill="1" applyAlignment="1">
      <alignment/>
    </xf>
    <xf numFmtId="49" fontId="9" fillId="0" borderId="0" xfId="0" applyNumberFormat="1" applyFont="1" applyFill="1" applyAlignment="1">
      <alignment wrapText="1"/>
    </xf>
    <xf numFmtId="0" fontId="9" fillId="33" borderId="0" xfId="0" applyFont="1" applyFill="1" applyAlignment="1">
      <alignment horizontal="center" wrapText="1"/>
    </xf>
    <xf numFmtId="0" fontId="25" fillId="33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49" fontId="9" fillId="33" borderId="0" xfId="0" applyNumberFormat="1" applyFont="1" applyFill="1" applyBorder="1" applyAlignment="1">
      <alignment wrapText="1"/>
    </xf>
    <xf numFmtId="49" fontId="25" fillId="33" borderId="0" xfId="0" applyNumberFormat="1" applyFont="1" applyFill="1" applyAlignment="1">
      <alignment wrapText="1"/>
    </xf>
    <xf numFmtId="49" fontId="25" fillId="0" borderId="0" xfId="0" applyNumberFormat="1" applyFont="1" applyFill="1" applyAlignment="1">
      <alignment wrapText="1"/>
    </xf>
    <xf numFmtId="49" fontId="9" fillId="0" borderId="10" xfId="0" applyNumberFormat="1" applyFont="1" applyFill="1" applyBorder="1" applyAlignment="1">
      <alignment wrapText="1"/>
    </xf>
    <xf numFmtId="0" fontId="9" fillId="0" borderId="10" xfId="0" applyNumberFormat="1" applyFont="1" applyFill="1" applyBorder="1" applyAlignment="1">
      <alignment horizontal="right" wrapText="1"/>
    </xf>
    <xf numFmtId="0" fontId="9" fillId="0" borderId="10" xfId="0" applyNumberFormat="1" applyFont="1" applyFill="1" applyBorder="1" applyAlignment="1">
      <alignment wrapText="1"/>
    </xf>
    <xf numFmtId="1" fontId="9" fillId="0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1" fontId="10" fillId="36" borderId="15" xfId="0" applyNumberFormat="1" applyFont="1" applyFill="1" applyBorder="1" applyAlignment="1">
      <alignment vertical="center" wrapText="1"/>
    </xf>
    <xf numFmtId="1" fontId="10" fillId="36" borderId="16" xfId="0" applyNumberFormat="1" applyFont="1" applyFill="1" applyBorder="1" applyAlignment="1">
      <alignment vertical="center" wrapText="1"/>
    </xf>
    <xf numFmtId="0" fontId="2" fillId="42" borderId="17" xfId="0" applyFont="1" applyFill="1" applyBorder="1" applyAlignment="1">
      <alignment horizontal="center" wrapText="1"/>
    </xf>
    <xf numFmtId="0" fontId="2" fillId="35" borderId="17" xfId="0" applyFont="1" applyFill="1" applyBorder="1" applyAlignment="1">
      <alignment horizontal="center" wrapText="1"/>
    </xf>
    <xf numFmtId="0" fontId="4" fillId="37" borderId="17" xfId="0" applyFont="1" applyFill="1" applyBorder="1" applyAlignment="1">
      <alignment wrapText="1"/>
    </xf>
    <xf numFmtId="0" fontId="2" fillId="37" borderId="17" xfId="0" applyFont="1" applyFill="1" applyBorder="1" applyAlignment="1">
      <alignment horizontal="center"/>
    </xf>
    <xf numFmtId="0" fontId="4" fillId="37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37" borderId="17" xfId="0" applyFont="1" applyFill="1" applyBorder="1" applyAlignment="1">
      <alignment horizontal="left" wrapText="1"/>
    </xf>
    <xf numFmtId="0" fontId="2" fillId="37" borderId="17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5" fillId="36" borderId="17" xfId="0" applyFont="1" applyFill="1" applyBorder="1" applyAlignment="1">
      <alignment horizontal="center" wrapText="1"/>
    </xf>
    <xf numFmtId="0" fontId="2" fillId="41" borderId="17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2" fillId="47" borderId="17" xfId="0" applyFont="1" applyFill="1" applyBorder="1" applyAlignment="1">
      <alignment horizontal="center" wrapText="1"/>
    </xf>
    <xf numFmtId="0" fontId="2" fillId="46" borderId="17" xfId="0" applyFont="1" applyFill="1" applyBorder="1" applyAlignment="1">
      <alignment horizontal="center" wrapText="1"/>
    </xf>
    <xf numFmtId="0" fontId="2" fillId="48" borderId="17" xfId="0" applyFont="1" applyFill="1" applyBorder="1" applyAlignment="1">
      <alignment horizontal="center" wrapText="1"/>
    </xf>
    <xf numFmtId="1" fontId="0" fillId="33" borderId="18" xfId="42" applyNumberFormat="1" applyFont="1" applyFill="1" applyBorder="1" applyAlignment="1" applyProtection="1">
      <alignment horizontal="right"/>
      <protection/>
    </xf>
    <xf numFmtId="1" fontId="0" fillId="46" borderId="18" xfId="42" applyNumberFormat="1" applyFont="1" applyFill="1" applyBorder="1" applyAlignment="1" applyProtection="1">
      <alignment horizontal="right"/>
      <protection/>
    </xf>
    <xf numFmtId="1" fontId="0" fillId="33" borderId="19" xfId="42" applyNumberFormat="1" applyFont="1" applyFill="1" applyBorder="1" applyAlignment="1" applyProtection="1">
      <alignment horizontal="right"/>
      <protection/>
    </xf>
    <xf numFmtId="1" fontId="0" fillId="33" borderId="18" xfId="42" applyNumberFormat="1" applyFont="1" applyFill="1" applyBorder="1" applyAlignment="1" applyProtection="1">
      <alignment/>
      <protection/>
    </xf>
    <xf numFmtId="170" fontId="20" fillId="0" borderId="20" xfId="0" applyNumberFormat="1" applyFont="1" applyFill="1" applyBorder="1" applyAlignment="1">
      <alignment wrapText="1"/>
    </xf>
    <xf numFmtId="0" fontId="4" fillId="33" borderId="17" xfId="0" applyFont="1" applyFill="1" applyBorder="1" applyAlignment="1">
      <alignment horizontal="right" wrapText="1"/>
    </xf>
    <xf numFmtId="0" fontId="4" fillId="46" borderId="17" xfId="0" applyFont="1" applyFill="1" applyBorder="1" applyAlignment="1">
      <alignment horizontal="right" wrapText="1"/>
    </xf>
    <xf numFmtId="10" fontId="9" fillId="0" borderId="0" xfId="0" applyNumberFormat="1" applyFont="1" applyFill="1" applyAlignment="1">
      <alignment/>
    </xf>
    <xf numFmtId="0" fontId="6" fillId="0" borderId="21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1" fontId="9" fillId="0" borderId="10" xfId="0" applyNumberFormat="1" applyFont="1" applyFill="1" applyBorder="1" applyAlignment="1">
      <alignment horizontal="right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right" wrapText="1"/>
    </xf>
    <xf numFmtId="1" fontId="6" fillId="0" borderId="10" xfId="0" applyNumberFormat="1" applyFont="1" applyFill="1" applyBorder="1" applyAlignment="1">
      <alignment/>
    </xf>
    <xf numFmtId="1" fontId="6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" fontId="2" fillId="49" borderId="10" xfId="0" applyNumberFormat="1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2" fontId="2" fillId="50" borderId="17" xfId="0" applyNumberFormat="1" applyFont="1" applyFill="1" applyBorder="1" applyAlignment="1">
      <alignment wrapText="1"/>
    </xf>
    <xf numFmtId="0" fontId="2" fillId="5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38" borderId="17" xfId="0" applyFont="1" applyFill="1" applyBorder="1" applyAlignment="1">
      <alignment horizontal="right" wrapText="1"/>
    </xf>
    <xf numFmtId="0" fontId="3" fillId="38" borderId="17" xfId="0" applyFont="1" applyFill="1" applyBorder="1" applyAlignment="1">
      <alignment wrapText="1"/>
    </xf>
    <xf numFmtId="0" fontId="2" fillId="38" borderId="17" xfId="0" applyFont="1" applyFill="1" applyBorder="1" applyAlignment="1">
      <alignment horizontal="center" wrapText="1"/>
    </xf>
    <xf numFmtId="2" fontId="0" fillId="51" borderId="17" xfId="42" applyNumberFormat="1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>
      <alignment wrapText="1"/>
    </xf>
    <xf numFmtId="2" fontId="0" fillId="50" borderId="17" xfId="42" applyNumberFormat="1" applyFont="1" applyFill="1" applyBorder="1" applyAlignment="1" applyProtection="1">
      <alignment horizontal="center" wrapText="1"/>
      <protection/>
    </xf>
    <xf numFmtId="0" fontId="2" fillId="0" borderId="17" xfId="0" applyFont="1" applyFill="1" applyBorder="1" applyAlignment="1">
      <alignment horizontal="right" wrapText="1"/>
    </xf>
    <xf numFmtId="2" fontId="0" fillId="38" borderId="17" xfId="42" applyNumberFormat="1" applyFont="1" applyFill="1" applyBorder="1" applyAlignment="1" applyProtection="1">
      <alignment horizontal="center" wrapText="1"/>
      <protection/>
    </xf>
    <xf numFmtId="1" fontId="21" fillId="0" borderId="21" xfId="0" applyNumberFormat="1" applyFont="1" applyFill="1" applyBorder="1" applyAlignment="1">
      <alignment wrapText="1"/>
    </xf>
    <xf numFmtId="1" fontId="0" fillId="52" borderId="10" xfId="0" applyNumberFormat="1" applyFill="1" applyBorder="1" applyAlignment="1">
      <alignment/>
    </xf>
    <xf numFmtId="9" fontId="27" fillId="50" borderId="22" xfId="0" applyNumberFormat="1" applyFont="1" applyFill="1" applyBorder="1" applyAlignment="1">
      <alignment horizontal="center" wrapText="1"/>
    </xf>
    <xf numFmtId="0" fontId="9" fillId="53" borderId="10" xfId="0" applyFont="1" applyFill="1" applyBorder="1" applyAlignment="1">
      <alignment wrapText="1"/>
    </xf>
    <xf numFmtId="0" fontId="62" fillId="19" borderId="0" xfId="0" applyFont="1" applyFill="1" applyAlignment="1">
      <alignment/>
    </xf>
    <xf numFmtId="0" fontId="2" fillId="41" borderId="17" xfId="0" applyFont="1" applyFill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2" fillId="42" borderId="17" xfId="0" applyFont="1" applyFill="1" applyBorder="1" applyAlignment="1">
      <alignment horizontal="center" wrapText="1"/>
    </xf>
    <xf numFmtId="0" fontId="2" fillId="35" borderId="1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1" fontId="10" fillId="0" borderId="0" xfId="0" applyNumberFormat="1" applyFont="1" applyFill="1" applyBorder="1" applyAlignment="1">
      <alignment horizontal="center"/>
    </xf>
    <xf numFmtId="1" fontId="13" fillId="0" borderId="23" xfId="0" applyNumberFormat="1" applyFont="1" applyFill="1" applyBorder="1" applyAlignment="1">
      <alignment horizontal="center"/>
    </xf>
    <xf numFmtId="1" fontId="1" fillId="38" borderId="10" xfId="0" applyNumberFormat="1" applyFont="1" applyFill="1" applyBorder="1" applyAlignment="1">
      <alignment horizontal="justify"/>
    </xf>
    <xf numFmtId="1" fontId="10" fillId="35" borderId="10" xfId="0" applyNumberFormat="1" applyFont="1" applyFill="1" applyBorder="1" applyAlignment="1">
      <alignment horizontal="center" vertical="center"/>
    </xf>
    <xf numFmtId="1" fontId="9" fillId="35" borderId="10" xfId="0" applyNumberFormat="1" applyFont="1" applyFill="1" applyBorder="1" applyAlignment="1">
      <alignment horizontal="center"/>
    </xf>
    <xf numFmtId="1" fontId="10" fillId="42" borderId="10" xfId="0" applyNumberFormat="1" applyFont="1" applyFill="1" applyBorder="1" applyAlignment="1">
      <alignment/>
    </xf>
    <xf numFmtId="1" fontId="10" fillId="39" borderId="10" xfId="0" applyNumberFormat="1" applyFont="1" applyFill="1" applyBorder="1" applyAlignment="1">
      <alignment/>
    </xf>
    <xf numFmtId="1" fontId="10" fillId="36" borderId="10" xfId="0" applyNumberFormat="1" applyFont="1" applyFill="1" applyBorder="1" applyAlignment="1">
      <alignment/>
    </xf>
    <xf numFmtId="1" fontId="1" fillId="37" borderId="10" xfId="0" applyNumberFormat="1" applyFont="1" applyFill="1" applyBorder="1" applyAlignment="1">
      <alignment horizontal="justify"/>
    </xf>
    <xf numFmtId="1" fontId="10" fillId="36" borderId="24" xfId="0" applyNumberFormat="1" applyFont="1" applyFill="1" applyBorder="1" applyAlignment="1">
      <alignment horizontal="center" vertical="center" wrapText="1"/>
    </xf>
    <xf numFmtId="1" fontId="10" fillId="36" borderId="0" xfId="0" applyNumberFormat="1" applyFont="1" applyFill="1" applyBorder="1" applyAlignment="1">
      <alignment horizontal="center" vertical="center" wrapText="1"/>
    </xf>
    <xf numFmtId="1" fontId="10" fillId="36" borderId="25" xfId="0" applyNumberFormat="1" applyFont="1" applyFill="1" applyBorder="1" applyAlignment="1">
      <alignment horizontal="center" vertical="center" wrapText="1"/>
    </xf>
    <xf numFmtId="1" fontId="10" fillId="36" borderId="12" xfId="0" applyNumberFormat="1" applyFont="1" applyFill="1" applyBorder="1" applyAlignment="1">
      <alignment horizontal="center" vertical="center" wrapText="1"/>
    </xf>
    <xf numFmtId="1" fontId="10" fillId="36" borderId="23" xfId="0" applyNumberFormat="1" applyFont="1" applyFill="1" applyBorder="1" applyAlignment="1">
      <alignment horizontal="center" vertical="center" wrapText="1"/>
    </xf>
    <xf numFmtId="1" fontId="10" fillId="36" borderId="26" xfId="0" applyNumberFormat="1" applyFont="1" applyFill="1" applyBorder="1" applyAlignment="1">
      <alignment horizontal="center" vertical="center" wrapText="1"/>
    </xf>
    <xf numFmtId="1" fontId="10" fillId="40" borderId="10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/>
    </xf>
    <xf numFmtId="1" fontId="1" fillId="36" borderId="10" xfId="0" applyNumberFormat="1" applyFont="1" applyFill="1" applyBorder="1" applyAlignment="1">
      <alignment horizontal="justify"/>
    </xf>
    <xf numFmtId="1" fontId="10" fillId="45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46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center" wrapText="1"/>
    </xf>
    <xf numFmtId="0" fontId="0" fillId="38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wrapText="1"/>
    </xf>
    <xf numFmtId="49" fontId="3" fillId="0" borderId="2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1" fontId="2" fillId="33" borderId="0" xfId="0" applyNumberFormat="1" applyFont="1" applyFill="1" applyBorder="1" applyAlignment="1">
      <alignment horizontal="center" wrapText="1"/>
    </xf>
    <xf numFmtId="1" fontId="21" fillId="0" borderId="11" xfId="0" applyNumberFormat="1" applyFont="1" applyFill="1" applyBorder="1" applyAlignment="1">
      <alignment horizontal="right" wrapText="1"/>
    </xf>
    <xf numFmtId="1" fontId="21" fillId="0" borderId="22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right" wrapText="1"/>
    </xf>
    <xf numFmtId="1" fontId="3" fillId="0" borderId="10" xfId="0" applyNumberFormat="1" applyFont="1" applyFill="1" applyBorder="1" applyAlignment="1">
      <alignment horizontal="center" wrapText="1"/>
    </xf>
    <xf numFmtId="1" fontId="2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1" fontId="21" fillId="0" borderId="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 wrapText="1"/>
    </xf>
    <xf numFmtId="1" fontId="21" fillId="0" borderId="0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left" wrapText="1"/>
    </xf>
    <xf numFmtId="0" fontId="20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49" fontId="20" fillId="0" borderId="10" xfId="0" applyNumberFormat="1" applyFont="1" applyFill="1" applyBorder="1" applyAlignment="1">
      <alignment horizontal="center" wrapText="1"/>
    </xf>
    <xf numFmtId="49" fontId="23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wrapText="1"/>
    </xf>
    <xf numFmtId="49" fontId="26" fillId="0" borderId="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99FF"/>
      <rgbColor rgb="00E6E6FF"/>
      <rgbColor rgb="00FFFF66"/>
      <rgbColor rgb="00FFFF99"/>
      <rgbColor rgb="0099CCFF"/>
      <rgbColor rgb="00E6E64C"/>
      <rgbColor rgb="00CC99FF"/>
      <rgbColor rgb="00FFCC99"/>
      <rgbColor rgb="003366FF"/>
      <rgbColor rgb="0033CCCC"/>
      <rgbColor rgb="00AECF00"/>
      <rgbColor rgb="00FFD320"/>
      <rgbColor rgb="00CCCC00"/>
      <rgbColor rgb="00FF420E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215868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Точка безубыточности предприятия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625"/>
          <c:w val="0.73925"/>
          <c:h val="0.81"/>
        </c:manualLayout>
      </c:layout>
      <c:line3DChart>
        <c:grouping val="standard"/>
        <c:varyColors val="0"/>
        <c:ser>
          <c:idx val="0"/>
          <c:order val="0"/>
          <c:tx>
            <c:strRef>
              <c:f>'ТОчк безуб'!$B$22</c:f>
              <c:strCache>
                <c:ptCount val="1"/>
                <c:pt idx="0">
                  <c:v>Валовая выручка предприятия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'ТОчк безуб'!$D$21:$H$21</c:f>
              <c:strCache/>
            </c:strRef>
          </c:cat>
          <c:val>
            <c:numRef>
              <c:f>'ТОчк безуб'!$C$22:$H$22</c:f>
              <c:numCache/>
            </c:numRef>
          </c:val>
          <c:smooth val="0"/>
        </c:ser>
        <c:ser>
          <c:idx val="1"/>
          <c:order val="1"/>
          <c:tx>
            <c:strRef>
              <c:f>'ТОчк безуб'!$B$23</c:f>
              <c:strCache>
                <c:ptCount val="1"/>
                <c:pt idx="0">
                  <c:v>Постоянные расходы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'ТОчк безуб'!$D$21:$H$21</c:f>
              <c:strCache/>
            </c:strRef>
          </c:cat>
          <c:val>
            <c:numRef>
              <c:f>'ТОчк безуб'!$C$23:$H$23</c:f>
              <c:numCache/>
            </c:numRef>
          </c:val>
          <c:smooth val="0"/>
        </c:ser>
        <c:ser>
          <c:idx val="2"/>
          <c:order val="2"/>
          <c:tx>
            <c:strRef>
              <c:f>'ТОчк безуб'!$B$24</c:f>
              <c:strCache>
                <c:ptCount val="1"/>
                <c:pt idx="0">
                  <c:v>Переменные расходы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'ТОчк безуб'!$D$21:$H$21</c:f>
              <c:strCache/>
            </c:strRef>
          </c:cat>
          <c:val>
            <c:numRef>
              <c:f>'ТОчк безуб'!$C$24:$H$24</c:f>
              <c:numCache/>
            </c:numRef>
          </c:val>
          <c:smooth val="0"/>
        </c:ser>
        <c:axId val="26449925"/>
        <c:axId val="36722734"/>
        <c:axId val="62069151"/>
      </c:line3DChart>
      <c:catAx>
        <c:axId val="26449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722734"/>
        <c:crossesAt val="0"/>
        <c:auto val="1"/>
        <c:lblOffset val="100"/>
        <c:tickLblSkip val="1"/>
        <c:noMultiLvlLbl val="0"/>
      </c:catAx>
      <c:valAx>
        <c:axId val="3672273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449925"/>
        <c:crossesAt val="1"/>
        <c:crossBetween val="between"/>
        <c:dispUnits/>
      </c:valAx>
      <c:serAx>
        <c:axId val="62069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722734"/>
        <c:crossesAt val="0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3"/>
          <c:y val="0.48"/>
          <c:w val="0.233"/>
          <c:h val="0.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3</xdr:row>
      <xdr:rowOff>47625</xdr:rowOff>
    </xdr:from>
    <xdr:to>
      <xdr:col>12</xdr:col>
      <xdr:colOff>752475</xdr:colOff>
      <xdr:row>17</xdr:row>
      <xdr:rowOff>19050</xdr:rowOff>
    </xdr:to>
    <xdr:graphicFrame>
      <xdr:nvGraphicFramePr>
        <xdr:cNvPr id="1" name="Диаграмма 1"/>
        <xdr:cNvGraphicFramePr/>
      </xdr:nvGraphicFramePr>
      <xdr:xfrm>
        <a:off x="4962525" y="581025"/>
        <a:ext cx="75152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zoomScale="75" zoomScaleNormal="75" zoomScalePageLayoutView="0" workbookViewId="0" topLeftCell="A1">
      <selection activeCell="A4" sqref="A4"/>
    </sheetView>
  </sheetViews>
  <sheetFormatPr defaultColWidth="9.8515625" defaultRowHeight="15"/>
  <cols>
    <col min="1" max="1" width="34.7109375" style="1" customWidth="1"/>
    <col min="2" max="3" width="19.7109375" style="2" customWidth="1"/>
    <col min="4" max="4" width="11.28125" style="2" customWidth="1"/>
    <col min="5" max="8" width="8.7109375" style="2" customWidth="1"/>
    <col min="9" max="9" width="10.57421875" style="2" customWidth="1"/>
    <col min="10" max="13" width="8.7109375" style="2" customWidth="1"/>
    <col min="14" max="14" width="10.57421875" style="2" customWidth="1"/>
    <col min="15" max="15" width="8.7109375" style="2" customWidth="1"/>
    <col min="16" max="19" width="9.28125" style="3" customWidth="1"/>
    <col min="20" max="16384" width="9.8515625" style="1" customWidth="1"/>
  </cols>
  <sheetData>
    <row r="1" spans="1:19" ht="12.75" customHeight="1">
      <c r="A1" s="319" t="s">
        <v>0</v>
      </c>
      <c r="B1" s="319"/>
      <c r="C1" s="319"/>
      <c r="D1" s="320" t="s">
        <v>1</v>
      </c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</row>
    <row r="2" spans="1:256" s="2" customFormat="1" ht="40.5" customHeight="1">
      <c r="A2" s="265" t="s">
        <v>0</v>
      </c>
      <c r="B2" s="265" t="s">
        <v>2</v>
      </c>
      <c r="C2" s="265" t="s">
        <v>3</v>
      </c>
      <c r="D2" s="321" t="s">
        <v>4</v>
      </c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 t="s">
        <v>5</v>
      </c>
      <c r="Q2" s="321" t="s">
        <v>6</v>
      </c>
      <c r="R2" s="321" t="s">
        <v>7</v>
      </c>
      <c r="S2" s="321" t="s">
        <v>8</v>
      </c>
      <c r="IV2" s="1"/>
    </row>
    <row r="3" spans="1:19" ht="37.5" customHeight="1">
      <c r="A3" s="267" t="s">
        <v>9</v>
      </c>
      <c r="B3" s="268"/>
      <c r="C3" s="269" t="s">
        <v>10</v>
      </c>
      <c r="D3" s="266">
        <f>'Дисконтированные потоки'!C4</f>
        <v>1</v>
      </c>
      <c r="E3" s="266">
        <f>'Дисконтированные потоки'!D4</f>
        <v>2</v>
      </c>
      <c r="F3" s="266">
        <f>'Дисконтированные потоки'!I4</f>
        <v>1</v>
      </c>
      <c r="G3" s="266">
        <f>'Дисконтированные потоки'!J4</f>
        <v>2</v>
      </c>
      <c r="H3" s="266">
        <f>'Дисконтированные потоки'!K4</f>
        <v>3</v>
      </c>
      <c r="I3" s="266">
        <f>'Дисконтированные потоки'!L4</f>
        <v>4</v>
      </c>
      <c r="J3" s="266">
        <f>'Дисконтированные потоки'!M4</f>
        <v>5</v>
      </c>
      <c r="K3" s="266">
        <f>'Дисконтированные потоки'!N4</f>
        <v>6</v>
      </c>
      <c r="L3" s="266">
        <f>'Дисконтированные потоки'!O4</f>
        <v>7</v>
      </c>
      <c r="M3" s="266">
        <f>'Дисконтированные потоки'!P4</f>
        <v>8</v>
      </c>
      <c r="N3" s="266">
        <f>'Дисконтированные потоки'!Q4</f>
        <v>9</v>
      </c>
      <c r="O3" s="266">
        <v>12</v>
      </c>
      <c r="P3" s="321"/>
      <c r="Q3" s="321"/>
      <c r="R3" s="321"/>
      <c r="S3" s="321"/>
    </row>
    <row r="4" spans="1:19" ht="96">
      <c r="A4" s="267" t="s">
        <v>11</v>
      </c>
      <c r="B4" s="268" t="s">
        <v>12</v>
      </c>
      <c r="C4" s="269" t="s">
        <v>13</v>
      </c>
      <c r="D4" s="270" t="str">
        <f aca="true" t="shared" si="0" ref="D4:D12">A4</f>
        <v>Создание документации по проекту (бизнес план, смета по ремонту помещения)</v>
      </c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</row>
    <row r="5" spans="1:256" s="2" customFormat="1" ht="36.75" customHeight="1">
      <c r="A5" s="271" t="s">
        <v>14</v>
      </c>
      <c r="B5" s="272" t="s">
        <v>12</v>
      </c>
      <c r="C5" s="272" t="s">
        <v>15</v>
      </c>
      <c r="D5" s="270" t="str">
        <f t="shared" si="0"/>
        <v>Заключение инвестиционного договора</v>
      </c>
      <c r="E5" s="270"/>
      <c r="F5" s="273"/>
      <c r="G5" s="270"/>
      <c r="H5" s="270"/>
      <c r="I5" s="270"/>
      <c r="J5" s="270"/>
      <c r="K5" s="270"/>
      <c r="L5" s="270"/>
      <c r="M5" s="270"/>
      <c r="N5" s="270"/>
      <c r="O5" s="270"/>
      <c r="P5" s="274"/>
      <c r="Q5" s="274"/>
      <c r="R5" s="274"/>
      <c r="S5" s="274"/>
      <c r="IV5" s="1"/>
    </row>
    <row r="6" spans="1:19" ht="42.75" customHeight="1">
      <c r="A6" s="267" t="s">
        <v>16</v>
      </c>
      <c r="B6" s="269" t="s">
        <v>17</v>
      </c>
      <c r="C6" s="269" t="s">
        <v>13</v>
      </c>
      <c r="D6" s="275" t="str">
        <f t="shared" si="0"/>
        <v>Получение инвестиционных средств</v>
      </c>
      <c r="E6" s="270"/>
      <c r="F6" s="273"/>
      <c r="G6" s="270"/>
      <c r="H6" s="270"/>
      <c r="I6" s="270"/>
      <c r="J6" s="270"/>
      <c r="K6" s="270"/>
      <c r="L6" s="270"/>
      <c r="M6" s="270"/>
      <c r="N6" s="270"/>
      <c r="O6" s="270"/>
      <c r="P6" s="274"/>
      <c r="Q6" s="274"/>
      <c r="R6" s="274"/>
      <c r="S6" s="274"/>
    </row>
    <row r="7" spans="1:256" s="2" customFormat="1" ht="110.25">
      <c r="A7" s="271" t="s">
        <v>18</v>
      </c>
      <c r="B7" s="272" t="s">
        <v>14</v>
      </c>
      <c r="C7" s="272" t="s">
        <v>19</v>
      </c>
      <c r="D7" s="265" t="str">
        <f t="shared" si="0"/>
        <v>Внесение в госреестр,  постановка на учет в административных и налоговых органах</v>
      </c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IV7" s="1"/>
    </row>
    <row r="8" spans="1:19" ht="69">
      <c r="A8" s="267" t="s">
        <v>20</v>
      </c>
      <c r="B8" s="269" t="s">
        <v>21</v>
      </c>
      <c r="C8" s="269" t="s">
        <v>13</v>
      </c>
      <c r="D8" s="276" t="str">
        <f t="shared" si="0"/>
        <v>Подбор местоположения и оформление документации</v>
      </c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4"/>
      <c r="Q8" s="274"/>
      <c r="R8" s="274"/>
      <c r="S8" s="274"/>
    </row>
    <row r="9" spans="1:19" ht="39.75" customHeight="1">
      <c r="A9" s="267" t="s">
        <v>22</v>
      </c>
      <c r="B9" s="272" t="s">
        <v>14</v>
      </c>
      <c r="C9" s="269" t="s">
        <v>23</v>
      </c>
      <c r="D9" s="277" t="str">
        <f t="shared" si="0"/>
        <v>Покупка оборудования</v>
      </c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</row>
    <row r="10" spans="1:19" ht="35.25" customHeight="1">
      <c r="A10" s="267" t="s">
        <v>24</v>
      </c>
      <c r="B10" s="269" t="s">
        <v>16</v>
      </c>
      <c r="C10" s="269" t="s">
        <v>23</v>
      </c>
      <c r="D10" s="278" t="str">
        <f t="shared" si="0"/>
        <v>Установка оборудования</v>
      </c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4"/>
      <c r="Q10" s="274"/>
      <c r="R10" s="274"/>
      <c r="S10" s="274"/>
    </row>
    <row r="11" spans="1:19" ht="40.5" customHeight="1">
      <c r="A11" s="267" t="s">
        <v>25</v>
      </c>
      <c r="B11" s="269" t="s">
        <v>26</v>
      </c>
      <c r="C11" s="269" t="s">
        <v>19</v>
      </c>
      <c r="D11" s="279" t="str">
        <f t="shared" si="0"/>
        <v>Найм персонала</v>
      </c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4"/>
      <c r="Q11" s="274"/>
      <c r="R11" s="274"/>
      <c r="S11" s="274"/>
    </row>
    <row r="12" spans="1:19" ht="47.25" customHeight="1">
      <c r="A12" s="267" t="s">
        <v>27</v>
      </c>
      <c r="B12" s="272" t="s">
        <v>28</v>
      </c>
      <c r="C12" s="269" t="s">
        <v>19</v>
      </c>
      <c r="D12" s="280" t="str">
        <f t="shared" si="0"/>
        <v>Обучение персонала</v>
      </c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4"/>
      <c r="Q12" s="274"/>
      <c r="R12" s="274"/>
      <c r="S12" s="274"/>
    </row>
    <row r="13" spans="1:19" ht="31.5" customHeight="1">
      <c r="A13" s="271" t="s">
        <v>29</v>
      </c>
      <c r="B13" s="272" t="s">
        <v>30</v>
      </c>
      <c r="C13" s="272" t="s">
        <v>31</v>
      </c>
      <c r="D13" s="317" t="s">
        <v>29</v>
      </c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</row>
    <row r="14" spans="1:19" ht="30.75" customHeight="1">
      <c r="A14" s="267" t="s">
        <v>32</v>
      </c>
      <c r="B14" s="268"/>
      <c r="C14" s="269" t="s">
        <v>33</v>
      </c>
      <c r="D14" s="318" t="s">
        <v>32</v>
      </c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</row>
    <row r="15" spans="4:19" ht="13.5"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6:19" ht="13.5">
      <c r="P16" s="1"/>
      <c r="Q16" s="1"/>
      <c r="R16" s="1"/>
      <c r="S16" s="1"/>
    </row>
    <row r="17" spans="16:19" ht="13.5">
      <c r="P17" s="1"/>
      <c r="Q17" s="1"/>
      <c r="R17" s="1"/>
      <c r="S17" s="1"/>
    </row>
    <row r="18" spans="6:19" ht="13.5">
      <c r="F18" s="7"/>
      <c r="P18" s="1"/>
      <c r="Q18" s="1"/>
      <c r="R18" s="1"/>
      <c r="S18" s="1"/>
    </row>
    <row r="19" spans="16:19" ht="13.5">
      <c r="P19" s="1"/>
      <c r="Q19" s="1"/>
      <c r="R19" s="1"/>
      <c r="S19" s="1"/>
    </row>
    <row r="20" spans="16:19" ht="13.5">
      <c r="P20" s="1"/>
      <c r="Q20" s="1"/>
      <c r="R20" s="1"/>
      <c r="S20" s="1"/>
    </row>
    <row r="21" spans="16:19" ht="13.5">
      <c r="P21" s="1"/>
      <c r="Q21" s="1"/>
      <c r="R21" s="1"/>
      <c r="S21" s="1"/>
    </row>
    <row r="22" spans="16:19" ht="13.5">
      <c r="P22" s="1"/>
      <c r="Q22" s="1"/>
      <c r="R22" s="1"/>
      <c r="S22" s="1"/>
    </row>
    <row r="23" spans="16:19" ht="13.5">
      <c r="P23" s="1"/>
      <c r="Q23" s="1"/>
      <c r="R23" s="1"/>
      <c r="S23" s="1"/>
    </row>
    <row r="24" spans="16:19" ht="13.5">
      <c r="P24" s="1"/>
      <c r="Q24" s="1"/>
      <c r="R24" s="1"/>
      <c r="S24" s="1"/>
    </row>
    <row r="25" spans="16:19" ht="13.5">
      <c r="P25" s="1"/>
      <c r="Q25" s="1"/>
      <c r="R25" s="1"/>
      <c r="S25" s="1"/>
    </row>
    <row r="26" spans="16:19" ht="13.5">
      <c r="P26" s="1"/>
      <c r="Q26" s="1"/>
      <c r="R26" s="1"/>
      <c r="S26" s="1"/>
    </row>
    <row r="27" spans="16:19" ht="13.5">
      <c r="P27" s="1"/>
      <c r="Q27" s="1"/>
      <c r="R27" s="1"/>
      <c r="S27" s="1"/>
    </row>
    <row r="28" spans="16:19" ht="13.5">
      <c r="P28" s="1"/>
      <c r="Q28" s="1"/>
      <c r="R28" s="1"/>
      <c r="S28" s="1"/>
    </row>
    <row r="29" spans="16:19" ht="13.5">
      <c r="P29" s="1"/>
      <c r="Q29" s="1"/>
      <c r="R29" s="1"/>
      <c r="S29" s="1"/>
    </row>
    <row r="30" spans="16:19" ht="13.5">
      <c r="P30" s="1"/>
      <c r="Q30" s="1"/>
      <c r="R30" s="1"/>
      <c r="S30" s="1"/>
    </row>
    <row r="31" spans="16:19" ht="13.5">
      <c r="P31" s="1"/>
      <c r="Q31" s="1"/>
      <c r="R31" s="1"/>
      <c r="S31" s="1"/>
    </row>
    <row r="32" spans="16:19" ht="13.5">
      <c r="P32" s="1"/>
      <c r="Q32" s="1"/>
      <c r="R32" s="1"/>
      <c r="S32" s="1"/>
    </row>
    <row r="33" spans="16:19" ht="13.5">
      <c r="P33" s="1"/>
      <c r="Q33" s="1"/>
      <c r="R33" s="1"/>
      <c r="S33" s="1"/>
    </row>
    <row r="34" spans="16:19" ht="13.5">
      <c r="P34" s="1"/>
      <c r="Q34" s="1"/>
      <c r="R34" s="1"/>
      <c r="S34" s="1"/>
    </row>
    <row r="35" spans="16:19" ht="13.5">
      <c r="P35" s="1"/>
      <c r="Q35" s="1"/>
      <c r="R35" s="1"/>
      <c r="S35" s="1"/>
    </row>
    <row r="36" spans="16:19" ht="13.5">
      <c r="P36" s="1"/>
      <c r="Q36" s="1"/>
      <c r="R36" s="1"/>
      <c r="S36" s="1"/>
    </row>
    <row r="37" spans="16:19" ht="13.5">
      <c r="P37" s="1"/>
      <c r="Q37" s="1"/>
      <c r="R37" s="1"/>
      <c r="S37" s="1"/>
    </row>
    <row r="38" spans="16:19" ht="13.5">
      <c r="P38" s="1"/>
      <c r="Q38" s="1"/>
      <c r="R38" s="1"/>
      <c r="S38" s="1"/>
    </row>
    <row r="39" spans="16:19" ht="13.5">
      <c r="P39" s="1"/>
      <c r="Q39" s="1"/>
      <c r="R39" s="1"/>
      <c r="S39" s="1"/>
    </row>
    <row r="40" spans="16:19" ht="13.5">
      <c r="P40" s="1"/>
      <c r="Q40" s="1"/>
      <c r="R40" s="1"/>
      <c r="S40" s="1"/>
    </row>
    <row r="41" spans="16:19" ht="13.5">
      <c r="P41" s="1"/>
      <c r="Q41" s="1"/>
      <c r="R41" s="1"/>
      <c r="S41" s="1"/>
    </row>
    <row r="42" spans="16:19" ht="13.5">
      <c r="P42" s="1"/>
      <c r="Q42" s="1"/>
      <c r="R42" s="1"/>
      <c r="S42" s="1"/>
    </row>
    <row r="43" spans="16:19" ht="13.5">
      <c r="P43" s="1"/>
      <c r="Q43" s="1"/>
      <c r="R43" s="1"/>
      <c r="S43" s="1"/>
    </row>
    <row r="44" spans="16:19" ht="13.5">
      <c r="P44" s="1"/>
      <c r="Q44" s="1"/>
      <c r="R44" s="1"/>
      <c r="S44" s="1"/>
    </row>
    <row r="45" spans="16:19" ht="13.5">
      <c r="P45" s="1"/>
      <c r="Q45" s="1"/>
      <c r="R45" s="1"/>
      <c r="S45" s="1"/>
    </row>
    <row r="46" spans="16:19" ht="13.5">
      <c r="P46" s="1"/>
      <c r="Q46" s="1"/>
      <c r="R46" s="1"/>
      <c r="S46" s="1"/>
    </row>
    <row r="47" spans="16:19" ht="13.5">
      <c r="P47" s="1"/>
      <c r="Q47" s="1"/>
      <c r="R47" s="1"/>
      <c r="S47" s="1"/>
    </row>
    <row r="48" spans="16:19" ht="13.5">
      <c r="P48" s="1"/>
      <c r="Q48" s="1"/>
      <c r="R48" s="1"/>
      <c r="S48" s="1"/>
    </row>
    <row r="49" spans="16:19" ht="13.5">
      <c r="P49" s="1"/>
      <c r="Q49" s="1"/>
      <c r="R49" s="1"/>
      <c r="S49" s="1"/>
    </row>
    <row r="50" spans="16:19" ht="13.5">
      <c r="P50" s="1"/>
      <c r="Q50" s="1"/>
      <c r="R50" s="1"/>
      <c r="S50" s="1"/>
    </row>
    <row r="51" spans="16:19" ht="13.5">
      <c r="P51" s="1"/>
      <c r="Q51" s="1"/>
      <c r="R51" s="1"/>
      <c r="S51" s="1"/>
    </row>
    <row r="52" spans="16:19" ht="13.5">
      <c r="P52" s="1"/>
      <c r="Q52" s="1"/>
      <c r="R52" s="1"/>
      <c r="S52" s="1"/>
    </row>
    <row r="53" spans="16:19" ht="13.5">
      <c r="P53" s="1"/>
      <c r="Q53" s="1"/>
      <c r="R53" s="1"/>
      <c r="S53" s="1"/>
    </row>
    <row r="54" spans="16:19" ht="13.5">
      <c r="P54" s="1"/>
      <c r="Q54" s="1"/>
      <c r="R54" s="1"/>
      <c r="S54" s="1"/>
    </row>
    <row r="55" spans="16:19" ht="13.5">
      <c r="P55" s="1"/>
      <c r="Q55" s="1"/>
      <c r="R55" s="1"/>
      <c r="S55" s="1"/>
    </row>
    <row r="56" spans="16:19" ht="13.5">
      <c r="P56" s="1"/>
      <c r="Q56" s="1"/>
      <c r="R56" s="1"/>
      <c r="S56" s="1"/>
    </row>
    <row r="57" spans="16:19" ht="13.5">
      <c r="P57" s="1"/>
      <c r="Q57" s="1"/>
      <c r="R57" s="1"/>
      <c r="S57" s="1"/>
    </row>
    <row r="58" spans="16:19" ht="13.5">
      <c r="P58" s="1"/>
      <c r="Q58" s="1"/>
      <c r="R58" s="1"/>
      <c r="S58" s="1"/>
    </row>
    <row r="59" spans="16:19" ht="13.5">
      <c r="P59" s="1"/>
      <c r="Q59" s="1"/>
      <c r="R59" s="1"/>
      <c r="S59" s="1"/>
    </row>
    <row r="60" spans="16:19" ht="13.5">
      <c r="P60" s="1"/>
      <c r="Q60" s="1"/>
      <c r="R60" s="1"/>
      <c r="S60" s="1"/>
    </row>
    <row r="61" spans="16:19" ht="13.5">
      <c r="P61" s="1"/>
      <c r="Q61" s="1"/>
      <c r="R61" s="1"/>
      <c r="S61" s="1"/>
    </row>
    <row r="62" spans="16:19" ht="13.5">
      <c r="P62" s="1"/>
      <c r="Q62" s="1"/>
      <c r="R62" s="1"/>
      <c r="S62" s="1"/>
    </row>
    <row r="63" spans="16:19" ht="13.5">
      <c r="P63" s="1"/>
      <c r="Q63" s="1"/>
      <c r="R63" s="1"/>
      <c r="S63" s="1"/>
    </row>
    <row r="64" spans="16:19" ht="13.5">
      <c r="P64" s="1"/>
      <c r="Q64" s="1"/>
      <c r="R64" s="1"/>
      <c r="S64" s="1"/>
    </row>
    <row r="65" spans="16:19" ht="13.5">
      <c r="P65" s="1"/>
      <c r="Q65" s="1"/>
      <c r="R65" s="1"/>
      <c r="S65" s="1"/>
    </row>
    <row r="66" spans="16:19" ht="13.5">
      <c r="P66" s="1"/>
      <c r="Q66" s="1"/>
      <c r="R66" s="1"/>
      <c r="S66" s="1"/>
    </row>
    <row r="67" spans="16:19" ht="13.5">
      <c r="P67" s="1"/>
      <c r="Q67" s="1"/>
      <c r="R67" s="1"/>
      <c r="S67" s="1"/>
    </row>
    <row r="68" spans="16:19" ht="13.5">
      <c r="P68" s="1"/>
      <c r="Q68" s="1"/>
      <c r="R68" s="1"/>
      <c r="S68" s="1"/>
    </row>
    <row r="69" spans="16:19" ht="13.5">
      <c r="P69" s="1"/>
      <c r="Q69" s="1"/>
      <c r="R69" s="1"/>
      <c r="S69" s="1"/>
    </row>
    <row r="70" spans="16:19" ht="13.5">
      <c r="P70" s="1"/>
      <c r="Q70" s="1"/>
      <c r="R70" s="1"/>
      <c r="S70" s="1"/>
    </row>
    <row r="71" spans="16:19" ht="13.5">
      <c r="P71" s="1"/>
      <c r="Q71" s="1"/>
      <c r="R71" s="1"/>
      <c r="S71" s="1"/>
    </row>
    <row r="72" spans="16:19" ht="13.5">
      <c r="P72" s="1"/>
      <c r="Q72" s="1"/>
      <c r="R72" s="1"/>
      <c r="S72" s="1"/>
    </row>
    <row r="73" spans="16:19" ht="13.5">
      <c r="P73" s="1"/>
      <c r="Q73" s="1"/>
      <c r="R73" s="1"/>
      <c r="S73" s="1"/>
    </row>
    <row r="74" spans="16:19" ht="13.5">
      <c r="P74" s="1"/>
      <c r="Q74" s="1"/>
      <c r="R74" s="1"/>
      <c r="S74" s="1"/>
    </row>
    <row r="75" spans="16:19" ht="13.5">
      <c r="P75" s="1"/>
      <c r="Q75" s="1"/>
      <c r="R75" s="1"/>
      <c r="S75" s="1"/>
    </row>
    <row r="76" spans="16:19" ht="13.5">
      <c r="P76" s="1"/>
      <c r="Q76" s="1"/>
      <c r="R76" s="1"/>
      <c r="S76" s="1"/>
    </row>
    <row r="77" spans="16:19" ht="13.5">
      <c r="P77" s="1"/>
      <c r="Q77" s="1"/>
      <c r="R77" s="1"/>
      <c r="S77" s="1"/>
    </row>
    <row r="78" spans="16:19" ht="13.5">
      <c r="P78" s="1"/>
      <c r="Q78" s="1"/>
      <c r="R78" s="1"/>
      <c r="S78" s="1"/>
    </row>
    <row r="79" spans="16:19" ht="13.5">
      <c r="P79" s="1"/>
      <c r="Q79" s="1"/>
      <c r="R79" s="1"/>
      <c r="S79" s="1"/>
    </row>
    <row r="80" spans="16:19" ht="13.5">
      <c r="P80" s="1"/>
      <c r="Q80" s="1"/>
      <c r="R80" s="1"/>
      <c r="S80" s="1"/>
    </row>
    <row r="81" spans="16:19" ht="13.5">
      <c r="P81" s="1"/>
      <c r="Q81" s="1"/>
      <c r="R81" s="1"/>
      <c r="S81" s="1"/>
    </row>
    <row r="82" spans="16:19" ht="13.5">
      <c r="P82" s="1"/>
      <c r="Q82" s="1"/>
      <c r="R82" s="1"/>
      <c r="S82" s="1"/>
    </row>
    <row r="83" spans="16:19" ht="13.5">
      <c r="P83" s="1"/>
      <c r="Q83" s="1"/>
      <c r="R83" s="1"/>
      <c r="S83" s="1"/>
    </row>
    <row r="84" spans="16:19" ht="13.5">
      <c r="P84" s="1"/>
      <c r="Q84" s="1"/>
      <c r="R84" s="1"/>
      <c r="S84" s="1"/>
    </row>
    <row r="85" spans="16:19" ht="13.5">
      <c r="P85" s="1"/>
      <c r="Q85" s="1"/>
      <c r="R85" s="1"/>
      <c r="S85" s="1"/>
    </row>
    <row r="86" spans="16:19" ht="13.5">
      <c r="P86" s="1"/>
      <c r="Q86" s="1"/>
      <c r="R86" s="1"/>
      <c r="S86" s="1"/>
    </row>
    <row r="87" spans="16:19" ht="13.5">
      <c r="P87" s="1"/>
      <c r="Q87" s="1"/>
      <c r="R87" s="1"/>
      <c r="S87" s="1"/>
    </row>
    <row r="88" spans="16:19" ht="13.5">
      <c r="P88" s="1"/>
      <c r="Q88" s="1"/>
      <c r="R88" s="1"/>
      <c r="S88" s="1"/>
    </row>
    <row r="89" spans="16:19" ht="13.5">
      <c r="P89" s="1"/>
      <c r="Q89" s="1"/>
      <c r="R89" s="1"/>
      <c r="S89" s="1"/>
    </row>
    <row r="90" spans="16:19" ht="13.5">
      <c r="P90" s="1"/>
      <c r="Q90" s="1"/>
      <c r="R90" s="1"/>
      <c r="S90" s="1"/>
    </row>
    <row r="91" spans="16:19" ht="13.5">
      <c r="P91" s="1"/>
      <c r="Q91" s="1"/>
      <c r="R91" s="1"/>
      <c r="S91" s="1"/>
    </row>
    <row r="92" spans="16:19" ht="13.5">
      <c r="P92" s="1"/>
      <c r="Q92" s="1"/>
      <c r="R92" s="1"/>
      <c r="S92" s="1"/>
    </row>
    <row r="93" spans="16:19" ht="13.5">
      <c r="P93" s="1"/>
      <c r="Q93" s="1"/>
      <c r="R93" s="1"/>
      <c r="S93" s="1"/>
    </row>
    <row r="94" spans="16:19" ht="13.5">
      <c r="P94" s="1"/>
      <c r="Q94" s="1"/>
      <c r="R94" s="1"/>
      <c r="S94" s="1"/>
    </row>
    <row r="95" spans="16:19" ht="13.5">
      <c r="P95" s="1"/>
      <c r="Q95" s="1"/>
      <c r="R95" s="1"/>
      <c r="S95" s="1"/>
    </row>
    <row r="96" spans="16:19" ht="13.5">
      <c r="P96" s="1"/>
      <c r="Q96" s="1"/>
      <c r="R96" s="1"/>
      <c r="S96" s="1"/>
    </row>
    <row r="97" spans="16:19" ht="13.5">
      <c r="P97" s="1"/>
      <c r="Q97" s="1"/>
      <c r="R97" s="1"/>
      <c r="S97" s="1"/>
    </row>
    <row r="98" spans="16:19" ht="13.5">
      <c r="P98" s="1"/>
      <c r="Q98" s="1"/>
      <c r="R98" s="1"/>
      <c r="S98" s="1"/>
    </row>
    <row r="99" spans="16:19" ht="13.5">
      <c r="P99" s="1"/>
      <c r="Q99" s="1"/>
      <c r="R99" s="1"/>
      <c r="S99" s="1"/>
    </row>
    <row r="100" spans="16:19" ht="13.5">
      <c r="P100" s="1"/>
      <c r="Q100" s="1"/>
      <c r="R100" s="1"/>
      <c r="S100" s="1"/>
    </row>
    <row r="101" spans="16:19" ht="13.5">
      <c r="P101" s="1"/>
      <c r="Q101" s="1"/>
      <c r="R101" s="1"/>
      <c r="S101" s="1"/>
    </row>
    <row r="102" spans="16:19" ht="13.5">
      <c r="P102" s="1"/>
      <c r="Q102" s="1"/>
      <c r="R102" s="1"/>
      <c r="S102" s="1"/>
    </row>
    <row r="103" spans="16:19" ht="13.5">
      <c r="P103" s="1"/>
      <c r="Q103" s="1"/>
      <c r="R103" s="1"/>
      <c r="S103" s="1"/>
    </row>
    <row r="104" spans="16:19" ht="13.5">
      <c r="P104" s="1"/>
      <c r="Q104" s="1"/>
      <c r="R104" s="1"/>
      <c r="S104" s="1"/>
    </row>
    <row r="105" spans="16:19" ht="13.5">
      <c r="P105" s="1"/>
      <c r="Q105" s="1"/>
      <c r="R105" s="1"/>
      <c r="S105" s="1"/>
    </row>
    <row r="106" spans="16:19" ht="13.5">
      <c r="P106" s="1"/>
      <c r="Q106" s="1"/>
      <c r="R106" s="1"/>
      <c r="S106" s="1"/>
    </row>
    <row r="107" spans="16:19" ht="13.5">
      <c r="P107" s="1"/>
      <c r="Q107" s="1"/>
      <c r="R107" s="1"/>
      <c r="S107" s="1"/>
    </row>
    <row r="108" spans="16:19" ht="13.5">
      <c r="P108" s="1"/>
      <c r="Q108" s="1"/>
      <c r="R108" s="1"/>
      <c r="S108" s="1"/>
    </row>
    <row r="109" spans="16:19" ht="13.5">
      <c r="P109" s="1"/>
      <c r="Q109" s="1"/>
      <c r="R109" s="1"/>
      <c r="S109" s="1"/>
    </row>
    <row r="110" spans="16:19" ht="13.5">
      <c r="P110" s="1"/>
      <c r="Q110" s="1"/>
      <c r="R110" s="1"/>
      <c r="S110" s="1"/>
    </row>
    <row r="111" spans="16:19" ht="13.5">
      <c r="P111" s="1"/>
      <c r="Q111" s="1"/>
      <c r="R111" s="1"/>
      <c r="S111" s="1"/>
    </row>
    <row r="112" spans="16:19" ht="13.5">
      <c r="P112" s="1"/>
      <c r="Q112" s="1"/>
      <c r="R112" s="1"/>
      <c r="S112" s="1"/>
    </row>
    <row r="113" spans="16:19" ht="13.5">
      <c r="P113" s="1"/>
      <c r="Q113" s="1"/>
      <c r="R113" s="1"/>
      <c r="S113" s="1"/>
    </row>
    <row r="114" spans="16:19" ht="13.5">
      <c r="P114" s="1"/>
      <c r="Q114" s="1"/>
      <c r="R114" s="1"/>
      <c r="S114" s="1"/>
    </row>
    <row r="115" spans="16:19" ht="13.5">
      <c r="P115" s="1"/>
      <c r="Q115" s="1"/>
      <c r="R115" s="1"/>
      <c r="S115" s="1"/>
    </row>
    <row r="116" spans="16:19" ht="13.5">
      <c r="P116" s="1"/>
      <c r="Q116" s="1"/>
      <c r="R116" s="1"/>
      <c r="S116" s="1"/>
    </row>
    <row r="117" spans="16:19" ht="13.5">
      <c r="P117" s="1"/>
      <c r="Q117" s="1"/>
      <c r="R117" s="1"/>
      <c r="S117" s="1"/>
    </row>
    <row r="118" spans="16:19" ht="13.5">
      <c r="P118" s="1"/>
      <c r="Q118" s="1"/>
      <c r="R118" s="1"/>
      <c r="S118" s="1"/>
    </row>
    <row r="119" spans="16:19" ht="13.5">
      <c r="P119" s="1"/>
      <c r="Q119" s="1"/>
      <c r="R119" s="1"/>
      <c r="S119" s="1"/>
    </row>
    <row r="120" spans="16:19" ht="13.5">
      <c r="P120" s="1"/>
      <c r="Q120" s="1"/>
      <c r="R120" s="1"/>
      <c r="S120" s="1"/>
    </row>
    <row r="121" spans="16:19" ht="13.5">
      <c r="P121" s="1"/>
      <c r="Q121" s="1"/>
      <c r="R121" s="1"/>
      <c r="S121" s="1"/>
    </row>
    <row r="122" spans="16:19" ht="13.5">
      <c r="P122" s="1"/>
      <c r="Q122" s="1"/>
      <c r="R122" s="1"/>
      <c r="S122" s="1"/>
    </row>
    <row r="123" spans="16:19" ht="13.5">
      <c r="P123" s="1"/>
      <c r="Q123" s="1"/>
      <c r="R123" s="1"/>
      <c r="S123" s="1"/>
    </row>
    <row r="124" spans="16:19" ht="13.5">
      <c r="P124" s="1"/>
      <c r="Q124" s="1"/>
      <c r="R124" s="1"/>
      <c r="S124" s="1"/>
    </row>
    <row r="125" spans="16:19" ht="13.5">
      <c r="P125" s="1"/>
      <c r="Q125" s="1"/>
      <c r="R125" s="1"/>
      <c r="S125" s="1"/>
    </row>
    <row r="126" spans="16:19" ht="13.5">
      <c r="P126" s="1"/>
      <c r="Q126" s="1"/>
      <c r="R126" s="1"/>
      <c r="S126" s="1"/>
    </row>
    <row r="127" spans="16:19" ht="13.5">
      <c r="P127" s="1"/>
      <c r="Q127" s="1"/>
      <c r="R127" s="1"/>
      <c r="S127" s="1"/>
    </row>
    <row r="128" spans="16:19" ht="13.5">
      <c r="P128" s="1"/>
      <c r="Q128" s="1"/>
      <c r="R128" s="1"/>
      <c r="S128" s="1"/>
    </row>
    <row r="129" spans="16:19" ht="13.5">
      <c r="P129" s="1"/>
      <c r="Q129" s="1"/>
      <c r="R129" s="1"/>
      <c r="S129" s="1"/>
    </row>
    <row r="130" spans="16:19" ht="13.5">
      <c r="P130" s="1"/>
      <c r="Q130" s="1"/>
      <c r="R130" s="1"/>
      <c r="S130" s="1"/>
    </row>
    <row r="131" spans="16:19" ht="13.5">
      <c r="P131" s="1"/>
      <c r="Q131" s="1"/>
      <c r="R131" s="1"/>
      <c r="S131" s="1"/>
    </row>
    <row r="132" spans="16:19" ht="13.5">
      <c r="P132" s="1"/>
      <c r="Q132" s="1"/>
      <c r="R132" s="1"/>
      <c r="S132" s="1"/>
    </row>
    <row r="133" spans="16:19" ht="13.5">
      <c r="P133" s="1"/>
      <c r="Q133" s="1"/>
      <c r="R133" s="1"/>
      <c r="S133" s="1"/>
    </row>
    <row r="134" spans="16:19" ht="13.5">
      <c r="P134" s="1"/>
      <c r="Q134" s="1"/>
      <c r="R134" s="1"/>
      <c r="S134" s="1"/>
    </row>
    <row r="135" spans="16:19" ht="13.5">
      <c r="P135" s="1"/>
      <c r="Q135" s="1"/>
      <c r="R135" s="1"/>
      <c r="S135" s="1"/>
    </row>
    <row r="136" spans="16:19" ht="13.5">
      <c r="P136" s="1"/>
      <c r="Q136" s="1"/>
      <c r="R136" s="1"/>
      <c r="S136" s="1"/>
    </row>
    <row r="137" spans="16:19" ht="13.5">
      <c r="P137" s="1"/>
      <c r="Q137" s="1"/>
      <c r="R137" s="1"/>
      <c r="S137" s="1"/>
    </row>
    <row r="138" spans="16:19" ht="13.5">
      <c r="P138" s="1"/>
      <c r="Q138" s="1"/>
      <c r="R138" s="1"/>
      <c r="S138" s="1"/>
    </row>
    <row r="139" spans="16:19" ht="13.5">
      <c r="P139" s="1"/>
      <c r="Q139" s="1"/>
      <c r="R139" s="1"/>
      <c r="S139" s="1"/>
    </row>
    <row r="140" spans="16:19" ht="13.5">
      <c r="P140" s="1"/>
      <c r="Q140" s="1"/>
      <c r="R140" s="1"/>
      <c r="S140" s="1"/>
    </row>
  </sheetData>
  <sheetProtection/>
  <mergeCells count="9">
    <mergeCell ref="D13:S13"/>
    <mergeCell ref="D14:S14"/>
    <mergeCell ref="A1:C1"/>
    <mergeCell ref="D1:S1"/>
    <mergeCell ref="D2:O2"/>
    <mergeCell ref="P2:P3"/>
    <mergeCell ref="Q2:Q3"/>
    <mergeCell ref="R2:R3"/>
    <mergeCell ref="S2:S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V28"/>
  <sheetViews>
    <sheetView zoomScale="75" zoomScaleNormal="75" zoomScalePageLayoutView="0" workbookViewId="0" topLeftCell="A1">
      <selection activeCell="I25" sqref="I25"/>
    </sheetView>
  </sheetViews>
  <sheetFormatPr defaultColWidth="8.00390625" defaultRowHeight="15"/>
  <cols>
    <col min="1" max="1" width="4.140625" style="116" customWidth="1"/>
    <col min="2" max="2" width="35.00390625" style="193" customWidth="1"/>
    <col min="3" max="3" width="7.421875" style="194" customWidth="1"/>
    <col min="4" max="4" width="10.00390625" style="195" customWidth="1"/>
    <col min="5" max="5" width="16.28125" style="196" customWidth="1"/>
    <col min="6" max="6" width="9.421875" style="197" customWidth="1"/>
    <col min="7" max="7" width="18.8515625" style="197" customWidth="1"/>
    <col min="8" max="8" width="17.57421875" style="197" customWidth="1"/>
    <col min="9" max="9" width="12.00390625" style="196" customWidth="1"/>
    <col min="10" max="10" width="8.00390625" style="198" customWidth="1"/>
    <col min="11" max="11" width="9.8515625" style="116" customWidth="1"/>
    <col min="12" max="12" width="6.7109375" style="196" customWidth="1"/>
    <col min="13" max="13" width="8.57421875" style="116" customWidth="1"/>
    <col min="14" max="14" width="22.7109375" style="116" customWidth="1"/>
    <col min="15" max="16384" width="8.00390625" style="116" customWidth="1"/>
  </cols>
  <sheetData>
    <row r="1" spans="1:12" s="193" customFormat="1" ht="12.75" customHeight="1">
      <c r="A1" s="381" t="s">
        <v>257</v>
      </c>
      <c r="B1" s="381"/>
      <c r="C1" s="381"/>
      <c r="D1" s="381"/>
      <c r="E1" s="381"/>
      <c r="F1" s="199"/>
      <c r="G1" s="199"/>
      <c r="H1" s="199"/>
      <c r="I1" s="199"/>
      <c r="J1" s="200"/>
      <c r="L1" s="201"/>
    </row>
    <row r="2" spans="1:9" ht="13.5">
      <c r="A2" s="199"/>
      <c r="B2" s="199"/>
      <c r="C2" s="199"/>
      <c r="D2" s="199"/>
      <c r="E2" s="199"/>
      <c r="F2" s="199"/>
      <c r="G2" s="199"/>
      <c r="H2" s="199"/>
      <c r="I2" s="199"/>
    </row>
    <row r="3" spans="1:12" s="193" customFormat="1" ht="13.5">
      <c r="A3" s="202" t="s">
        <v>258</v>
      </c>
      <c r="B3" s="203"/>
      <c r="C3" s="204"/>
      <c r="D3" s="203"/>
      <c r="E3" s="205" t="s">
        <v>259</v>
      </c>
      <c r="F3" s="203"/>
      <c r="G3" s="203"/>
      <c r="H3" s="203"/>
      <c r="I3" s="203"/>
      <c r="J3" s="200"/>
      <c r="L3" s="201"/>
    </row>
    <row r="4" spans="1:12" s="193" customFormat="1" ht="12.75" customHeight="1">
      <c r="A4" s="202" t="s">
        <v>260</v>
      </c>
      <c r="B4" s="202"/>
      <c r="C4" s="382">
        <f>F22</f>
        <v>50000000</v>
      </c>
      <c r="D4" s="382"/>
      <c r="E4" s="207">
        <f>C4/'Техника оборудование мебель'!D2</f>
        <v>724637.6811594203</v>
      </c>
      <c r="F4" s="203"/>
      <c r="G4" s="203"/>
      <c r="H4" s="203"/>
      <c r="I4" s="203"/>
      <c r="J4" s="200"/>
      <c r="L4" s="201"/>
    </row>
    <row r="5" spans="1:12" s="193" customFormat="1" ht="12.75" customHeight="1">
      <c r="A5" s="202"/>
      <c r="B5" s="202"/>
      <c r="C5" s="206"/>
      <c r="D5" s="206"/>
      <c r="E5" s="208"/>
      <c r="F5" s="203"/>
      <c r="G5" s="203"/>
      <c r="H5" s="203"/>
      <c r="I5" s="203"/>
      <c r="J5" s="200"/>
      <c r="L5" s="201"/>
    </row>
    <row r="6" spans="1:12" s="193" customFormat="1" ht="12.75" customHeight="1">
      <c r="A6" s="116"/>
      <c r="B6" s="209" t="s">
        <v>261</v>
      </c>
      <c r="C6" s="204"/>
      <c r="D6" s="210"/>
      <c r="E6" s="201"/>
      <c r="F6" s="203"/>
      <c r="G6" s="203"/>
      <c r="H6" s="203"/>
      <c r="I6" s="203"/>
      <c r="J6" s="200"/>
      <c r="L6" s="201"/>
    </row>
    <row r="7" spans="1:256" s="193" customFormat="1" ht="27">
      <c r="A7" s="211" t="s">
        <v>107</v>
      </c>
      <c r="B7" s="212" t="s">
        <v>262</v>
      </c>
      <c r="C7" s="213" t="s">
        <v>263</v>
      </c>
      <c r="D7" s="213" t="s">
        <v>264</v>
      </c>
      <c r="E7" s="214" t="s">
        <v>265</v>
      </c>
      <c r="F7" s="215" t="s">
        <v>54</v>
      </c>
      <c r="G7" s="203"/>
      <c r="H7" s="203"/>
      <c r="I7" s="203"/>
      <c r="J7" s="203"/>
      <c r="K7" s="200"/>
      <c r="M7" s="201"/>
      <c r="IV7" s="216"/>
    </row>
    <row r="8" spans="1:256" s="193" customFormat="1" ht="12.75" customHeight="1">
      <c r="A8" s="217" t="s">
        <v>102</v>
      </c>
      <c r="B8" s="218" t="s">
        <v>266</v>
      </c>
      <c r="C8" s="219"/>
      <c r="D8" s="219"/>
      <c r="E8" s="220"/>
      <c r="F8" s="211">
        <f>C8*E8</f>
        <v>0</v>
      </c>
      <c r="G8" s="203"/>
      <c r="H8" s="203"/>
      <c r="I8" s="203"/>
      <c r="J8" s="203"/>
      <c r="K8" s="200"/>
      <c r="M8" s="201"/>
      <c r="IV8" s="216"/>
    </row>
    <row r="9" spans="1:256" s="193" customFormat="1" ht="12.75" customHeight="1">
      <c r="A9" s="217" t="s">
        <v>104</v>
      </c>
      <c r="B9" s="218" t="s">
        <v>267</v>
      </c>
      <c r="C9" s="219"/>
      <c r="D9" s="219"/>
      <c r="E9" s="220"/>
      <c r="F9" s="211">
        <f>C9*E9</f>
        <v>0</v>
      </c>
      <c r="G9" s="203"/>
      <c r="H9" s="203"/>
      <c r="I9" s="203"/>
      <c r="J9" s="203"/>
      <c r="K9" s="200"/>
      <c r="M9" s="201"/>
      <c r="IV9" s="216"/>
    </row>
    <row r="10" spans="1:256" s="193" customFormat="1" ht="12.75" customHeight="1">
      <c r="A10" s="217" t="s">
        <v>105</v>
      </c>
      <c r="B10" s="218" t="s">
        <v>268</v>
      </c>
      <c r="C10" s="219"/>
      <c r="D10" s="219"/>
      <c r="E10" s="220"/>
      <c r="F10" s="211">
        <f>C10*E10</f>
        <v>0</v>
      </c>
      <c r="G10" s="203"/>
      <c r="H10" s="203"/>
      <c r="I10" s="203"/>
      <c r="J10" s="203"/>
      <c r="K10" s="200"/>
      <c r="M10" s="201"/>
      <c r="IV10" s="216"/>
    </row>
    <row r="11" spans="1:256" s="193" customFormat="1" ht="12.75" customHeight="1">
      <c r="A11" s="217" t="s">
        <v>156</v>
      </c>
      <c r="B11" s="218" t="s">
        <v>269</v>
      </c>
      <c r="C11" s="219"/>
      <c r="D11" s="219"/>
      <c r="E11" s="220"/>
      <c r="F11" s="211">
        <f>C11*E11</f>
        <v>0</v>
      </c>
      <c r="G11" s="203"/>
      <c r="H11" s="203"/>
      <c r="I11" s="203"/>
      <c r="J11" s="203"/>
      <c r="K11" s="200"/>
      <c r="M11" s="201"/>
      <c r="IV11" s="216"/>
    </row>
    <row r="12" spans="1:256" s="193" customFormat="1" ht="27">
      <c r="A12" s="217" t="s">
        <v>158</v>
      </c>
      <c r="B12" s="221" t="s">
        <v>270</v>
      </c>
      <c r="C12" s="219">
        <v>1460</v>
      </c>
      <c r="D12" s="219"/>
      <c r="E12" s="220"/>
      <c r="F12" s="211">
        <f>C12*D12*E12</f>
        <v>0</v>
      </c>
      <c r="G12" s="203"/>
      <c r="H12" s="203"/>
      <c r="I12" s="203"/>
      <c r="J12" s="203"/>
      <c r="K12" s="200"/>
      <c r="M12" s="201"/>
      <c r="IV12" s="216"/>
    </row>
    <row r="13" spans="1:256" s="193" customFormat="1" ht="12.75" customHeight="1">
      <c r="A13" s="217" t="s">
        <v>160</v>
      </c>
      <c r="B13" s="218" t="s">
        <v>271</v>
      </c>
      <c r="C13" s="219">
        <f>32.5+96.5+50+22+15.8+74.2</f>
        <v>291</v>
      </c>
      <c r="D13" s="219"/>
      <c r="E13" s="220"/>
      <c r="F13" s="211">
        <f>C13*D13*E13</f>
        <v>0</v>
      </c>
      <c r="G13" s="203"/>
      <c r="H13" s="203"/>
      <c r="I13" s="203"/>
      <c r="J13" s="203"/>
      <c r="K13" s="200"/>
      <c r="M13" s="201"/>
      <c r="IV13" s="216"/>
    </row>
    <row r="14" spans="1:256" s="193" customFormat="1" ht="12.75" customHeight="1">
      <c r="A14" s="217" t="s">
        <v>162</v>
      </c>
      <c r="B14" s="218" t="s">
        <v>272</v>
      </c>
      <c r="C14" s="222">
        <v>429</v>
      </c>
      <c r="D14" s="222"/>
      <c r="E14" s="220"/>
      <c r="F14" s="211">
        <f>C14*D14*E14</f>
        <v>0</v>
      </c>
      <c r="G14" s="203"/>
      <c r="H14" s="203"/>
      <c r="I14" s="203"/>
      <c r="J14" s="203"/>
      <c r="K14" s="200"/>
      <c r="M14" s="201"/>
      <c r="IV14" s="216"/>
    </row>
    <row r="15" spans="1:256" s="193" customFormat="1" ht="12.75" customHeight="1">
      <c r="A15" s="217" t="s">
        <v>273</v>
      </c>
      <c r="B15" s="218" t="s">
        <v>274</v>
      </c>
      <c r="C15" s="222">
        <v>1843</v>
      </c>
      <c r="D15" s="222"/>
      <c r="E15" s="220"/>
      <c r="F15" s="211">
        <f>C15*D15*E15</f>
        <v>0</v>
      </c>
      <c r="G15" s="203"/>
      <c r="H15" s="203"/>
      <c r="I15" s="203"/>
      <c r="J15" s="203"/>
      <c r="K15" s="200"/>
      <c r="M15" s="201"/>
      <c r="IV15" s="216"/>
    </row>
    <row r="16" spans="1:256" s="193" customFormat="1" ht="12.75" customHeight="1">
      <c r="A16" s="217"/>
      <c r="B16" s="218" t="s">
        <v>275</v>
      </c>
      <c r="C16" s="222"/>
      <c r="D16" s="222"/>
      <c r="E16" s="220"/>
      <c r="F16" s="211"/>
      <c r="G16" s="203"/>
      <c r="H16" s="203"/>
      <c r="I16" s="203"/>
      <c r="J16" s="203"/>
      <c r="K16" s="200"/>
      <c r="M16" s="201"/>
      <c r="IV16" s="216"/>
    </row>
    <row r="17" spans="1:256" s="193" customFormat="1" ht="12.75" customHeight="1">
      <c r="A17" s="217" t="s">
        <v>276</v>
      </c>
      <c r="B17" s="126" t="str">
        <f>'Объем производства'!B2</f>
        <v>Пропан - бутановая смесь (СУГ)</v>
      </c>
      <c r="C17" s="144">
        <v>20</v>
      </c>
      <c r="D17" s="222"/>
      <c r="E17" s="220"/>
      <c r="F17" s="211">
        <f>C17*E17*1000</f>
        <v>0</v>
      </c>
      <c r="G17" s="203"/>
      <c r="H17" s="203"/>
      <c r="I17" s="203"/>
      <c r="J17" s="203"/>
      <c r="K17" s="200"/>
      <c r="M17" s="201"/>
      <c r="IV17" s="216"/>
    </row>
    <row r="18" spans="1:256" s="193" customFormat="1" ht="12.75" customHeight="1">
      <c r="A18" s="217" t="s">
        <v>277</v>
      </c>
      <c r="B18" s="126" t="str">
        <f>'Объем производства'!B3</f>
        <v>АИ 98</v>
      </c>
      <c r="C18" s="144">
        <f>50/3</f>
        <v>16.666666666666668</v>
      </c>
      <c r="D18" s="222"/>
      <c r="E18" s="220"/>
      <c r="F18" s="211">
        <f>C18*E18</f>
        <v>0</v>
      </c>
      <c r="G18" s="203"/>
      <c r="H18" s="203"/>
      <c r="I18" s="203"/>
      <c r="J18" s="203"/>
      <c r="K18" s="200"/>
      <c r="M18" s="201"/>
      <c r="IV18" s="216"/>
    </row>
    <row r="19" spans="1:256" s="193" customFormat="1" ht="12.75" customHeight="1">
      <c r="A19" s="217" t="s">
        <v>278</v>
      </c>
      <c r="B19" s="126" t="str">
        <f>'Объем производства'!B4</f>
        <v>АИ 95</v>
      </c>
      <c r="C19" s="144">
        <f>C18</f>
        <v>16.666666666666668</v>
      </c>
      <c r="D19" s="223"/>
      <c r="E19" s="220"/>
      <c r="F19" s="211">
        <f>C19*E19</f>
        <v>0</v>
      </c>
      <c r="G19" s="203"/>
      <c r="H19" s="203"/>
      <c r="I19" s="203"/>
      <c r="J19" s="203"/>
      <c r="K19" s="200"/>
      <c r="M19" s="201"/>
      <c r="IV19" s="216"/>
    </row>
    <row r="20" spans="1:256" s="193" customFormat="1" ht="12.75" customHeight="1">
      <c r="A20" s="217" t="s">
        <v>279</v>
      </c>
      <c r="B20" s="126" t="str">
        <f>'Объем производства'!B5</f>
        <v>АИ-92</v>
      </c>
      <c r="C20" s="144">
        <f>C19</f>
        <v>16.666666666666668</v>
      </c>
      <c r="D20" s="219"/>
      <c r="E20" s="220"/>
      <c r="F20" s="211">
        <f>C20*E20</f>
        <v>0</v>
      </c>
      <c r="G20" s="203"/>
      <c r="H20" s="203"/>
      <c r="I20" s="203"/>
      <c r="J20" s="203"/>
      <c r="K20" s="200"/>
      <c r="M20" s="201"/>
      <c r="IV20" s="216"/>
    </row>
    <row r="21" spans="1:12" s="193" customFormat="1" ht="12.75" customHeight="1">
      <c r="A21" s="217" t="s">
        <v>280</v>
      </c>
      <c r="B21" s="126" t="str">
        <f>'Объем производства'!B6</f>
        <v>ДТ</v>
      </c>
      <c r="C21" s="144">
        <v>50</v>
      </c>
      <c r="D21" s="219"/>
      <c r="E21" s="220"/>
      <c r="F21" s="211">
        <f>C21*E21</f>
        <v>0</v>
      </c>
      <c r="G21" s="203"/>
      <c r="H21" s="203"/>
      <c r="I21" s="203"/>
      <c r="J21" s="200"/>
      <c r="L21" s="201"/>
    </row>
    <row r="22" spans="3:6" ht="13.5">
      <c r="C22" s="224"/>
      <c r="D22" s="224"/>
      <c r="E22" s="219" t="s">
        <v>281</v>
      </c>
      <c r="F22" s="211">
        <v>50000000</v>
      </c>
    </row>
    <row r="23" spans="3:5" ht="13.5">
      <c r="C23" s="224"/>
      <c r="D23" s="224"/>
      <c r="E23" s="225"/>
    </row>
    <row r="24" spans="3:5" ht="13.5">
      <c r="C24" s="224"/>
      <c r="D24" s="224"/>
      <c r="E24" s="225"/>
    </row>
    <row r="25" spans="3:5" ht="13.5">
      <c r="C25" s="224"/>
      <c r="D25" s="224"/>
      <c r="E25" s="225"/>
    </row>
    <row r="26" spans="3:5" ht="13.5">
      <c r="C26" s="224"/>
      <c r="D26" s="224"/>
      <c r="E26" s="225"/>
    </row>
    <row r="27" spans="3:5" ht="13.5">
      <c r="C27" s="224"/>
      <c r="D27" s="224"/>
      <c r="E27" s="225"/>
    </row>
    <row r="28" spans="3:5" ht="13.5">
      <c r="C28" s="224"/>
      <c r="D28" s="224"/>
      <c r="E28" s="225"/>
    </row>
  </sheetData>
  <sheetProtection/>
  <mergeCells count="2">
    <mergeCell ref="A1:E1"/>
    <mergeCell ref="C4:D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zoomScale="75" zoomScaleNormal="75" zoomScalePageLayoutView="0" workbookViewId="0" topLeftCell="A1">
      <selection activeCell="E20" sqref="E20"/>
    </sheetView>
  </sheetViews>
  <sheetFormatPr defaultColWidth="10.7109375" defaultRowHeight="15"/>
  <cols>
    <col min="1" max="1" width="6.57421875" style="226" customWidth="1"/>
    <col min="2" max="2" width="36.28125" style="105" bestFit="1" customWidth="1"/>
    <col min="3" max="4" width="10.7109375" style="105" customWidth="1"/>
    <col min="5" max="5" width="18.7109375" style="105" customWidth="1"/>
    <col min="6" max="16384" width="10.7109375" style="105" customWidth="1"/>
  </cols>
  <sheetData>
    <row r="1" spans="1:5" ht="12.75" customHeight="1">
      <c r="A1" s="383" t="s">
        <v>282</v>
      </c>
      <c r="B1" s="383"/>
      <c r="C1" s="383"/>
      <c r="D1" s="383"/>
      <c r="E1" s="383"/>
    </row>
    <row r="2" spans="1:5" ht="12.75">
      <c r="A2" s="227"/>
      <c r="B2" s="69"/>
      <c r="C2" s="69"/>
      <c r="D2" s="69"/>
      <c r="E2" s="69"/>
    </row>
    <row r="3" spans="1:5" s="104" customFormat="1" ht="26.25">
      <c r="A3" s="228" t="s">
        <v>186</v>
      </c>
      <c r="B3" s="229" t="s">
        <v>283</v>
      </c>
      <c r="C3" s="110" t="s">
        <v>231</v>
      </c>
      <c r="D3" s="229" t="s">
        <v>232</v>
      </c>
      <c r="E3" s="229" t="s">
        <v>233</v>
      </c>
    </row>
    <row r="4" spans="1:5" s="104" customFormat="1" ht="12.75" customHeight="1">
      <c r="A4" s="230" t="s">
        <v>102</v>
      </c>
      <c r="B4" s="384" t="s">
        <v>284</v>
      </c>
      <c r="C4" s="384"/>
      <c r="D4" s="384"/>
      <c r="E4" s="384"/>
    </row>
    <row r="5" spans="1:5" s="104" customFormat="1" ht="12.75">
      <c r="A5" s="230" t="s">
        <v>235</v>
      </c>
      <c r="B5" s="231" t="s">
        <v>285</v>
      </c>
      <c r="C5" s="110">
        <v>12</v>
      </c>
      <c r="D5" s="232">
        <v>100</v>
      </c>
      <c r="E5" s="233">
        <f aca="true" t="shared" si="0" ref="E5:E14">C5*D5</f>
        <v>1200</v>
      </c>
    </row>
    <row r="6" spans="1:5" s="104" customFormat="1" ht="12.75">
      <c r="A6" s="230" t="s">
        <v>236</v>
      </c>
      <c r="B6" s="231" t="s">
        <v>286</v>
      </c>
      <c r="C6" s="110">
        <v>12</v>
      </c>
      <c r="D6" s="233">
        <v>100</v>
      </c>
      <c r="E6" s="233">
        <f t="shared" si="0"/>
        <v>1200</v>
      </c>
    </row>
    <row r="7" spans="1:5" s="104" customFormat="1" ht="12.75">
      <c r="A7" s="230" t="s">
        <v>238</v>
      </c>
      <c r="B7" s="44" t="s">
        <v>287</v>
      </c>
      <c r="C7" s="44">
        <v>24</v>
      </c>
      <c r="D7" s="232">
        <v>45</v>
      </c>
      <c r="E7" s="233">
        <f t="shared" si="0"/>
        <v>1080</v>
      </c>
    </row>
    <row r="8" spans="1:5" ht="12.75">
      <c r="A8" s="230" t="s">
        <v>240</v>
      </c>
      <c r="B8" s="234" t="s">
        <v>288</v>
      </c>
      <c r="C8" s="110">
        <v>12</v>
      </c>
      <c r="D8" s="233">
        <v>25</v>
      </c>
      <c r="E8" s="233">
        <f t="shared" si="0"/>
        <v>300</v>
      </c>
    </row>
    <row r="9" spans="1:5" s="104" customFormat="1" ht="12.75">
      <c r="A9" s="230" t="s">
        <v>241</v>
      </c>
      <c r="B9" s="234" t="s">
        <v>289</v>
      </c>
      <c r="C9" s="110">
        <v>12</v>
      </c>
      <c r="D9" s="233">
        <v>12</v>
      </c>
      <c r="E9" s="233">
        <f t="shared" si="0"/>
        <v>144</v>
      </c>
    </row>
    <row r="10" spans="1:5" s="104" customFormat="1" ht="12.75">
      <c r="A10" s="230" t="s">
        <v>244</v>
      </c>
      <c r="B10" s="44" t="s">
        <v>290</v>
      </c>
      <c r="C10" s="110">
        <v>100</v>
      </c>
      <c r="D10" s="110">
        <v>32</v>
      </c>
      <c r="E10" s="233">
        <f t="shared" si="0"/>
        <v>3200</v>
      </c>
    </row>
    <row r="11" spans="1:5" s="104" customFormat="1" ht="12.75">
      <c r="A11" s="230" t="s">
        <v>246</v>
      </c>
      <c r="B11" s="44" t="s">
        <v>291</v>
      </c>
      <c r="C11" s="110">
        <v>50</v>
      </c>
      <c r="D11" s="110">
        <v>45</v>
      </c>
      <c r="E11" s="233">
        <f t="shared" si="0"/>
        <v>2250</v>
      </c>
    </row>
    <row r="12" spans="1:5" s="104" customFormat="1" ht="12.75">
      <c r="A12" s="230" t="s">
        <v>248</v>
      </c>
      <c r="B12" s="44" t="s">
        <v>292</v>
      </c>
      <c r="C12" s="110">
        <v>10</v>
      </c>
      <c r="D12" s="110">
        <v>250</v>
      </c>
      <c r="E12" s="233">
        <f t="shared" si="0"/>
        <v>2500</v>
      </c>
    </row>
    <row r="13" spans="1:5" s="104" customFormat="1" ht="12.75">
      <c r="A13" s="230" t="s">
        <v>250</v>
      </c>
      <c r="B13" s="44" t="s">
        <v>293</v>
      </c>
      <c r="C13" s="110">
        <v>50</v>
      </c>
      <c r="D13" s="110">
        <v>100</v>
      </c>
      <c r="E13" s="233">
        <f t="shared" si="0"/>
        <v>5000</v>
      </c>
    </row>
    <row r="14" spans="1:5" s="104" customFormat="1" ht="12.75">
      <c r="A14" s="230" t="s">
        <v>294</v>
      </c>
      <c r="B14" s="44" t="s">
        <v>295</v>
      </c>
      <c r="C14" s="110">
        <v>12</v>
      </c>
      <c r="D14" s="110">
        <v>110</v>
      </c>
      <c r="E14" s="233">
        <f t="shared" si="0"/>
        <v>1320</v>
      </c>
    </row>
    <row r="15" spans="1:5" s="104" customFormat="1" ht="12.75">
      <c r="A15" s="230" t="s">
        <v>343</v>
      </c>
      <c r="B15" s="44" t="str">
        <f>Прейскурант!B12</f>
        <v>Пропан - бутановая смесь (СУГ)</v>
      </c>
      <c r="C15" s="110">
        <v>18000</v>
      </c>
      <c r="D15" s="110"/>
      <c r="E15" s="233">
        <v>270000</v>
      </c>
    </row>
    <row r="16" spans="1:5" s="104" customFormat="1" ht="12.75">
      <c r="A16" s="230" t="s">
        <v>344</v>
      </c>
      <c r="B16" s="44" t="str">
        <f>Прейскурант!B13</f>
        <v>АИ 98</v>
      </c>
      <c r="C16" s="110">
        <v>25000</v>
      </c>
      <c r="D16" s="110"/>
      <c r="E16" s="233">
        <v>975000</v>
      </c>
    </row>
    <row r="17" spans="1:5" s="104" customFormat="1" ht="12.75">
      <c r="A17" s="230" t="s">
        <v>345</v>
      </c>
      <c r="B17" s="44" t="str">
        <f>Прейскурант!B14</f>
        <v>АИ 95</v>
      </c>
      <c r="C17" s="110">
        <v>25000</v>
      </c>
      <c r="D17" s="110"/>
      <c r="E17" s="233">
        <v>925000</v>
      </c>
    </row>
    <row r="18" spans="1:5" s="104" customFormat="1" ht="12.75">
      <c r="A18" s="230" t="s">
        <v>346</v>
      </c>
      <c r="B18" s="44" t="str">
        <f>Прейскурант!B15</f>
        <v>АИ-92</v>
      </c>
      <c r="C18" s="110">
        <v>25000</v>
      </c>
      <c r="D18" s="110"/>
      <c r="E18" s="233">
        <v>850000</v>
      </c>
    </row>
    <row r="19" spans="1:5" s="104" customFormat="1" ht="12.75">
      <c r="A19" s="230" t="s">
        <v>347</v>
      </c>
      <c r="B19" s="44" t="str">
        <f>Прейскурант!B16</f>
        <v>ДТ</v>
      </c>
      <c r="C19" s="110">
        <v>25000</v>
      </c>
      <c r="D19" s="110"/>
      <c r="E19" s="233">
        <v>800000</v>
      </c>
    </row>
    <row r="20" spans="1:5" s="104" customFormat="1" ht="12.75">
      <c r="A20" s="230" t="s">
        <v>348</v>
      </c>
      <c r="B20" s="44" t="s">
        <v>357</v>
      </c>
      <c r="C20" s="110"/>
      <c r="D20" s="110"/>
      <c r="E20" s="291">
        <f>'Объем производства'!L52</f>
        <v>1731874.5465000002</v>
      </c>
    </row>
    <row r="21" spans="1:5" s="104" customFormat="1" ht="12.75">
      <c r="A21" s="230"/>
      <c r="B21" s="235" t="s">
        <v>252</v>
      </c>
      <c r="C21" s="110"/>
      <c r="D21" s="236"/>
      <c r="E21" s="236">
        <f>SUM(E5:E20)</f>
        <v>5570068.5465</v>
      </c>
    </row>
    <row r="22" spans="1:5" s="104" customFormat="1" ht="12.75">
      <c r="A22" s="230"/>
      <c r="B22" s="235" t="s">
        <v>256</v>
      </c>
      <c r="C22" s="110"/>
      <c r="D22" s="236"/>
      <c r="E22" s="236">
        <f>SUM(E21)</f>
        <v>5570068.5465</v>
      </c>
    </row>
  </sheetData>
  <sheetProtection/>
  <mergeCells count="2">
    <mergeCell ref="A1:E1"/>
    <mergeCell ref="B4:E4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zoomScale="75" zoomScaleNormal="75" zoomScalePageLayoutView="0" workbookViewId="0" topLeftCell="A1">
      <selection activeCell="B16" sqref="B16"/>
    </sheetView>
  </sheetViews>
  <sheetFormatPr defaultColWidth="10.7109375" defaultRowHeight="15"/>
  <cols>
    <col min="1" max="1" width="6.00390625" style="237" customWidth="1"/>
    <col min="2" max="2" width="25.421875" style="104" customWidth="1"/>
    <col min="3" max="16384" width="10.7109375" style="105" customWidth="1"/>
  </cols>
  <sheetData>
    <row r="1" spans="1:6" ht="12.75" customHeight="1">
      <c r="A1" s="387" t="s">
        <v>296</v>
      </c>
      <c r="B1" s="387"/>
      <c r="C1" s="387"/>
      <c r="D1" s="387"/>
      <c r="E1" s="387"/>
      <c r="F1" s="387"/>
    </row>
    <row r="2" spans="1:6" ht="12.75" customHeight="1">
      <c r="A2" s="388" t="s">
        <v>186</v>
      </c>
      <c r="B2" s="389" t="s">
        <v>297</v>
      </c>
      <c r="C2" s="389" t="s">
        <v>264</v>
      </c>
      <c r="D2" s="390" t="s">
        <v>298</v>
      </c>
      <c r="E2" s="390"/>
      <c r="F2" s="390"/>
    </row>
    <row r="3" spans="1:6" ht="12.75">
      <c r="A3" s="388"/>
      <c r="B3" s="388"/>
      <c r="C3" s="388"/>
      <c r="D3" s="239" t="s">
        <v>100</v>
      </c>
      <c r="E3" s="239" t="s">
        <v>5</v>
      </c>
      <c r="F3" s="239" t="s">
        <v>6</v>
      </c>
    </row>
    <row r="4" spans="1:6" ht="12.75">
      <c r="A4" s="240" t="s">
        <v>102</v>
      </c>
      <c r="B4" s="110" t="s">
        <v>299</v>
      </c>
      <c r="C4" s="110">
        <v>1</v>
      </c>
      <c r="D4" s="44">
        <v>50000</v>
      </c>
      <c r="E4" s="238">
        <v>0</v>
      </c>
      <c r="F4" s="238">
        <v>0</v>
      </c>
    </row>
    <row r="5" spans="1:6" ht="26.25">
      <c r="A5" s="240" t="s">
        <v>104</v>
      </c>
      <c r="B5" s="241" t="s">
        <v>300</v>
      </c>
      <c r="C5" s="110">
        <v>3</v>
      </c>
      <c r="D5" s="242">
        <f>24000*C5</f>
        <v>72000</v>
      </c>
      <c r="E5" s="238">
        <v>0</v>
      </c>
      <c r="F5" s="238">
        <v>0</v>
      </c>
    </row>
    <row r="6" spans="1:6" ht="28.5">
      <c r="A6" s="240" t="s">
        <v>105</v>
      </c>
      <c r="B6" s="243" t="s">
        <v>301</v>
      </c>
      <c r="C6" s="110">
        <v>2</v>
      </c>
      <c r="D6" s="227">
        <f>C6*22000</f>
        <v>44000</v>
      </c>
      <c r="E6" s="238">
        <v>0</v>
      </c>
      <c r="F6" s="238">
        <v>0</v>
      </c>
    </row>
    <row r="7" spans="1:6" ht="29.25" customHeight="1">
      <c r="A7" s="240" t="s">
        <v>156</v>
      </c>
      <c r="B7" s="110" t="s">
        <v>302</v>
      </c>
      <c r="C7" s="110">
        <v>2</v>
      </c>
      <c r="D7" s="44">
        <f>11784*C7</f>
        <v>23568</v>
      </c>
      <c r="E7" s="238">
        <v>0</v>
      </c>
      <c r="F7" s="238">
        <v>0</v>
      </c>
    </row>
    <row r="8" spans="1:6" ht="29.25" customHeight="1">
      <c r="A8" s="240" t="s">
        <v>158</v>
      </c>
      <c r="B8" s="110" t="s">
        <v>303</v>
      </c>
      <c r="C8" s="110">
        <v>1</v>
      </c>
      <c r="D8" s="44">
        <v>70000</v>
      </c>
      <c r="E8" s="238">
        <v>0</v>
      </c>
      <c r="F8" s="238">
        <v>0</v>
      </c>
    </row>
    <row r="9" spans="1:6" ht="12.75" customHeight="1">
      <c r="A9" s="385"/>
      <c r="B9" s="385"/>
      <c r="C9" s="385"/>
      <c r="D9" s="385"/>
      <c r="E9" s="385"/>
      <c r="F9" s="385"/>
    </row>
    <row r="10" spans="1:6" ht="12.75">
      <c r="A10" s="240" t="s">
        <v>160</v>
      </c>
      <c r="B10" s="110" t="s">
        <v>304</v>
      </c>
      <c r="C10" s="110">
        <v>4</v>
      </c>
      <c r="D10" s="44">
        <f>4100*C10</f>
        <v>16400</v>
      </c>
      <c r="E10" s="44">
        <f>D10</f>
        <v>16400</v>
      </c>
      <c r="F10" s="44">
        <f>E10</f>
        <v>16400</v>
      </c>
    </row>
    <row r="11" spans="1:6" ht="12.75">
      <c r="A11" s="240" t="s">
        <v>162</v>
      </c>
      <c r="B11" s="110" t="s">
        <v>305</v>
      </c>
      <c r="C11" s="110">
        <v>20</v>
      </c>
      <c r="D11" s="44">
        <f>100*C11</f>
        <v>2000</v>
      </c>
      <c r="E11" s="44">
        <f>D11</f>
        <v>2000</v>
      </c>
      <c r="F11" s="44">
        <f>E11</f>
        <v>2000</v>
      </c>
    </row>
    <row r="12" spans="1:6" ht="12.75" customHeight="1">
      <c r="A12" s="385"/>
      <c r="B12" s="385"/>
      <c r="C12" s="385"/>
      <c r="D12" s="385"/>
      <c r="E12" s="385"/>
      <c r="F12" s="385"/>
    </row>
    <row r="13" spans="1:6" ht="12.75">
      <c r="A13" s="240" t="s">
        <v>273</v>
      </c>
      <c r="B13" s="110" t="s">
        <v>306</v>
      </c>
      <c r="C13" s="44">
        <v>1</v>
      </c>
      <c r="D13" s="44">
        <f>C13*2000</f>
        <v>2000</v>
      </c>
      <c r="E13" s="238">
        <v>0</v>
      </c>
      <c r="F13" s="238">
        <v>0</v>
      </c>
    </row>
    <row r="14" spans="1:6" ht="12.75">
      <c r="A14" s="240" t="s">
        <v>276</v>
      </c>
      <c r="B14" s="110" t="s">
        <v>307</v>
      </c>
      <c r="C14" s="44">
        <v>12</v>
      </c>
      <c r="D14" s="44">
        <f>C14*1000</f>
        <v>12000</v>
      </c>
      <c r="E14" s="238">
        <f>D14</f>
        <v>12000</v>
      </c>
      <c r="F14" s="238">
        <f>E14</f>
        <v>12000</v>
      </c>
    </row>
    <row r="15" spans="1:6" ht="12.75" customHeight="1">
      <c r="A15" s="385"/>
      <c r="B15" s="385"/>
      <c r="C15" s="385"/>
      <c r="D15" s="385"/>
      <c r="E15" s="385"/>
      <c r="F15" s="385"/>
    </row>
    <row r="16" spans="1:6" ht="12.75" customHeight="1">
      <c r="A16" s="240" t="s">
        <v>277</v>
      </c>
      <c r="B16" s="240" t="s">
        <v>308</v>
      </c>
      <c r="C16" s="240"/>
      <c r="D16" s="244">
        <f>100000</f>
        <v>100000</v>
      </c>
      <c r="E16" s="240"/>
      <c r="F16" s="240"/>
    </row>
    <row r="17" spans="1:6" ht="12.75" customHeight="1">
      <c r="A17" s="240" t="s">
        <v>278</v>
      </c>
      <c r="B17" s="240" t="s">
        <v>309</v>
      </c>
      <c r="C17" s="240"/>
      <c r="D17" s="244">
        <f>45000*12</f>
        <v>540000</v>
      </c>
      <c r="E17" s="240"/>
      <c r="F17" s="240"/>
    </row>
    <row r="18" spans="1:6" ht="26.25">
      <c r="A18" s="240" t="s">
        <v>279</v>
      </c>
      <c r="B18" s="110" t="s">
        <v>310</v>
      </c>
      <c r="C18" s="44">
        <v>12</v>
      </c>
      <c r="D18" s="44">
        <f>600*C18</f>
        <v>7200</v>
      </c>
      <c r="E18" s="44">
        <f>D18</f>
        <v>7200</v>
      </c>
      <c r="F18" s="44">
        <f>E18</f>
        <v>7200</v>
      </c>
    </row>
    <row r="19" spans="1:6" ht="12.75">
      <c r="A19" s="240"/>
      <c r="B19" s="110"/>
      <c r="C19" s="44" t="s">
        <v>256</v>
      </c>
      <c r="D19" s="44">
        <f>SUM(D4:D14)</f>
        <v>291968</v>
      </c>
      <c r="E19" s="44">
        <f>SUM(E4:E14)</f>
        <v>30400</v>
      </c>
      <c r="F19" s="44">
        <f>SUM(F4:F14)</f>
        <v>30400</v>
      </c>
    </row>
    <row r="20" spans="1:6" ht="12.75">
      <c r="A20" s="245"/>
      <c r="B20" s="246"/>
      <c r="C20" s="69"/>
      <c r="D20" s="69"/>
      <c r="E20" s="69"/>
      <c r="F20" s="69"/>
    </row>
    <row r="21" spans="1:6" ht="12.75" customHeight="1">
      <c r="A21" s="386" t="s">
        <v>253</v>
      </c>
      <c r="B21" s="386"/>
      <c r="C21" s="386"/>
      <c r="D21" s="386"/>
      <c r="E21" s="386"/>
      <c r="F21" s="386"/>
    </row>
    <row r="22" spans="1:6" ht="12.75">
      <c r="A22" s="240"/>
      <c r="B22" s="110" t="s">
        <v>311</v>
      </c>
      <c r="C22" s="44"/>
      <c r="D22" s="44">
        <f>D4+D5+D6+D7+D8+D13+D16+D17</f>
        <v>901568</v>
      </c>
      <c r="E22" s="44">
        <f>E4+E5+E6+E7+E8+E13</f>
        <v>0</v>
      </c>
      <c r="F22" s="44">
        <f>F4+F5+F6+F7+F8+F13</f>
        <v>0</v>
      </c>
    </row>
    <row r="23" spans="1:6" ht="12.75">
      <c r="A23" s="240"/>
      <c r="B23" s="110" t="s">
        <v>255</v>
      </c>
      <c r="C23" s="44"/>
      <c r="D23" s="44">
        <f>D10+D11</f>
        <v>18400</v>
      </c>
      <c r="E23" s="44">
        <f>E10+E11</f>
        <v>18400</v>
      </c>
      <c r="F23" s="44">
        <f>F10+F11</f>
        <v>18400</v>
      </c>
    </row>
    <row r="24" spans="1:6" ht="12.75">
      <c r="A24" s="240"/>
      <c r="B24" s="110" t="s">
        <v>307</v>
      </c>
      <c r="C24" s="44"/>
      <c r="D24" s="44">
        <f>D14+D18</f>
        <v>19200</v>
      </c>
      <c r="E24" s="44">
        <f>E14+E18</f>
        <v>19200</v>
      </c>
      <c r="F24" s="44">
        <f>F14+F18</f>
        <v>19200</v>
      </c>
    </row>
    <row r="25" spans="1:6" ht="12.75">
      <c r="A25" s="240"/>
      <c r="B25" s="110"/>
      <c r="C25" s="44" t="s">
        <v>256</v>
      </c>
      <c r="D25" s="44">
        <f>SUM(D22:D24)</f>
        <v>939168</v>
      </c>
      <c r="E25" s="44">
        <f>SUM(E22:E24)</f>
        <v>37600</v>
      </c>
      <c r="F25" s="44">
        <f>SUM(F22:F24)</f>
        <v>37600</v>
      </c>
    </row>
  </sheetData>
  <sheetProtection/>
  <mergeCells count="9">
    <mergeCell ref="A12:F12"/>
    <mergeCell ref="A15:F15"/>
    <mergeCell ref="A21:F21"/>
    <mergeCell ref="A1:F1"/>
    <mergeCell ref="A2:A3"/>
    <mergeCell ref="B2:B3"/>
    <mergeCell ref="C2:C3"/>
    <mergeCell ref="D2:F2"/>
    <mergeCell ref="A9:F9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16"/>
  <sheetViews>
    <sheetView zoomScale="75" zoomScaleNormal="75" zoomScalePageLayoutView="0" workbookViewId="0" topLeftCell="A1">
      <selection activeCell="C13" sqref="C13"/>
    </sheetView>
  </sheetViews>
  <sheetFormatPr defaultColWidth="10.7109375" defaultRowHeight="15"/>
  <cols>
    <col min="1" max="1" width="6.28125" style="248" customWidth="1"/>
    <col min="2" max="2" width="29.421875" style="104" customWidth="1"/>
    <col min="3" max="255" width="10.7109375" style="104" customWidth="1"/>
    <col min="256" max="16384" width="10.7109375" style="249" customWidth="1"/>
  </cols>
  <sheetData>
    <row r="1" spans="1:5" ht="13.5" customHeight="1">
      <c r="A1" s="391" t="s">
        <v>312</v>
      </c>
      <c r="B1" s="391"/>
      <c r="C1" s="391"/>
      <c r="D1" s="391"/>
      <c r="E1" s="391"/>
    </row>
    <row r="2" spans="1:5" ht="13.5">
      <c r="A2" s="250"/>
      <c r="B2" s="246"/>
      <c r="C2" s="246"/>
      <c r="D2" s="246"/>
      <c r="E2" s="246"/>
    </row>
    <row r="3" spans="1:256" s="251" customFormat="1" ht="26.25">
      <c r="A3" s="228" t="s">
        <v>186</v>
      </c>
      <c r="B3" s="106" t="s">
        <v>313</v>
      </c>
      <c r="C3" s="239" t="s">
        <v>100</v>
      </c>
      <c r="D3" s="239" t="s">
        <v>5</v>
      </c>
      <c r="E3" s="239" t="s">
        <v>6</v>
      </c>
      <c r="IV3" s="252"/>
    </row>
    <row r="4" spans="1:6" ht="13.5">
      <c r="A4" s="230" t="s">
        <v>102</v>
      </c>
      <c r="B4" s="110" t="s">
        <v>314</v>
      </c>
      <c r="C4" s="110">
        <v>50000</v>
      </c>
      <c r="D4" s="110">
        <f>C4</f>
        <v>50000</v>
      </c>
      <c r="E4" s="110">
        <f>D4</f>
        <v>50000</v>
      </c>
      <c r="F4" s="104" t="s">
        <v>315</v>
      </c>
    </row>
    <row r="5" spans="1:5" ht="13.5">
      <c r="A5" s="230" t="s">
        <v>104</v>
      </c>
      <c r="B5" s="110" t="s">
        <v>316</v>
      </c>
      <c r="C5" s="110">
        <f>50000*12</f>
        <v>600000</v>
      </c>
      <c r="D5" s="110">
        <f>C5</f>
        <v>600000</v>
      </c>
      <c r="E5" s="110">
        <f>D5</f>
        <v>600000</v>
      </c>
    </row>
    <row r="6" spans="1:5" ht="13.5">
      <c r="A6" s="230" t="s">
        <v>105</v>
      </c>
      <c r="B6" s="110" t="s">
        <v>317</v>
      </c>
      <c r="C6" s="110">
        <v>23000</v>
      </c>
      <c r="D6" s="110">
        <v>0</v>
      </c>
      <c r="E6" s="110">
        <v>0</v>
      </c>
    </row>
    <row r="7" spans="1:5" ht="13.5">
      <c r="A7" s="230" t="s">
        <v>156</v>
      </c>
      <c r="B7" s="253" t="s">
        <v>318</v>
      </c>
      <c r="C7" s="110">
        <f>5000*12</f>
        <v>60000</v>
      </c>
      <c r="D7" s="110">
        <v>0</v>
      </c>
      <c r="E7" s="110">
        <v>0</v>
      </c>
    </row>
    <row r="8" spans="1:5" ht="13.5">
      <c r="A8" s="230" t="s">
        <v>158</v>
      </c>
      <c r="B8" s="110" t="s">
        <v>319</v>
      </c>
      <c r="C8" s="110">
        <f>12*10000</f>
        <v>120000</v>
      </c>
      <c r="D8" s="110">
        <f>C8</f>
        <v>120000</v>
      </c>
      <c r="E8" s="110">
        <f>D8</f>
        <v>120000</v>
      </c>
    </row>
    <row r="9" spans="1:5" ht="13.5">
      <c r="A9" s="230" t="s">
        <v>160</v>
      </c>
      <c r="B9" s="110" t="s">
        <v>320</v>
      </c>
      <c r="C9" s="110">
        <f>1000*12</f>
        <v>12000</v>
      </c>
      <c r="D9" s="110">
        <f>C9</f>
        <v>12000</v>
      </c>
      <c r="E9" s="110">
        <f>D9</f>
        <v>12000</v>
      </c>
    </row>
    <row r="10" spans="1:5" ht="13.5">
      <c r="A10" s="230" t="s">
        <v>162</v>
      </c>
      <c r="B10" s="110" t="s">
        <v>321</v>
      </c>
      <c r="C10" s="110">
        <v>1000000</v>
      </c>
      <c r="D10" s="110"/>
      <c r="E10" s="110"/>
    </row>
    <row r="11" spans="1:5" ht="13.5">
      <c r="A11" s="230" t="s">
        <v>273</v>
      </c>
      <c r="B11" s="110" t="s">
        <v>322</v>
      </c>
      <c r="C11" s="110">
        <v>3000</v>
      </c>
      <c r="D11" s="110"/>
      <c r="E11" s="110"/>
    </row>
    <row r="12" spans="1:5" ht="14.25">
      <c r="A12" s="230" t="s">
        <v>276</v>
      </c>
      <c r="B12" s="108" t="s">
        <v>323</v>
      </c>
      <c r="C12" s="315">
        <v>11500000</v>
      </c>
      <c r="D12" s="110"/>
      <c r="E12" s="110"/>
    </row>
    <row r="13" spans="1:5" ht="13.5">
      <c r="A13" s="230" t="s">
        <v>277</v>
      </c>
      <c r="B13" s="110" t="s">
        <v>324</v>
      </c>
      <c r="C13" s="315">
        <v>6000000</v>
      </c>
      <c r="D13" s="110"/>
      <c r="E13" s="110"/>
    </row>
    <row r="14" spans="1:5" ht="13.5">
      <c r="A14" s="230" t="s">
        <v>278</v>
      </c>
      <c r="B14" s="110" t="s">
        <v>325</v>
      </c>
      <c r="C14" s="315">
        <v>0</v>
      </c>
      <c r="D14" s="110"/>
      <c r="E14" s="110"/>
    </row>
    <row r="15" spans="1:5" ht="13.5">
      <c r="A15" s="230"/>
      <c r="B15" s="233" t="s">
        <v>256</v>
      </c>
      <c r="C15" s="110">
        <f>SUM(C4:C14)</f>
        <v>19368000</v>
      </c>
      <c r="D15" s="110">
        <f>SUM(D4:D14)</f>
        <v>782000</v>
      </c>
      <c r="E15" s="110">
        <f>SUM(E4:E14)</f>
        <v>782000</v>
      </c>
    </row>
    <row r="16" ht="13.5">
      <c r="A16" s="254"/>
    </row>
  </sheetData>
  <sheetProtection/>
  <mergeCells count="1">
    <mergeCell ref="A1:E1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G7"/>
  <sheetViews>
    <sheetView zoomScale="75" zoomScaleNormal="75" zoomScalePageLayoutView="0" workbookViewId="0" topLeftCell="A1">
      <selection activeCell="C7" sqref="C7"/>
    </sheetView>
  </sheetViews>
  <sheetFormatPr defaultColWidth="10.7109375" defaultRowHeight="15"/>
  <cols>
    <col min="1" max="1" width="10.7109375" style="255" customWidth="1"/>
    <col min="2" max="2" width="20.140625" style="255" customWidth="1"/>
    <col min="3" max="28" width="10.7109375" style="255" customWidth="1"/>
    <col min="29" max="29" width="6.28125" style="255" customWidth="1"/>
    <col min="30" max="30" width="25.8515625" style="255" customWidth="1"/>
    <col min="31" max="16384" width="10.7109375" style="255" customWidth="1"/>
  </cols>
  <sheetData>
    <row r="1" s="27" customFormat="1" ht="14.25" customHeight="1"/>
    <row r="2" spans="1:5" s="27" customFormat="1" ht="14.25" customHeight="1">
      <c r="A2" s="392" t="s">
        <v>326</v>
      </c>
      <c r="B2" s="392"/>
      <c r="C2" s="392"/>
      <c r="D2" s="392"/>
      <c r="E2" s="392"/>
    </row>
    <row r="3" spans="1:5" s="27" customFormat="1" ht="14.25">
      <c r="A3" s="256"/>
      <c r="B3" s="256"/>
      <c r="C3" s="256"/>
      <c r="D3" s="256"/>
      <c r="E3" s="256"/>
    </row>
    <row r="4" spans="1:5" s="27" customFormat="1" ht="27">
      <c r="A4" s="228" t="s">
        <v>186</v>
      </c>
      <c r="B4" s="247" t="s">
        <v>327</v>
      </c>
      <c r="C4" s="239" t="s">
        <v>100</v>
      </c>
      <c r="D4" s="239" t="s">
        <v>5</v>
      </c>
      <c r="E4" s="239" t="s">
        <v>6</v>
      </c>
    </row>
    <row r="5" spans="1:5" s="27" customFormat="1" ht="27">
      <c r="A5" s="230" t="s">
        <v>102</v>
      </c>
      <c r="B5" s="257" t="s">
        <v>328</v>
      </c>
      <c r="C5" s="258">
        <f>12*24000</f>
        <v>288000</v>
      </c>
      <c r="D5" s="258">
        <v>0</v>
      </c>
      <c r="E5" s="258">
        <v>0</v>
      </c>
    </row>
    <row r="6" spans="1:33" ht="27">
      <c r="A6" s="230" t="s">
        <v>104</v>
      </c>
      <c r="B6" s="257" t="s">
        <v>329</v>
      </c>
      <c r="C6" s="259">
        <v>100000</v>
      </c>
      <c r="D6" s="259">
        <v>0</v>
      </c>
      <c r="E6" s="259">
        <v>0</v>
      </c>
      <c r="AC6" s="27"/>
      <c r="AD6" s="27"/>
      <c r="AE6" s="27"/>
      <c r="AF6" s="27"/>
      <c r="AG6" s="27"/>
    </row>
    <row r="7" spans="1:5" ht="13.5">
      <c r="A7" s="257"/>
      <c r="B7" s="230" t="s">
        <v>256</v>
      </c>
      <c r="C7" s="259">
        <f>SUM(C5:C6)</f>
        <v>388000</v>
      </c>
      <c r="D7" s="259">
        <f>SUM(D5:D6)</f>
        <v>0</v>
      </c>
      <c r="E7" s="259">
        <f>SUM(E5:E6)</f>
        <v>0</v>
      </c>
    </row>
  </sheetData>
  <sheetProtection/>
  <mergeCells count="1">
    <mergeCell ref="A2:E2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"/>
  <sheetViews>
    <sheetView zoomScale="75" zoomScaleNormal="75" zoomScalePageLayoutView="0" workbookViewId="0" topLeftCell="A1">
      <selection activeCell="B5" sqref="B5"/>
    </sheetView>
  </sheetViews>
  <sheetFormatPr defaultColWidth="10.7109375" defaultRowHeight="15"/>
  <cols>
    <col min="1" max="1" width="24.00390625" style="105" customWidth="1"/>
    <col min="2" max="2" width="10.7109375" style="105" customWidth="1"/>
    <col min="3" max="3" width="13.421875" style="105" customWidth="1"/>
    <col min="4" max="7" width="10.7109375" style="105" customWidth="1"/>
    <col min="8" max="8" width="15.421875" style="105" customWidth="1"/>
    <col min="9" max="254" width="10.7109375" style="105" customWidth="1"/>
  </cols>
  <sheetData>
    <row r="1" spans="1:6" ht="12.75" customHeight="1">
      <c r="A1" s="383" t="s">
        <v>330</v>
      </c>
      <c r="B1" s="383"/>
      <c r="C1" s="383"/>
      <c r="D1" s="383"/>
      <c r="E1" s="383"/>
      <c r="F1" s="383"/>
    </row>
    <row r="2" spans="1:6" ht="14.25">
      <c r="A2" s="69"/>
      <c r="B2" s="69"/>
      <c r="C2" s="69"/>
      <c r="D2" s="69"/>
      <c r="E2" s="69"/>
      <c r="F2" s="69"/>
    </row>
    <row r="3" spans="1:6" ht="12.75" customHeight="1">
      <c r="A3" s="390" t="s">
        <v>331</v>
      </c>
      <c r="B3" s="238" t="s">
        <v>263</v>
      </c>
      <c r="C3" s="238" t="s">
        <v>36</v>
      </c>
      <c r="D3" s="390" t="s">
        <v>332</v>
      </c>
      <c r="E3" s="390"/>
      <c r="F3" s="390" t="s">
        <v>333</v>
      </c>
    </row>
    <row r="4" spans="1:6" ht="14.25">
      <c r="A4" s="390"/>
      <c r="B4" s="238" t="s">
        <v>334</v>
      </c>
      <c r="C4" s="238" t="s">
        <v>335</v>
      </c>
      <c r="D4" s="238" t="s">
        <v>336</v>
      </c>
      <c r="E4" s="238" t="s">
        <v>259</v>
      </c>
      <c r="F4" s="390"/>
    </row>
    <row r="5" spans="1:8" ht="14.25">
      <c r="A5" s="235" t="s">
        <v>337</v>
      </c>
      <c r="B5" s="238">
        <v>3732</v>
      </c>
      <c r="C5" s="238">
        <f>D5/B5</f>
        <v>15.54</v>
      </c>
      <c r="D5" s="260">
        <v>57995.28</v>
      </c>
      <c r="E5" s="238">
        <f>D5/'Техника оборудование мебель'!D2</f>
        <v>840.5113043478261</v>
      </c>
      <c r="F5" s="44"/>
      <c r="G5" s="261"/>
      <c r="H5" s="261"/>
    </row>
    <row r="6" spans="1:6" ht="14.25">
      <c r="A6" s="262" t="s">
        <v>256</v>
      </c>
      <c r="B6" s="44">
        <f>SUM(B5:B5)</f>
        <v>3732</v>
      </c>
      <c r="C6" s="44"/>
      <c r="D6" s="43">
        <f>SUM(D5:D5)</f>
        <v>57995.28</v>
      </c>
      <c r="E6" s="44">
        <f>SUM(E5:E5)</f>
        <v>840.5113043478261</v>
      </c>
      <c r="F6" s="44">
        <f>SUM(F5:F5)</f>
        <v>0</v>
      </c>
    </row>
  </sheetData>
  <sheetProtection/>
  <mergeCells count="4">
    <mergeCell ref="A1:F1"/>
    <mergeCell ref="A3:A4"/>
    <mergeCell ref="D3:E3"/>
    <mergeCell ref="F3:F4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"/>
  <sheetViews>
    <sheetView zoomScale="75" zoomScaleNormal="75" zoomScalePageLayoutView="0" workbookViewId="0" topLeftCell="A10">
      <selection activeCell="C24" sqref="C24"/>
    </sheetView>
  </sheetViews>
  <sheetFormatPr defaultColWidth="9.8515625" defaultRowHeight="15"/>
  <cols>
    <col min="1" max="1" width="35.57421875" style="8" customWidth="1"/>
    <col min="2" max="2" width="11.7109375" style="9" customWidth="1"/>
    <col min="3" max="3" width="14.00390625" style="9" customWidth="1"/>
    <col min="4" max="4" width="13.8515625" style="9" customWidth="1"/>
    <col min="5" max="5" width="13.140625" style="9" customWidth="1"/>
    <col min="6" max="6" width="11.28125" style="9" customWidth="1"/>
    <col min="7" max="16384" width="9.8515625" style="9" customWidth="1"/>
  </cols>
  <sheetData>
    <row r="1" spans="1:6" ht="12.75" customHeight="1">
      <c r="A1" s="325" t="s">
        <v>34</v>
      </c>
      <c r="B1" s="325"/>
      <c r="C1" s="325"/>
      <c r="D1" s="325"/>
      <c r="E1" s="325"/>
      <c r="F1" s="325"/>
    </row>
    <row r="2" spans="1:6" ht="22.5" customHeight="1">
      <c r="A2" s="326" t="s">
        <v>35</v>
      </c>
      <c r="B2" s="326" t="s">
        <v>36</v>
      </c>
      <c r="C2" s="326"/>
      <c r="D2" s="326"/>
      <c r="E2" s="326"/>
      <c r="F2" s="326"/>
    </row>
    <row r="3" spans="1:256" s="8" customFormat="1" ht="70.5" customHeight="1">
      <c r="A3" s="326"/>
      <c r="B3" s="10" t="s">
        <v>37</v>
      </c>
      <c r="C3" s="292" t="s">
        <v>38</v>
      </c>
      <c r="D3" s="292" t="s">
        <v>39</v>
      </c>
      <c r="E3" s="292" t="s">
        <v>40</v>
      </c>
      <c r="F3" s="292" t="s">
        <v>41</v>
      </c>
      <c r="IU3" s="9"/>
      <c r="IV3" s="9"/>
    </row>
    <row r="4" spans="1:256" s="8" customFormat="1" ht="45.75" customHeight="1">
      <c r="A4" s="11" t="str">
        <f>Аренда!A1</f>
        <v>Аренда</v>
      </c>
      <c r="B4" s="10">
        <v>12</v>
      </c>
      <c r="C4" s="293">
        <f>D4/B4</f>
        <v>4832.94</v>
      </c>
      <c r="D4" s="293">
        <f>Аренда!D6</f>
        <v>57995.28</v>
      </c>
      <c r="E4" s="293"/>
      <c r="F4" s="293">
        <f aca="true" t="shared" si="0" ref="F4:F14">E4+D4</f>
        <v>57995.28</v>
      </c>
      <c r="IU4" s="9"/>
      <c r="IV4" s="9"/>
    </row>
    <row r="5" spans="1:256" s="8" customFormat="1" ht="45.75" customHeight="1">
      <c r="A5" s="11" t="s">
        <v>42</v>
      </c>
      <c r="B5" s="10"/>
      <c r="C5" s="293"/>
      <c r="D5" s="293"/>
      <c r="E5" s="293">
        <f>'Ремонт и материалы'!C4</f>
        <v>50000000</v>
      </c>
      <c r="F5" s="293">
        <f t="shared" si="0"/>
        <v>50000000</v>
      </c>
      <c r="IU5" s="9"/>
      <c r="IV5" s="9"/>
    </row>
    <row r="6" spans="1:256" s="8" customFormat="1" ht="78">
      <c r="A6" s="11" t="s">
        <v>43</v>
      </c>
      <c r="B6" s="10" t="s">
        <v>44</v>
      </c>
      <c r="C6" s="293">
        <f>D6/12</f>
        <v>62720</v>
      </c>
      <c r="D6" s="293">
        <f>'Объем производства'!J66</f>
        <v>752640</v>
      </c>
      <c r="E6" s="293"/>
      <c r="F6" s="293">
        <f t="shared" si="0"/>
        <v>752640</v>
      </c>
      <c r="IU6" s="9"/>
      <c r="IV6" s="9"/>
    </row>
    <row r="7" spans="1:256" s="8" customFormat="1" ht="36" customHeight="1">
      <c r="A7" s="11" t="s">
        <v>45</v>
      </c>
      <c r="B7" s="10" t="s">
        <v>46</v>
      </c>
      <c r="C7" s="293"/>
      <c r="D7" s="293"/>
      <c r="E7" s="293">
        <f>'Техника оборудование мебель'!E18+'Техника оборудование мебель'!E19</f>
        <v>10235700</v>
      </c>
      <c r="F7" s="293">
        <f t="shared" si="0"/>
        <v>10235700</v>
      </c>
      <c r="IU7" s="9"/>
      <c r="IV7" s="9"/>
    </row>
    <row r="8" spans="1:256" s="8" customFormat="1" ht="33.75" customHeight="1">
      <c r="A8" s="11" t="s">
        <v>47</v>
      </c>
      <c r="B8" s="10">
        <v>12</v>
      </c>
      <c r="C8" s="293">
        <f aca="true" t="shared" si="1" ref="C8:C13">D8/12</f>
        <v>1533.3333333333333</v>
      </c>
      <c r="D8" s="293">
        <f>'Комп_ры_тел_ оргтехника и ПО'!F23</f>
        <v>18400</v>
      </c>
      <c r="E8" s="293">
        <f>'Расходные материалы'!E21</f>
        <v>5570068.5465</v>
      </c>
      <c r="F8" s="293">
        <f t="shared" si="0"/>
        <v>5588468.5465</v>
      </c>
      <c r="IU8" s="9"/>
      <c r="IV8" s="9"/>
    </row>
    <row r="9" spans="1:256" s="8" customFormat="1" ht="46.5">
      <c r="A9" s="12" t="s">
        <v>48</v>
      </c>
      <c r="B9" s="10">
        <v>12</v>
      </c>
      <c r="C9" s="293">
        <f t="shared" si="1"/>
        <v>50000</v>
      </c>
      <c r="D9" s="293">
        <f>Подрядчики!C5</f>
        <v>600000</v>
      </c>
      <c r="E9" s="293">
        <f>Подрядчики!C4</f>
        <v>50000</v>
      </c>
      <c r="F9" s="293">
        <f t="shared" si="0"/>
        <v>650000</v>
      </c>
      <c r="IU9" s="9"/>
      <c r="IV9" s="9"/>
    </row>
    <row r="10" spans="1:256" s="8" customFormat="1" ht="38.25" customHeight="1">
      <c r="A10" s="12" t="s">
        <v>49</v>
      </c>
      <c r="B10" s="10" t="s">
        <v>46</v>
      </c>
      <c r="C10" s="293">
        <f t="shared" si="1"/>
        <v>1600</v>
      </c>
      <c r="D10" s="293">
        <f>'Комп_ры_тел_ оргтехника и ПО'!D24</f>
        <v>19200</v>
      </c>
      <c r="E10" s="293">
        <f>'Комп_ры_тел_ оргтехника и ПО'!D22</f>
        <v>901568</v>
      </c>
      <c r="F10" s="293">
        <f t="shared" si="0"/>
        <v>920768</v>
      </c>
      <c r="IU10" s="9"/>
      <c r="IV10" s="9"/>
    </row>
    <row r="11" spans="1:256" s="8" customFormat="1" ht="38.25" customHeight="1">
      <c r="A11" s="12" t="s">
        <v>50</v>
      </c>
      <c r="B11" s="10"/>
      <c r="C11" s="293">
        <f t="shared" si="1"/>
        <v>99583.33333333333</v>
      </c>
      <c r="D11" s="293">
        <f>Подрядчики!C7+Подрядчики!C8+Подрядчики!C9+Подрядчики!C10+Подрядчики!C11</f>
        <v>1195000</v>
      </c>
      <c r="E11" s="293">
        <f>Подрядчики!C6+Подрядчики!C10+Подрядчики!C11+Подрядчики!C12+Подрядчики!C13+Подрядчики!C14</f>
        <v>18526000</v>
      </c>
      <c r="F11" s="293">
        <f t="shared" si="0"/>
        <v>19721000</v>
      </c>
      <c r="IU11" s="9"/>
      <c r="IV11" s="9"/>
    </row>
    <row r="12" spans="1:6" ht="34.5" customHeight="1">
      <c r="A12" s="13" t="s">
        <v>51</v>
      </c>
      <c r="B12" s="14">
        <v>12</v>
      </c>
      <c r="C12" s="293">
        <f t="shared" si="1"/>
        <v>845845</v>
      </c>
      <c r="D12" s="294">
        <f>'Расходы на оплату труда персона'!H12</f>
        <v>10150140</v>
      </c>
      <c r="E12" s="295"/>
      <c r="F12" s="293">
        <f t="shared" si="0"/>
        <v>10150140</v>
      </c>
    </row>
    <row r="13" spans="1:8" ht="35.25" customHeight="1">
      <c r="A13" s="13" t="s">
        <v>52</v>
      </c>
      <c r="B13" s="14">
        <v>12</v>
      </c>
      <c r="C13" s="293">
        <f t="shared" si="1"/>
        <v>254345</v>
      </c>
      <c r="D13" s="20">
        <f>'Расходы на оплату труда персона'!I12</f>
        <v>3052140</v>
      </c>
      <c r="E13" s="20"/>
      <c r="F13" s="293">
        <f t="shared" si="0"/>
        <v>3052140</v>
      </c>
      <c r="H13" s="15"/>
    </row>
    <row r="14" spans="1:6" ht="37.5" customHeight="1">
      <c r="A14" s="11" t="s">
        <v>53</v>
      </c>
      <c r="B14" s="16">
        <v>0.1</v>
      </c>
      <c r="C14" s="20"/>
      <c r="D14" s="293"/>
      <c r="E14" s="296">
        <f>SUM(E4:E13)*B14</f>
        <v>8528333.65465</v>
      </c>
      <c r="F14" s="293">
        <f t="shared" si="0"/>
        <v>8528333.65465</v>
      </c>
    </row>
    <row r="15" spans="1:6" ht="15">
      <c r="A15" s="13" t="s">
        <v>54</v>
      </c>
      <c r="B15" s="14"/>
      <c r="C15" s="20">
        <f>SUM(C4:C14)-C13</f>
        <v>1066114.6066666667</v>
      </c>
      <c r="D15" s="20">
        <f>SUM(D4:D14)-D13</f>
        <v>12793375.280000001</v>
      </c>
      <c r="E15" s="21">
        <f>SUM(E4:E14)-E13</f>
        <v>93811670.20115</v>
      </c>
      <c r="F15" s="293"/>
    </row>
    <row r="16" spans="3:6" ht="15">
      <c r="C16" s="17"/>
      <c r="D16" s="17"/>
      <c r="E16" s="17"/>
      <c r="F16" s="17"/>
    </row>
    <row r="17" spans="3:6" ht="15">
      <c r="C17" s="17"/>
      <c r="D17" s="17"/>
      <c r="E17" s="17"/>
      <c r="F17" s="17"/>
    </row>
    <row r="19" spans="1:6" ht="12.75" customHeight="1">
      <c r="A19" s="327" t="s">
        <v>55</v>
      </c>
      <c r="B19" s="327"/>
      <c r="C19" s="327"/>
      <c r="D19" s="327"/>
      <c r="E19" s="19"/>
      <c r="F19" s="19"/>
    </row>
    <row r="20" spans="1:4" ht="16.5" customHeight="1">
      <c r="A20" s="323" t="s">
        <v>56</v>
      </c>
      <c r="B20" s="323"/>
      <c r="C20" s="20">
        <f>E15</f>
        <v>93811670.20115</v>
      </c>
      <c r="D20" s="14" t="s">
        <v>57</v>
      </c>
    </row>
    <row r="21" spans="1:4" ht="16.5" customHeight="1">
      <c r="A21" s="323" t="s">
        <v>58</v>
      </c>
      <c r="B21" s="323"/>
      <c r="C21" s="20">
        <f>C15</f>
        <v>1066114.6066666667</v>
      </c>
      <c r="D21" s="14" t="s">
        <v>57</v>
      </c>
    </row>
    <row r="22" spans="1:4" ht="16.5" customHeight="1">
      <c r="A22" s="322" t="s">
        <v>54</v>
      </c>
      <c r="B22" s="322"/>
      <c r="C22" s="21">
        <f>SUM(C20:C21)</f>
        <v>94877784.80781667</v>
      </c>
      <c r="D22" s="14" t="s">
        <v>59</v>
      </c>
    </row>
    <row r="23" spans="1:4" ht="16.5" customHeight="1">
      <c r="A23" s="22"/>
      <c r="B23" s="23"/>
      <c r="C23" s="24">
        <f>C22/'Техника оборудование мебель'!D2</f>
        <v>1375040.359533575</v>
      </c>
      <c r="D23" s="14" t="s">
        <v>60</v>
      </c>
    </row>
    <row r="24" spans="1:4" ht="15.75" customHeight="1">
      <c r="A24" s="323" t="s">
        <v>61</v>
      </c>
      <c r="B24" s="323"/>
      <c r="C24" s="20">
        <f>'Расходы на оплату труда персона'!I12*5</f>
        <v>15260700</v>
      </c>
      <c r="D24" s="14" t="s">
        <v>62</v>
      </c>
    </row>
    <row r="25" spans="1:4" ht="15.75" customHeight="1">
      <c r="A25" s="324" t="s">
        <v>63</v>
      </c>
      <c r="B25" s="324"/>
      <c r="C25" s="25">
        <f>'Дисконтированные потоки'!BR19</f>
        <v>18518548.348075442</v>
      </c>
      <c r="D25" s="26" t="s">
        <v>39</v>
      </c>
    </row>
    <row r="26" spans="1:4" ht="16.5" customHeight="1">
      <c r="A26" s="27"/>
      <c r="B26" s="27"/>
      <c r="C26" s="27"/>
      <c r="D26" s="27"/>
    </row>
    <row r="27" spans="1:4" ht="15">
      <c r="A27" s="27"/>
      <c r="B27" s="27"/>
      <c r="C27" s="27"/>
      <c r="D27" s="27"/>
    </row>
  </sheetData>
  <sheetProtection/>
  <mergeCells count="9">
    <mergeCell ref="A22:B22"/>
    <mergeCell ref="A24:B24"/>
    <mergeCell ref="A25:B25"/>
    <mergeCell ref="A1:F1"/>
    <mergeCell ref="A2:A3"/>
    <mergeCell ref="B2:F2"/>
    <mergeCell ref="A19:D19"/>
    <mergeCell ref="A20:B20"/>
    <mergeCell ref="A21:B21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6"/>
  <sheetViews>
    <sheetView zoomScale="75" zoomScaleNormal="75" zoomScalePageLayoutView="0" workbookViewId="0" topLeftCell="A1">
      <selection activeCell="E25" sqref="E25"/>
    </sheetView>
  </sheetViews>
  <sheetFormatPr defaultColWidth="13.8515625" defaultRowHeight="15"/>
  <cols>
    <col min="1" max="1" width="15.28125" style="28" customWidth="1"/>
    <col min="2" max="2" width="22.140625" style="28" customWidth="1"/>
    <col min="3" max="3" width="10.28125" style="28" bestFit="1" customWidth="1"/>
    <col min="4" max="8" width="9.57421875" style="28" customWidth="1"/>
    <col min="9" max="9" width="11.57421875" style="28" customWidth="1"/>
    <col min="10" max="10" width="10.140625" style="28" customWidth="1"/>
    <col min="11" max="11" width="11.140625" style="28" customWidth="1"/>
    <col min="12" max="12" width="10.00390625" style="28" customWidth="1"/>
    <col min="13" max="32" width="11.140625" style="28" customWidth="1"/>
    <col min="33" max="68" width="12.140625" style="28" customWidth="1"/>
    <col min="69" max="16384" width="13.8515625" style="28" customWidth="1"/>
  </cols>
  <sheetData>
    <row r="1" spans="1:20" ht="18">
      <c r="A1" s="328" t="s">
        <v>352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</row>
    <row r="3" spans="1:256" ht="12.75" customHeight="1">
      <c r="A3" s="331" t="s">
        <v>64</v>
      </c>
      <c r="B3" s="331"/>
      <c r="C3" s="331"/>
      <c r="D3" s="331"/>
      <c r="E3" s="29"/>
      <c r="F3" s="29"/>
      <c r="G3" s="29"/>
      <c r="H3" s="29"/>
      <c r="I3" s="332" t="s">
        <v>65</v>
      </c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 t="s">
        <v>66</v>
      </c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 t="s">
        <v>67</v>
      </c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 t="s">
        <v>68</v>
      </c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 t="s">
        <v>65</v>
      </c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P3" s="332"/>
      <c r="BQ3" s="31"/>
      <c r="IQ3"/>
      <c r="IR3"/>
      <c r="IS3"/>
      <c r="IT3"/>
      <c r="IU3"/>
      <c r="IV3"/>
    </row>
    <row r="4" spans="1:256" ht="14.25">
      <c r="A4" s="331"/>
      <c r="B4" s="331"/>
      <c r="C4" s="29">
        <v>1</v>
      </c>
      <c r="D4" s="29">
        <v>2</v>
      </c>
      <c r="E4" s="29">
        <v>3</v>
      </c>
      <c r="F4" s="29">
        <v>4</v>
      </c>
      <c r="G4" s="29">
        <v>5</v>
      </c>
      <c r="H4" s="29">
        <v>6</v>
      </c>
      <c r="I4" s="31">
        <v>1</v>
      </c>
      <c r="J4" s="31">
        <v>2</v>
      </c>
      <c r="K4" s="31">
        <v>3</v>
      </c>
      <c r="L4" s="31">
        <v>4</v>
      </c>
      <c r="M4" s="31">
        <v>5</v>
      </c>
      <c r="N4" s="31">
        <v>6</v>
      </c>
      <c r="O4" s="31">
        <v>7</v>
      </c>
      <c r="P4" s="31">
        <v>8</v>
      </c>
      <c r="Q4" s="31">
        <v>9</v>
      </c>
      <c r="R4" s="31">
        <v>10</v>
      </c>
      <c r="S4" s="31">
        <v>11</v>
      </c>
      <c r="T4" s="31">
        <v>12</v>
      </c>
      <c r="U4" s="31">
        <v>13</v>
      </c>
      <c r="V4" s="31">
        <v>14</v>
      </c>
      <c r="W4" s="31">
        <v>15</v>
      </c>
      <c r="X4" s="31">
        <v>16</v>
      </c>
      <c r="Y4" s="31">
        <v>17</v>
      </c>
      <c r="Z4" s="31">
        <v>18</v>
      </c>
      <c r="AA4" s="31">
        <v>19</v>
      </c>
      <c r="AB4" s="31">
        <v>20</v>
      </c>
      <c r="AC4" s="31">
        <v>21</v>
      </c>
      <c r="AD4" s="31">
        <v>22</v>
      </c>
      <c r="AE4" s="31">
        <v>23</v>
      </c>
      <c r="AF4" s="31">
        <v>24</v>
      </c>
      <c r="AG4" s="31">
        <v>25</v>
      </c>
      <c r="AH4" s="31">
        <v>26</v>
      </c>
      <c r="AI4" s="31">
        <v>27</v>
      </c>
      <c r="AJ4" s="31">
        <v>28</v>
      </c>
      <c r="AK4" s="31">
        <v>29</v>
      </c>
      <c r="AL4" s="31">
        <v>30</v>
      </c>
      <c r="AM4" s="31">
        <v>31</v>
      </c>
      <c r="AN4" s="31">
        <v>32</v>
      </c>
      <c r="AO4" s="31">
        <v>33</v>
      </c>
      <c r="AP4" s="31">
        <v>34</v>
      </c>
      <c r="AQ4" s="31">
        <v>35</v>
      </c>
      <c r="AR4" s="31">
        <v>36</v>
      </c>
      <c r="AS4" s="31">
        <v>37</v>
      </c>
      <c r="AT4" s="31">
        <v>38</v>
      </c>
      <c r="AU4" s="31">
        <v>39</v>
      </c>
      <c r="AV4" s="31">
        <v>40</v>
      </c>
      <c r="AW4" s="31">
        <v>41</v>
      </c>
      <c r="AX4" s="31">
        <v>42</v>
      </c>
      <c r="AY4" s="31">
        <v>43</v>
      </c>
      <c r="AZ4" s="31">
        <v>44</v>
      </c>
      <c r="BA4" s="31">
        <v>45</v>
      </c>
      <c r="BB4" s="31">
        <v>46</v>
      </c>
      <c r="BC4" s="31">
        <v>47</v>
      </c>
      <c r="BD4" s="31">
        <v>48</v>
      </c>
      <c r="BE4" s="31">
        <v>49</v>
      </c>
      <c r="BF4" s="31">
        <v>50</v>
      </c>
      <c r="BG4" s="31">
        <v>51</v>
      </c>
      <c r="BH4" s="31">
        <v>52</v>
      </c>
      <c r="BI4" s="31">
        <v>53</v>
      </c>
      <c r="BJ4" s="31">
        <v>54</v>
      </c>
      <c r="BK4" s="31">
        <v>55</v>
      </c>
      <c r="BL4" s="31">
        <v>56</v>
      </c>
      <c r="BM4" s="31">
        <v>57</v>
      </c>
      <c r="BN4" s="31">
        <v>58</v>
      </c>
      <c r="BO4" s="31">
        <v>59</v>
      </c>
      <c r="BP4" s="31">
        <v>60</v>
      </c>
      <c r="BQ4" s="30" t="s">
        <v>54</v>
      </c>
      <c r="IQ4"/>
      <c r="IR4"/>
      <c r="IS4"/>
      <c r="IT4"/>
      <c r="IU4"/>
      <c r="IV4"/>
    </row>
    <row r="5" spans="1:256" ht="12.75" customHeight="1">
      <c r="A5" s="335" t="s">
        <v>69</v>
      </c>
      <c r="B5" s="335"/>
      <c r="C5" s="263"/>
      <c r="D5" s="264"/>
      <c r="E5" s="264"/>
      <c r="F5" s="264"/>
      <c r="G5" s="264"/>
      <c r="H5" s="264"/>
      <c r="I5" s="32">
        <f>I6+I7+I8+I9+I10+I11</f>
        <v>21648431.831250004</v>
      </c>
      <c r="J5" s="32">
        <f aca="true" t="shared" si="0" ref="J5:BP5">J6+J7+J8+J9+J10+J11</f>
        <v>21648431.831250004</v>
      </c>
      <c r="K5" s="32">
        <f t="shared" si="0"/>
        <v>21648431.831250004</v>
      </c>
      <c r="L5" s="32">
        <f t="shared" si="0"/>
        <v>21648431.831250004</v>
      </c>
      <c r="M5" s="32">
        <f t="shared" si="0"/>
        <v>21648431.831250004</v>
      </c>
      <c r="N5" s="32">
        <f t="shared" si="0"/>
        <v>21648431.831250004</v>
      </c>
      <c r="O5" s="32">
        <f t="shared" si="0"/>
        <v>21648431.831250004</v>
      </c>
      <c r="P5" s="32">
        <f t="shared" si="0"/>
        <v>21648431.831250004</v>
      </c>
      <c r="Q5" s="32">
        <f t="shared" si="0"/>
        <v>21648431.831250004</v>
      </c>
      <c r="R5" s="32">
        <f t="shared" si="0"/>
        <v>21648431.831250004</v>
      </c>
      <c r="S5" s="32">
        <f t="shared" si="0"/>
        <v>21648431.831250004</v>
      </c>
      <c r="T5" s="32">
        <f t="shared" si="0"/>
        <v>21648431.831250004</v>
      </c>
      <c r="U5" s="32">
        <f t="shared" si="0"/>
        <v>21648431.831250004</v>
      </c>
      <c r="V5" s="32">
        <f t="shared" si="0"/>
        <v>21648431.831250004</v>
      </c>
      <c r="W5" s="32">
        <f t="shared" si="0"/>
        <v>21648431.831250004</v>
      </c>
      <c r="X5" s="32">
        <f t="shared" si="0"/>
        <v>21648431.831250004</v>
      </c>
      <c r="Y5" s="32">
        <f t="shared" si="0"/>
        <v>21648431.831250004</v>
      </c>
      <c r="Z5" s="32">
        <f t="shared" si="0"/>
        <v>21648431.831250004</v>
      </c>
      <c r="AA5" s="32">
        <f t="shared" si="0"/>
        <v>21648431.831250004</v>
      </c>
      <c r="AB5" s="32">
        <f t="shared" si="0"/>
        <v>21648431.831250004</v>
      </c>
      <c r="AC5" s="32">
        <f t="shared" si="0"/>
        <v>21648431.831250004</v>
      </c>
      <c r="AD5" s="32">
        <f t="shared" si="0"/>
        <v>21648431.831250004</v>
      </c>
      <c r="AE5" s="32">
        <f t="shared" si="0"/>
        <v>21648431.831250004</v>
      </c>
      <c r="AF5" s="32">
        <f t="shared" si="0"/>
        <v>21648431.831250004</v>
      </c>
      <c r="AG5" s="32">
        <f t="shared" si="0"/>
        <v>34637490.93000001</v>
      </c>
      <c r="AH5" s="32">
        <f t="shared" si="0"/>
        <v>34637490.93000001</v>
      </c>
      <c r="AI5" s="32">
        <f t="shared" si="0"/>
        <v>34637490.93000001</v>
      </c>
      <c r="AJ5" s="32">
        <f t="shared" si="0"/>
        <v>34637490.93000001</v>
      </c>
      <c r="AK5" s="32">
        <f t="shared" si="0"/>
        <v>34637490.93000001</v>
      </c>
      <c r="AL5" s="32">
        <f t="shared" si="0"/>
        <v>34637490.93000001</v>
      </c>
      <c r="AM5" s="32">
        <f t="shared" si="0"/>
        <v>34637490.93000001</v>
      </c>
      <c r="AN5" s="32">
        <f t="shared" si="0"/>
        <v>34637490.93000001</v>
      </c>
      <c r="AO5" s="32">
        <f t="shared" si="0"/>
        <v>34637490.93000001</v>
      </c>
      <c r="AP5" s="32">
        <f t="shared" si="0"/>
        <v>34637490.93000001</v>
      </c>
      <c r="AQ5" s="32">
        <f t="shared" si="0"/>
        <v>34637490.93000001</v>
      </c>
      <c r="AR5" s="32">
        <f t="shared" si="0"/>
        <v>34637490.93000001</v>
      </c>
      <c r="AS5" s="32">
        <f t="shared" si="0"/>
        <v>34637490.93000001</v>
      </c>
      <c r="AT5" s="32">
        <f t="shared" si="0"/>
        <v>34637490.93000001</v>
      </c>
      <c r="AU5" s="32">
        <f t="shared" si="0"/>
        <v>34637490.93000001</v>
      </c>
      <c r="AV5" s="32">
        <f t="shared" si="0"/>
        <v>34637490.93000001</v>
      </c>
      <c r="AW5" s="32">
        <f t="shared" si="0"/>
        <v>34637490.93000001</v>
      </c>
      <c r="AX5" s="32">
        <f t="shared" si="0"/>
        <v>34637490.93000001</v>
      </c>
      <c r="AY5" s="32">
        <f t="shared" si="0"/>
        <v>34637490.93000001</v>
      </c>
      <c r="AZ5" s="32">
        <f t="shared" si="0"/>
        <v>34637490.93000001</v>
      </c>
      <c r="BA5" s="32">
        <f t="shared" si="0"/>
        <v>34637490.93000001</v>
      </c>
      <c r="BB5" s="32">
        <f t="shared" si="0"/>
        <v>34637490.93000001</v>
      </c>
      <c r="BC5" s="32">
        <f t="shared" si="0"/>
        <v>34637490.93000001</v>
      </c>
      <c r="BD5" s="32">
        <f t="shared" si="0"/>
        <v>34637490.93000001</v>
      </c>
      <c r="BE5" s="32">
        <f t="shared" si="0"/>
        <v>34637490.93000001</v>
      </c>
      <c r="BF5" s="32">
        <f t="shared" si="0"/>
        <v>34637490.93000001</v>
      </c>
      <c r="BG5" s="32">
        <f t="shared" si="0"/>
        <v>34637490.93000001</v>
      </c>
      <c r="BH5" s="32">
        <f t="shared" si="0"/>
        <v>34637490.93000001</v>
      </c>
      <c r="BI5" s="32">
        <f t="shared" si="0"/>
        <v>34637490.93000001</v>
      </c>
      <c r="BJ5" s="32">
        <f t="shared" si="0"/>
        <v>34637490.93000001</v>
      </c>
      <c r="BK5" s="32">
        <f t="shared" si="0"/>
        <v>34637490.93000001</v>
      </c>
      <c r="BL5" s="32">
        <f t="shared" si="0"/>
        <v>34637490.93000001</v>
      </c>
      <c r="BM5" s="32">
        <f t="shared" si="0"/>
        <v>34637490.93000001</v>
      </c>
      <c r="BN5" s="32">
        <f t="shared" si="0"/>
        <v>34637490.93000001</v>
      </c>
      <c r="BO5" s="32">
        <f t="shared" si="0"/>
        <v>34637490.93000001</v>
      </c>
      <c r="BP5" s="32">
        <f t="shared" si="0"/>
        <v>34637490.93000001</v>
      </c>
      <c r="BQ5" s="32">
        <f aca="true" t="shared" si="1" ref="BQ5:BQ12">SUM(I5:BP5)</f>
        <v>1766512037.4300025</v>
      </c>
      <c r="BR5" s="28">
        <f>BQ5/5</f>
        <v>353302407.4860005</v>
      </c>
      <c r="IQ5"/>
      <c r="IR5"/>
      <c r="IS5"/>
      <c r="IT5"/>
      <c r="IU5"/>
      <c r="IV5"/>
    </row>
    <row r="6" spans="1:256" ht="13.5" customHeight="1">
      <c r="A6" s="336" t="str">
        <f>'Объем производства'!B24</f>
        <v>Пропан - бутановая смесь (СУГ)</v>
      </c>
      <c r="B6" s="336"/>
      <c r="C6" s="337" t="s">
        <v>70</v>
      </c>
      <c r="D6" s="338"/>
      <c r="E6" s="338"/>
      <c r="F6" s="338"/>
      <c r="G6" s="338"/>
      <c r="H6" s="339"/>
      <c r="I6" s="33">
        <f>'Объем производства'!M36</f>
        <v>494408.04000000015</v>
      </c>
      <c r="J6" s="33">
        <f>'Объем производства'!N36</f>
        <v>494408.04000000015</v>
      </c>
      <c r="K6" s="33">
        <f>'Объем производства'!O36</f>
        <v>494408.04000000015</v>
      </c>
      <c r="L6" s="33">
        <f>'Объем производства'!P36</f>
        <v>494408.04000000015</v>
      </c>
      <c r="M6" s="33">
        <f>'Объем производства'!Q36</f>
        <v>494408.04000000015</v>
      </c>
      <c r="N6" s="33">
        <f>'Объем производства'!R36</f>
        <v>494408.04000000015</v>
      </c>
      <c r="O6" s="33">
        <f>'Объем производства'!S36</f>
        <v>494408.04000000015</v>
      </c>
      <c r="P6" s="33">
        <f>'Объем производства'!T36</f>
        <v>494408.04000000015</v>
      </c>
      <c r="Q6" s="33">
        <f>'Объем производства'!U36</f>
        <v>494408.04000000015</v>
      </c>
      <c r="R6" s="33">
        <f>'Объем производства'!V36</f>
        <v>494408.04000000015</v>
      </c>
      <c r="S6" s="33">
        <f>'Объем производства'!W36</f>
        <v>494408.04000000015</v>
      </c>
      <c r="T6" s="33">
        <f>'Объем производства'!X36</f>
        <v>494408.04000000015</v>
      </c>
      <c r="U6" s="34">
        <f>'Объем производства'!Z36</f>
        <v>494408.04000000015</v>
      </c>
      <c r="V6" s="34">
        <f>'Объем производства'!AA36</f>
        <v>494408.04000000015</v>
      </c>
      <c r="W6" s="34">
        <f>'Объем производства'!AB36</f>
        <v>494408.04000000015</v>
      </c>
      <c r="X6" s="34">
        <f>'Объем производства'!AC36</f>
        <v>494408.04000000015</v>
      </c>
      <c r="Y6" s="34">
        <f>'Объем производства'!AD36</f>
        <v>494408.04000000015</v>
      </c>
      <c r="Z6" s="34">
        <f>'Объем производства'!AE36</f>
        <v>494408.04000000015</v>
      </c>
      <c r="AA6" s="34">
        <f>'Объем производства'!AF36</f>
        <v>494408.04000000015</v>
      </c>
      <c r="AB6" s="34">
        <f>'Объем производства'!AG36</f>
        <v>494408.04000000015</v>
      </c>
      <c r="AC6" s="34">
        <f>'Объем производства'!AH36</f>
        <v>494408.04000000015</v>
      </c>
      <c r="AD6" s="34">
        <f>'Объем производства'!AI36</f>
        <v>494408.04000000015</v>
      </c>
      <c r="AE6" s="34">
        <f>'Объем производства'!AJ36</f>
        <v>494408.04000000015</v>
      </c>
      <c r="AF6" s="34">
        <f>'Объем производства'!AK36</f>
        <v>494408.04000000015</v>
      </c>
      <c r="AG6" s="34">
        <f>'Объем производства'!AM36</f>
        <v>791052.8640000003</v>
      </c>
      <c r="AH6" s="34">
        <f>'Объем производства'!AN36</f>
        <v>791052.8640000003</v>
      </c>
      <c r="AI6" s="34">
        <f>'Объем производства'!AO36</f>
        <v>791052.8640000003</v>
      </c>
      <c r="AJ6" s="34">
        <f>'Объем производства'!AP36</f>
        <v>791052.8640000003</v>
      </c>
      <c r="AK6" s="34">
        <f>'Объем производства'!AQ36</f>
        <v>791052.8640000003</v>
      </c>
      <c r="AL6" s="34">
        <f>'Объем производства'!AR36</f>
        <v>791052.8640000003</v>
      </c>
      <c r="AM6" s="34">
        <f>'Объем производства'!AS36</f>
        <v>791052.8640000003</v>
      </c>
      <c r="AN6" s="34">
        <f>'Объем производства'!AT36</f>
        <v>791052.8640000003</v>
      </c>
      <c r="AO6" s="34">
        <f>'Объем производства'!AU36</f>
        <v>791052.8640000003</v>
      </c>
      <c r="AP6" s="34">
        <f>'Объем производства'!AV36</f>
        <v>791052.8640000003</v>
      </c>
      <c r="AQ6" s="34">
        <f>'Объем производства'!AW36</f>
        <v>791052.8640000003</v>
      </c>
      <c r="AR6" s="34">
        <f>'Объем производства'!AX36</f>
        <v>791052.8640000003</v>
      </c>
      <c r="AS6" s="34">
        <f>'Объем производства'!AZ36</f>
        <v>791052.8640000003</v>
      </c>
      <c r="AT6" s="34">
        <f>'Объем производства'!BA36</f>
        <v>791052.8640000003</v>
      </c>
      <c r="AU6" s="34">
        <f>'Объем производства'!BB36</f>
        <v>791052.8640000003</v>
      </c>
      <c r="AV6" s="34">
        <f>'Объем производства'!BC36</f>
        <v>791052.8640000003</v>
      </c>
      <c r="AW6" s="34">
        <f>'Объем производства'!BD36</f>
        <v>791052.8640000003</v>
      </c>
      <c r="AX6" s="34">
        <f>'Объем производства'!BE36</f>
        <v>791052.8640000003</v>
      </c>
      <c r="AY6" s="34">
        <f>'Объем производства'!BF36</f>
        <v>791052.8640000003</v>
      </c>
      <c r="AZ6" s="34">
        <f>'Объем производства'!BG36</f>
        <v>791052.8640000003</v>
      </c>
      <c r="BA6" s="34">
        <f>'Объем производства'!BH36</f>
        <v>791052.8640000003</v>
      </c>
      <c r="BB6" s="34">
        <f>'Объем производства'!BI36</f>
        <v>791052.8640000003</v>
      </c>
      <c r="BC6" s="34">
        <f>'Объем производства'!BJ36</f>
        <v>791052.8640000003</v>
      </c>
      <c r="BD6" s="34">
        <f>'Объем производства'!BK36</f>
        <v>791052.8640000003</v>
      </c>
      <c r="BE6" s="34">
        <f aca="true" t="shared" si="2" ref="BE6:BP6">BD6</f>
        <v>791052.8640000003</v>
      </c>
      <c r="BF6" s="34">
        <f t="shared" si="2"/>
        <v>791052.8640000003</v>
      </c>
      <c r="BG6" s="34">
        <f t="shared" si="2"/>
        <v>791052.8640000003</v>
      </c>
      <c r="BH6" s="34">
        <f t="shared" si="2"/>
        <v>791052.8640000003</v>
      </c>
      <c r="BI6" s="34">
        <f t="shared" si="2"/>
        <v>791052.8640000003</v>
      </c>
      <c r="BJ6" s="34">
        <f t="shared" si="2"/>
        <v>791052.8640000003</v>
      </c>
      <c r="BK6" s="34">
        <f t="shared" si="2"/>
        <v>791052.8640000003</v>
      </c>
      <c r="BL6" s="34">
        <f t="shared" si="2"/>
        <v>791052.8640000003</v>
      </c>
      <c r="BM6" s="34">
        <f t="shared" si="2"/>
        <v>791052.8640000003</v>
      </c>
      <c r="BN6" s="34">
        <f t="shared" si="2"/>
        <v>791052.8640000003</v>
      </c>
      <c r="BO6" s="34">
        <f t="shared" si="2"/>
        <v>791052.8640000003</v>
      </c>
      <c r="BP6" s="34">
        <f t="shared" si="2"/>
        <v>791052.8640000003</v>
      </c>
      <c r="BQ6" s="34">
        <f t="shared" si="1"/>
        <v>40343696.06400001</v>
      </c>
      <c r="IQ6"/>
      <c r="IR6"/>
      <c r="IS6"/>
      <c r="IT6"/>
      <c r="IU6"/>
      <c r="IV6"/>
    </row>
    <row r="7" spans="1:256" ht="14.25" customHeight="1">
      <c r="A7" s="330" t="str">
        <f>'Объем производства'!B25</f>
        <v>АИ 98</v>
      </c>
      <c r="B7" s="330"/>
      <c r="C7" s="337"/>
      <c r="D7" s="338"/>
      <c r="E7" s="338"/>
      <c r="F7" s="338"/>
      <c r="G7" s="338"/>
      <c r="H7" s="339"/>
      <c r="I7" s="36">
        <f>'Объем производства'!M37</f>
        <v>1932925.0499999998</v>
      </c>
      <c r="J7" s="36">
        <f>'Объем производства'!N37</f>
        <v>1932925.0499999998</v>
      </c>
      <c r="K7" s="36">
        <f>'Объем производства'!O37</f>
        <v>1932925.0499999998</v>
      </c>
      <c r="L7" s="36">
        <f>'Объем производства'!P37</f>
        <v>1932925.0499999998</v>
      </c>
      <c r="M7" s="36">
        <f>'Объем производства'!Q37</f>
        <v>1932925.0499999998</v>
      </c>
      <c r="N7" s="36">
        <f>'Объем производства'!R37</f>
        <v>1932925.0499999998</v>
      </c>
      <c r="O7" s="36">
        <f>'Объем производства'!S37</f>
        <v>1932925.0499999998</v>
      </c>
      <c r="P7" s="36">
        <f>'Объем производства'!T37</f>
        <v>1932925.0499999998</v>
      </c>
      <c r="Q7" s="36">
        <f>'Объем производства'!U37</f>
        <v>1932925.0499999998</v>
      </c>
      <c r="R7" s="36">
        <f>'Объем производства'!V37</f>
        <v>1932925.0499999998</v>
      </c>
      <c r="S7" s="36">
        <f>'Объем производства'!W37</f>
        <v>1932925.0499999998</v>
      </c>
      <c r="T7" s="36">
        <f>'Объем производства'!X37</f>
        <v>1932925.0499999998</v>
      </c>
      <c r="U7" s="37">
        <f>'Объем производства'!Z37</f>
        <v>1932925.0499999998</v>
      </c>
      <c r="V7" s="37">
        <f>'Объем производства'!AA37</f>
        <v>1932925.0499999998</v>
      </c>
      <c r="W7" s="37">
        <f>'Объем производства'!AB37</f>
        <v>1932925.0499999998</v>
      </c>
      <c r="X7" s="37">
        <f>'Объем производства'!AC37</f>
        <v>1932925.0499999998</v>
      </c>
      <c r="Y7" s="37">
        <f>'Объем производства'!AD37</f>
        <v>1932925.0499999998</v>
      </c>
      <c r="Z7" s="37">
        <f>'Объем производства'!AE37</f>
        <v>1932925.0499999998</v>
      </c>
      <c r="AA7" s="37">
        <f>'Объем производства'!AF37</f>
        <v>1932925.0499999998</v>
      </c>
      <c r="AB7" s="37">
        <f>'Объем производства'!AG37</f>
        <v>1932925.0499999998</v>
      </c>
      <c r="AC7" s="37">
        <f>'Объем производства'!AH37</f>
        <v>1932925.0499999998</v>
      </c>
      <c r="AD7" s="37">
        <f>'Объем производства'!AI37</f>
        <v>1932925.0499999998</v>
      </c>
      <c r="AE7" s="37">
        <f>'Объем производства'!AJ37</f>
        <v>1932925.0499999998</v>
      </c>
      <c r="AF7" s="37">
        <f>'Объем производства'!AK37</f>
        <v>1932925.0499999998</v>
      </c>
      <c r="AG7" s="37">
        <f>'Объем производства'!AM37</f>
        <v>3092680.08</v>
      </c>
      <c r="AH7" s="37">
        <f>'Объем производства'!AN37</f>
        <v>3092680.08</v>
      </c>
      <c r="AI7" s="37">
        <f>'Объем производства'!AO37</f>
        <v>3092680.08</v>
      </c>
      <c r="AJ7" s="37">
        <f>'Объем производства'!AP37</f>
        <v>3092680.08</v>
      </c>
      <c r="AK7" s="37">
        <f>'Объем производства'!AQ37</f>
        <v>3092680.08</v>
      </c>
      <c r="AL7" s="37">
        <f>'Объем производства'!AR37</f>
        <v>3092680.08</v>
      </c>
      <c r="AM7" s="37">
        <f>'Объем производства'!AS37</f>
        <v>3092680.08</v>
      </c>
      <c r="AN7" s="37">
        <f>'Объем производства'!AT37</f>
        <v>3092680.08</v>
      </c>
      <c r="AO7" s="37">
        <f>'Объем производства'!AU37</f>
        <v>3092680.08</v>
      </c>
      <c r="AP7" s="37">
        <f>'Объем производства'!AV37</f>
        <v>3092680.08</v>
      </c>
      <c r="AQ7" s="37">
        <f>'Объем производства'!AW37</f>
        <v>3092680.08</v>
      </c>
      <c r="AR7" s="37">
        <f>'Объем производства'!AX37</f>
        <v>3092680.08</v>
      </c>
      <c r="AS7" s="37">
        <f>'Объем производства'!AZ37</f>
        <v>3092680.08</v>
      </c>
      <c r="AT7" s="37">
        <f>'Объем производства'!BA37</f>
        <v>3092680.08</v>
      </c>
      <c r="AU7" s="37">
        <f>'Объем производства'!BB37</f>
        <v>3092680.08</v>
      </c>
      <c r="AV7" s="37">
        <f>'Объем производства'!BC37</f>
        <v>3092680.08</v>
      </c>
      <c r="AW7" s="37">
        <f>'Объем производства'!BD37</f>
        <v>3092680.08</v>
      </c>
      <c r="AX7" s="37">
        <f>'Объем производства'!BE37</f>
        <v>3092680.08</v>
      </c>
      <c r="AY7" s="37">
        <f>'Объем производства'!BF37</f>
        <v>3092680.08</v>
      </c>
      <c r="AZ7" s="37">
        <f>'Объем производства'!BG37</f>
        <v>3092680.08</v>
      </c>
      <c r="BA7" s="37">
        <f>'Объем производства'!BH37</f>
        <v>3092680.08</v>
      </c>
      <c r="BB7" s="37">
        <f>'Объем производства'!BI37</f>
        <v>3092680.08</v>
      </c>
      <c r="BC7" s="37">
        <f>'Объем производства'!BJ37</f>
        <v>3092680.08</v>
      </c>
      <c r="BD7" s="37">
        <f>'Объем производства'!BK37</f>
        <v>3092680.08</v>
      </c>
      <c r="BE7" s="37">
        <f aca="true" t="shared" si="3" ref="BE7:BP7">BD7</f>
        <v>3092680.08</v>
      </c>
      <c r="BF7" s="37">
        <f t="shared" si="3"/>
        <v>3092680.08</v>
      </c>
      <c r="BG7" s="37">
        <f t="shared" si="3"/>
        <v>3092680.08</v>
      </c>
      <c r="BH7" s="37">
        <f t="shared" si="3"/>
        <v>3092680.08</v>
      </c>
      <c r="BI7" s="37">
        <f t="shared" si="3"/>
        <v>3092680.08</v>
      </c>
      <c r="BJ7" s="37">
        <f t="shared" si="3"/>
        <v>3092680.08</v>
      </c>
      <c r="BK7" s="37">
        <f t="shared" si="3"/>
        <v>3092680.08</v>
      </c>
      <c r="BL7" s="37">
        <f t="shared" si="3"/>
        <v>3092680.08</v>
      </c>
      <c r="BM7" s="37">
        <f t="shared" si="3"/>
        <v>3092680.08</v>
      </c>
      <c r="BN7" s="37">
        <f t="shared" si="3"/>
        <v>3092680.08</v>
      </c>
      <c r="BO7" s="37">
        <f t="shared" si="3"/>
        <v>3092680.08</v>
      </c>
      <c r="BP7" s="37">
        <f t="shared" si="3"/>
        <v>3092680.08</v>
      </c>
      <c r="BQ7" s="37">
        <f t="shared" si="1"/>
        <v>157726684.08000004</v>
      </c>
      <c r="IQ7"/>
      <c r="IR7"/>
      <c r="IS7"/>
      <c r="IT7"/>
      <c r="IU7"/>
      <c r="IV7"/>
    </row>
    <row r="8" spans="1:256" ht="14.25" customHeight="1">
      <c r="A8" s="330" t="str">
        <f>'Объем производства'!B26</f>
        <v>АИ 95</v>
      </c>
      <c r="B8" s="330"/>
      <c r="C8" s="337"/>
      <c r="D8" s="338"/>
      <c r="E8" s="338"/>
      <c r="F8" s="338"/>
      <c r="G8" s="338"/>
      <c r="H8" s="339"/>
      <c r="I8" s="36">
        <f>'Объем производства'!M38</f>
        <v>1913201.3250000004</v>
      </c>
      <c r="J8" s="36">
        <f>'Объем производства'!N38</f>
        <v>1913201.3250000004</v>
      </c>
      <c r="K8" s="36">
        <f>'Объем производства'!O38</f>
        <v>1913201.3250000004</v>
      </c>
      <c r="L8" s="36">
        <f>'Объем производства'!P38</f>
        <v>1913201.3250000004</v>
      </c>
      <c r="M8" s="36">
        <f>'Объем производства'!Q38</f>
        <v>1913201.3250000004</v>
      </c>
      <c r="N8" s="36">
        <f>'Объем производства'!R38</f>
        <v>1913201.3250000004</v>
      </c>
      <c r="O8" s="36">
        <f>'Объем производства'!S38</f>
        <v>1913201.3250000004</v>
      </c>
      <c r="P8" s="36">
        <f>'Объем производства'!T38</f>
        <v>1913201.3250000004</v>
      </c>
      <c r="Q8" s="36">
        <f>'Объем производства'!U38</f>
        <v>1913201.3250000004</v>
      </c>
      <c r="R8" s="36">
        <f>'Объем производства'!V38</f>
        <v>1913201.3250000004</v>
      </c>
      <c r="S8" s="36">
        <f>'Объем производства'!W38</f>
        <v>1913201.3250000004</v>
      </c>
      <c r="T8" s="36">
        <f>'Объем производства'!X38</f>
        <v>1913201.3250000004</v>
      </c>
      <c r="U8" s="37">
        <f>'Объем производства'!Z38</f>
        <v>1913201.3250000004</v>
      </c>
      <c r="V8" s="37">
        <f>'Объем производства'!AA38</f>
        <v>1913201.3250000004</v>
      </c>
      <c r="W8" s="37">
        <f>'Объем производства'!AB38</f>
        <v>1913201.3250000004</v>
      </c>
      <c r="X8" s="37">
        <f>'Объем производства'!AC38</f>
        <v>1913201.3250000004</v>
      </c>
      <c r="Y8" s="37">
        <f>'Объем производства'!AD38</f>
        <v>1913201.3250000004</v>
      </c>
      <c r="Z8" s="37">
        <f>'Объем производства'!AE38</f>
        <v>1913201.3250000004</v>
      </c>
      <c r="AA8" s="37">
        <f>'Объем производства'!AF38</f>
        <v>1913201.3250000004</v>
      </c>
      <c r="AB8" s="37">
        <f>'Объем производства'!AG38</f>
        <v>1913201.3250000004</v>
      </c>
      <c r="AC8" s="37">
        <f>'Объем производства'!AH38</f>
        <v>1913201.3250000004</v>
      </c>
      <c r="AD8" s="37">
        <f>'Объем производства'!AI38</f>
        <v>1913201.3250000004</v>
      </c>
      <c r="AE8" s="37">
        <f>'Объем производства'!AJ38</f>
        <v>1913201.3250000004</v>
      </c>
      <c r="AF8" s="37">
        <f>'Объем производства'!AK38</f>
        <v>1913201.3250000004</v>
      </c>
      <c r="AG8" s="37">
        <f>'Объем производства'!AM38</f>
        <v>3061122.120000001</v>
      </c>
      <c r="AH8" s="37">
        <f>'Объем производства'!AN38</f>
        <v>3061122.120000001</v>
      </c>
      <c r="AI8" s="37">
        <f>'Объем производства'!AO38</f>
        <v>3061122.120000001</v>
      </c>
      <c r="AJ8" s="37">
        <f>'Объем производства'!AP38</f>
        <v>3061122.120000001</v>
      </c>
      <c r="AK8" s="37">
        <f>'Объем производства'!AQ38</f>
        <v>3061122.120000001</v>
      </c>
      <c r="AL8" s="37">
        <f>'Объем производства'!AR38</f>
        <v>3061122.120000001</v>
      </c>
      <c r="AM8" s="37">
        <f>'Объем производства'!AS38</f>
        <v>3061122.120000001</v>
      </c>
      <c r="AN8" s="37">
        <f>'Объем производства'!AT38</f>
        <v>3061122.120000001</v>
      </c>
      <c r="AO8" s="37">
        <f>'Объем производства'!AU38</f>
        <v>3061122.120000001</v>
      </c>
      <c r="AP8" s="37">
        <f>'Объем производства'!AV38</f>
        <v>3061122.120000001</v>
      </c>
      <c r="AQ8" s="37">
        <f>'Объем производства'!AW38</f>
        <v>3061122.120000001</v>
      </c>
      <c r="AR8" s="37">
        <f>'Объем производства'!AX38</f>
        <v>3061122.120000001</v>
      </c>
      <c r="AS8" s="37">
        <f>'Объем производства'!AZ38</f>
        <v>3061122.120000001</v>
      </c>
      <c r="AT8" s="37">
        <f>'Объем производства'!BA38</f>
        <v>3061122.120000001</v>
      </c>
      <c r="AU8" s="37">
        <f>'Объем производства'!BB38</f>
        <v>3061122.120000001</v>
      </c>
      <c r="AV8" s="37">
        <f>'Объем производства'!BC38</f>
        <v>3061122.120000001</v>
      </c>
      <c r="AW8" s="37">
        <f>'Объем производства'!BD38</f>
        <v>3061122.120000001</v>
      </c>
      <c r="AX8" s="37">
        <f>'Объем производства'!BE38</f>
        <v>3061122.120000001</v>
      </c>
      <c r="AY8" s="37">
        <f>'Объем производства'!BF38</f>
        <v>3061122.120000001</v>
      </c>
      <c r="AZ8" s="37">
        <f>'Объем производства'!BG38</f>
        <v>3061122.120000001</v>
      </c>
      <c r="BA8" s="37">
        <f>'Объем производства'!BH38</f>
        <v>3061122.120000001</v>
      </c>
      <c r="BB8" s="37">
        <f>'Объем производства'!BI38</f>
        <v>3061122.120000001</v>
      </c>
      <c r="BC8" s="37">
        <f>'Объем производства'!BJ38</f>
        <v>3061122.120000001</v>
      </c>
      <c r="BD8" s="37">
        <f>'Объем производства'!BK38</f>
        <v>3061122.120000001</v>
      </c>
      <c r="BE8" s="37">
        <f aca="true" t="shared" si="4" ref="BE8:BP8">BD8</f>
        <v>3061122.120000001</v>
      </c>
      <c r="BF8" s="37">
        <f t="shared" si="4"/>
        <v>3061122.120000001</v>
      </c>
      <c r="BG8" s="37">
        <f t="shared" si="4"/>
        <v>3061122.120000001</v>
      </c>
      <c r="BH8" s="37">
        <f t="shared" si="4"/>
        <v>3061122.120000001</v>
      </c>
      <c r="BI8" s="37">
        <f t="shared" si="4"/>
        <v>3061122.120000001</v>
      </c>
      <c r="BJ8" s="37">
        <f t="shared" si="4"/>
        <v>3061122.120000001</v>
      </c>
      <c r="BK8" s="37">
        <f t="shared" si="4"/>
        <v>3061122.120000001</v>
      </c>
      <c r="BL8" s="37">
        <f t="shared" si="4"/>
        <v>3061122.120000001</v>
      </c>
      <c r="BM8" s="37">
        <f t="shared" si="4"/>
        <v>3061122.120000001</v>
      </c>
      <c r="BN8" s="37">
        <f t="shared" si="4"/>
        <v>3061122.120000001</v>
      </c>
      <c r="BO8" s="37">
        <f t="shared" si="4"/>
        <v>3061122.120000001</v>
      </c>
      <c r="BP8" s="37">
        <f t="shared" si="4"/>
        <v>3061122.120000001</v>
      </c>
      <c r="BQ8" s="37">
        <f t="shared" si="1"/>
        <v>156117228.12000018</v>
      </c>
      <c r="IQ8"/>
      <c r="IR8"/>
      <c r="IS8"/>
      <c r="IT8"/>
      <c r="IU8"/>
      <c r="IV8"/>
    </row>
    <row r="9" spans="1:256" ht="14.25" customHeight="1">
      <c r="A9" s="330" t="str">
        <f>'Объем производства'!B27</f>
        <v>АИ-92</v>
      </c>
      <c r="B9" s="330"/>
      <c r="C9" s="337"/>
      <c r="D9" s="338"/>
      <c r="E9" s="338"/>
      <c r="F9" s="338"/>
      <c r="G9" s="338"/>
      <c r="H9" s="339"/>
      <c r="I9" s="36">
        <f>'Объем производства'!M39</f>
        <v>1617345.4500000002</v>
      </c>
      <c r="J9" s="36">
        <f>'Объем производства'!N39</f>
        <v>1617345.4500000002</v>
      </c>
      <c r="K9" s="36">
        <f>'Объем производства'!O39</f>
        <v>1617345.4500000002</v>
      </c>
      <c r="L9" s="36">
        <f>'Объем производства'!P39</f>
        <v>1617345.4500000002</v>
      </c>
      <c r="M9" s="36">
        <f>'Объем производства'!Q39</f>
        <v>1617345.4500000002</v>
      </c>
      <c r="N9" s="36">
        <f>'Объем производства'!R39</f>
        <v>1617345.4500000002</v>
      </c>
      <c r="O9" s="36">
        <f>'Объем производства'!S39</f>
        <v>1617345.4500000002</v>
      </c>
      <c r="P9" s="36">
        <f>'Объем производства'!T39</f>
        <v>1617345.4500000002</v>
      </c>
      <c r="Q9" s="36">
        <f>'Объем производства'!U39</f>
        <v>1617345.4500000002</v>
      </c>
      <c r="R9" s="36">
        <f>'Объем производства'!V39</f>
        <v>1617345.4500000002</v>
      </c>
      <c r="S9" s="36">
        <f>'Объем производства'!W39</f>
        <v>1617345.4500000002</v>
      </c>
      <c r="T9" s="36">
        <f>'Объем производства'!X39</f>
        <v>1617345.4500000002</v>
      </c>
      <c r="U9" s="37">
        <f>'Объем производства'!Z39</f>
        <v>1617345.4500000002</v>
      </c>
      <c r="V9" s="37">
        <f>'Объем производства'!AA39</f>
        <v>1617345.4500000002</v>
      </c>
      <c r="W9" s="37">
        <f>'Объем производства'!AB39</f>
        <v>1617345.4500000002</v>
      </c>
      <c r="X9" s="37">
        <f>'Объем производства'!AC39</f>
        <v>1617345.4500000002</v>
      </c>
      <c r="Y9" s="37">
        <f>'Объем производства'!AD39</f>
        <v>1617345.4500000002</v>
      </c>
      <c r="Z9" s="37">
        <f>'Объем производства'!AE39</f>
        <v>1617345.4500000002</v>
      </c>
      <c r="AA9" s="37">
        <f>'Объем производства'!AF39</f>
        <v>1617345.4500000002</v>
      </c>
      <c r="AB9" s="37">
        <f>'Объем производства'!AG39</f>
        <v>1617345.4500000002</v>
      </c>
      <c r="AC9" s="37">
        <f>'Объем производства'!AH39</f>
        <v>1617345.4500000002</v>
      </c>
      <c r="AD9" s="37">
        <f>'Объем производства'!AI39</f>
        <v>1617345.4500000002</v>
      </c>
      <c r="AE9" s="37">
        <f>'Объем производства'!AJ39</f>
        <v>1617345.4500000002</v>
      </c>
      <c r="AF9" s="37">
        <f>'Объем производства'!AK39</f>
        <v>1617345.4500000002</v>
      </c>
      <c r="AG9" s="37">
        <f>'Объем производства'!AM39</f>
        <v>2587752.7200000007</v>
      </c>
      <c r="AH9" s="37">
        <f>'Объем производства'!AN39</f>
        <v>2587752.7200000007</v>
      </c>
      <c r="AI9" s="37">
        <f>'Объем производства'!AO39</f>
        <v>2587752.7200000007</v>
      </c>
      <c r="AJ9" s="37">
        <f>'Объем производства'!AP39</f>
        <v>2587752.7200000007</v>
      </c>
      <c r="AK9" s="37">
        <f>'Объем производства'!AQ39</f>
        <v>2587752.7200000007</v>
      </c>
      <c r="AL9" s="37">
        <f>'Объем производства'!AR39</f>
        <v>2587752.7200000007</v>
      </c>
      <c r="AM9" s="37">
        <f>'Объем производства'!AS39</f>
        <v>2587752.7200000007</v>
      </c>
      <c r="AN9" s="37">
        <f>'Объем производства'!AT39</f>
        <v>2587752.7200000007</v>
      </c>
      <c r="AO9" s="37">
        <f>'Объем производства'!AU39</f>
        <v>2587752.7200000007</v>
      </c>
      <c r="AP9" s="37">
        <f>'Объем производства'!AV39</f>
        <v>2587752.7200000007</v>
      </c>
      <c r="AQ9" s="37">
        <f>'Объем производства'!AW39</f>
        <v>2587752.7200000007</v>
      </c>
      <c r="AR9" s="37">
        <f>'Объем производства'!AX39</f>
        <v>2587752.7200000007</v>
      </c>
      <c r="AS9" s="37">
        <f>'Объем производства'!AZ39</f>
        <v>2587752.7200000007</v>
      </c>
      <c r="AT9" s="37">
        <f>'Объем производства'!BA39</f>
        <v>2587752.7200000007</v>
      </c>
      <c r="AU9" s="37">
        <f>'Объем производства'!BB39</f>
        <v>2587752.7200000007</v>
      </c>
      <c r="AV9" s="37">
        <f>'Объем производства'!BC39</f>
        <v>2587752.7200000007</v>
      </c>
      <c r="AW9" s="37">
        <f>'Объем производства'!BD39</f>
        <v>2587752.7200000007</v>
      </c>
      <c r="AX9" s="37">
        <f>'Объем производства'!BE39</f>
        <v>2587752.7200000007</v>
      </c>
      <c r="AY9" s="37">
        <f>'Объем производства'!BF39</f>
        <v>2587752.7200000007</v>
      </c>
      <c r="AZ9" s="37">
        <f>'Объем производства'!BG39</f>
        <v>2587752.7200000007</v>
      </c>
      <c r="BA9" s="37">
        <f>'Объем производства'!BH39</f>
        <v>2587752.7200000007</v>
      </c>
      <c r="BB9" s="37">
        <f>'Объем производства'!BI39</f>
        <v>2587752.7200000007</v>
      </c>
      <c r="BC9" s="37">
        <f>'Объем производства'!BJ39</f>
        <v>2587752.7200000007</v>
      </c>
      <c r="BD9" s="37">
        <f>'Объем производства'!BK39</f>
        <v>2587752.7200000007</v>
      </c>
      <c r="BE9" s="37">
        <f aca="true" t="shared" si="5" ref="BE9:BP9">BD9</f>
        <v>2587752.7200000007</v>
      </c>
      <c r="BF9" s="37">
        <f t="shared" si="5"/>
        <v>2587752.7200000007</v>
      </c>
      <c r="BG9" s="37">
        <f t="shared" si="5"/>
        <v>2587752.7200000007</v>
      </c>
      <c r="BH9" s="37">
        <f t="shared" si="5"/>
        <v>2587752.7200000007</v>
      </c>
      <c r="BI9" s="37">
        <f t="shared" si="5"/>
        <v>2587752.7200000007</v>
      </c>
      <c r="BJ9" s="37">
        <f t="shared" si="5"/>
        <v>2587752.7200000007</v>
      </c>
      <c r="BK9" s="37">
        <f t="shared" si="5"/>
        <v>2587752.7200000007</v>
      </c>
      <c r="BL9" s="37">
        <f t="shared" si="5"/>
        <v>2587752.7200000007</v>
      </c>
      <c r="BM9" s="37">
        <f t="shared" si="5"/>
        <v>2587752.7200000007</v>
      </c>
      <c r="BN9" s="37">
        <f t="shared" si="5"/>
        <v>2587752.7200000007</v>
      </c>
      <c r="BO9" s="37">
        <f t="shared" si="5"/>
        <v>2587752.7200000007</v>
      </c>
      <c r="BP9" s="37">
        <f t="shared" si="5"/>
        <v>2587752.7200000007</v>
      </c>
      <c r="BQ9" s="37">
        <f t="shared" si="1"/>
        <v>131975388.71999997</v>
      </c>
      <c r="IQ9"/>
      <c r="IR9"/>
      <c r="IS9"/>
      <c r="IT9"/>
      <c r="IU9"/>
      <c r="IV9"/>
    </row>
    <row r="10" spans="1:256" ht="14.25" customHeight="1">
      <c r="A10" s="330" t="str">
        <f>'Объем производства'!B28</f>
        <v>ДТ</v>
      </c>
      <c r="B10" s="330"/>
      <c r="C10" s="337"/>
      <c r="D10" s="338"/>
      <c r="E10" s="338"/>
      <c r="F10" s="338"/>
      <c r="G10" s="338"/>
      <c r="H10" s="339"/>
      <c r="I10" s="36">
        <f>'Объем производства'!M40</f>
        <v>11360865.600000003</v>
      </c>
      <c r="J10" s="36">
        <f>'Объем производства'!N40</f>
        <v>11360865.600000003</v>
      </c>
      <c r="K10" s="36">
        <f>'Объем производства'!O40</f>
        <v>11360865.600000003</v>
      </c>
      <c r="L10" s="36">
        <f>'Объем производства'!P40</f>
        <v>11360865.600000003</v>
      </c>
      <c r="M10" s="36">
        <f>'Объем производства'!Q40</f>
        <v>11360865.600000003</v>
      </c>
      <c r="N10" s="36">
        <f>'Объем производства'!R40</f>
        <v>11360865.600000003</v>
      </c>
      <c r="O10" s="36">
        <f>'Объем производства'!S40</f>
        <v>11360865.600000003</v>
      </c>
      <c r="P10" s="36">
        <f>'Объем производства'!T40</f>
        <v>11360865.600000003</v>
      </c>
      <c r="Q10" s="36">
        <f>'Объем производства'!U40</f>
        <v>11360865.600000003</v>
      </c>
      <c r="R10" s="36">
        <f>'Объем производства'!V40</f>
        <v>11360865.600000003</v>
      </c>
      <c r="S10" s="36">
        <f>'Объем производства'!W40</f>
        <v>11360865.600000003</v>
      </c>
      <c r="T10" s="36">
        <f>'Объем производства'!X40</f>
        <v>11360865.600000003</v>
      </c>
      <c r="U10" s="37">
        <f>'Объем производства'!Z40</f>
        <v>11360865.600000003</v>
      </c>
      <c r="V10" s="37">
        <f>'Объем производства'!AA40</f>
        <v>11360865.600000003</v>
      </c>
      <c r="W10" s="37">
        <f>'Объем производства'!AB40</f>
        <v>11360865.600000003</v>
      </c>
      <c r="X10" s="37">
        <f>'Объем производства'!AC40</f>
        <v>11360865.600000003</v>
      </c>
      <c r="Y10" s="37">
        <f>'Объем производства'!AD40</f>
        <v>11360865.600000003</v>
      </c>
      <c r="Z10" s="37">
        <f>'Объем производства'!AE40</f>
        <v>11360865.600000003</v>
      </c>
      <c r="AA10" s="37">
        <f>'Объем производства'!AF40</f>
        <v>11360865.600000003</v>
      </c>
      <c r="AB10" s="37">
        <f>'Объем производства'!AG40</f>
        <v>11360865.600000003</v>
      </c>
      <c r="AC10" s="37">
        <f>'Объем производства'!AH40</f>
        <v>11360865.600000003</v>
      </c>
      <c r="AD10" s="37">
        <f>'Объем производства'!AI40</f>
        <v>11360865.600000003</v>
      </c>
      <c r="AE10" s="37">
        <f>'Объем производства'!AJ40</f>
        <v>11360865.600000003</v>
      </c>
      <c r="AF10" s="37">
        <f>'Объем производства'!AK40</f>
        <v>11360865.600000003</v>
      </c>
      <c r="AG10" s="37">
        <f>'Объем производства'!AM40</f>
        <v>18177384.960000005</v>
      </c>
      <c r="AH10" s="37">
        <f>'Объем производства'!AN40</f>
        <v>18177384.960000005</v>
      </c>
      <c r="AI10" s="37">
        <f>'Объем производства'!AO40</f>
        <v>18177384.960000005</v>
      </c>
      <c r="AJ10" s="37">
        <f>'Объем производства'!AP40</f>
        <v>18177384.960000005</v>
      </c>
      <c r="AK10" s="37">
        <f>'Объем производства'!AQ40</f>
        <v>18177384.960000005</v>
      </c>
      <c r="AL10" s="37">
        <f>'Объем производства'!AR40</f>
        <v>18177384.960000005</v>
      </c>
      <c r="AM10" s="37">
        <f>'Объем производства'!AS40</f>
        <v>18177384.960000005</v>
      </c>
      <c r="AN10" s="37">
        <f>'Объем производства'!AT40</f>
        <v>18177384.960000005</v>
      </c>
      <c r="AO10" s="37">
        <f>'Объем производства'!AU40</f>
        <v>18177384.960000005</v>
      </c>
      <c r="AP10" s="37">
        <f>'Объем производства'!AV40</f>
        <v>18177384.960000005</v>
      </c>
      <c r="AQ10" s="37">
        <f>'Объем производства'!AW40</f>
        <v>18177384.960000005</v>
      </c>
      <c r="AR10" s="37">
        <f>'Объем производства'!AX40</f>
        <v>18177384.960000005</v>
      </c>
      <c r="AS10" s="37">
        <f>'Объем производства'!AZ40</f>
        <v>18177384.960000005</v>
      </c>
      <c r="AT10" s="37">
        <f>'Объем производства'!BA40</f>
        <v>18177384.960000005</v>
      </c>
      <c r="AU10" s="37">
        <f>'Объем производства'!BB40</f>
        <v>18177384.960000005</v>
      </c>
      <c r="AV10" s="37">
        <f>'Объем производства'!BC40</f>
        <v>18177384.960000005</v>
      </c>
      <c r="AW10" s="37">
        <f>'Объем производства'!BD40</f>
        <v>18177384.960000005</v>
      </c>
      <c r="AX10" s="37">
        <f>'Объем производства'!BE40</f>
        <v>18177384.960000005</v>
      </c>
      <c r="AY10" s="37">
        <f>'Объем производства'!BF40</f>
        <v>18177384.960000005</v>
      </c>
      <c r="AZ10" s="37">
        <f>'Объем производства'!BG40</f>
        <v>18177384.960000005</v>
      </c>
      <c r="BA10" s="37">
        <f>'Объем производства'!BH40</f>
        <v>18177384.960000005</v>
      </c>
      <c r="BB10" s="37">
        <f>'Объем производства'!BI40</f>
        <v>18177384.960000005</v>
      </c>
      <c r="BC10" s="37">
        <f>'Объем производства'!BJ40</f>
        <v>18177384.960000005</v>
      </c>
      <c r="BD10" s="37">
        <f>'Объем производства'!BK40</f>
        <v>18177384.960000005</v>
      </c>
      <c r="BE10" s="37">
        <f aca="true" t="shared" si="6" ref="BE10:BP10">BD10</f>
        <v>18177384.960000005</v>
      </c>
      <c r="BF10" s="37">
        <f t="shared" si="6"/>
        <v>18177384.960000005</v>
      </c>
      <c r="BG10" s="37">
        <f t="shared" si="6"/>
        <v>18177384.960000005</v>
      </c>
      <c r="BH10" s="37">
        <f t="shared" si="6"/>
        <v>18177384.960000005</v>
      </c>
      <c r="BI10" s="37">
        <f t="shared" si="6"/>
        <v>18177384.960000005</v>
      </c>
      <c r="BJ10" s="37">
        <f t="shared" si="6"/>
        <v>18177384.960000005</v>
      </c>
      <c r="BK10" s="37">
        <f t="shared" si="6"/>
        <v>18177384.960000005</v>
      </c>
      <c r="BL10" s="37">
        <f t="shared" si="6"/>
        <v>18177384.960000005</v>
      </c>
      <c r="BM10" s="37">
        <f t="shared" si="6"/>
        <v>18177384.960000005</v>
      </c>
      <c r="BN10" s="37">
        <f t="shared" si="6"/>
        <v>18177384.960000005</v>
      </c>
      <c r="BO10" s="37">
        <f t="shared" si="6"/>
        <v>18177384.960000005</v>
      </c>
      <c r="BP10" s="37">
        <f t="shared" si="6"/>
        <v>18177384.960000005</v>
      </c>
      <c r="BQ10" s="37">
        <f t="shared" si="1"/>
        <v>927046632.9600005</v>
      </c>
      <c r="IQ10"/>
      <c r="IR10"/>
      <c r="IS10"/>
      <c r="IT10"/>
      <c r="IU10"/>
      <c r="IV10"/>
    </row>
    <row r="11" spans="1:256" ht="13.5" customHeight="1">
      <c r="A11" s="330" t="str">
        <f>'Объем производства'!B30</f>
        <v>Магазин</v>
      </c>
      <c r="B11" s="330"/>
      <c r="C11" s="340"/>
      <c r="D11" s="341"/>
      <c r="E11" s="341"/>
      <c r="F11" s="341"/>
      <c r="G11" s="341"/>
      <c r="H11" s="342"/>
      <c r="I11" s="36">
        <f>'Объем производства'!M41</f>
        <v>4329686.366250001</v>
      </c>
      <c r="J11" s="36">
        <f>'Объем производства'!N41</f>
        <v>4329686.366250001</v>
      </c>
      <c r="K11" s="36">
        <f>'Объем производства'!O41</f>
        <v>4329686.366250001</v>
      </c>
      <c r="L11" s="36">
        <f>'Объем производства'!P41</f>
        <v>4329686.366250001</v>
      </c>
      <c r="M11" s="36">
        <f>'Объем производства'!Q41</f>
        <v>4329686.366250001</v>
      </c>
      <c r="N11" s="36">
        <f>'Объем производства'!R41</f>
        <v>4329686.366250001</v>
      </c>
      <c r="O11" s="36">
        <f>'Объем производства'!S41</f>
        <v>4329686.366250001</v>
      </c>
      <c r="P11" s="36">
        <f>'Объем производства'!T41</f>
        <v>4329686.366250001</v>
      </c>
      <c r="Q11" s="36">
        <f>'Объем производства'!U41</f>
        <v>4329686.366250001</v>
      </c>
      <c r="R11" s="36">
        <f>'Объем производства'!V41</f>
        <v>4329686.366250001</v>
      </c>
      <c r="S11" s="36">
        <f>'Объем производства'!W41</f>
        <v>4329686.366250001</v>
      </c>
      <c r="T11" s="36">
        <f>'Объем производства'!X41</f>
        <v>4329686.366250001</v>
      </c>
      <c r="U11" s="37">
        <f>'Объем производства'!Z41</f>
        <v>4329686.366250001</v>
      </c>
      <c r="V11" s="37">
        <f>'Объем производства'!AA41</f>
        <v>4329686.366250001</v>
      </c>
      <c r="W11" s="37">
        <f>'Объем производства'!AB41</f>
        <v>4329686.366250001</v>
      </c>
      <c r="X11" s="37">
        <f>'Объем производства'!AC41</f>
        <v>4329686.366250001</v>
      </c>
      <c r="Y11" s="37">
        <f>'Объем производства'!AD41</f>
        <v>4329686.366250001</v>
      </c>
      <c r="Z11" s="37">
        <f>'Объем производства'!AE41</f>
        <v>4329686.366250001</v>
      </c>
      <c r="AA11" s="37">
        <f>'Объем производства'!AF41</f>
        <v>4329686.366250001</v>
      </c>
      <c r="AB11" s="37">
        <f>'Объем производства'!AG41</f>
        <v>4329686.366250001</v>
      </c>
      <c r="AC11" s="37">
        <f>'Объем производства'!AH41</f>
        <v>4329686.366250001</v>
      </c>
      <c r="AD11" s="37">
        <f>'Объем производства'!AI41</f>
        <v>4329686.366250001</v>
      </c>
      <c r="AE11" s="37">
        <f>'Объем производства'!AJ41</f>
        <v>4329686.366250001</v>
      </c>
      <c r="AF11" s="37">
        <f>'Объем производства'!AK41</f>
        <v>4329686.366250001</v>
      </c>
      <c r="AG11" s="37">
        <f>'Объем производства'!AM41</f>
        <v>6927498.186000002</v>
      </c>
      <c r="AH11" s="37">
        <f>'Объем производства'!AN41</f>
        <v>6927498.186000002</v>
      </c>
      <c r="AI11" s="37">
        <f>'Объем производства'!AO41</f>
        <v>6927498.186000002</v>
      </c>
      <c r="AJ11" s="37">
        <f>'Объем производства'!AP41</f>
        <v>6927498.186000002</v>
      </c>
      <c r="AK11" s="37">
        <f>'Объем производства'!AQ41</f>
        <v>6927498.186000002</v>
      </c>
      <c r="AL11" s="37">
        <f>'Объем производства'!AR41</f>
        <v>6927498.186000002</v>
      </c>
      <c r="AM11" s="37">
        <f>'Объем производства'!AS41</f>
        <v>6927498.186000002</v>
      </c>
      <c r="AN11" s="37">
        <f>'Объем производства'!AT41</f>
        <v>6927498.186000002</v>
      </c>
      <c r="AO11" s="37">
        <f>'Объем производства'!AU41</f>
        <v>6927498.186000002</v>
      </c>
      <c r="AP11" s="37">
        <f>'Объем производства'!AV41</f>
        <v>6927498.186000002</v>
      </c>
      <c r="AQ11" s="37">
        <f>'Объем производства'!AW41</f>
        <v>6927498.186000002</v>
      </c>
      <c r="AR11" s="37">
        <f>'Объем производства'!AX41</f>
        <v>6927498.186000002</v>
      </c>
      <c r="AS11" s="37">
        <f>'Объем производства'!AZ41</f>
        <v>6927498.186000002</v>
      </c>
      <c r="AT11" s="37">
        <f>'Объем производства'!BA41</f>
        <v>6927498.186000002</v>
      </c>
      <c r="AU11" s="37">
        <f>'Объем производства'!BB41</f>
        <v>6927498.186000002</v>
      </c>
      <c r="AV11" s="37">
        <f>'Объем производства'!BC41</f>
        <v>6927498.186000002</v>
      </c>
      <c r="AW11" s="37">
        <f>'Объем производства'!BD41</f>
        <v>6927498.186000002</v>
      </c>
      <c r="AX11" s="37">
        <f>'Объем производства'!BE41</f>
        <v>6927498.186000002</v>
      </c>
      <c r="AY11" s="37">
        <f>'Объем производства'!BF41</f>
        <v>6927498.186000002</v>
      </c>
      <c r="AZ11" s="37">
        <f>'Объем производства'!BG41</f>
        <v>6927498.186000002</v>
      </c>
      <c r="BA11" s="37">
        <f>'Объем производства'!BH41</f>
        <v>6927498.186000002</v>
      </c>
      <c r="BB11" s="37">
        <f>'Объем производства'!BI41</f>
        <v>6927498.186000002</v>
      </c>
      <c r="BC11" s="37">
        <f>'Объем производства'!BJ41</f>
        <v>6927498.186000002</v>
      </c>
      <c r="BD11" s="37">
        <f>'Объем производства'!BK41</f>
        <v>6927498.186000002</v>
      </c>
      <c r="BE11" s="37">
        <f aca="true" t="shared" si="7" ref="BE11:BP11">BD11</f>
        <v>6927498.186000002</v>
      </c>
      <c r="BF11" s="37">
        <f t="shared" si="7"/>
        <v>6927498.186000002</v>
      </c>
      <c r="BG11" s="37">
        <f t="shared" si="7"/>
        <v>6927498.186000002</v>
      </c>
      <c r="BH11" s="37">
        <f t="shared" si="7"/>
        <v>6927498.186000002</v>
      </c>
      <c r="BI11" s="37">
        <f t="shared" si="7"/>
        <v>6927498.186000002</v>
      </c>
      <c r="BJ11" s="37">
        <f t="shared" si="7"/>
        <v>6927498.186000002</v>
      </c>
      <c r="BK11" s="37">
        <f t="shared" si="7"/>
        <v>6927498.186000002</v>
      </c>
      <c r="BL11" s="37">
        <f t="shared" si="7"/>
        <v>6927498.186000002</v>
      </c>
      <c r="BM11" s="37">
        <f t="shared" si="7"/>
        <v>6927498.186000002</v>
      </c>
      <c r="BN11" s="37">
        <f t="shared" si="7"/>
        <v>6927498.186000002</v>
      </c>
      <c r="BO11" s="37">
        <f t="shared" si="7"/>
        <v>6927498.186000002</v>
      </c>
      <c r="BP11" s="37">
        <f t="shared" si="7"/>
        <v>6927498.186000002</v>
      </c>
      <c r="BQ11" s="37">
        <f t="shared" si="1"/>
        <v>353302407.48599976</v>
      </c>
      <c r="IQ11"/>
      <c r="IR11"/>
      <c r="IS11"/>
      <c r="IT11"/>
      <c r="IU11"/>
      <c r="IV11"/>
    </row>
    <row r="12" spans="1:256" ht="12.75" customHeight="1">
      <c r="A12" s="334" t="s">
        <v>71</v>
      </c>
      <c r="B12" s="334"/>
      <c r="C12" s="38"/>
      <c r="D12" s="38"/>
      <c r="E12" s="38"/>
      <c r="F12" s="38"/>
      <c r="G12" s="38"/>
      <c r="H12" s="38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>
        <f t="shared" si="1"/>
        <v>0</v>
      </c>
      <c r="IQ12"/>
      <c r="IR12"/>
      <c r="IS12"/>
      <c r="IT12"/>
      <c r="IU12"/>
      <c r="IV12"/>
    </row>
    <row r="13" spans="1:256" ht="12.75" customHeight="1">
      <c r="A13" s="343" t="s">
        <v>72</v>
      </c>
      <c r="B13" s="343"/>
      <c r="C13" s="41">
        <f>'Расходы проекта'!E15</f>
        <v>93811670.20115</v>
      </c>
      <c r="D13" s="40"/>
      <c r="E13" s="40"/>
      <c r="F13" s="40"/>
      <c r="G13" s="40"/>
      <c r="H13" s="40"/>
      <c r="I13" s="40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>
        <f>SUM(C13:BP13)</f>
        <v>93811670.20115</v>
      </c>
      <c r="IQ13"/>
      <c r="IR13"/>
      <c r="IS13"/>
      <c r="IT13"/>
      <c r="IU13"/>
      <c r="IV13"/>
    </row>
    <row r="14" spans="1:256" ht="12.75" customHeight="1">
      <c r="A14" s="343" t="s">
        <v>73</v>
      </c>
      <c r="B14" s="343"/>
      <c r="C14" s="40"/>
      <c r="D14" s="40"/>
      <c r="E14" s="40"/>
      <c r="F14" s="40"/>
      <c r="G14" s="40"/>
      <c r="H14" s="40"/>
      <c r="I14" s="41">
        <f>'Расходы проекта'!C15-'Расходы проекта'!C6</f>
        <v>1003394.6066666667</v>
      </c>
      <c r="J14" s="41">
        <f>I14</f>
        <v>1003394.6066666667</v>
      </c>
      <c r="K14" s="41">
        <f>J14</f>
        <v>1003394.6066666667</v>
      </c>
      <c r="L14" s="41">
        <f>K14</f>
        <v>1003394.6066666667</v>
      </c>
      <c r="M14" s="41">
        <f>L14</f>
        <v>1003394.6066666667</v>
      </c>
      <c r="N14" s="41">
        <f>'Расходы проекта'!C15</f>
        <v>1066114.6066666667</v>
      </c>
      <c r="O14" s="41">
        <f aca="true" t="shared" si="8" ref="O14:AT14">N14</f>
        <v>1066114.6066666667</v>
      </c>
      <c r="P14" s="41">
        <f t="shared" si="8"/>
        <v>1066114.6066666667</v>
      </c>
      <c r="Q14" s="41">
        <f t="shared" si="8"/>
        <v>1066114.6066666667</v>
      </c>
      <c r="R14" s="41">
        <f t="shared" si="8"/>
        <v>1066114.6066666667</v>
      </c>
      <c r="S14" s="41">
        <f t="shared" si="8"/>
        <v>1066114.6066666667</v>
      </c>
      <c r="T14" s="41">
        <f t="shared" si="8"/>
        <v>1066114.6066666667</v>
      </c>
      <c r="U14" s="41">
        <f t="shared" si="8"/>
        <v>1066114.6066666667</v>
      </c>
      <c r="V14" s="41">
        <f t="shared" si="8"/>
        <v>1066114.6066666667</v>
      </c>
      <c r="W14" s="41">
        <f t="shared" si="8"/>
        <v>1066114.6066666667</v>
      </c>
      <c r="X14" s="41">
        <f t="shared" si="8"/>
        <v>1066114.6066666667</v>
      </c>
      <c r="Y14" s="41">
        <f t="shared" si="8"/>
        <v>1066114.6066666667</v>
      </c>
      <c r="Z14" s="41">
        <f t="shared" si="8"/>
        <v>1066114.6066666667</v>
      </c>
      <c r="AA14" s="41">
        <f t="shared" si="8"/>
        <v>1066114.6066666667</v>
      </c>
      <c r="AB14" s="41">
        <f t="shared" si="8"/>
        <v>1066114.6066666667</v>
      </c>
      <c r="AC14" s="41">
        <f t="shared" si="8"/>
        <v>1066114.6066666667</v>
      </c>
      <c r="AD14" s="41">
        <f t="shared" si="8"/>
        <v>1066114.6066666667</v>
      </c>
      <c r="AE14" s="41">
        <f t="shared" si="8"/>
        <v>1066114.6066666667</v>
      </c>
      <c r="AF14" s="41">
        <f t="shared" si="8"/>
        <v>1066114.6066666667</v>
      </c>
      <c r="AG14" s="41">
        <f t="shared" si="8"/>
        <v>1066114.6066666667</v>
      </c>
      <c r="AH14" s="41">
        <f t="shared" si="8"/>
        <v>1066114.6066666667</v>
      </c>
      <c r="AI14" s="41">
        <f t="shared" si="8"/>
        <v>1066114.6066666667</v>
      </c>
      <c r="AJ14" s="41">
        <f t="shared" si="8"/>
        <v>1066114.6066666667</v>
      </c>
      <c r="AK14" s="41">
        <f t="shared" si="8"/>
        <v>1066114.6066666667</v>
      </c>
      <c r="AL14" s="41">
        <f t="shared" si="8"/>
        <v>1066114.6066666667</v>
      </c>
      <c r="AM14" s="41">
        <f t="shared" si="8"/>
        <v>1066114.6066666667</v>
      </c>
      <c r="AN14" s="41">
        <f t="shared" si="8"/>
        <v>1066114.6066666667</v>
      </c>
      <c r="AO14" s="41">
        <f t="shared" si="8"/>
        <v>1066114.6066666667</v>
      </c>
      <c r="AP14" s="41">
        <f t="shared" si="8"/>
        <v>1066114.6066666667</v>
      </c>
      <c r="AQ14" s="41">
        <f t="shared" si="8"/>
        <v>1066114.6066666667</v>
      </c>
      <c r="AR14" s="41">
        <f t="shared" si="8"/>
        <v>1066114.6066666667</v>
      </c>
      <c r="AS14" s="41">
        <f t="shared" si="8"/>
        <v>1066114.6066666667</v>
      </c>
      <c r="AT14" s="41">
        <f t="shared" si="8"/>
        <v>1066114.6066666667</v>
      </c>
      <c r="AU14" s="41">
        <f aca="true" t="shared" si="9" ref="AU14:BP14">AT14</f>
        <v>1066114.6066666667</v>
      </c>
      <c r="AV14" s="41">
        <f t="shared" si="9"/>
        <v>1066114.6066666667</v>
      </c>
      <c r="AW14" s="41">
        <f t="shared" si="9"/>
        <v>1066114.6066666667</v>
      </c>
      <c r="AX14" s="41">
        <f t="shared" si="9"/>
        <v>1066114.6066666667</v>
      </c>
      <c r="AY14" s="41">
        <f t="shared" si="9"/>
        <v>1066114.6066666667</v>
      </c>
      <c r="AZ14" s="41">
        <f t="shared" si="9"/>
        <v>1066114.6066666667</v>
      </c>
      <c r="BA14" s="41">
        <f t="shared" si="9"/>
        <v>1066114.6066666667</v>
      </c>
      <c r="BB14" s="41">
        <f t="shared" si="9"/>
        <v>1066114.6066666667</v>
      </c>
      <c r="BC14" s="41">
        <f t="shared" si="9"/>
        <v>1066114.6066666667</v>
      </c>
      <c r="BD14" s="41">
        <f t="shared" si="9"/>
        <v>1066114.6066666667</v>
      </c>
      <c r="BE14" s="41">
        <f t="shared" si="9"/>
        <v>1066114.6066666667</v>
      </c>
      <c r="BF14" s="41">
        <f t="shared" si="9"/>
        <v>1066114.6066666667</v>
      </c>
      <c r="BG14" s="41">
        <f t="shared" si="9"/>
        <v>1066114.6066666667</v>
      </c>
      <c r="BH14" s="41">
        <f t="shared" si="9"/>
        <v>1066114.6066666667</v>
      </c>
      <c r="BI14" s="41">
        <f t="shared" si="9"/>
        <v>1066114.6066666667</v>
      </c>
      <c r="BJ14" s="41">
        <f t="shared" si="9"/>
        <v>1066114.6066666667</v>
      </c>
      <c r="BK14" s="41">
        <f t="shared" si="9"/>
        <v>1066114.6066666667</v>
      </c>
      <c r="BL14" s="41">
        <f t="shared" si="9"/>
        <v>1066114.6066666667</v>
      </c>
      <c r="BM14" s="41">
        <f t="shared" si="9"/>
        <v>1066114.6066666667</v>
      </c>
      <c r="BN14" s="41">
        <f t="shared" si="9"/>
        <v>1066114.6066666667</v>
      </c>
      <c r="BO14" s="41">
        <f t="shared" si="9"/>
        <v>1066114.6066666667</v>
      </c>
      <c r="BP14" s="41">
        <f t="shared" si="9"/>
        <v>1066114.6066666667</v>
      </c>
      <c r="BQ14" s="41">
        <f>SUM(C14:BP14)</f>
        <v>63653276.40000006</v>
      </c>
      <c r="IQ14"/>
      <c r="IR14"/>
      <c r="IS14"/>
      <c r="IT14"/>
      <c r="IU14"/>
      <c r="IV14"/>
    </row>
    <row r="15" spans="1:256" ht="12.75" customHeight="1">
      <c r="A15" s="343" t="s">
        <v>74</v>
      </c>
      <c r="B15" s="343"/>
      <c r="C15" s="40"/>
      <c r="D15" s="40"/>
      <c r="E15" s="40"/>
      <c r="F15" s="40"/>
      <c r="G15" s="40"/>
      <c r="H15" s="40"/>
      <c r="I15" s="41">
        <f>'Объем производства'!M53</f>
        <v>14073666.736500002</v>
      </c>
      <c r="J15" s="41">
        <f>'Объем производства'!N53</f>
        <v>14073666.736500002</v>
      </c>
      <c r="K15" s="41">
        <f>'Объем производства'!O53</f>
        <v>14073666.736500002</v>
      </c>
      <c r="L15" s="41">
        <f>'Объем производства'!P53</f>
        <v>14073666.736500002</v>
      </c>
      <c r="M15" s="41">
        <f>'Объем производства'!Q53</f>
        <v>14073666.736500002</v>
      </c>
      <c r="N15" s="41">
        <f>'Объем производства'!R53</f>
        <v>14073666.736500002</v>
      </c>
      <c r="O15" s="41">
        <f>'Объем производства'!S53</f>
        <v>14073666.736500002</v>
      </c>
      <c r="P15" s="41">
        <f>'Объем производства'!T53</f>
        <v>14073666.736500002</v>
      </c>
      <c r="Q15" s="41">
        <f>'Объем производства'!U53</f>
        <v>14073666.736500002</v>
      </c>
      <c r="R15" s="41">
        <f>'Объем производства'!V53</f>
        <v>14073666.736500002</v>
      </c>
      <c r="S15" s="41">
        <f>'Объем производства'!W53</f>
        <v>14073666.736500002</v>
      </c>
      <c r="T15" s="41">
        <f>'Объем производства'!X53</f>
        <v>14073666.736500002</v>
      </c>
      <c r="U15" s="41">
        <f>'Объем производства'!Z53</f>
        <v>14073666.736500002</v>
      </c>
      <c r="V15" s="41">
        <f>'Объем производства'!AA53</f>
        <v>14073666.736500002</v>
      </c>
      <c r="W15" s="41">
        <f>'Объем производства'!AB53</f>
        <v>14073666.736500002</v>
      </c>
      <c r="X15" s="41">
        <f>'Объем производства'!AC53</f>
        <v>14073666.736500002</v>
      </c>
      <c r="Y15" s="41">
        <f>'Объем производства'!AD53</f>
        <v>14073666.736500002</v>
      </c>
      <c r="Z15" s="41">
        <f>'Объем производства'!AE53</f>
        <v>14073666.736500002</v>
      </c>
      <c r="AA15" s="41">
        <f>'Объем производства'!AF53</f>
        <v>14073666.736500002</v>
      </c>
      <c r="AB15" s="41">
        <f>'Объем производства'!AG53</f>
        <v>14073666.736500002</v>
      </c>
      <c r="AC15" s="41">
        <f>'Объем производства'!AH53</f>
        <v>14073666.736500002</v>
      </c>
      <c r="AD15" s="41">
        <f>'Объем производства'!AI53</f>
        <v>14073666.736500002</v>
      </c>
      <c r="AE15" s="41">
        <f>'Объем производства'!AJ53</f>
        <v>14073666.736500002</v>
      </c>
      <c r="AF15" s="41">
        <f>'Объем производства'!AK53</f>
        <v>14073666.736500002</v>
      </c>
      <c r="AG15" s="41">
        <f>'Объем производства'!AM53</f>
        <v>22517866.778400008</v>
      </c>
      <c r="AH15" s="41">
        <f>'Объем производства'!AN53</f>
        <v>22517866.778400008</v>
      </c>
      <c r="AI15" s="41">
        <f>'Объем производства'!AO53</f>
        <v>22517866.778400008</v>
      </c>
      <c r="AJ15" s="41">
        <f>'Объем производства'!AP53</f>
        <v>22517866.778400008</v>
      </c>
      <c r="AK15" s="41">
        <f>'Объем производства'!AQ53</f>
        <v>22517866.778400008</v>
      </c>
      <c r="AL15" s="41">
        <f>'Объем производства'!AR53</f>
        <v>22517866.778400008</v>
      </c>
      <c r="AM15" s="41">
        <f>'Объем производства'!AS53</f>
        <v>22517866.778400008</v>
      </c>
      <c r="AN15" s="41">
        <f>'Объем производства'!AT53</f>
        <v>22517866.778400008</v>
      </c>
      <c r="AO15" s="41">
        <f>'Объем производства'!AU53</f>
        <v>22517866.778400008</v>
      </c>
      <c r="AP15" s="41">
        <f>'Объем производства'!AV53</f>
        <v>22517866.778400008</v>
      </c>
      <c r="AQ15" s="41">
        <f>'Объем производства'!AW53</f>
        <v>22517866.778400008</v>
      </c>
      <c r="AR15" s="41">
        <f>'Объем производства'!AX53</f>
        <v>22517866.778400008</v>
      </c>
      <c r="AS15" s="41">
        <f>'Объем производства'!AZ53</f>
        <v>22517866.778400008</v>
      </c>
      <c r="AT15" s="41">
        <f>'Объем производства'!BA53</f>
        <v>22517866.778400008</v>
      </c>
      <c r="AU15" s="41">
        <f>'Объем производства'!BB53</f>
        <v>22517866.778400008</v>
      </c>
      <c r="AV15" s="41">
        <f>'Объем производства'!BC53</f>
        <v>22517866.778400008</v>
      </c>
      <c r="AW15" s="41">
        <f>'Объем производства'!BD53</f>
        <v>22517866.778400008</v>
      </c>
      <c r="AX15" s="41">
        <f>'Объем производства'!BE53</f>
        <v>22517866.778400008</v>
      </c>
      <c r="AY15" s="41">
        <f>'Объем производства'!BF53</f>
        <v>22517866.778400008</v>
      </c>
      <c r="AZ15" s="41">
        <f>'Объем производства'!BG53</f>
        <v>22517866.778400008</v>
      </c>
      <c r="BA15" s="41">
        <f>'Объем производства'!BH53</f>
        <v>22517866.778400008</v>
      </c>
      <c r="BB15" s="41">
        <f>'Объем производства'!BI53</f>
        <v>22517866.778400008</v>
      </c>
      <c r="BC15" s="41">
        <f>'Объем производства'!BJ53</f>
        <v>22517866.778400008</v>
      </c>
      <c r="BD15" s="41">
        <f>'Объем производства'!BK53</f>
        <v>22517866.778400008</v>
      </c>
      <c r="BE15" s="41">
        <f>BD15</f>
        <v>22517866.778400008</v>
      </c>
      <c r="BF15" s="41">
        <f>BE15+BE15*C29</f>
        <v>22517866.778400008</v>
      </c>
      <c r="BG15" s="41">
        <f>BF15+BF15*D29</f>
        <v>22517866.778400008</v>
      </c>
      <c r="BH15" s="41">
        <f aca="true" t="shared" si="10" ref="BH15:BP15">BG15+BG15*I29</f>
        <v>22517866.778400008</v>
      </c>
      <c r="BI15" s="41">
        <f t="shared" si="10"/>
        <v>22517866.778400008</v>
      </c>
      <c r="BJ15" s="41">
        <f t="shared" si="10"/>
        <v>22517866.778400008</v>
      </c>
      <c r="BK15" s="41">
        <f t="shared" si="10"/>
        <v>22517866.778400008</v>
      </c>
      <c r="BL15" s="41">
        <f t="shared" si="10"/>
        <v>22517866.778400008</v>
      </c>
      <c r="BM15" s="41">
        <f t="shared" si="10"/>
        <v>22517866.778400008</v>
      </c>
      <c r="BN15" s="41">
        <f t="shared" si="10"/>
        <v>22517866.778400008</v>
      </c>
      <c r="BO15" s="41">
        <f t="shared" si="10"/>
        <v>22517866.778400008</v>
      </c>
      <c r="BP15" s="41">
        <f t="shared" si="10"/>
        <v>22517866.778400008</v>
      </c>
      <c r="BQ15" s="41">
        <f>SUM(C15:BP15)</f>
        <v>1148411205.6984015</v>
      </c>
      <c r="IQ15"/>
      <c r="IR15"/>
      <c r="IS15"/>
      <c r="IT15"/>
      <c r="IU15"/>
      <c r="IV15"/>
    </row>
    <row r="16" spans="1:256" ht="12.75" customHeight="1">
      <c r="A16" s="344"/>
      <c r="B16" s="344"/>
      <c r="C16" s="42"/>
      <c r="D16" s="42"/>
      <c r="E16" s="42"/>
      <c r="F16" s="42"/>
      <c r="G16" s="42"/>
      <c r="H16" s="42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IQ16"/>
      <c r="IR16"/>
      <c r="IS16"/>
      <c r="IT16"/>
      <c r="IU16"/>
      <c r="IV16"/>
    </row>
    <row r="17" spans="1:256" ht="12.75" customHeight="1">
      <c r="A17" s="334" t="s">
        <v>75</v>
      </c>
      <c r="B17" s="334"/>
      <c r="C17" s="39">
        <f aca="true" t="shared" si="11" ref="C17:AL17">C13+C14+C15</f>
        <v>93811670.20115</v>
      </c>
      <c r="D17" s="39">
        <f t="shared" si="11"/>
        <v>0</v>
      </c>
      <c r="E17" s="39">
        <f t="shared" si="11"/>
        <v>0</v>
      </c>
      <c r="F17" s="39">
        <f t="shared" si="11"/>
        <v>0</v>
      </c>
      <c r="G17" s="39">
        <f t="shared" si="11"/>
        <v>0</v>
      </c>
      <c r="H17" s="39">
        <f t="shared" si="11"/>
        <v>0</v>
      </c>
      <c r="I17" s="39">
        <f t="shared" si="11"/>
        <v>15077061.34316667</v>
      </c>
      <c r="J17" s="39">
        <f t="shared" si="11"/>
        <v>15077061.34316667</v>
      </c>
      <c r="K17" s="39">
        <f t="shared" si="11"/>
        <v>15077061.34316667</v>
      </c>
      <c r="L17" s="39">
        <f t="shared" si="11"/>
        <v>15077061.34316667</v>
      </c>
      <c r="M17" s="39">
        <f t="shared" si="11"/>
        <v>15077061.34316667</v>
      </c>
      <c r="N17" s="39">
        <f t="shared" si="11"/>
        <v>15139781.34316667</v>
      </c>
      <c r="O17" s="39">
        <f t="shared" si="11"/>
        <v>15139781.34316667</v>
      </c>
      <c r="P17" s="39">
        <f t="shared" si="11"/>
        <v>15139781.34316667</v>
      </c>
      <c r="Q17" s="39">
        <f t="shared" si="11"/>
        <v>15139781.34316667</v>
      </c>
      <c r="R17" s="39">
        <f t="shared" si="11"/>
        <v>15139781.34316667</v>
      </c>
      <c r="S17" s="39">
        <f t="shared" si="11"/>
        <v>15139781.34316667</v>
      </c>
      <c r="T17" s="39">
        <f t="shared" si="11"/>
        <v>15139781.34316667</v>
      </c>
      <c r="U17" s="39">
        <f t="shared" si="11"/>
        <v>15139781.34316667</v>
      </c>
      <c r="V17" s="39">
        <f t="shared" si="11"/>
        <v>15139781.34316667</v>
      </c>
      <c r="W17" s="39">
        <f t="shared" si="11"/>
        <v>15139781.34316667</v>
      </c>
      <c r="X17" s="39">
        <f t="shared" si="11"/>
        <v>15139781.34316667</v>
      </c>
      <c r="Y17" s="39">
        <f t="shared" si="11"/>
        <v>15139781.34316667</v>
      </c>
      <c r="Z17" s="39">
        <f t="shared" si="11"/>
        <v>15139781.34316667</v>
      </c>
      <c r="AA17" s="39">
        <f t="shared" si="11"/>
        <v>15139781.34316667</v>
      </c>
      <c r="AB17" s="39">
        <f t="shared" si="11"/>
        <v>15139781.34316667</v>
      </c>
      <c r="AC17" s="39">
        <f t="shared" si="11"/>
        <v>15139781.34316667</v>
      </c>
      <c r="AD17" s="39">
        <f t="shared" si="11"/>
        <v>15139781.34316667</v>
      </c>
      <c r="AE17" s="39">
        <f t="shared" si="11"/>
        <v>15139781.34316667</v>
      </c>
      <c r="AF17" s="39">
        <f t="shared" si="11"/>
        <v>15139781.34316667</v>
      </c>
      <c r="AG17" s="39">
        <f t="shared" si="11"/>
        <v>23583981.385066673</v>
      </c>
      <c r="AH17" s="39">
        <f t="shared" si="11"/>
        <v>23583981.385066673</v>
      </c>
      <c r="AI17" s="39">
        <f t="shared" si="11"/>
        <v>23583981.385066673</v>
      </c>
      <c r="AJ17" s="39">
        <f t="shared" si="11"/>
        <v>23583981.385066673</v>
      </c>
      <c r="AK17" s="39">
        <f t="shared" si="11"/>
        <v>23583981.385066673</v>
      </c>
      <c r="AL17" s="39">
        <f t="shared" si="11"/>
        <v>23583981.385066673</v>
      </c>
      <c r="AM17" s="39">
        <f aca="true" t="shared" si="12" ref="AM17:BP17">AM13+AM14+AM15</f>
        <v>23583981.385066673</v>
      </c>
      <c r="AN17" s="39">
        <f t="shared" si="12"/>
        <v>23583981.385066673</v>
      </c>
      <c r="AO17" s="39">
        <f t="shared" si="12"/>
        <v>23583981.385066673</v>
      </c>
      <c r="AP17" s="39">
        <f t="shared" si="12"/>
        <v>23583981.385066673</v>
      </c>
      <c r="AQ17" s="39">
        <f t="shared" si="12"/>
        <v>23583981.385066673</v>
      </c>
      <c r="AR17" s="39">
        <f t="shared" si="12"/>
        <v>23583981.385066673</v>
      </c>
      <c r="AS17" s="39">
        <f t="shared" si="12"/>
        <v>23583981.385066673</v>
      </c>
      <c r="AT17" s="39">
        <f t="shared" si="12"/>
        <v>23583981.385066673</v>
      </c>
      <c r="AU17" s="39">
        <f t="shared" si="12"/>
        <v>23583981.385066673</v>
      </c>
      <c r="AV17" s="39">
        <f t="shared" si="12"/>
        <v>23583981.385066673</v>
      </c>
      <c r="AW17" s="39">
        <f t="shared" si="12"/>
        <v>23583981.385066673</v>
      </c>
      <c r="AX17" s="39">
        <f t="shared" si="12"/>
        <v>23583981.385066673</v>
      </c>
      <c r="AY17" s="39">
        <f t="shared" si="12"/>
        <v>23583981.385066673</v>
      </c>
      <c r="AZ17" s="39">
        <f t="shared" si="12"/>
        <v>23583981.385066673</v>
      </c>
      <c r="BA17" s="39">
        <f t="shared" si="12"/>
        <v>23583981.385066673</v>
      </c>
      <c r="BB17" s="39">
        <f t="shared" si="12"/>
        <v>23583981.385066673</v>
      </c>
      <c r="BC17" s="39">
        <f t="shared" si="12"/>
        <v>23583981.385066673</v>
      </c>
      <c r="BD17" s="39">
        <f t="shared" si="12"/>
        <v>23583981.385066673</v>
      </c>
      <c r="BE17" s="39">
        <f t="shared" si="12"/>
        <v>23583981.385066673</v>
      </c>
      <c r="BF17" s="39">
        <f t="shared" si="12"/>
        <v>23583981.385066673</v>
      </c>
      <c r="BG17" s="39">
        <f t="shared" si="12"/>
        <v>23583981.385066673</v>
      </c>
      <c r="BH17" s="39">
        <f t="shared" si="12"/>
        <v>23583981.385066673</v>
      </c>
      <c r="BI17" s="39">
        <f t="shared" si="12"/>
        <v>23583981.385066673</v>
      </c>
      <c r="BJ17" s="39">
        <f t="shared" si="12"/>
        <v>23583981.385066673</v>
      </c>
      <c r="BK17" s="39">
        <f t="shared" si="12"/>
        <v>23583981.385066673</v>
      </c>
      <c r="BL17" s="39">
        <f t="shared" si="12"/>
        <v>23583981.385066673</v>
      </c>
      <c r="BM17" s="39">
        <f t="shared" si="12"/>
        <v>23583981.385066673</v>
      </c>
      <c r="BN17" s="39">
        <f t="shared" si="12"/>
        <v>23583981.385066673</v>
      </c>
      <c r="BO17" s="39">
        <f t="shared" si="12"/>
        <v>23583981.385066673</v>
      </c>
      <c r="BP17" s="39">
        <f t="shared" si="12"/>
        <v>23583981.385066673</v>
      </c>
      <c r="BQ17" s="39">
        <f aca="true" t="shared" si="13" ref="BQ17:BQ22">SUM(I17:BP17)</f>
        <v>1212064482.0983996</v>
      </c>
      <c r="IQ17"/>
      <c r="IR17"/>
      <c r="IS17"/>
      <c r="IT17"/>
      <c r="IU17"/>
      <c r="IV17"/>
    </row>
    <row r="18" spans="1:256" ht="12.75" customHeight="1">
      <c r="A18" s="344" t="s">
        <v>76</v>
      </c>
      <c r="B18" s="344"/>
      <c r="C18" s="43">
        <f aca="true" t="shared" si="14" ref="C18:AH18">C5-C17</f>
        <v>-93811670.20115</v>
      </c>
      <c r="D18" s="43">
        <f t="shared" si="14"/>
        <v>0</v>
      </c>
      <c r="E18" s="43">
        <f t="shared" si="14"/>
        <v>0</v>
      </c>
      <c r="F18" s="43">
        <f t="shared" si="14"/>
        <v>0</v>
      </c>
      <c r="G18" s="43">
        <f t="shared" si="14"/>
        <v>0</v>
      </c>
      <c r="H18" s="43">
        <f t="shared" si="14"/>
        <v>0</v>
      </c>
      <c r="I18" s="43">
        <f t="shared" si="14"/>
        <v>6571370.488083335</v>
      </c>
      <c r="J18" s="43">
        <f t="shared" si="14"/>
        <v>6571370.488083335</v>
      </c>
      <c r="K18" s="43">
        <f t="shared" si="14"/>
        <v>6571370.488083335</v>
      </c>
      <c r="L18" s="43">
        <f t="shared" si="14"/>
        <v>6571370.488083335</v>
      </c>
      <c r="M18" s="43">
        <f t="shared" si="14"/>
        <v>6571370.488083335</v>
      </c>
      <c r="N18" s="43">
        <f t="shared" si="14"/>
        <v>6508650.488083335</v>
      </c>
      <c r="O18" s="43">
        <f t="shared" si="14"/>
        <v>6508650.488083335</v>
      </c>
      <c r="P18" s="43">
        <f t="shared" si="14"/>
        <v>6508650.488083335</v>
      </c>
      <c r="Q18" s="43">
        <f t="shared" si="14"/>
        <v>6508650.488083335</v>
      </c>
      <c r="R18" s="43">
        <f t="shared" si="14"/>
        <v>6508650.488083335</v>
      </c>
      <c r="S18" s="43">
        <f t="shared" si="14"/>
        <v>6508650.488083335</v>
      </c>
      <c r="T18" s="43">
        <f t="shared" si="14"/>
        <v>6508650.488083335</v>
      </c>
      <c r="U18" s="43">
        <f t="shared" si="14"/>
        <v>6508650.488083335</v>
      </c>
      <c r="V18" s="43">
        <f t="shared" si="14"/>
        <v>6508650.488083335</v>
      </c>
      <c r="W18" s="43">
        <f t="shared" si="14"/>
        <v>6508650.488083335</v>
      </c>
      <c r="X18" s="43">
        <f t="shared" si="14"/>
        <v>6508650.488083335</v>
      </c>
      <c r="Y18" s="43">
        <f t="shared" si="14"/>
        <v>6508650.488083335</v>
      </c>
      <c r="Z18" s="43">
        <f t="shared" si="14"/>
        <v>6508650.488083335</v>
      </c>
      <c r="AA18" s="43">
        <f t="shared" si="14"/>
        <v>6508650.488083335</v>
      </c>
      <c r="AB18" s="43">
        <f t="shared" si="14"/>
        <v>6508650.488083335</v>
      </c>
      <c r="AC18" s="43">
        <f t="shared" si="14"/>
        <v>6508650.488083335</v>
      </c>
      <c r="AD18" s="43">
        <f t="shared" si="14"/>
        <v>6508650.488083335</v>
      </c>
      <c r="AE18" s="43">
        <f t="shared" si="14"/>
        <v>6508650.488083335</v>
      </c>
      <c r="AF18" s="43">
        <f t="shared" si="14"/>
        <v>6508650.488083335</v>
      </c>
      <c r="AG18" s="43">
        <f t="shared" si="14"/>
        <v>11053509.544933334</v>
      </c>
      <c r="AH18" s="43">
        <f t="shared" si="14"/>
        <v>11053509.544933334</v>
      </c>
      <c r="AI18" s="43">
        <f aca="true" t="shared" si="15" ref="AI18:BN18">AI5-AI17</f>
        <v>11053509.544933334</v>
      </c>
      <c r="AJ18" s="43">
        <f t="shared" si="15"/>
        <v>11053509.544933334</v>
      </c>
      <c r="AK18" s="43">
        <f t="shared" si="15"/>
        <v>11053509.544933334</v>
      </c>
      <c r="AL18" s="43">
        <f t="shared" si="15"/>
        <v>11053509.544933334</v>
      </c>
      <c r="AM18" s="43">
        <f t="shared" si="15"/>
        <v>11053509.544933334</v>
      </c>
      <c r="AN18" s="43">
        <f t="shared" si="15"/>
        <v>11053509.544933334</v>
      </c>
      <c r="AO18" s="43">
        <f t="shared" si="15"/>
        <v>11053509.544933334</v>
      </c>
      <c r="AP18" s="43">
        <f t="shared" si="15"/>
        <v>11053509.544933334</v>
      </c>
      <c r="AQ18" s="43">
        <f t="shared" si="15"/>
        <v>11053509.544933334</v>
      </c>
      <c r="AR18" s="43">
        <f t="shared" si="15"/>
        <v>11053509.544933334</v>
      </c>
      <c r="AS18" s="43">
        <f t="shared" si="15"/>
        <v>11053509.544933334</v>
      </c>
      <c r="AT18" s="43">
        <f t="shared" si="15"/>
        <v>11053509.544933334</v>
      </c>
      <c r="AU18" s="43">
        <f t="shared" si="15"/>
        <v>11053509.544933334</v>
      </c>
      <c r="AV18" s="43">
        <f t="shared" si="15"/>
        <v>11053509.544933334</v>
      </c>
      <c r="AW18" s="43">
        <f t="shared" si="15"/>
        <v>11053509.544933334</v>
      </c>
      <c r="AX18" s="43">
        <f t="shared" si="15"/>
        <v>11053509.544933334</v>
      </c>
      <c r="AY18" s="43">
        <f t="shared" si="15"/>
        <v>11053509.544933334</v>
      </c>
      <c r="AZ18" s="43">
        <f t="shared" si="15"/>
        <v>11053509.544933334</v>
      </c>
      <c r="BA18" s="43">
        <f t="shared" si="15"/>
        <v>11053509.544933334</v>
      </c>
      <c r="BB18" s="43">
        <f t="shared" si="15"/>
        <v>11053509.544933334</v>
      </c>
      <c r="BC18" s="43">
        <f t="shared" si="15"/>
        <v>11053509.544933334</v>
      </c>
      <c r="BD18" s="43">
        <f t="shared" si="15"/>
        <v>11053509.544933334</v>
      </c>
      <c r="BE18" s="43">
        <f t="shared" si="15"/>
        <v>11053509.544933334</v>
      </c>
      <c r="BF18" s="43">
        <f t="shared" si="15"/>
        <v>11053509.544933334</v>
      </c>
      <c r="BG18" s="43">
        <f t="shared" si="15"/>
        <v>11053509.544933334</v>
      </c>
      <c r="BH18" s="43">
        <f t="shared" si="15"/>
        <v>11053509.544933334</v>
      </c>
      <c r="BI18" s="43">
        <f t="shared" si="15"/>
        <v>11053509.544933334</v>
      </c>
      <c r="BJ18" s="43">
        <f t="shared" si="15"/>
        <v>11053509.544933334</v>
      </c>
      <c r="BK18" s="43">
        <f t="shared" si="15"/>
        <v>11053509.544933334</v>
      </c>
      <c r="BL18" s="43">
        <f t="shared" si="15"/>
        <v>11053509.544933334</v>
      </c>
      <c r="BM18" s="43">
        <f t="shared" si="15"/>
        <v>11053509.544933334</v>
      </c>
      <c r="BN18" s="43">
        <f t="shared" si="15"/>
        <v>11053509.544933334</v>
      </c>
      <c r="BO18" s="43">
        <f>BO5-BO17</f>
        <v>11053509.544933334</v>
      </c>
      <c r="BP18" s="43">
        <f>BP5-BP17</f>
        <v>11053509.544933334</v>
      </c>
      <c r="BQ18" s="43">
        <f t="shared" si="13"/>
        <v>554447555.3315996</v>
      </c>
      <c r="IQ18"/>
      <c r="IR18"/>
      <c r="IS18"/>
      <c r="IT18"/>
      <c r="IU18"/>
      <c r="IV18"/>
    </row>
    <row r="19" spans="1:256" ht="12.75" customHeight="1">
      <c r="A19" s="344" t="s">
        <v>77</v>
      </c>
      <c r="B19" s="344"/>
      <c r="C19" s="42"/>
      <c r="D19" s="42"/>
      <c r="E19" s="42"/>
      <c r="F19" s="42"/>
      <c r="G19" s="42"/>
      <c r="H19" s="42"/>
      <c r="I19" s="44">
        <f aca="true" t="shared" si="16" ref="I19:AN19">I18*0.167</f>
        <v>1097418.8715099168</v>
      </c>
      <c r="J19" s="44">
        <f t="shared" si="16"/>
        <v>1097418.8715099168</v>
      </c>
      <c r="K19" s="44">
        <f t="shared" si="16"/>
        <v>1097418.8715099168</v>
      </c>
      <c r="L19" s="44">
        <f t="shared" si="16"/>
        <v>1097418.8715099168</v>
      </c>
      <c r="M19" s="44">
        <f t="shared" si="16"/>
        <v>1097418.8715099168</v>
      </c>
      <c r="N19" s="44">
        <f t="shared" si="16"/>
        <v>1086944.6315099169</v>
      </c>
      <c r="O19" s="44">
        <f t="shared" si="16"/>
        <v>1086944.6315099169</v>
      </c>
      <c r="P19" s="44">
        <f t="shared" si="16"/>
        <v>1086944.6315099169</v>
      </c>
      <c r="Q19" s="44">
        <f t="shared" si="16"/>
        <v>1086944.6315099169</v>
      </c>
      <c r="R19" s="44">
        <f t="shared" si="16"/>
        <v>1086944.6315099169</v>
      </c>
      <c r="S19" s="44">
        <f t="shared" si="16"/>
        <v>1086944.6315099169</v>
      </c>
      <c r="T19" s="44">
        <f t="shared" si="16"/>
        <v>1086944.6315099169</v>
      </c>
      <c r="U19" s="44">
        <f t="shared" si="16"/>
        <v>1086944.6315099169</v>
      </c>
      <c r="V19" s="44">
        <f t="shared" si="16"/>
        <v>1086944.6315099169</v>
      </c>
      <c r="W19" s="44">
        <f t="shared" si="16"/>
        <v>1086944.6315099169</v>
      </c>
      <c r="X19" s="44">
        <f t="shared" si="16"/>
        <v>1086944.6315099169</v>
      </c>
      <c r="Y19" s="44">
        <f t="shared" si="16"/>
        <v>1086944.6315099169</v>
      </c>
      <c r="Z19" s="44">
        <f t="shared" si="16"/>
        <v>1086944.6315099169</v>
      </c>
      <c r="AA19" s="44">
        <f t="shared" si="16"/>
        <v>1086944.6315099169</v>
      </c>
      <c r="AB19" s="44">
        <f t="shared" si="16"/>
        <v>1086944.6315099169</v>
      </c>
      <c r="AC19" s="44">
        <f t="shared" si="16"/>
        <v>1086944.6315099169</v>
      </c>
      <c r="AD19" s="44">
        <f t="shared" si="16"/>
        <v>1086944.6315099169</v>
      </c>
      <c r="AE19" s="44">
        <f t="shared" si="16"/>
        <v>1086944.6315099169</v>
      </c>
      <c r="AF19" s="44">
        <f t="shared" si="16"/>
        <v>1086944.6315099169</v>
      </c>
      <c r="AG19" s="44">
        <f t="shared" si="16"/>
        <v>1845936.094003867</v>
      </c>
      <c r="AH19" s="44">
        <f t="shared" si="16"/>
        <v>1845936.094003867</v>
      </c>
      <c r="AI19" s="44">
        <f t="shared" si="16"/>
        <v>1845936.094003867</v>
      </c>
      <c r="AJ19" s="44">
        <f t="shared" si="16"/>
        <v>1845936.094003867</v>
      </c>
      <c r="AK19" s="44">
        <f t="shared" si="16"/>
        <v>1845936.094003867</v>
      </c>
      <c r="AL19" s="44">
        <f t="shared" si="16"/>
        <v>1845936.094003867</v>
      </c>
      <c r="AM19" s="44">
        <f t="shared" si="16"/>
        <v>1845936.094003867</v>
      </c>
      <c r="AN19" s="44">
        <f t="shared" si="16"/>
        <v>1845936.094003867</v>
      </c>
      <c r="AO19" s="44">
        <f aca="true" t="shared" si="17" ref="AO19:BP19">AO18*0.167</f>
        <v>1845936.094003867</v>
      </c>
      <c r="AP19" s="44">
        <f t="shared" si="17"/>
        <v>1845936.094003867</v>
      </c>
      <c r="AQ19" s="44">
        <f t="shared" si="17"/>
        <v>1845936.094003867</v>
      </c>
      <c r="AR19" s="44">
        <f t="shared" si="17"/>
        <v>1845936.094003867</v>
      </c>
      <c r="AS19" s="44">
        <f t="shared" si="17"/>
        <v>1845936.094003867</v>
      </c>
      <c r="AT19" s="44">
        <f t="shared" si="17"/>
        <v>1845936.094003867</v>
      </c>
      <c r="AU19" s="44">
        <f t="shared" si="17"/>
        <v>1845936.094003867</v>
      </c>
      <c r="AV19" s="44">
        <f t="shared" si="17"/>
        <v>1845936.094003867</v>
      </c>
      <c r="AW19" s="44">
        <f t="shared" si="17"/>
        <v>1845936.094003867</v>
      </c>
      <c r="AX19" s="44">
        <f t="shared" si="17"/>
        <v>1845936.094003867</v>
      </c>
      <c r="AY19" s="44">
        <f t="shared" si="17"/>
        <v>1845936.094003867</v>
      </c>
      <c r="AZ19" s="44">
        <f t="shared" si="17"/>
        <v>1845936.094003867</v>
      </c>
      <c r="BA19" s="44">
        <f t="shared" si="17"/>
        <v>1845936.094003867</v>
      </c>
      <c r="BB19" s="44">
        <f t="shared" si="17"/>
        <v>1845936.094003867</v>
      </c>
      <c r="BC19" s="44">
        <f t="shared" si="17"/>
        <v>1845936.094003867</v>
      </c>
      <c r="BD19" s="44">
        <f t="shared" si="17"/>
        <v>1845936.094003867</v>
      </c>
      <c r="BE19" s="44">
        <f t="shared" si="17"/>
        <v>1845936.094003867</v>
      </c>
      <c r="BF19" s="44">
        <f t="shared" si="17"/>
        <v>1845936.094003867</v>
      </c>
      <c r="BG19" s="44">
        <f t="shared" si="17"/>
        <v>1845936.094003867</v>
      </c>
      <c r="BH19" s="44">
        <f t="shared" si="17"/>
        <v>1845936.094003867</v>
      </c>
      <c r="BI19" s="44">
        <f t="shared" si="17"/>
        <v>1845936.094003867</v>
      </c>
      <c r="BJ19" s="44">
        <f t="shared" si="17"/>
        <v>1845936.094003867</v>
      </c>
      <c r="BK19" s="44">
        <f t="shared" si="17"/>
        <v>1845936.094003867</v>
      </c>
      <c r="BL19" s="44">
        <f t="shared" si="17"/>
        <v>1845936.094003867</v>
      </c>
      <c r="BM19" s="44">
        <f t="shared" si="17"/>
        <v>1845936.094003867</v>
      </c>
      <c r="BN19" s="44">
        <f t="shared" si="17"/>
        <v>1845936.094003867</v>
      </c>
      <c r="BO19" s="44">
        <f t="shared" si="17"/>
        <v>1845936.094003867</v>
      </c>
      <c r="BP19" s="44">
        <f t="shared" si="17"/>
        <v>1845936.094003867</v>
      </c>
      <c r="BQ19" s="43">
        <f t="shared" si="13"/>
        <v>92592741.7403772</v>
      </c>
      <c r="BR19" s="28">
        <f>BQ19/5</f>
        <v>18518548.348075442</v>
      </c>
      <c r="IQ19"/>
      <c r="IR19"/>
      <c r="IS19"/>
      <c r="IT19"/>
      <c r="IU19"/>
      <c r="IV19"/>
    </row>
    <row r="20" spans="1:256" ht="12.75" customHeight="1">
      <c r="A20" s="344" t="s">
        <v>78</v>
      </c>
      <c r="B20" s="344"/>
      <c r="C20" s="42"/>
      <c r="D20" s="42"/>
      <c r="E20" s="42"/>
      <c r="F20" s="42"/>
      <c r="G20" s="42"/>
      <c r="H20" s="42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>
        <f>Аренда!F5</f>
        <v>0</v>
      </c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>
        <f>T20</f>
        <v>0</v>
      </c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>
        <f>AF20</f>
        <v>0</v>
      </c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>
        <f>AR20</f>
        <v>0</v>
      </c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>
        <f>BD20</f>
        <v>0</v>
      </c>
      <c r="BQ20" s="43">
        <f t="shared" si="13"/>
        <v>0</v>
      </c>
      <c r="IQ20"/>
      <c r="IR20"/>
      <c r="IS20"/>
      <c r="IT20"/>
      <c r="IU20"/>
      <c r="IV20"/>
    </row>
    <row r="21" spans="1:256" ht="12.75" customHeight="1">
      <c r="A21" s="344" t="s">
        <v>79</v>
      </c>
      <c r="B21" s="344"/>
      <c r="C21" s="42"/>
      <c r="D21" s="42"/>
      <c r="E21" s="42"/>
      <c r="F21" s="42"/>
      <c r="G21" s="42"/>
      <c r="H21" s="42"/>
      <c r="I21" s="44"/>
      <c r="J21" s="44"/>
      <c r="K21" s="44">
        <f>'Ремонт и материалы'!C4*2%/4</f>
        <v>250000</v>
      </c>
      <c r="L21" s="44"/>
      <c r="M21" s="44"/>
      <c r="N21" s="44">
        <f>K21</f>
        <v>250000</v>
      </c>
      <c r="O21" s="44"/>
      <c r="P21" s="44"/>
      <c r="Q21" s="44">
        <f>N21</f>
        <v>250000</v>
      </c>
      <c r="R21" s="44"/>
      <c r="S21" s="44"/>
      <c r="T21" s="44">
        <f>Q21</f>
        <v>250000</v>
      </c>
      <c r="U21" s="44"/>
      <c r="V21" s="44"/>
      <c r="W21" s="44">
        <f>T21</f>
        <v>250000</v>
      </c>
      <c r="X21" s="44"/>
      <c r="Y21" s="44"/>
      <c r="Z21" s="44">
        <f>W21</f>
        <v>250000</v>
      </c>
      <c r="AA21" s="44"/>
      <c r="AB21" s="44"/>
      <c r="AC21" s="44">
        <f>Z21</f>
        <v>250000</v>
      </c>
      <c r="AD21" s="44"/>
      <c r="AE21" s="44"/>
      <c r="AF21" s="44">
        <f>AC21</f>
        <v>250000</v>
      </c>
      <c r="AG21" s="44"/>
      <c r="AH21" s="44"/>
      <c r="AI21" s="44">
        <f>AF21</f>
        <v>250000</v>
      </c>
      <c r="AJ21" s="44"/>
      <c r="AK21" s="44"/>
      <c r="AL21" s="44">
        <f>AI21</f>
        <v>250000</v>
      </c>
      <c r="AM21" s="44"/>
      <c r="AN21" s="44"/>
      <c r="AO21" s="44">
        <f>AL21</f>
        <v>250000</v>
      </c>
      <c r="AP21" s="44"/>
      <c r="AQ21" s="44"/>
      <c r="AR21" s="44">
        <f>AF21</f>
        <v>250000</v>
      </c>
      <c r="AS21" s="44"/>
      <c r="AT21" s="44"/>
      <c r="AU21" s="44">
        <f>AR21</f>
        <v>250000</v>
      </c>
      <c r="AV21" s="44"/>
      <c r="AW21" s="44"/>
      <c r="AX21" s="44">
        <f>AU21</f>
        <v>250000</v>
      </c>
      <c r="AY21" s="44"/>
      <c r="AZ21" s="44"/>
      <c r="BA21" s="44">
        <f>AX21</f>
        <v>250000</v>
      </c>
      <c r="BB21" s="44"/>
      <c r="BC21" s="44"/>
      <c r="BD21" s="44">
        <f>AR21</f>
        <v>250000</v>
      </c>
      <c r="BE21" s="44"/>
      <c r="BF21" s="44"/>
      <c r="BG21" s="44">
        <f>BD21</f>
        <v>250000</v>
      </c>
      <c r="BH21" s="44"/>
      <c r="BI21" s="44"/>
      <c r="BJ21" s="44">
        <f>BG21</f>
        <v>250000</v>
      </c>
      <c r="BK21" s="44"/>
      <c r="BL21" s="44"/>
      <c r="BM21" s="44">
        <f>BJ21</f>
        <v>250000</v>
      </c>
      <c r="BN21" s="44"/>
      <c r="BO21" s="44"/>
      <c r="BP21" s="44">
        <f>BD21</f>
        <v>250000</v>
      </c>
      <c r="BQ21" s="43">
        <f t="shared" si="13"/>
        <v>5000000</v>
      </c>
      <c r="IQ21"/>
      <c r="IR21"/>
      <c r="IS21"/>
      <c r="IT21"/>
      <c r="IU21"/>
      <c r="IV21"/>
    </row>
    <row r="22" spans="1:256" ht="12.75" customHeight="1">
      <c r="A22" s="333" t="s">
        <v>80</v>
      </c>
      <c r="B22" s="333"/>
      <c r="C22" s="45">
        <f aca="true" t="shared" si="18" ref="C22:H22">C18-C19</f>
        <v>-93811670.20115</v>
      </c>
      <c r="D22" s="45">
        <f t="shared" si="18"/>
        <v>0</v>
      </c>
      <c r="E22" s="45">
        <f t="shared" si="18"/>
        <v>0</v>
      </c>
      <c r="F22" s="45">
        <f t="shared" si="18"/>
        <v>0</v>
      </c>
      <c r="G22" s="45">
        <f t="shared" si="18"/>
        <v>0</v>
      </c>
      <c r="H22" s="45">
        <f t="shared" si="18"/>
        <v>0</v>
      </c>
      <c r="I22" s="46">
        <f aca="true" t="shared" si="19" ref="I22:AN22">I18-I19-I20-I21</f>
        <v>5473951.616573418</v>
      </c>
      <c r="J22" s="46">
        <f t="shared" si="19"/>
        <v>5473951.616573418</v>
      </c>
      <c r="K22" s="46">
        <f t="shared" si="19"/>
        <v>5223951.616573418</v>
      </c>
      <c r="L22" s="46">
        <f t="shared" si="19"/>
        <v>5473951.616573418</v>
      </c>
      <c r="M22" s="46">
        <f t="shared" si="19"/>
        <v>5473951.616573418</v>
      </c>
      <c r="N22" s="46">
        <f t="shared" si="19"/>
        <v>5171705.856573418</v>
      </c>
      <c r="O22" s="46">
        <f t="shared" si="19"/>
        <v>5421705.856573418</v>
      </c>
      <c r="P22" s="46">
        <f t="shared" si="19"/>
        <v>5421705.856573418</v>
      </c>
      <c r="Q22" s="46">
        <f t="shared" si="19"/>
        <v>5171705.856573418</v>
      </c>
      <c r="R22" s="46">
        <f t="shared" si="19"/>
        <v>5421705.856573418</v>
      </c>
      <c r="S22" s="46">
        <f t="shared" si="19"/>
        <v>5421705.856573418</v>
      </c>
      <c r="T22" s="46">
        <f t="shared" si="19"/>
        <v>5171705.856573418</v>
      </c>
      <c r="U22" s="46">
        <f t="shared" si="19"/>
        <v>5421705.856573418</v>
      </c>
      <c r="V22" s="46">
        <f t="shared" si="19"/>
        <v>5421705.856573418</v>
      </c>
      <c r="W22" s="46">
        <f t="shared" si="19"/>
        <v>5171705.856573418</v>
      </c>
      <c r="X22" s="46">
        <f t="shared" si="19"/>
        <v>5421705.856573418</v>
      </c>
      <c r="Y22" s="46">
        <f t="shared" si="19"/>
        <v>5421705.856573418</v>
      </c>
      <c r="Z22" s="46">
        <f t="shared" si="19"/>
        <v>5171705.856573418</v>
      </c>
      <c r="AA22" s="46">
        <f t="shared" si="19"/>
        <v>5421705.856573418</v>
      </c>
      <c r="AB22" s="46">
        <f t="shared" si="19"/>
        <v>5421705.856573418</v>
      </c>
      <c r="AC22" s="46">
        <f t="shared" si="19"/>
        <v>5171705.856573418</v>
      </c>
      <c r="AD22" s="46">
        <f t="shared" si="19"/>
        <v>5421705.856573418</v>
      </c>
      <c r="AE22" s="46">
        <f t="shared" si="19"/>
        <v>5421705.856573418</v>
      </c>
      <c r="AF22" s="46">
        <f t="shared" si="19"/>
        <v>5171705.856573418</v>
      </c>
      <c r="AG22" s="46">
        <f t="shared" si="19"/>
        <v>9207573.450929467</v>
      </c>
      <c r="AH22" s="46">
        <f t="shared" si="19"/>
        <v>9207573.450929467</v>
      </c>
      <c r="AI22" s="46">
        <f t="shared" si="19"/>
        <v>8957573.450929467</v>
      </c>
      <c r="AJ22" s="46">
        <f t="shared" si="19"/>
        <v>9207573.450929467</v>
      </c>
      <c r="AK22" s="46">
        <f t="shared" si="19"/>
        <v>9207573.450929467</v>
      </c>
      <c r="AL22" s="46">
        <f t="shared" si="19"/>
        <v>8957573.450929467</v>
      </c>
      <c r="AM22" s="46">
        <f t="shared" si="19"/>
        <v>9207573.450929467</v>
      </c>
      <c r="AN22" s="46">
        <f t="shared" si="19"/>
        <v>9207573.450929467</v>
      </c>
      <c r="AO22" s="46">
        <f aca="true" t="shared" si="20" ref="AO22:BP22">AO18-AO19-AO20-AO21</f>
        <v>8957573.450929467</v>
      </c>
      <c r="AP22" s="46">
        <f t="shared" si="20"/>
        <v>9207573.450929467</v>
      </c>
      <c r="AQ22" s="46">
        <f t="shared" si="20"/>
        <v>9207573.450929467</v>
      </c>
      <c r="AR22" s="46">
        <f t="shared" si="20"/>
        <v>8957573.450929467</v>
      </c>
      <c r="AS22" s="46">
        <f t="shared" si="20"/>
        <v>9207573.450929467</v>
      </c>
      <c r="AT22" s="46">
        <f t="shared" si="20"/>
        <v>9207573.450929467</v>
      </c>
      <c r="AU22" s="46">
        <f t="shared" si="20"/>
        <v>8957573.450929467</v>
      </c>
      <c r="AV22" s="46">
        <f t="shared" si="20"/>
        <v>9207573.450929467</v>
      </c>
      <c r="AW22" s="46">
        <f t="shared" si="20"/>
        <v>9207573.450929467</v>
      </c>
      <c r="AX22" s="46">
        <f t="shared" si="20"/>
        <v>8957573.450929467</v>
      </c>
      <c r="AY22" s="46">
        <f t="shared" si="20"/>
        <v>9207573.450929467</v>
      </c>
      <c r="AZ22" s="46">
        <f t="shared" si="20"/>
        <v>9207573.450929467</v>
      </c>
      <c r="BA22" s="46">
        <f t="shared" si="20"/>
        <v>8957573.450929467</v>
      </c>
      <c r="BB22" s="46">
        <f t="shared" si="20"/>
        <v>9207573.450929467</v>
      </c>
      <c r="BC22" s="46">
        <f t="shared" si="20"/>
        <v>9207573.450929467</v>
      </c>
      <c r="BD22" s="46">
        <f t="shared" si="20"/>
        <v>8957573.450929467</v>
      </c>
      <c r="BE22" s="46">
        <f t="shared" si="20"/>
        <v>9207573.450929467</v>
      </c>
      <c r="BF22" s="46">
        <f t="shared" si="20"/>
        <v>9207573.450929467</v>
      </c>
      <c r="BG22" s="46">
        <f t="shared" si="20"/>
        <v>8957573.450929467</v>
      </c>
      <c r="BH22" s="46">
        <f t="shared" si="20"/>
        <v>9207573.450929467</v>
      </c>
      <c r="BI22" s="46">
        <f t="shared" si="20"/>
        <v>9207573.450929467</v>
      </c>
      <c r="BJ22" s="46">
        <f t="shared" si="20"/>
        <v>8957573.450929467</v>
      </c>
      <c r="BK22" s="46">
        <f t="shared" si="20"/>
        <v>9207573.450929467</v>
      </c>
      <c r="BL22" s="46">
        <f t="shared" si="20"/>
        <v>9207573.450929467</v>
      </c>
      <c r="BM22" s="46">
        <f t="shared" si="20"/>
        <v>8957573.450929467</v>
      </c>
      <c r="BN22" s="46">
        <f t="shared" si="20"/>
        <v>9207573.450929467</v>
      </c>
      <c r="BO22" s="46">
        <f t="shared" si="20"/>
        <v>9207573.450929467</v>
      </c>
      <c r="BP22" s="46">
        <f t="shared" si="20"/>
        <v>8957573.450929467</v>
      </c>
      <c r="BQ22" s="47">
        <f t="shared" si="13"/>
        <v>456854813.5912227</v>
      </c>
      <c r="IQ22"/>
      <c r="IR22"/>
      <c r="IS22"/>
      <c r="IT22"/>
      <c r="IU22"/>
      <c r="IV22"/>
    </row>
    <row r="23" spans="1:256" ht="12.75" customHeight="1">
      <c r="A23" s="344" t="s">
        <v>81</v>
      </c>
      <c r="B23" s="344"/>
      <c r="C23" s="48">
        <f>C22</f>
        <v>-93811670.20115</v>
      </c>
      <c r="D23" s="48">
        <f aca="true" t="shared" si="21" ref="D23:I23">D22+C23</f>
        <v>-93811670.20115</v>
      </c>
      <c r="E23" s="48">
        <f t="shared" si="21"/>
        <v>-93811670.20115</v>
      </c>
      <c r="F23" s="48">
        <f t="shared" si="21"/>
        <v>-93811670.20115</v>
      </c>
      <c r="G23" s="48">
        <f t="shared" si="21"/>
        <v>-93811670.20115</v>
      </c>
      <c r="H23" s="48">
        <f t="shared" si="21"/>
        <v>-93811670.20115</v>
      </c>
      <c r="I23" s="48">
        <f t="shared" si="21"/>
        <v>-88337718.58457658</v>
      </c>
      <c r="J23" s="48">
        <f aca="true" t="shared" si="22" ref="J23:W23">J22+I23</f>
        <v>-82863766.96800315</v>
      </c>
      <c r="K23" s="48">
        <f t="shared" si="22"/>
        <v>-77639815.35142973</v>
      </c>
      <c r="L23" s="48">
        <f t="shared" si="22"/>
        <v>-72165863.73485631</v>
      </c>
      <c r="M23" s="48">
        <f t="shared" si="22"/>
        <v>-66691912.11828289</v>
      </c>
      <c r="N23" s="48">
        <f t="shared" si="22"/>
        <v>-61520206.261709474</v>
      </c>
      <c r="O23" s="48">
        <f t="shared" si="22"/>
        <v>-56098500.405136056</v>
      </c>
      <c r="P23" s="48">
        <f t="shared" si="22"/>
        <v>-50676794.54856264</v>
      </c>
      <c r="Q23" s="48">
        <f t="shared" si="22"/>
        <v>-45505088.69198922</v>
      </c>
      <c r="R23" s="48">
        <f t="shared" si="22"/>
        <v>-40083382.8354158</v>
      </c>
      <c r="S23" s="48">
        <f t="shared" si="22"/>
        <v>-34661676.978842385</v>
      </c>
      <c r="T23" s="48">
        <f t="shared" si="22"/>
        <v>-29489971.122268967</v>
      </c>
      <c r="U23" s="48">
        <f t="shared" si="22"/>
        <v>-24068265.26569555</v>
      </c>
      <c r="V23" s="48">
        <f t="shared" si="22"/>
        <v>-18646559.40912213</v>
      </c>
      <c r="W23" s="48">
        <f t="shared" si="22"/>
        <v>-13474853.552548714</v>
      </c>
      <c r="X23" s="48">
        <f>X22+W23</f>
        <v>-8053147.695975296</v>
      </c>
      <c r="Y23" s="48">
        <f>Y22+X23</f>
        <v>-2631441.8394018784</v>
      </c>
      <c r="Z23" s="49">
        <f aca="true" t="shared" si="23" ref="Z23:AJ23">Y23+Z22</f>
        <v>2540264.0171715394</v>
      </c>
      <c r="AA23" s="49">
        <f t="shared" si="23"/>
        <v>7961969.873744957</v>
      </c>
      <c r="AB23" s="49">
        <f t="shared" si="23"/>
        <v>13383675.730318375</v>
      </c>
      <c r="AC23" s="49">
        <f t="shared" si="23"/>
        <v>18555381.586891793</v>
      </c>
      <c r="AD23" s="49">
        <f t="shared" si="23"/>
        <v>23977087.44346521</v>
      </c>
      <c r="AE23" s="49">
        <f t="shared" si="23"/>
        <v>29398793.30003863</v>
      </c>
      <c r="AF23" s="49">
        <f t="shared" si="23"/>
        <v>34570499.156612046</v>
      </c>
      <c r="AG23" s="49">
        <f t="shared" si="23"/>
        <v>43778072.60754152</v>
      </c>
      <c r="AH23" s="49">
        <f t="shared" si="23"/>
        <v>52985646.05847098</v>
      </c>
      <c r="AI23" s="49">
        <f t="shared" si="23"/>
        <v>61943219.50940044</v>
      </c>
      <c r="AJ23" s="49">
        <f t="shared" si="23"/>
        <v>71150792.9603299</v>
      </c>
      <c r="AK23" s="49">
        <f aca="true" t="shared" si="24" ref="AK23:AX23">AJ23+AK22</f>
        <v>80358366.41125937</v>
      </c>
      <c r="AL23" s="49">
        <f t="shared" si="24"/>
        <v>89315939.86218883</v>
      </c>
      <c r="AM23" s="49">
        <f t="shared" si="24"/>
        <v>98523513.3131183</v>
      </c>
      <c r="AN23" s="49">
        <f t="shared" si="24"/>
        <v>107731086.76404776</v>
      </c>
      <c r="AO23" s="49">
        <f t="shared" si="24"/>
        <v>116688660.21497722</v>
      </c>
      <c r="AP23" s="49">
        <f t="shared" si="24"/>
        <v>125896233.66590668</v>
      </c>
      <c r="AQ23" s="49">
        <f t="shared" si="24"/>
        <v>135103807.11683616</v>
      </c>
      <c r="AR23" s="49">
        <f t="shared" si="24"/>
        <v>144061380.56776562</v>
      </c>
      <c r="AS23" s="49">
        <f t="shared" si="24"/>
        <v>153268954.0186951</v>
      </c>
      <c r="AT23" s="49">
        <f t="shared" si="24"/>
        <v>162476527.46962455</v>
      </c>
      <c r="AU23" s="49">
        <f t="shared" si="24"/>
        <v>171434100.920554</v>
      </c>
      <c r="AV23" s="49">
        <f t="shared" si="24"/>
        <v>180641674.37148347</v>
      </c>
      <c r="AW23" s="49">
        <f t="shared" si="24"/>
        <v>189849247.82241294</v>
      </c>
      <c r="AX23" s="49">
        <f t="shared" si="24"/>
        <v>198806821.2733424</v>
      </c>
      <c r="AY23" s="49">
        <f aca="true" t="shared" si="25" ref="AY23:BP23">AX23+AY22</f>
        <v>208014394.72427186</v>
      </c>
      <c r="AZ23" s="49">
        <f t="shared" si="25"/>
        <v>217221968.17520133</v>
      </c>
      <c r="BA23" s="49">
        <f t="shared" si="25"/>
        <v>226179541.6261308</v>
      </c>
      <c r="BB23" s="49">
        <f t="shared" si="25"/>
        <v>235387115.07706025</v>
      </c>
      <c r="BC23" s="49">
        <f t="shared" si="25"/>
        <v>244594688.52798972</v>
      </c>
      <c r="BD23" s="49">
        <f t="shared" si="25"/>
        <v>253552261.97891918</v>
      </c>
      <c r="BE23" s="49">
        <f t="shared" si="25"/>
        <v>262759835.42984864</v>
      </c>
      <c r="BF23" s="49">
        <f t="shared" si="25"/>
        <v>271967408.88077813</v>
      </c>
      <c r="BG23" s="49">
        <f t="shared" si="25"/>
        <v>280924982.3317076</v>
      </c>
      <c r="BH23" s="49">
        <f t="shared" si="25"/>
        <v>290132555.78263706</v>
      </c>
      <c r="BI23" s="49">
        <f t="shared" si="25"/>
        <v>299340129.2335665</v>
      </c>
      <c r="BJ23" s="49">
        <f t="shared" si="25"/>
        <v>308297702.684496</v>
      </c>
      <c r="BK23" s="49">
        <f t="shared" si="25"/>
        <v>317505276.13542545</v>
      </c>
      <c r="BL23" s="49">
        <f t="shared" si="25"/>
        <v>326712849.5863549</v>
      </c>
      <c r="BM23" s="49">
        <f t="shared" si="25"/>
        <v>335670423.0372844</v>
      </c>
      <c r="BN23" s="49">
        <f t="shared" si="25"/>
        <v>344877996.48821384</v>
      </c>
      <c r="BO23" s="49">
        <f t="shared" si="25"/>
        <v>354085569.9391433</v>
      </c>
      <c r="BP23" s="49">
        <f t="shared" si="25"/>
        <v>363043143.39007276</v>
      </c>
      <c r="BQ23" s="43"/>
      <c r="IQ23"/>
      <c r="IR23"/>
      <c r="IS23"/>
      <c r="IT23"/>
      <c r="IU23"/>
      <c r="IV23"/>
    </row>
    <row r="24" spans="1:69" ht="12.75">
      <c r="A24" s="28" t="s">
        <v>338</v>
      </c>
      <c r="I24" s="288">
        <f aca="true" t="shared" si="26" ref="I24:AN24">I22/I5</f>
        <v>0.2528567269556977</v>
      </c>
      <c r="J24" s="288">
        <f t="shared" si="26"/>
        <v>0.2528567269556977</v>
      </c>
      <c r="K24" s="288">
        <f t="shared" si="26"/>
        <v>0.24130854637851987</v>
      </c>
      <c r="L24" s="288">
        <f t="shared" si="26"/>
        <v>0.2528567269556977</v>
      </c>
      <c r="M24" s="288">
        <f t="shared" si="26"/>
        <v>0.2528567269556977</v>
      </c>
      <c r="N24" s="288">
        <f t="shared" si="26"/>
        <v>0.2388951724950323</v>
      </c>
      <c r="O24" s="288">
        <f t="shared" si="26"/>
        <v>0.25044335307221016</v>
      </c>
      <c r="P24" s="288">
        <f t="shared" si="26"/>
        <v>0.25044335307221016</v>
      </c>
      <c r="Q24" s="288">
        <f t="shared" si="26"/>
        <v>0.2388951724950323</v>
      </c>
      <c r="R24" s="288">
        <f t="shared" si="26"/>
        <v>0.25044335307221016</v>
      </c>
      <c r="S24" s="288">
        <f t="shared" si="26"/>
        <v>0.25044335307221016</v>
      </c>
      <c r="T24" s="288">
        <f t="shared" si="26"/>
        <v>0.2388951724950323</v>
      </c>
      <c r="U24" s="288">
        <f t="shared" si="26"/>
        <v>0.25044335307221016</v>
      </c>
      <c r="V24" s="288">
        <f t="shared" si="26"/>
        <v>0.25044335307221016</v>
      </c>
      <c r="W24" s="288">
        <f t="shared" si="26"/>
        <v>0.2388951724950323</v>
      </c>
      <c r="X24" s="288">
        <f t="shared" si="26"/>
        <v>0.25044335307221016</v>
      </c>
      <c r="Y24" s="288">
        <f t="shared" si="26"/>
        <v>0.25044335307221016</v>
      </c>
      <c r="Z24" s="288">
        <f t="shared" si="26"/>
        <v>0.2388951724950323</v>
      </c>
      <c r="AA24" s="288">
        <f t="shared" si="26"/>
        <v>0.25044335307221016</v>
      </c>
      <c r="AB24" s="288">
        <f t="shared" si="26"/>
        <v>0.25044335307221016</v>
      </c>
      <c r="AC24" s="288">
        <f t="shared" si="26"/>
        <v>0.2388951724950323</v>
      </c>
      <c r="AD24" s="288">
        <f t="shared" si="26"/>
        <v>0.25044335307221016</v>
      </c>
      <c r="AE24" s="288">
        <f t="shared" si="26"/>
        <v>0.25044335307221016</v>
      </c>
      <c r="AF24" s="288">
        <f t="shared" si="26"/>
        <v>0.2388951724950323</v>
      </c>
      <c r="AG24" s="288">
        <f t="shared" si="26"/>
        <v>0.26582680222240523</v>
      </c>
      <c r="AH24" s="288">
        <f t="shared" si="26"/>
        <v>0.26582680222240523</v>
      </c>
      <c r="AI24" s="288">
        <f t="shared" si="26"/>
        <v>0.25860918936166905</v>
      </c>
      <c r="AJ24" s="288">
        <f t="shared" si="26"/>
        <v>0.26582680222240523</v>
      </c>
      <c r="AK24" s="288">
        <f t="shared" si="26"/>
        <v>0.26582680222240523</v>
      </c>
      <c r="AL24" s="288">
        <f t="shared" si="26"/>
        <v>0.25860918936166905</v>
      </c>
      <c r="AM24" s="288">
        <f t="shared" si="26"/>
        <v>0.26582680222240523</v>
      </c>
      <c r="AN24" s="288">
        <f t="shared" si="26"/>
        <v>0.26582680222240523</v>
      </c>
      <c r="AO24" s="288">
        <f aca="true" t="shared" si="27" ref="AO24:BQ24">AO22/AO5</f>
        <v>0.25860918936166905</v>
      </c>
      <c r="AP24" s="288">
        <f t="shared" si="27"/>
        <v>0.26582680222240523</v>
      </c>
      <c r="AQ24" s="288">
        <f t="shared" si="27"/>
        <v>0.26582680222240523</v>
      </c>
      <c r="AR24" s="288">
        <f t="shared" si="27"/>
        <v>0.25860918936166905</v>
      </c>
      <c r="AS24" s="288">
        <f t="shared" si="27"/>
        <v>0.26582680222240523</v>
      </c>
      <c r="AT24" s="288">
        <f t="shared" si="27"/>
        <v>0.26582680222240523</v>
      </c>
      <c r="AU24" s="288">
        <f t="shared" si="27"/>
        <v>0.25860918936166905</v>
      </c>
      <c r="AV24" s="288">
        <f t="shared" si="27"/>
        <v>0.26582680222240523</v>
      </c>
      <c r="AW24" s="288">
        <f t="shared" si="27"/>
        <v>0.26582680222240523</v>
      </c>
      <c r="AX24" s="288">
        <f t="shared" si="27"/>
        <v>0.25860918936166905</v>
      </c>
      <c r="AY24" s="288">
        <f t="shared" si="27"/>
        <v>0.26582680222240523</v>
      </c>
      <c r="AZ24" s="288">
        <f t="shared" si="27"/>
        <v>0.26582680222240523</v>
      </c>
      <c r="BA24" s="288">
        <f t="shared" si="27"/>
        <v>0.25860918936166905</v>
      </c>
      <c r="BB24" s="288">
        <f t="shared" si="27"/>
        <v>0.26582680222240523</v>
      </c>
      <c r="BC24" s="288">
        <f t="shared" si="27"/>
        <v>0.26582680222240523</v>
      </c>
      <c r="BD24" s="288">
        <f t="shared" si="27"/>
        <v>0.25860918936166905</v>
      </c>
      <c r="BE24" s="288">
        <f t="shared" si="27"/>
        <v>0.26582680222240523</v>
      </c>
      <c r="BF24" s="288">
        <f t="shared" si="27"/>
        <v>0.26582680222240523</v>
      </c>
      <c r="BG24" s="288">
        <f t="shared" si="27"/>
        <v>0.25860918936166905</v>
      </c>
      <c r="BH24" s="288">
        <f t="shared" si="27"/>
        <v>0.26582680222240523</v>
      </c>
      <c r="BI24" s="288">
        <f t="shared" si="27"/>
        <v>0.26582680222240523</v>
      </c>
      <c r="BJ24" s="288">
        <f t="shared" si="27"/>
        <v>0.25860918936166905</v>
      </c>
      <c r="BK24" s="288">
        <f t="shared" si="27"/>
        <v>0.26582680222240523</v>
      </c>
      <c r="BL24" s="288">
        <f t="shared" si="27"/>
        <v>0.26582680222240523</v>
      </c>
      <c r="BM24" s="288">
        <f t="shared" si="27"/>
        <v>0.25860918936166905</v>
      </c>
      <c r="BN24" s="288">
        <f t="shared" si="27"/>
        <v>0.26582680222240523</v>
      </c>
      <c r="BO24" s="288">
        <f t="shared" si="27"/>
        <v>0.26582680222240523</v>
      </c>
      <c r="BP24" s="288">
        <f t="shared" si="27"/>
        <v>0.25860918936166905</v>
      </c>
      <c r="BQ24" s="288">
        <f t="shared" si="27"/>
        <v>0.25861970024040976</v>
      </c>
    </row>
    <row r="25" spans="1:12" ht="12.75">
      <c r="A25" s="28" t="s">
        <v>82</v>
      </c>
      <c r="C25" s="28">
        <f>'Расходы проекта'!C22</f>
        <v>94877784.80781667</v>
      </c>
      <c r="D25" s="50"/>
      <c r="E25" s="50"/>
      <c r="F25" s="50"/>
      <c r="G25" s="50"/>
      <c r="H25" s="50"/>
      <c r="I25" s="50"/>
      <c r="L25" s="28" t="s">
        <v>87</v>
      </c>
    </row>
    <row r="26" ht="12.75">
      <c r="L26" s="28" t="s">
        <v>360</v>
      </c>
    </row>
    <row r="27" ht="12.75">
      <c r="L27" s="28" t="s">
        <v>359</v>
      </c>
    </row>
    <row r="28" spans="1:2" ht="12.75">
      <c r="A28" s="28" t="s">
        <v>83</v>
      </c>
      <c r="B28" s="51" t="s">
        <v>84</v>
      </c>
    </row>
    <row r="29" spans="1:2" ht="12.75">
      <c r="A29" s="28" t="s">
        <v>85</v>
      </c>
      <c r="B29" s="52">
        <f>17/12</f>
        <v>1.4166666666666667</v>
      </c>
    </row>
    <row r="31" spans="1:20" ht="18">
      <c r="A31" s="329" t="s">
        <v>353</v>
      </c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</row>
    <row r="32" spans="1:256" ht="12.75" customHeight="1">
      <c r="A32" s="331" t="s">
        <v>64</v>
      </c>
      <c r="B32" s="331"/>
      <c r="C32" s="331"/>
      <c r="D32" s="331"/>
      <c r="E32" s="29"/>
      <c r="F32" s="29"/>
      <c r="G32" s="29"/>
      <c r="H32" s="29"/>
      <c r="I32" s="332" t="s">
        <v>65</v>
      </c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 t="s">
        <v>65</v>
      </c>
      <c r="V32" s="332"/>
      <c r="W32" s="332"/>
      <c r="X32" s="332"/>
      <c r="Y32" s="332"/>
      <c r="Z32" s="332"/>
      <c r="AA32" s="332"/>
      <c r="AB32" s="332"/>
      <c r="AC32" s="332"/>
      <c r="AD32" s="332"/>
      <c r="AE32" s="332"/>
      <c r="AF32" s="332"/>
      <c r="AG32" s="332" t="s">
        <v>65</v>
      </c>
      <c r="AH32" s="332"/>
      <c r="AI32" s="332"/>
      <c r="AJ32" s="332"/>
      <c r="AK32" s="332"/>
      <c r="AL32" s="332"/>
      <c r="AM32" s="332"/>
      <c r="AN32" s="332"/>
      <c r="AO32" s="332"/>
      <c r="AP32" s="332"/>
      <c r="AQ32" s="332"/>
      <c r="AR32" s="332"/>
      <c r="AS32" s="332" t="s">
        <v>65</v>
      </c>
      <c r="AT32" s="332"/>
      <c r="AU32" s="332"/>
      <c r="AV32" s="332"/>
      <c r="AW32" s="332"/>
      <c r="AX32" s="332"/>
      <c r="AY32" s="332"/>
      <c r="AZ32" s="332"/>
      <c r="BA32" s="332"/>
      <c r="BB32" s="332"/>
      <c r="BC32" s="332"/>
      <c r="BD32" s="332"/>
      <c r="BE32" s="332" t="s">
        <v>65</v>
      </c>
      <c r="BF32" s="332"/>
      <c r="BG32" s="332"/>
      <c r="BH32" s="332"/>
      <c r="BI32" s="332"/>
      <c r="BJ32" s="332"/>
      <c r="BK32" s="332"/>
      <c r="BL32" s="332"/>
      <c r="BM32" s="332"/>
      <c r="BN32" s="332"/>
      <c r="BO32" s="332"/>
      <c r="BP32" s="332"/>
      <c r="BQ32" s="31"/>
      <c r="IQ32"/>
      <c r="IR32"/>
      <c r="IS32"/>
      <c r="IT32"/>
      <c r="IU32"/>
      <c r="IV32"/>
    </row>
    <row r="33" spans="1:256" ht="14.25">
      <c r="A33" s="331"/>
      <c r="B33" s="331"/>
      <c r="C33" s="29">
        <v>1</v>
      </c>
      <c r="D33" s="29">
        <v>2</v>
      </c>
      <c r="E33" s="29">
        <v>3</v>
      </c>
      <c r="F33" s="29">
        <v>4</v>
      </c>
      <c r="G33" s="29">
        <v>5</v>
      </c>
      <c r="H33" s="29">
        <v>6</v>
      </c>
      <c r="I33" s="31">
        <v>1</v>
      </c>
      <c r="J33" s="31">
        <v>2</v>
      </c>
      <c r="K33" s="31">
        <v>3</v>
      </c>
      <c r="L33" s="31">
        <v>4</v>
      </c>
      <c r="M33" s="31">
        <v>5</v>
      </c>
      <c r="N33" s="31">
        <v>6</v>
      </c>
      <c r="O33" s="31">
        <v>7</v>
      </c>
      <c r="P33" s="31">
        <v>8</v>
      </c>
      <c r="Q33" s="31">
        <v>9</v>
      </c>
      <c r="R33" s="31">
        <v>10</v>
      </c>
      <c r="S33" s="31">
        <v>11</v>
      </c>
      <c r="T33" s="31">
        <v>12</v>
      </c>
      <c r="U33" s="31">
        <v>13</v>
      </c>
      <c r="V33" s="31">
        <v>14</v>
      </c>
      <c r="W33" s="31">
        <v>15</v>
      </c>
      <c r="X33" s="31">
        <v>16</v>
      </c>
      <c r="Y33" s="31">
        <v>17</v>
      </c>
      <c r="Z33" s="31">
        <v>18</v>
      </c>
      <c r="AA33" s="31">
        <v>19</v>
      </c>
      <c r="AB33" s="31">
        <v>20</v>
      </c>
      <c r="AC33" s="31">
        <v>21</v>
      </c>
      <c r="AD33" s="31">
        <v>22</v>
      </c>
      <c r="AE33" s="31">
        <v>23</v>
      </c>
      <c r="AF33" s="31">
        <v>24</v>
      </c>
      <c r="AG33" s="31">
        <v>25</v>
      </c>
      <c r="AH33" s="31">
        <v>26</v>
      </c>
      <c r="AI33" s="31">
        <v>27</v>
      </c>
      <c r="AJ33" s="31">
        <v>28</v>
      </c>
      <c r="AK33" s="31">
        <v>29</v>
      </c>
      <c r="AL33" s="31">
        <v>30</v>
      </c>
      <c r="AM33" s="31">
        <v>31</v>
      </c>
      <c r="AN33" s="31">
        <v>32</v>
      </c>
      <c r="AO33" s="31">
        <v>33</v>
      </c>
      <c r="AP33" s="31">
        <v>34</v>
      </c>
      <c r="AQ33" s="31">
        <v>35</v>
      </c>
      <c r="AR33" s="31">
        <v>36</v>
      </c>
      <c r="AS33" s="31">
        <v>37</v>
      </c>
      <c r="AT33" s="31">
        <v>38</v>
      </c>
      <c r="AU33" s="31">
        <v>39</v>
      </c>
      <c r="AV33" s="31">
        <v>40</v>
      </c>
      <c r="AW33" s="31">
        <v>41</v>
      </c>
      <c r="AX33" s="31">
        <v>42</v>
      </c>
      <c r="AY33" s="31">
        <v>43</v>
      </c>
      <c r="AZ33" s="31">
        <v>44</v>
      </c>
      <c r="BA33" s="31">
        <v>45</v>
      </c>
      <c r="BB33" s="31">
        <v>46</v>
      </c>
      <c r="BC33" s="31">
        <v>47</v>
      </c>
      <c r="BD33" s="31">
        <v>48</v>
      </c>
      <c r="BE33" s="31">
        <v>49</v>
      </c>
      <c r="BF33" s="31">
        <v>50</v>
      </c>
      <c r="BG33" s="31">
        <v>51</v>
      </c>
      <c r="BH33" s="31">
        <v>52</v>
      </c>
      <c r="BI33" s="31">
        <v>53</v>
      </c>
      <c r="BJ33" s="31">
        <v>54</v>
      </c>
      <c r="BK33" s="31">
        <v>55</v>
      </c>
      <c r="BL33" s="31">
        <v>56</v>
      </c>
      <c r="BM33" s="31">
        <v>57</v>
      </c>
      <c r="BN33" s="31">
        <v>58</v>
      </c>
      <c r="BO33" s="31">
        <v>59</v>
      </c>
      <c r="BP33" s="31">
        <v>60</v>
      </c>
      <c r="BQ33" s="30" t="s">
        <v>54</v>
      </c>
      <c r="IQ33"/>
      <c r="IR33"/>
      <c r="IS33"/>
      <c r="IT33"/>
      <c r="IU33"/>
      <c r="IV33"/>
    </row>
    <row r="34" spans="1:256" ht="12.75" customHeight="1">
      <c r="A34" s="335" t="s">
        <v>69</v>
      </c>
      <c r="B34" s="335"/>
      <c r="C34" s="263"/>
      <c r="D34" s="264"/>
      <c r="E34" s="264"/>
      <c r="F34" s="264"/>
      <c r="G34" s="264"/>
      <c r="H34" s="264"/>
      <c r="I34" s="32">
        <f aca="true" t="shared" si="28" ref="I34:AN34">SUM(I35:I40)</f>
        <v>10824215.915625002</v>
      </c>
      <c r="J34" s="32">
        <f t="shared" si="28"/>
        <v>10824215.915625002</v>
      </c>
      <c r="K34" s="32">
        <f t="shared" si="28"/>
        <v>10824215.915625002</v>
      </c>
      <c r="L34" s="32">
        <f t="shared" si="28"/>
        <v>10824215.915625002</v>
      </c>
      <c r="M34" s="32">
        <f t="shared" si="28"/>
        <v>10824215.915625002</v>
      </c>
      <c r="N34" s="32">
        <f t="shared" si="28"/>
        <v>10824215.915625002</v>
      </c>
      <c r="O34" s="32">
        <f t="shared" si="28"/>
        <v>10824215.915625002</v>
      </c>
      <c r="P34" s="32">
        <f t="shared" si="28"/>
        <v>10824215.915625002</v>
      </c>
      <c r="Q34" s="32">
        <f t="shared" si="28"/>
        <v>10824215.915625002</v>
      </c>
      <c r="R34" s="32">
        <f t="shared" si="28"/>
        <v>10824215.915625002</v>
      </c>
      <c r="S34" s="32">
        <f t="shared" si="28"/>
        <v>10824215.915625002</v>
      </c>
      <c r="T34" s="32">
        <f t="shared" si="28"/>
        <v>10824215.915625002</v>
      </c>
      <c r="U34" s="32">
        <f t="shared" si="28"/>
        <v>10824215.915625002</v>
      </c>
      <c r="V34" s="32">
        <f t="shared" si="28"/>
        <v>10824215.915625002</v>
      </c>
      <c r="W34" s="32">
        <f t="shared" si="28"/>
        <v>10824215.915625002</v>
      </c>
      <c r="X34" s="32">
        <f t="shared" si="28"/>
        <v>10824215.915625002</v>
      </c>
      <c r="Y34" s="32">
        <f t="shared" si="28"/>
        <v>10824215.915625002</v>
      </c>
      <c r="Z34" s="32">
        <f t="shared" si="28"/>
        <v>10824215.915625002</v>
      </c>
      <c r="AA34" s="32">
        <f t="shared" si="28"/>
        <v>10824215.915625002</v>
      </c>
      <c r="AB34" s="32">
        <f t="shared" si="28"/>
        <v>10824215.915625002</v>
      </c>
      <c r="AC34" s="32">
        <f t="shared" si="28"/>
        <v>10824215.915625002</v>
      </c>
      <c r="AD34" s="32">
        <f t="shared" si="28"/>
        <v>10824215.915625002</v>
      </c>
      <c r="AE34" s="32">
        <f t="shared" si="28"/>
        <v>10824215.915625002</v>
      </c>
      <c r="AF34" s="32">
        <f t="shared" si="28"/>
        <v>10824215.915625002</v>
      </c>
      <c r="AG34" s="32">
        <f t="shared" si="28"/>
        <v>17318745.465000004</v>
      </c>
      <c r="AH34" s="32">
        <f t="shared" si="28"/>
        <v>17318745.465000004</v>
      </c>
      <c r="AI34" s="32">
        <f t="shared" si="28"/>
        <v>17318745.465000004</v>
      </c>
      <c r="AJ34" s="32">
        <f t="shared" si="28"/>
        <v>17318745.465000004</v>
      </c>
      <c r="AK34" s="32">
        <f t="shared" si="28"/>
        <v>17318745.465000004</v>
      </c>
      <c r="AL34" s="32">
        <f t="shared" si="28"/>
        <v>17318745.465000004</v>
      </c>
      <c r="AM34" s="32">
        <f t="shared" si="28"/>
        <v>17318745.465000004</v>
      </c>
      <c r="AN34" s="32">
        <f t="shared" si="28"/>
        <v>17318745.465000004</v>
      </c>
      <c r="AO34" s="32">
        <f aca="true" t="shared" si="29" ref="AO34:BP34">SUM(AO35:AO40)</f>
        <v>17318745.465000004</v>
      </c>
      <c r="AP34" s="32">
        <f t="shared" si="29"/>
        <v>17318745.465000004</v>
      </c>
      <c r="AQ34" s="32">
        <f t="shared" si="29"/>
        <v>17318745.465000004</v>
      </c>
      <c r="AR34" s="32">
        <f t="shared" si="29"/>
        <v>17318745.465000004</v>
      </c>
      <c r="AS34" s="32">
        <f t="shared" si="29"/>
        <v>17318745.465000004</v>
      </c>
      <c r="AT34" s="32">
        <f t="shared" si="29"/>
        <v>17318745.465000004</v>
      </c>
      <c r="AU34" s="32">
        <f t="shared" si="29"/>
        <v>17318745.465000004</v>
      </c>
      <c r="AV34" s="32">
        <f t="shared" si="29"/>
        <v>17318745.465000004</v>
      </c>
      <c r="AW34" s="32">
        <f t="shared" si="29"/>
        <v>17318745.465000004</v>
      </c>
      <c r="AX34" s="32">
        <f t="shared" si="29"/>
        <v>17318745.465000004</v>
      </c>
      <c r="AY34" s="32">
        <f t="shared" si="29"/>
        <v>17318745.465000004</v>
      </c>
      <c r="AZ34" s="32">
        <f t="shared" si="29"/>
        <v>17318745.465000004</v>
      </c>
      <c r="BA34" s="32">
        <f t="shared" si="29"/>
        <v>17318745.465000004</v>
      </c>
      <c r="BB34" s="32">
        <f t="shared" si="29"/>
        <v>17318745.465000004</v>
      </c>
      <c r="BC34" s="32">
        <f t="shared" si="29"/>
        <v>17318745.465000004</v>
      </c>
      <c r="BD34" s="32">
        <f t="shared" si="29"/>
        <v>17318745.465000004</v>
      </c>
      <c r="BE34" s="32">
        <f t="shared" si="29"/>
        <v>17318745.465000004</v>
      </c>
      <c r="BF34" s="32">
        <f t="shared" si="29"/>
        <v>17318745.465000004</v>
      </c>
      <c r="BG34" s="32">
        <f t="shared" si="29"/>
        <v>17318745.465000004</v>
      </c>
      <c r="BH34" s="32">
        <f t="shared" si="29"/>
        <v>17318745.465000004</v>
      </c>
      <c r="BI34" s="32">
        <f t="shared" si="29"/>
        <v>17318745.465000004</v>
      </c>
      <c r="BJ34" s="32">
        <f t="shared" si="29"/>
        <v>17318745.465000004</v>
      </c>
      <c r="BK34" s="32">
        <f t="shared" si="29"/>
        <v>17318745.465000004</v>
      </c>
      <c r="BL34" s="32">
        <f t="shared" si="29"/>
        <v>17318745.465000004</v>
      </c>
      <c r="BM34" s="32">
        <f t="shared" si="29"/>
        <v>17318745.465000004</v>
      </c>
      <c r="BN34" s="32">
        <f t="shared" si="29"/>
        <v>17318745.465000004</v>
      </c>
      <c r="BO34" s="32">
        <f t="shared" si="29"/>
        <v>17318745.465000004</v>
      </c>
      <c r="BP34" s="32">
        <f t="shared" si="29"/>
        <v>17318745.465000004</v>
      </c>
      <c r="BQ34" s="32">
        <f aca="true" t="shared" si="30" ref="BQ34:BQ44">SUM(I34:BP34)</f>
        <v>883256018.7150012</v>
      </c>
      <c r="BR34" s="28">
        <f>BQ34/5</f>
        <v>176651203.74300024</v>
      </c>
      <c r="IQ34"/>
      <c r="IR34"/>
      <c r="IS34"/>
      <c r="IT34"/>
      <c r="IU34"/>
      <c r="IV34"/>
    </row>
    <row r="35" spans="1:256" ht="13.5" customHeight="1">
      <c r="A35" s="345" t="str">
        <f aca="true" t="shared" si="31" ref="A35:A40">A6</f>
        <v>Пропан - бутановая смесь (СУГ)</v>
      </c>
      <c r="B35" s="345"/>
      <c r="C35" s="337" t="s">
        <v>70</v>
      </c>
      <c r="D35" s="338"/>
      <c r="E35" s="338"/>
      <c r="F35" s="338"/>
      <c r="G35" s="338"/>
      <c r="H35" s="339"/>
      <c r="I35" s="35">
        <f aca="true" t="shared" si="32" ref="I35:AN35">I6*0.5</f>
        <v>247204.02000000008</v>
      </c>
      <c r="J35" s="35">
        <f t="shared" si="32"/>
        <v>247204.02000000008</v>
      </c>
      <c r="K35" s="35">
        <f t="shared" si="32"/>
        <v>247204.02000000008</v>
      </c>
      <c r="L35" s="35">
        <f t="shared" si="32"/>
        <v>247204.02000000008</v>
      </c>
      <c r="M35" s="35">
        <f t="shared" si="32"/>
        <v>247204.02000000008</v>
      </c>
      <c r="N35" s="35">
        <f t="shared" si="32"/>
        <v>247204.02000000008</v>
      </c>
      <c r="O35" s="35">
        <f t="shared" si="32"/>
        <v>247204.02000000008</v>
      </c>
      <c r="P35" s="35">
        <f t="shared" si="32"/>
        <v>247204.02000000008</v>
      </c>
      <c r="Q35" s="35">
        <f t="shared" si="32"/>
        <v>247204.02000000008</v>
      </c>
      <c r="R35" s="35">
        <f t="shared" si="32"/>
        <v>247204.02000000008</v>
      </c>
      <c r="S35" s="35">
        <f t="shared" si="32"/>
        <v>247204.02000000008</v>
      </c>
      <c r="T35" s="35">
        <f t="shared" si="32"/>
        <v>247204.02000000008</v>
      </c>
      <c r="U35" s="35">
        <f t="shared" si="32"/>
        <v>247204.02000000008</v>
      </c>
      <c r="V35" s="35">
        <f t="shared" si="32"/>
        <v>247204.02000000008</v>
      </c>
      <c r="W35" s="35">
        <f t="shared" si="32"/>
        <v>247204.02000000008</v>
      </c>
      <c r="X35" s="35">
        <f t="shared" si="32"/>
        <v>247204.02000000008</v>
      </c>
      <c r="Y35" s="35">
        <f t="shared" si="32"/>
        <v>247204.02000000008</v>
      </c>
      <c r="Z35" s="35">
        <f t="shared" si="32"/>
        <v>247204.02000000008</v>
      </c>
      <c r="AA35" s="35">
        <f t="shared" si="32"/>
        <v>247204.02000000008</v>
      </c>
      <c r="AB35" s="35">
        <f t="shared" si="32"/>
        <v>247204.02000000008</v>
      </c>
      <c r="AC35" s="35">
        <f t="shared" si="32"/>
        <v>247204.02000000008</v>
      </c>
      <c r="AD35" s="35">
        <f t="shared" si="32"/>
        <v>247204.02000000008</v>
      </c>
      <c r="AE35" s="35">
        <f t="shared" si="32"/>
        <v>247204.02000000008</v>
      </c>
      <c r="AF35" s="35">
        <f t="shared" si="32"/>
        <v>247204.02000000008</v>
      </c>
      <c r="AG35" s="35">
        <f t="shared" si="32"/>
        <v>395526.43200000015</v>
      </c>
      <c r="AH35" s="35">
        <f t="shared" si="32"/>
        <v>395526.43200000015</v>
      </c>
      <c r="AI35" s="35">
        <f t="shared" si="32"/>
        <v>395526.43200000015</v>
      </c>
      <c r="AJ35" s="35">
        <f t="shared" si="32"/>
        <v>395526.43200000015</v>
      </c>
      <c r="AK35" s="35">
        <f t="shared" si="32"/>
        <v>395526.43200000015</v>
      </c>
      <c r="AL35" s="35">
        <f t="shared" si="32"/>
        <v>395526.43200000015</v>
      </c>
      <c r="AM35" s="35">
        <f t="shared" si="32"/>
        <v>395526.43200000015</v>
      </c>
      <c r="AN35" s="35">
        <f t="shared" si="32"/>
        <v>395526.43200000015</v>
      </c>
      <c r="AO35" s="35">
        <f aca="true" t="shared" si="33" ref="AO35:BP35">AO6*0.5</f>
        <v>395526.43200000015</v>
      </c>
      <c r="AP35" s="35">
        <f t="shared" si="33"/>
        <v>395526.43200000015</v>
      </c>
      <c r="AQ35" s="35">
        <f t="shared" si="33"/>
        <v>395526.43200000015</v>
      </c>
      <c r="AR35" s="35">
        <f t="shared" si="33"/>
        <v>395526.43200000015</v>
      </c>
      <c r="AS35" s="35">
        <f t="shared" si="33"/>
        <v>395526.43200000015</v>
      </c>
      <c r="AT35" s="35">
        <f t="shared" si="33"/>
        <v>395526.43200000015</v>
      </c>
      <c r="AU35" s="35">
        <f t="shared" si="33"/>
        <v>395526.43200000015</v>
      </c>
      <c r="AV35" s="35">
        <f t="shared" si="33"/>
        <v>395526.43200000015</v>
      </c>
      <c r="AW35" s="35">
        <f t="shared" si="33"/>
        <v>395526.43200000015</v>
      </c>
      <c r="AX35" s="35">
        <f t="shared" si="33"/>
        <v>395526.43200000015</v>
      </c>
      <c r="AY35" s="35">
        <f t="shared" si="33"/>
        <v>395526.43200000015</v>
      </c>
      <c r="AZ35" s="35">
        <f t="shared" si="33"/>
        <v>395526.43200000015</v>
      </c>
      <c r="BA35" s="35">
        <f t="shared" si="33"/>
        <v>395526.43200000015</v>
      </c>
      <c r="BB35" s="35">
        <f t="shared" si="33"/>
        <v>395526.43200000015</v>
      </c>
      <c r="BC35" s="35">
        <f t="shared" si="33"/>
        <v>395526.43200000015</v>
      </c>
      <c r="BD35" s="35">
        <f t="shared" si="33"/>
        <v>395526.43200000015</v>
      </c>
      <c r="BE35" s="35">
        <f t="shared" si="33"/>
        <v>395526.43200000015</v>
      </c>
      <c r="BF35" s="35">
        <f t="shared" si="33"/>
        <v>395526.43200000015</v>
      </c>
      <c r="BG35" s="35">
        <f t="shared" si="33"/>
        <v>395526.43200000015</v>
      </c>
      <c r="BH35" s="35">
        <f t="shared" si="33"/>
        <v>395526.43200000015</v>
      </c>
      <c r="BI35" s="35">
        <f t="shared" si="33"/>
        <v>395526.43200000015</v>
      </c>
      <c r="BJ35" s="35">
        <f t="shared" si="33"/>
        <v>395526.43200000015</v>
      </c>
      <c r="BK35" s="35">
        <f t="shared" si="33"/>
        <v>395526.43200000015</v>
      </c>
      <c r="BL35" s="35">
        <f t="shared" si="33"/>
        <v>395526.43200000015</v>
      </c>
      <c r="BM35" s="35">
        <f t="shared" si="33"/>
        <v>395526.43200000015</v>
      </c>
      <c r="BN35" s="35">
        <f t="shared" si="33"/>
        <v>395526.43200000015</v>
      </c>
      <c r="BO35" s="35">
        <f t="shared" si="33"/>
        <v>395526.43200000015</v>
      </c>
      <c r="BP35" s="35">
        <f t="shared" si="33"/>
        <v>395526.43200000015</v>
      </c>
      <c r="BQ35" s="32">
        <f t="shared" si="30"/>
        <v>20171848.032000005</v>
      </c>
      <c r="IQ35"/>
      <c r="IR35"/>
      <c r="IS35"/>
      <c r="IT35"/>
      <c r="IU35"/>
      <c r="IV35"/>
    </row>
    <row r="36" spans="1:256" ht="14.25" customHeight="1">
      <c r="A36" s="345" t="str">
        <f t="shared" si="31"/>
        <v>АИ 98</v>
      </c>
      <c r="B36" s="345"/>
      <c r="C36" s="337"/>
      <c r="D36" s="338"/>
      <c r="E36" s="338"/>
      <c r="F36" s="338"/>
      <c r="G36" s="338"/>
      <c r="H36" s="339"/>
      <c r="I36" s="35">
        <f aca="true" t="shared" si="34" ref="I36:AN36">I7*0.5</f>
        <v>966462.5249999999</v>
      </c>
      <c r="J36" s="35">
        <f t="shared" si="34"/>
        <v>966462.5249999999</v>
      </c>
      <c r="K36" s="35">
        <f t="shared" si="34"/>
        <v>966462.5249999999</v>
      </c>
      <c r="L36" s="35">
        <f t="shared" si="34"/>
        <v>966462.5249999999</v>
      </c>
      <c r="M36" s="35">
        <f t="shared" si="34"/>
        <v>966462.5249999999</v>
      </c>
      <c r="N36" s="35">
        <f t="shared" si="34"/>
        <v>966462.5249999999</v>
      </c>
      <c r="O36" s="35">
        <f t="shared" si="34"/>
        <v>966462.5249999999</v>
      </c>
      <c r="P36" s="35">
        <f t="shared" si="34"/>
        <v>966462.5249999999</v>
      </c>
      <c r="Q36" s="35">
        <f t="shared" si="34"/>
        <v>966462.5249999999</v>
      </c>
      <c r="R36" s="35">
        <f t="shared" si="34"/>
        <v>966462.5249999999</v>
      </c>
      <c r="S36" s="35">
        <f t="shared" si="34"/>
        <v>966462.5249999999</v>
      </c>
      <c r="T36" s="35">
        <f t="shared" si="34"/>
        <v>966462.5249999999</v>
      </c>
      <c r="U36" s="35">
        <f t="shared" si="34"/>
        <v>966462.5249999999</v>
      </c>
      <c r="V36" s="35">
        <f t="shared" si="34"/>
        <v>966462.5249999999</v>
      </c>
      <c r="W36" s="35">
        <f t="shared" si="34"/>
        <v>966462.5249999999</v>
      </c>
      <c r="X36" s="35">
        <f t="shared" si="34"/>
        <v>966462.5249999999</v>
      </c>
      <c r="Y36" s="35">
        <f t="shared" si="34"/>
        <v>966462.5249999999</v>
      </c>
      <c r="Z36" s="35">
        <f t="shared" si="34"/>
        <v>966462.5249999999</v>
      </c>
      <c r="AA36" s="35">
        <f t="shared" si="34"/>
        <v>966462.5249999999</v>
      </c>
      <c r="AB36" s="35">
        <f t="shared" si="34"/>
        <v>966462.5249999999</v>
      </c>
      <c r="AC36" s="35">
        <f t="shared" si="34"/>
        <v>966462.5249999999</v>
      </c>
      <c r="AD36" s="35">
        <f t="shared" si="34"/>
        <v>966462.5249999999</v>
      </c>
      <c r="AE36" s="35">
        <f t="shared" si="34"/>
        <v>966462.5249999999</v>
      </c>
      <c r="AF36" s="35">
        <f t="shared" si="34"/>
        <v>966462.5249999999</v>
      </c>
      <c r="AG36" s="35">
        <f t="shared" si="34"/>
        <v>1546340.04</v>
      </c>
      <c r="AH36" s="35">
        <f t="shared" si="34"/>
        <v>1546340.04</v>
      </c>
      <c r="AI36" s="35">
        <f t="shared" si="34"/>
        <v>1546340.04</v>
      </c>
      <c r="AJ36" s="35">
        <f t="shared" si="34"/>
        <v>1546340.04</v>
      </c>
      <c r="AK36" s="35">
        <f t="shared" si="34"/>
        <v>1546340.04</v>
      </c>
      <c r="AL36" s="35">
        <f t="shared" si="34"/>
        <v>1546340.04</v>
      </c>
      <c r="AM36" s="35">
        <f t="shared" si="34"/>
        <v>1546340.04</v>
      </c>
      <c r="AN36" s="35">
        <f t="shared" si="34"/>
        <v>1546340.04</v>
      </c>
      <c r="AO36" s="35">
        <f aca="true" t="shared" si="35" ref="AO36:BP36">AO7*0.5</f>
        <v>1546340.04</v>
      </c>
      <c r="AP36" s="35">
        <f t="shared" si="35"/>
        <v>1546340.04</v>
      </c>
      <c r="AQ36" s="35">
        <f t="shared" si="35"/>
        <v>1546340.04</v>
      </c>
      <c r="AR36" s="35">
        <f t="shared" si="35"/>
        <v>1546340.04</v>
      </c>
      <c r="AS36" s="35">
        <f t="shared" si="35"/>
        <v>1546340.04</v>
      </c>
      <c r="AT36" s="35">
        <f t="shared" si="35"/>
        <v>1546340.04</v>
      </c>
      <c r="AU36" s="35">
        <f t="shared" si="35"/>
        <v>1546340.04</v>
      </c>
      <c r="AV36" s="35">
        <f t="shared" si="35"/>
        <v>1546340.04</v>
      </c>
      <c r="AW36" s="35">
        <f t="shared" si="35"/>
        <v>1546340.04</v>
      </c>
      <c r="AX36" s="35">
        <f t="shared" si="35"/>
        <v>1546340.04</v>
      </c>
      <c r="AY36" s="35">
        <f t="shared" si="35"/>
        <v>1546340.04</v>
      </c>
      <c r="AZ36" s="35">
        <f t="shared" si="35"/>
        <v>1546340.04</v>
      </c>
      <c r="BA36" s="35">
        <f t="shared" si="35"/>
        <v>1546340.04</v>
      </c>
      <c r="BB36" s="35">
        <f t="shared" si="35"/>
        <v>1546340.04</v>
      </c>
      <c r="BC36" s="35">
        <f t="shared" si="35"/>
        <v>1546340.04</v>
      </c>
      <c r="BD36" s="35">
        <f t="shared" si="35"/>
        <v>1546340.04</v>
      </c>
      <c r="BE36" s="35">
        <f t="shared" si="35"/>
        <v>1546340.04</v>
      </c>
      <c r="BF36" s="35">
        <f t="shared" si="35"/>
        <v>1546340.04</v>
      </c>
      <c r="BG36" s="35">
        <f t="shared" si="35"/>
        <v>1546340.04</v>
      </c>
      <c r="BH36" s="35">
        <f t="shared" si="35"/>
        <v>1546340.04</v>
      </c>
      <c r="BI36" s="35">
        <f t="shared" si="35"/>
        <v>1546340.04</v>
      </c>
      <c r="BJ36" s="35">
        <f t="shared" si="35"/>
        <v>1546340.04</v>
      </c>
      <c r="BK36" s="35">
        <f t="shared" si="35"/>
        <v>1546340.04</v>
      </c>
      <c r="BL36" s="35">
        <f t="shared" si="35"/>
        <v>1546340.04</v>
      </c>
      <c r="BM36" s="35">
        <f t="shared" si="35"/>
        <v>1546340.04</v>
      </c>
      <c r="BN36" s="35">
        <f t="shared" si="35"/>
        <v>1546340.04</v>
      </c>
      <c r="BO36" s="35">
        <f t="shared" si="35"/>
        <v>1546340.04</v>
      </c>
      <c r="BP36" s="35">
        <f t="shared" si="35"/>
        <v>1546340.04</v>
      </c>
      <c r="BQ36" s="32">
        <f t="shared" si="30"/>
        <v>78863342.04000002</v>
      </c>
      <c r="IQ36"/>
      <c r="IR36"/>
      <c r="IS36"/>
      <c r="IT36"/>
      <c r="IU36"/>
      <c r="IV36"/>
    </row>
    <row r="37" spans="1:256" ht="14.25" customHeight="1">
      <c r="A37" s="345" t="str">
        <f t="shared" si="31"/>
        <v>АИ 95</v>
      </c>
      <c r="B37" s="345"/>
      <c r="C37" s="337"/>
      <c r="D37" s="338"/>
      <c r="E37" s="338"/>
      <c r="F37" s="338"/>
      <c r="G37" s="338"/>
      <c r="H37" s="339"/>
      <c r="I37" s="35">
        <f aca="true" t="shared" si="36" ref="I37:AN37">I8*0.5</f>
        <v>956600.6625000002</v>
      </c>
      <c r="J37" s="35">
        <f t="shared" si="36"/>
        <v>956600.6625000002</v>
      </c>
      <c r="K37" s="35">
        <f t="shared" si="36"/>
        <v>956600.6625000002</v>
      </c>
      <c r="L37" s="35">
        <f t="shared" si="36"/>
        <v>956600.6625000002</v>
      </c>
      <c r="M37" s="35">
        <f t="shared" si="36"/>
        <v>956600.6625000002</v>
      </c>
      <c r="N37" s="35">
        <f t="shared" si="36"/>
        <v>956600.6625000002</v>
      </c>
      <c r="O37" s="35">
        <f t="shared" si="36"/>
        <v>956600.6625000002</v>
      </c>
      <c r="P37" s="35">
        <f t="shared" si="36"/>
        <v>956600.6625000002</v>
      </c>
      <c r="Q37" s="35">
        <f t="shared" si="36"/>
        <v>956600.6625000002</v>
      </c>
      <c r="R37" s="35">
        <f t="shared" si="36"/>
        <v>956600.6625000002</v>
      </c>
      <c r="S37" s="35">
        <f t="shared" si="36"/>
        <v>956600.6625000002</v>
      </c>
      <c r="T37" s="35">
        <f t="shared" si="36"/>
        <v>956600.6625000002</v>
      </c>
      <c r="U37" s="35">
        <f t="shared" si="36"/>
        <v>956600.6625000002</v>
      </c>
      <c r="V37" s="35">
        <f t="shared" si="36"/>
        <v>956600.6625000002</v>
      </c>
      <c r="W37" s="35">
        <f t="shared" si="36"/>
        <v>956600.6625000002</v>
      </c>
      <c r="X37" s="35">
        <f t="shared" si="36"/>
        <v>956600.6625000002</v>
      </c>
      <c r="Y37" s="35">
        <f t="shared" si="36"/>
        <v>956600.6625000002</v>
      </c>
      <c r="Z37" s="35">
        <f t="shared" si="36"/>
        <v>956600.6625000002</v>
      </c>
      <c r="AA37" s="35">
        <f t="shared" si="36"/>
        <v>956600.6625000002</v>
      </c>
      <c r="AB37" s="35">
        <f t="shared" si="36"/>
        <v>956600.6625000002</v>
      </c>
      <c r="AC37" s="35">
        <f t="shared" si="36"/>
        <v>956600.6625000002</v>
      </c>
      <c r="AD37" s="35">
        <f t="shared" si="36"/>
        <v>956600.6625000002</v>
      </c>
      <c r="AE37" s="35">
        <f t="shared" si="36"/>
        <v>956600.6625000002</v>
      </c>
      <c r="AF37" s="35">
        <f t="shared" si="36"/>
        <v>956600.6625000002</v>
      </c>
      <c r="AG37" s="35">
        <f t="shared" si="36"/>
        <v>1530561.0600000005</v>
      </c>
      <c r="AH37" s="35">
        <f t="shared" si="36"/>
        <v>1530561.0600000005</v>
      </c>
      <c r="AI37" s="35">
        <f t="shared" si="36"/>
        <v>1530561.0600000005</v>
      </c>
      <c r="AJ37" s="35">
        <f t="shared" si="36"/>
        <v>1530561.0600000005</v>
      </c>
      <c r="AK37" s="35">
        <f t="shared" si="36"/>
        <v>1530561.0600000005</v>
      </c>
      <c r="AL37" s="35">
        <f t="shared" si="36"/>
        <v>1530561.0600000005</v>
      </c>
      <c r="AM37" s="35">
        <f t="shared" si="36"/>
        <v>1530561.0600000005</v>
      </c>
      <c r="AN37" s="35">
        <f t="shared" si="36"/>
        <v>1530561.0600000005</v>
      </c>
      <c r="AO37" s="35">
        <f aca="true" t="shared" si="37" ref="AO37:BP37">AO8*0.5</f>
        <v>1530561.0600000005</v>
      </c>
      <c r="AP37" s="35">
        <f t="shared" si="37"/>
        <v>1530561.0600000005</v>
      </c>
      <c r="AQ37" s="35">
        <f t="shared" si="37"/>
        <v>1530561.0600000005</v>
      </c>
      <c r="AR37" s="35">
        <f t="shared" si="37"/>
        <v>1530561.0600000005</v>
      </c>
      <c r="AS37" s="35">
        <f t="shared" si="37"/>
        <v>1530561.0600000005</v>
      </c>
      <c r="AT37" s="35">
        <f t="shared" si="37"/>
        <v>1530561.0600000005</v>
      </c>
      <c r="AU37" s="35">
        <f t="shared" si="37"/>
        <v>1530561.0600000005</v>
      </c>
      <c r="AV37" s="35">
        <f t="shared" si="37"/>
        <v>1530561.0600000005</v>
      </c>
      <c r="AW37" s="35">
        <f t="shared" si="37"/>
        <v>1530561.0600000005</v>
      </c>
      <c r="AX37" s="35">
        <f t="shared" si="37"/>
        <v>1530561.0600000005</v>
      </c>
      <c r="AY37" s="35">
        <f t="shared" si="37"/>
        <v>1530561.0600000005</v>
      </c>
      <c r="AZ37" s="35">
        <f t="shared" si="37"/>
        <v>1530561.0600000005</v>
      </c>
      <c r="BA37" s="35">
        <f t="shared" si="37"/>
        <v>1530561.0600000005</v>
      </c>
      <c r="BB37" s="35">
        <f t="shared" si="37"/>
        <v>1530561.0600000005</v>
      </c>
      <c r="BC37" s="35">
        <f t="shared" si="37"/>
        <v>1530561.0600000005</v>
      </c>
      <c r="BD37" s="35">
        <f t="shared" si="37"/>
        <v>1530561.0600000005</v>
      </c>
      <c r="BE37" s="35">
        <f t="shared" si="37"/>
        <v>1530561.0600000005</v>
      </c>
      <c r="BF37" s="35">
        <f t="shared" si="37"/>
        <v>1530561.0600000005</v>
      </c>
      <c r="BG37" s="35">
        <f t="shared" si="37"/>
        <v>1530561.0600000005</v>
      </c>
      <c r="BH37" s="35">
        <f t="shared" si="37"/>
        <v>1530561.0600000005</v>
      </c>
      <c r="BI37" s="35">
        <f t="shared" si="37"/>
        <v>1530561.0600000005</v>
      </c>
      <c r="BJ37" s="35">
        <f t="shared" si="37"/>
        <v>1530561.0600000005</v>
      </c>
      <c r="BK37" s="35">
        <f t="shared" si="37"/>
        <v>1530561.0600000005</v>
      </c>
      <c r="BL37" s="35">
        <f t="shared" si="37"/>
        <v>1530561.0600000005</v>
      </c>
      <c r="BM37" s="35">
        <f t="shared" si="37"/>
        <v>1530561.0600000005</v>
      </c>
      <c r="BN37" s="35">
        <f t="shared" si="37"/>
        <v>1530561.0600000005</v>
      </c>
      <c r="BO37" s="35">
        <f t="shared" si="37"/>
        <v>1530561.0600000005</v>
      </c>
      <c r="BP37" s="35">
        <f t="shared" si="37"/>
        <v>1530561.0600000005</v>
      </c>
      <c r="BQ37" s="32">
        <f t="shared" si="30"/>
        <v>78058614.06000009</v>
      </c>
      <c r="IQ37"/>
      <c r="IR37"/>
      <c r="IS37"/>
      <c r="IT37"/>
      <c r="IU37"/>
      <c r="IV37"/>
    </row>
    <row r="38" spans="1:256" ht="14.25" customHeight="1">
      <c r="A38" s="345" t="str">
        <f t="shared" si="31"/>
        <v>АИ-92</v>
      </c>
      <c r="B38" s="345"/>
      <c r="C38" s="337"/>
      <c r="D38" s="338"/>
      <c r="E38" s="338"/>
      <c r="F38" s="338"/>
      <c r="G38" s="338"/>
      <c r="H38" s="339"/>
      <c r="I38" s="35">
        <f aca="true" t="shared" si="38" ref="I38:AN38">I9*0.5</f>
        <v>808672.7250000001</v>
      </c>
      <c r="J38" s="35">
        <f t="shared" si="38"/>
        <v>808672.7250000001</v>
      </c>
      <c r="K38" s="35">
        <f t="shared" si="38"/>
        <v>808672.7250000001</v>
      </c>
      <c r="L38" s="35">
        <f t="shared" si="38"/>
        <v>808672.7250000001</v>
      </c>
      <c r="M38" s="35">
        <f t="shared" si="38"/>
        <v>808672.7250000001</v>
      </c>
      <c r="N38" s="35">
        <f t="shared" si="38"/>
        <v>808672.7250000001</v>
      </c>
      <c r="O38" s="35">
        <f t="shared" si="38"/>
        <v>808672.7250000001</v>
      </c>
      <c r="P38" s="35">
        <f t="shared" si="38"/>
        <v>808672.7250000001</v>
      </c>
      <c r="Q38" s="35">
        <f t="shared" si="38"/>
        <v>808672.7250000001</v>
      </c>
      <c r="R38" s="35">
        <f t="shared" si="38"/>
        <v>808672.7250000001</v>
      </c>
      <c r="S38" s="35">
        <f t="shared" si="38"/>
        <v>808672.7250000001</v>
      </c>
      <c r="T38" s="35">
        <f t="shared" si="38"/>
        <v>808672.7250000001</v>
      </c>
      <c r="U38" s="35">
        <f t="shared" si="38"/>
        <v>808672.7250000001</v>
      </c>
      <c r="V38" s="35">
        <f t="shared" si="38"/>
        <v>808672.7250000001</v>
      </c>
      <c r="W38" s="35">
        <f t="shared" si="38"/>
        <v>808672.7250000001</v>
      </c>
      <c r="X38" s="35">
        <f t="shared" si="38"/>
        <v>808672.7250000001</v>
      </c>
      <c r="Y38" s="35">
        <f t="shared" si="38"/>
        <v>808672.7250000001</v>
      </c>
      <c r="Z38" s="35">
        <f t="shared" si="38"/>
        <v>808672.7250000001</v>
      </c>
      <c r="AA38" s="35">
        <f t="shared" si="38"/>
        <v>808672.7250000001</v>
      </c>
      <c r="AB38" s="35">
        <f t="shared" si="38"/>
        <v>808672.7250000001</v>
      </c>
      <c r="AC38" s="35">
        <f t="shared" si="38"/>
        <v>808672.7250000001</v>
      </c>
      <c r="AD38" s="35">
        <f t="shared" si="38"/>
        <v>808672.7250000001</v>
      </c>
      <c r="AE38" s="35">
        <f t="shared" si="38"/>
        <v>808672.7250000001</v>
      </c>
      <c r="AF38" s="35">
        <f t="shared" si="38"/>
        <v>808672.7250000001</v>
      </c>
      <c r="AG38" s="35">
        <f t="shared" si="38"/>
        <v>1293876.3600000003</v>
      </c>
      <c r="AH38" s="35">
        <f t="shared" si="38"/>
        <v>1293876.3600000003</v>
      </c>
      <c r="AI38" s="35">
        <f t="shared" si="38"/>
        <v>1293876.3600000003</v>
      </c>
      <c r="AJ38" s="35">
        <f t="shared" si="38"/>
        <v>1293876.3600000003</v>
      </c>
      <c r="AK38" s="35">
        <f t="shared" si="38"/>
        <v>1293876.3600000003</v>
      </c>
      <c r="AL38" s="35">
        <f t="shared" si="38"/>
        <v>1293876.3600000003</v>
      </c>
      <c r="AM38" s="35">
        <f t="shared" si="38"/>
        <v>1293876.3600000003</v>
      </c>
      <c r="AN38" s="35">
        <f t="shared" si="38"/>
        <v>1293876.3600000003</v>
      </c>
      <c r="AO38" s="35">
        <f aca="true" t="shared" si="39" ref="AO38:BP38">AO9*0.5</f>
        <v>1293876.3600000003</v>
      </c>
      <c r="AP38" s="35">
        <f t="shared" si="39"/>
        <v>1293876.3600000003</v>
      </c>
      <c r="AQ38" s="35">
        <f t="shared" si="39"/>
        <v>1293876.3600000003</v>
      </c>
      <c r="AR38" s="35">
        <f t="shared" si="39"/>
        <v>1293876.3600000003</v>
      </c>
      <c r="AS38" s="35">
        <f t="shared" si="39"/>
        <v>1293876.3600000003</v>
      </c>
      <c r="AT38" s="35">
        <f t="shared" si="39"/>
        <v>1293876.3600000003</v>
      </c>
      <c r="AU38" s="35">
        <f t="shared" si="39"/>
        <v>1293876.3600000003</v>
      </c>
      <c r="AV38" s="35">
        <f t="shared" si="39"/>
        <v>1293876.3600000003</v>
      </c>
      <c r="AW38" s="35">
        <f t="shared" si="39"/>
        <v>1293876.3600000003</v>
      </c>
      <c r="AX38" s="35">
        <f t="shared" si="39"/>
        <v>1293876.3600000003</v>
      </c>
      <c r="AY38" s="35">
        <f t="shared" si="39"/>
        <v>1293876.3600000003</v>
      </c>
      <c r="AZ38" s="35">
        <f t="shared" si="39"/>
        <v>1293876.3600000003</v>
      </c>
      <c r="BA38" s="35">
        <f t="shared" si="39"/>
        <v>1293876.3600000003</v>
      </c>
      <c r="BB38" s="35">
        <f t="shared" si="39"/>
        <v>1293876.3600000003</v>
      </c>
      <c r="BC38" s="35">
        <f t="shared" si="39"/>
        <v>1293876.3600000003</v>
      </c>
      <c r="BD38" s="35">
        <f t="shared" si="39"/>
        <v>1293876.3600000003</v>
      </c>
      <c r="BE38" s="35">
        <f t="shared" si="39"/>
        <v>1293876.3600000003</v>
      </c>
      <c r="BF38" s="35">
        <f t="shared" si="39"/>
        <v>1293876.3600000003</v>
      </c>
      <c r="BG38" s="35">
        <f t="shared" si="39"/>
        <v>1293876.3600000003</v>
      </c>
      <c r="BH38" s="35">
        <f t="shared" si="39"/>
        <v>1293876.3600000003</v>
      </c>
      <c r="BI38" s="35">
        <f t="shared" si="39"/>
        <v>1293876.3600000003</v>
      </c>
      <c r="BJ38" s="35">
        <f t="shared" si="39"/>
        <v>1293876.3600000003</v>
      </c>
      <c r="BK38" s="35">
        <f t="shared" si="39"/>
        <v>1293876.3600000003</v>
      </c>
      <c r="BL38" s="35">
        <f t="shared" si="39"/>
        <v>1293876.3600000003</v>
      </c>
      <c r="BM38" s="35">
        <f t="shared" si="39"/>
        <v>1293876.3600000003</v>
      </c>
      <c r="BN38" s="35">
        <f t="shared" si="39"/>
        <v>1293876.3600000003</v>
      </c>
      <c r="BO38" s="35">
        <f t="shared" si="39"/>
        <v>1293876.3600000003</v>
      </c>
      <c r="BP38" s="35">
        <f t="shared" si="39"/>
        <v>1293876.3600000003</v>
      </c>
      <c r="BQ38" s="32">
        <f t="shared" si="30"/>
        <v>65987694.359999985</v>
      </c>
      <c r="IQ38"/>
      <c r="IR38"/>
      <c r="IS38"/>
      <c r="IT38"/>
      <c r="IU38"/>
      <c r="IV38"/>
    </row>
    <row r="39" spans="1:256" ht="14.25" customHeight="1">
      <c r="A39" s="345" t="str">
        <f t="shared" si="31"/>
        <v>ДТ</v>
      </c>
      <c r="B39" s="345"/>
      <c r="C39" s="337"/>
      <c r="D39" s="338"/>
      <c r="E39" s="338"/>
      <c r="F39" s="338"/>
      <c r="G39" s="338"/>
      <c r="H39" s="339"/>
      <c r="I39" s="35">
        <f aca="true" t="shared" si="40" ref="I39:AN39">I10*0.5</f>
        <v>5680432.800000002</v>
      </c>
      <c r="J39" s="35">
        <f t="shared" si="40"/>
        <v>5680432.800000002</v>
      </c>
      <c r="K39" s="35">
        <f t="shared" si="40"/>
        <v>5680432.800000002</v>
      </c>
      <c r="L39" s="35">
        <f t="shared" si="40"/>
        <v>5680432.800000002</v>
      </c>
      <c r="M39" s="35">
        <f t="shared" si="40"/>
        <v>5680432.800000002</v>
      </c>
      <c r="N39" s="35">
        <f t="shared" si="40"/>
        <v>5680432.800000002</v>
      </c>
      <c r="O39" s="35">
        <f t="shared" si="40"/>
        <v>5680432.800000002</v>
      </c>
      <c r="P39" s="35">
        <f t="shared" si="40"/>
        <v>5680432.800000002</v>
      </c>
      <c r="Q39" s="35">
        <f t="shared" si="40"/>
        <v>5680432.800000002</v>
      </c>
      <c r="R39" s="35">
        <f t="shared" si="40"/>
        <v>5680432.800000002</v>
      </c>
      <c r="S39" s="35">
        <f t="shared" si="40"/>
        <v>5680432.800000002</v>
      </c>
      <c r="T39" s="35">
        <f t="shared" si="40"/>
        <v>5680432.800000002</v>
      </c>
      <c r="U39" s="35">
        <f t="shared" si="40"/>
        <v>5680432.800000002</v>
      </c>
      <c r="V39" s="35">
        <f t="shared" si="40"/>
        <v>5680432.800000002</v>
      </c>
      <c r="W39" s="35">
        <f t="shared" si="40"/>
        <v>5680432.800000002</v>
      </c>
      <c r="X39" s="35">
        <f t="shared" si="40"/>
        <v>5680432.800000002</v>
      </c>
      <c r="Y39" s="35">
        <f t="shared" si="40"/>
        <v>5680432.800000002</v>
      </c>
      <c r="Z39" s="35">
        <f t="shared" si="40"/>
        <v>5680432.800000002</v>
      </c>
      <c r="AA39" s="35">
        <f t="shared" si="40"/>
        <v>5680432.800000002</v>
      </c>
      <c r="AB39" s="35">
        <f t="shared" si="40"/>
        <v>5680432.800000002</v>
      </c>
      <c r="AC39" s="35">
        <f t="shared" si="40"/>
        <v>5680432.800000002</v>
      </c>
      <c r="AD39" s="35">
        <f t="shared" si="40"/>
        <v>5680432.800000002</v>
      </c>
      <c r="AE39" s="35">
        <f t="shared" si="40"/>
        <v>5680432.800000002</v>
      </c>
      <c r="AF39" s="35">
        <f t="shared" si="40"/>
        <v>5680432.800000002</v>
      </c>
      <c r="AG39" s="35">
        <f t="shared" si="40"/>
        <v>9088692.480000002</v>
      </c>
      <c r="AH39" s="35">
        <f t="shared" si="40"/>
        <v>9088692.480000002</v>
      </c>
      <c r="AI39" s="35">
        <f t="shared" si="40"/>
        <v>9088692.480000002</v>
      </c>
      <c r="AJ39" s="35">
        <f t="shared" si="40"/>
        <v>9088692.480000002</v>
      </c>
      <c r="AK39" s="35">
        <f t="shared" si="40"/>
        <v>9088692.480000002</v>
      </c>
      <c r="AL39" s="35">
        <f t="shared" si="40"/>
        <v>9088692.480000002</v>
      </c>
      <c r="AM39" s="35">
        <f t="shared" si="40"/>
        <v>9088692.480000002</v>
      </c>
      <c r="AN39" s="35">
        <f t="shared" si="40"/>
        <v>9088692.480000002</v>
      </c>
      <c r="AO39" s="35">
        <f aca="true" t="shared" si="41" ref="AO39:BP39">AO10*0.5</f>
        <v>9088692.480000002</v>
      </c>
      <c r="AP39" s="35">
        <f t="shared" si="41"/>
        <v>9088692.480000002</v>
      </c>
      <c r="AQ39" s="35">
        <f t="shared" si="41"/>
        <v>9088692.480000002</v>
      </c>
      <c r="AR39" s="35">
        <f t="shared" si="41"/>
        <v>9088692.480000002</v>
      </c>
      <c r="AS39" s="35">
        <f t="shared" si="41"/>
        <v>9088692.480000002</v>
      </c>
      <c r="AT39" s="35">
        <f t="shared" si="41"/>
        <v>9088692.480000002</v>
      </c>
      <c r="AU39" s="35">
        <f t="shared" si="41"/>
        <v>9088692.480000002</v>
      </c>
      <c r="AV39" s="35">
        <f t="shared" si="41"/>
        <v>9088692.480000002</v>
      </c>
      <c r="AW39" s="35">
        <f t="shared" si="41"/>
        <v>9088692.480000002</v>
      </c>
      <c r="AX39" s="35">
        <f t="shared" si="41"/>
        <v>9088692.480000002</v>
      </c>
      <c r="AY39" s="35">
        <f t="shared" si="41"/>
        <v>9088692.480000002</v>
      </c>
      <c r="AZ39" s="35">
        <f t="shared" si="41"/>
        <v>9088692.480000002</v>
      </c>
      <c r="BA39" s="35">
        <f t="shared" si="41"/>
        <v>9088692.480000002</v>
      </c>
      <c r="BB39" s="35">
        <f t="shared" si="41"/>
        <v>9088692.480000002</v>
      </c>
      <c r="BC39" s="35">
        <f t="shared" si="41"/>
        <v>9088692.480000002</v>
      </c>
      <c r="BD39" s="35">
        <f t="shared" si="41"/>
        <v>9088692.480000002</v>
      </c>
      <c r="BE39" s="35">
        <f t="shared" si="41"/>
        <v>9088692.480000002</v>
      </c>
      <c r="BF39" s="35">
        <f t="shared" si="41"/>
        <v>9088692.480000002</v>
      </c>
      <c r="BG39" s="35">
        <f t="shared" si="41"/>
        <v>9088692.480000002</v>
      </c>
      <c r="BH39" s="35">
        <f t="shared" si="41"/>
        <v>9088692.480000002</v>
      </c>
      <c r="BI39" s="35">
        <f t="shared" si="41"/>
        <v>9088692.480000002</v>
      </c>
      <c r="BJ39" s="35">
        <f t="shared" si="41"/>
        <v>9088692.480000002</v>
      </c>
      <c r="BK39" s="35">
        <f t="shared" si="41"/>
        <v>9088692.480000002</v>
      </c>
      <c r="BL39" s="35">
        <f t="shared" si="41"/>
        <v>9088692.480000002</v>
      </c>
      <c r="BM39" s="35">
        <f t="shared" si="41"/>
        <v>9088692.480000002</v>
      </c>
      <c r="BN39" s="35">
        <f t="shared" si="41"/>
        <v>9088692.480000002</v>
      </c>
      <c r="BO39" s="35">
        <f t="shared" si="41"/>
        <v>9088692.480000002</v>
      </c>
      <c r="BP39" s="35">
        <f t="shared" si="41"/>
        <v>9088692.480000002</v>
      </c>
      <c r="BQ39" s="32">
        <f t="shared" si="30"/>
        <v>463523316.48000026</v>
      </c>
      <c r="IQ39"/>
      <c r="IR39"/>
      <c r="IS39"/>
      <c r="IT39"/>
      <c r="IU39"/>
      <c r="IV39"/>
    </row>
    <row r="40" spans="1:256" ht="13.5" customHeight="1">
      <c r="A40" s="345" t="str">
        <f t="shared" si="31"/>
        <v>Магазин</v>
      </c>
      <c r="B40" s="345"/>
      <c r="C40" s="340"/>
      <c r="D40" s="341"/>
      <c r="E40" s="341"/>
      <c r="F40" s="341"/>
      <c r="G40" s="341"/>
      <c r="H40" s="342"/>
      <c r="I40" s="35">
        <f aca="true" t="shared" si="42" ref="I40:AN40">I11*0.5</f>
        <v>2164843.1831250004</v>
      </c>
      <c r="J40" s="35">
        <f t="shared" si="42"/>
        <v>2164843.1831250004</v>
      </c>
      <c r="K40" s="35">
        <f t="shared" si="42"/>
        <v>2164843.1831250004</v>
      </c>
      <c r="L40" s="35">
        <f t="shared" si="42"/>
        <v>2164843.1831250004</v>
      </c>
      <c r="M40" s="35">
        <f t="shared" si="42"/>
        <v>2164843.1831250004</v>
      </c>
      <c r="N40" s="35">
        <f t="shared" si="42"/>
        <v>2164843.1831250004</v>
      </c>
      <c r="O40" s="35">
        <f t="shared" si="42"/>
        <v>2164843.1831250004</v>
      </c>
      <c r="P40" s="35">
        <f t="shared" si="42"/>
        <v>2164843.1831250004</v>
      </c>
      <c r="Q40" s="35">
        <f t="shared" si="42"/>
        <v>2164843.1831250004</v>
      </c>
      <c r="R40" s="35">
        <f t="shared" si="42"/>
        <v>2164843.1831250004</v>
      </c>
      <c r="S40" s="35">
        <f t="shared" si="42"/>
        <v>2164843.1831250004</v>
      </c>
      <c r="T40" s="35">
        <f t="shared" si="42"/>
        <v>2164843.1831250004</v>
      </c>
      <c r="U40" s="35">
        <f t="shared" si="42"/>
        <v>2164843.1831250004</v>
      </c>
      <c r="V40" s="35">
        <f t="shared" si="42"/>
        <v>2164843.1831250004</v>
      </c>
      <c r="W40" s="35">
        <f t="shared" si="42"/>
        <v>2164843.1831250004</v>
      </c>
      <c r="X40" s="35">
        <f t="shared" si="42"/>
        <v>2164843.1831250004</v>
      </c>
      <c r="Y40" s="35">
        <f t="shared" si="42"/>
        <v>2164843.1831250004</v>
      </c>
      <c r="Z40" s="35">
        <f t="shared" si="42"/>
        <v>2164843.1831250004</v>
      </c>
      <c r="AA40" s="35">
        <f t="shared" si="42"/>
        <v>2164843.1831250004</v>
      </c>
      <c r="AB40" s="35">
        <f t="shared" si="42"/>
        <v>2164843.1831250004</v>
      </c>
      <c r="AC40" s="35">
        <f t="shared" si="42"/>
        <v>2164843.1831250004</v>
      </c>
      <c r="AD40" s="35">
        <f t="shared" si="42"/>
        <v>2164843.1831250004</v>
      </c>
      <c r="AE40" s="35">
        <f t="shared" si="42"/>
        <v>2164843.1831250004</v>
      </c>
      <c r="AF40" s="35">
        <f t="shared" si="42"/>
        <v>2164843.1831250004</v>
      </c>
      <c r="AG40" s="35">
        <f t="shared" si="42"/>
        <v>3463749.093000001</v>
      </c>
      <c r="AH40" s="35">
        <f t="shared" si="42"/>
        <v>3463749.093000001</v>
      </c>
      <c r="AI40" s="35">
        <f t="shared" si="42"/>
        <v>3463749.093000001</v>
      </c>
      <c r="AJ40" s="35">
        <f t="shared" si="42"/>
        <v>3463749.093000001</v>
      </c>
      <c r="AK40" s="35">
        <f t="shared" si="42"/>
        <v>3463749.093000001</v>
      </c>
      <c r="AL40" s="35">
        <f t="shared" si="42"/>
        <v>3463749.093000001</v>
      </c>
      <c r="AM40" s="35">
        <f t="shared" si="42"/>
        <v>3463749.093000001</v>
      </c>
      <c r="AN40" s="35">
        <f t="shared" si="42"/>
        <v>3463749.093000001</v>
      </c>
      <c r="AO40" s="35">
        <f aca="true" t="shared" si="43" ref="AO40:BP40">AO11*0.5</f>
        <v>3463749.093000001</v>
      </c>
      <c r="AP40" s="35">
        <f t="shared" si="43"/>
        <v>3463749.093000001</v>
      </c>
      <c r="AQ40" s="35">
        <f t="shared" si="43"/>
        <v>3463749.093000001</v>
      </c>
      <c r="AR40" s="35">
        <f t="shared" si="43"/>
        <v>3463749.093000001</v>
      </c>
      <c r="AS40" s="35">
        <f t="shared" si="43"/>
        <v>3463749.093000001</v>
      </c>
      <c r="AT40" s="35">
        <f t="shared" si="43"/>
        <v>3463749.093000001</v>
      </c>
      <c r="AU40" s="35">
        <f t="shared" si="43"/>
        <v>3463749.093000001</v>
      </c>
      <c r="AV40" s="35">
        <f t="shared" si="43"/>
        <v>3463749.093000001</v>
      </c>
      <c r="AW40" s="35">
        <f t="shared" si="43"/>
        <v>3463749.093000001</v>
      </c>
      <c r="AX40" s="35">
        <f t="shared" si="43"/>
        <v>3463749.093000001</v>
      </c>
      <c r="AY40" s="35">
        <f t="shared" si="43"/>
        <v>3463749.093000001</v>
      </c>
      <c r="AZ40" s="35">
        <f t="shared" si="43"/>
        <v>3463749.093000001</v>
      </c>
      <c r="BA40" s="35">
        <f t="shared" si="43"/>
        <v>3463749.093000001</v>
      </c>
      <c r="BB40" s="35">
        <f t="shared" si="43"/>
        <v>3463749.093000001</v>
      </c>
      <c r="BC40" s="35">
        <f t="shared" si="43"/>
        <v>3463749.093000001</v>
      </c>
      <c r="BD40" s="35">
        <f t="shared" si="43"/>
        <v>3463749.093000001</v>
      </c>
      <c r="BE40" s="35">
        <f t="shared" si="43"/>
        <v>3463749.093000001</v>
      </c>
      <c r="BF40" s="35">
        <f t="shared" si="43"/>
        <v>3463749.093000001</v>
      </c>
      <c r="BG40" s="35">
        <f t="shared" si="43"/>
        <v>3463749.093000001</v>
      </c>
      <c r="BH40" s="35">
        <f t="shared" si="43"/>
        <v>3463749.093000001</v>
      </c>
      <c r="BI40" s="35">
        <f t="shared" si="43"/>
        <v>3463749.093000001</v>
      </c>
      <c r="BJ40" s="35">
        <f t="shared" si="43"/>
        <v>3463749.093000001</v>
      </c>
      <c r="BK40" s="35">
        <f t="shared" si="43"/>
        <v>3463749.093000001</v>
      </c>
      <c r="BL40" s="35">
        <f t="shared" si="43"/>
        <v>3463749.093000001</v>
      </c>
      <c r="BM40" s="35">
        <f t="shared" si="43"/>
        <v>3463749.093000001</v>
      </c>
      <c r="BN40" s="35">
        <f t="shared" si="43"/>
        <v>3463749.093000001</v>
      </c>
      <c r="BO40" s="35">
        <f t="shared" si="43"/>
        <v>3463749.093000001</v>
      </c>
      <c r="BP40" s="35">
        <f t="shared" si="43"/>
        <v>3463749.093000001</v>
      </c>
      <c r="BQ40" s="32">
        <f t="shared" si="30"/>
        <v>176651203.74299988</v>
      </c>
      <c r="IQ40"/>
      <c r="IR40"/>
      <c r="IS40"/>
      <c r="IT40"/>
      <c r="IU40"/>
      <c r="IV40"/>
    </row>
    <row r="41" spans="1:256" ht="12.75" customHeight="1">
      <c r="A41" s="346" t="s">
        <v>71</v>
      </c>
      <c r="B41" s="346"/>
      <c r="C41" s="53"/>
      <c r="D41" s="53"/>
      <c r="E41" s="53"/>
      <c r="F41" s="53"/>
      <c r="G41" s="53"/>
      <c r="H41" s="53"/>
      <c r="I41" s="54">
        <f aca="true" t="shared" si="44" ref="I41:AN41">I12</f>
        <v>0</v>
      </c>
      <c r="J41" s="54">
        <f t="shared" si="44"/>
        <v>0</v>
      </c>
      <c r="K41" s="54">
        <f t="shared" si="44"/>
        <v>0</v>
      </c>
      <c r="L41" s="54">
        <f t="shared" si="44"/>
        <v>0</v>
      </c>
      <c r="M41" s="54">
        <f t="shared" si="44"/>
        <v>0</v>
      </c>
      <c r="N41" s="54">
        <f t="shared" si="44"/>
        <v>0</v>
      </c>
      <c r="O41" s="54">
        <f t="shared" si="44"/>
        <v>0</v>
      </c>
      <c r="P41" s="54">
        <f t="shared" si="44"/>
        <v>0</v>
      </c>
      <c r="Q41" s="54">
        <f t="shared" si="44"/>
        <v>0</v>
      </c>
      <c r="R41" s="54">
        <f t="shared" si="44"/>
        <v>0</v>
      </c>
      <c r="S41" s="54">
        <f t="shared" si="44"/>
        <v>0</v>
      </c>
      <c r="T41" s="54">
        <f t="shared" si="44"/>
        <v>0</v>
      </c>
      <c r="U41" s="54">
        <f t="shared" si="44"/>
        <v>0</v>
      </c>
      <c r="V41" s="54">
        <f t="shared" si="44"/>
        <v>0</v>
      </c>
      <c r="W41" s="54">
        <f t="shared" si="44"/>
        <v>0</v>
      </c>
      <c r="X41" s="54">
        <f t="shared" si="44"/>
        <v>0</v>
      </c>
      <c r="Y41" s="54">
        <f t="shared" si="44"/>
        <v>0</v>
      </c>
      <c r="Z41" s="54">
        <f t="shared" si="44"/>
        <v>0</v>
      </c>
      <c r="AA41" s="54">
        <f t="shared" si="44"/>
        <v>0</v>
      </c>
      <c r="AB41" s="54">
        <f t="shared" si="44"/>
        <v>0</v>
      </c>
      <c r="AC41" s="54">
        <f t="shared" si="44"/>
        <v>0</v>
      </c>
      <c r="AD41" s="54">
        <f t="shared" si="44"/>
        <v>0</v>
      </c>
      <c r="AE41" s="54">
        <f t="shared" si="44"/>
        <v>0</v>
      </c>
      <c r="AF41" s="54">
        <f t="shared" si="44"/>
        <v>0</v>
      </c>
      <c r="AG41" s="54">
        <f t="shared" si="44"/>
        <v>0</v>
      </c>
      <c r="AH41" s="54">
        <f t="shared" si="44"/>
        <v>0</v>
      </c>
      <c r="AI41" s="54">
        <f t="shared" si="44"/>
        <v>0</v>
      </c>
      <c r="AJ41" s="54">
        <f t="shared" si="44"/>
        <v>0</v>
      </c>
      <c r="AK41" s="54">
        <f t="shared" si="44"/>
        <v>0</v>
      </c>
      <c r="AL41" s="54">
        <f t="shared" si="44"/>
        <v>0</v>
      </c>
      <c r="AM41" s="54">
        <f t="shared" si="44"/>
        <v>0</v>
      </c>
      <c r="AN41" s="54">
        <f t="shared" si="44"/>
        <v>0</v>
      </c>
      <c r="AO41" s="54">
        <f aca="true" t="shared" si="45" ref="AO41:BP41">AO12</f>
        <v>0</v>
      </c>
      <c r="AP41" s="54">
        <f t="shared" si="45"/>
        <v>0</v>
      </c>
      <c r="AQ41" s="54">
        <f t="shared" si="45"/>
        <v>0</v>
      </c>
      <c r="AR41" s="54">
        <f t="shared" si="45"/>
        <v>0</v>
      </c>
      <c r="AS41" s="54">
        <f t="shared" si="45"/>
        <v>0</v>
      </c>
      <c r="AT41" s="54">
        <f t="shared" si="45"/>
        <v>0</v>
      </c>
      <c r="AU41" s="54">
        <f t="shared" si="45"/>
        <v>0</v>
      </c>
      <c r="AV41" s="54">
        <f t="shared" si="45"/>
        <v>0</v>
      </c>
      <c r="AW41" s="54">
        <f t="shared" si="45"/>
        <v>0</v>
      </c>
      <c r="AX41" s="54">
        <f t="shared" si="45"/>
        <v>0</v>
      </c>
      <c r="AY41" s="54">
        <f t="shared" si="45"/>
        <v>0</v>
      </c>
      <c r="AZ41" s="54">
        <f t="shared" si="45"/>
        <v>0</v>
      </c>
      <c r="BA41" s="54">
        <f t="shared" si="45"/>
        <v>0</v>
      </c>
      <c r="BB41" s="54">
        <f t="shared" si="45"/>
        <v>0</v>
      </c>
      <c r="BC41" s="54">
        <f t="shared" si="45"/>
        <v>0</v>
      </c>
      <c r="BD41" s="54">
        <f t="shared" si="45"/>
        <v>0</v>
      </c>
      <c r="BE41" s="54">
        <f t="shared" si="45"/>
        <v>0</v>
      </c>
      <c r="BF41" s="54">
        <f t="shared" si="45"/>
        <v>0</v>
      </c>
      <c r="BG41" s="54">
        <f t="shared" si="45"/>
        <v>0</v>
      </c>
      <c r="BH41" s="54">
        <f t="shared" si="45"/>
        <v>0</v>
      </c>
      <c r="BI41" s="54">
        <f t="shared" si="45"/>
        <v>0</v>
      </c>
      <c r="BJ41" s="54">
        <f t="shared" si="45"/>
        <v>0</v>
      </c>
      <c r="BK41" s="54">
        <f t="shared" si="45"/>
        <v>0</v>
      </c>
      <c r="BL41" s="54">
        <f t="shared" si="45"/>
        <v>0</v>
      </c>
      <c r="BM41" s="54">
        <f t="shared" si="45"/>
        <v>0</v>
      </c>
      <c r="BN41" s="54">
        <f t="shared" si="45"/>
        <v>0</v>
      </c>
      <c r="BO41" s="54">
        <f t="shared" si="45"/>
        <v>0</v>
      </c>
      <c r="BP41" s="54">
        <f t="shared" si="45"/>
        <v>0</v>
      </c>
      <c r="BQ41" s="54">
        <f t="shared" si="30"/>
        <v>0</v>
      </c>
      <c r="IQ41"/>
      <c r="IR41"/>
      <c r="IS41"/>
      <c r="IT41"/>
      <c r="IU41"/>
      <c r="IV41"/>
    </row>
    <row r="42" spans="1:256" ht="12.75" customHeight="1">
      <c r="A42" s="343" t="s">
        <v>72</v>
      </c>
      <c r="B42" s="343"/>
      <c r="C42" s="40">
        <f>C13</f>
        <v>93811670.20115</v>
      </c>
      <c r="D42" s="40"/>
      <c r="E42" s="40"/>
      <c r="F42" s="40"/>
      <c r="G42" s="40"/>
      <c r="H42" s="40"/>
      <c r="I42" s="41"/>
      <c r="J42" s="41">
        <f aca="true" t="shared" si="46" ref="J42:AO42">J13</f>
        <v>0</v>
      </c>
      <c r="K42" s="41">
        <f t="shared" si="46"/>
        <v>0</v>
      </c>
      <c r="L42" s="41">
        <f t="shared" si="46"/>
        <v>0</v>
      </c>
      <c r="M42" s="41">
        <f t="shared" si="46"/>
        <v>0</v>
      </c>
      <c r="N42" s="41">
        <f t="shared" si="46"/>
        <v>0</v>
      </c>
      <c r="O42" s="41">
        <f t="shared" si="46"/>
        <v>0</v>
      </c>
      <c r="P42" s="41">
        <f t="shared" si="46"/>
        <v>0</v>
      </c>
      <c r="Q42" s="41">
        <f t="shared" si="46"/>
        <v>0</v>
      </c>
      <c r="R42" s="41">
        <f t="shared" si="46"/>
        <v>0</v>
      </c>
      <c r="S42" s="41">
        <f t="shared" si="46"/>
        <v>0</v>
      </c>
      <c r="T42" s="41">
        <f t="shared" si="46"/>
        <v>0</v>
      </c>
      <c r="U42" s="41">
        <f t="shared" si="46"/>
        <v>0</v>
      </c>
      <c r="V42" s="41">
        <f t="shared" si="46"/>
        <v>0</v>
      </c>
      <c r="W42" s="41">
        <f t="shared" si="46"/>
        <v>0</v>
      </c>
      <c r="X42" s="41">
        <f t="shared" si="46"/>
        <v>0</v>
      </c>
      <c r="Y42" s="41">
        <f t="shared" si="46"/>
        <v>0</v>
      </c>
      <c r="Z42" s="41">
        <f t="shared" si="46"/>
        <v>0</v>
      </c>
      <c r="AA42" s="41">
        <f t="shared" si="46"/>
        <v>0</v>
      </c>
      <c r="AB42" s="41">
        <f t="shared" si="46"/>
        <v>0</v>
      </c>
      <c r="AC42" s="41">
        <f t="shared" si="46"/>
        <v>0</v>
      </c>
      <c r="AD42" s="41">
        <f t="shared" si="46"/>
        <v>0</v>
      </c>
      <c r="AE42" s="41">
        <f t="shared" si="46"/>
        <v>0</v>
      </c>
      <c r="AF42" s="41">
        <f t="shared" si="46"/>
        <v>0</v>
      </c>
      <c r="AG42" s="41">
        <f t="shared" si="46"/>
        <v>0</v>
      </c>
      <c r="AH42" s="41">
        <f t="shared" si="46"/>
        <v>0</v>
      </c>
      <c r="AI42" s="41">
        <f t="shared" si="46"/>
        <v>0</v>
      </c>
      <c r="AJ42" s="41">
        <f t="shared" si="46"/>
        <v>0</v>
      </c>
      <c r="AK42" s="41">
        <f t="shared" si="46"/>
        <v>0</v>
      </c>
      <c r="AL42" s="41">
        <f t="shared" si="46"/>
        <v>0</v>
      </c>
      <c r="AM42" s="41">
        <f t="shared" si="46"/>
        <v>0</v>
      </c>
      <c r="AN42" s="41">
        <f t="shared" si="46"/>
        <v>0</v>
      </c>
      <c r="AO42" s="41">
        <f t="shared" si="46"/>
        <v>0</v>
      </c>
      <c r="AP42" s="41">
        <f aca="true" t="shared" si="47" ref="AP42:BP42">AP13</f>
        <v>0</v>
      </c>
      <c r="AQ42" s="41">
        <f t="shared" si="47"/>
        <v>0</v>
      </c>
      <c r="AR42" s="41">
        <f t="shared" si="47"/>
        <v>0</v>
      </c>
      <c r="AS42" s="41">
        <f t="shared" si="47"/>
        <v>0</v>
      </c>
      <c r="AT42" s="41">
        <f t="shared" si="47"/>
        <v>0</v>
      </c>
      <c r="AU42" s="41">
        <f t="shared" si="47"/>
        <v>0</v>
      </c>
      <c r="AV42" s="41">
        <f t="shared" si="47"/>
        <v>0</v>
      </c>
      <c r="AW42" s="41">
        <f t="shared" si="47"/>
        <v>0</v>
      </c>
      <c r="AX42" s="41">
        <f t="shared" si="47"/>
        <v>0</v>
      </c>
      <c r="AY42" s="41">
        <f t="shared" si="47"/>
        <v>0</v>
      </c>
      <c r="AZ42" s="41">
        <f t="shared" si="47"/>
        <v>0</v>
      </c>
      <c r="BA42" s="41">
        <f t="shared" si="47"/>
        <v>0</v>
      </c>
      <c r="BB42" s="41">
        <f t="shared" si="47"/>
        <v>0</v>
      </c>
      <c r="BC42" s="41">
        <f t="shared" si="47"/>
        <v>0</v>
      </c>
      <c r="BD42" s="41">
        <f t="shared" si="47"/>
        <v>0</v>
      </c>
      <c r="BE42" s="41">
        <f t="shared" si="47"/>
        <v>0</v>
      </c>
      <c r="BF42" s="41">
        <f t="shared" si="47"/>
        <v>0</v>
      </c>
      <c r="BG42" s="41">
        <f t="shared" si="47"/>
        <v>0</v>
      </c>
      <c r="BH42" s="41">
        <f t="shared" si="47"/>
        <v>0</v>
      </c>
      <c r="BI42" s="41">
        <f t="shared" si="47"/>
        <v>0</v>
      </c>
      <c r="BJ42" s="41">
        <f t="shared" si="47"/>
        <v>0</v>
      </c>
      <c r="BK42" s="41">
        <f t="shared" si="47"/>
        <v>0</v>
      </c>
      <c r="BL42" s="41">
        <f t="shared" si="47"/>
        <v>0</v>
      </c>
      <c r="BM42" s="41">
        <f t="shared" si="47"/>
        <v>0</v>
      </c>
      <c r="BN42" s="41">
        <f t="shared" si="47"/>
        <v>0</v>
      </c>
      <c r="BO42" s="41">
        <f t="shared" si="47"/>
        <v>0</v>
      </c>
      <c r="BP42" s="41">
        <f t="shared" si="47"/>
        <v>0</v>
      </c>
      <c r="BQ42" s="41">
        <f t="shared" si="30"/>
        <v>0</v>
      </c>
      <c r="IQ42"/>
      <c r="IR42"/>
      <c r="IS42"/>
      <c r="IT42"/>
      <c r="IU42"/>
      <c r="IV42"/>
    </row>
    <row r="43" spans="1:256" ht="12.75" customHeight="1">
      <c r="A43" s="343" t="s">
        <v>73</v>
      </c>
      <c r="B43" s="343"/>
      <c r="C43" s="40"/>
      <c r="D43" s="40"/>
      <c r="E43" s="40"/>
      <c r="F43" s="40"/>
      <c r="G43" s="40"/>
      <c r="H43" s="40"/>
      <c r="I43" s="41">
        <f>I14</f>
        <v>1003394.6066666667</v>
      </c>
      <c r="J43" s="41">
        <f aca="true" t="shared" si="48" ref="J43:AO43">J14</f>
        <v>1003394.6066666667</v>
      </c>
      <c r="K43" s="41">
        <f t="shared" si="48"/>
        <v>1003394.6066666667</v>
      </c>
      <c r="L43" s="41">
        <f t="shared" si="48"/>
        <v>1003394.6066666667</v>
      </c>
      <c r="M43" s="41">
        <f t="shared" si="48"/>
        <v>1003394.6066666667</v>
      </c>
      <c r="N43" s="41">
        <f t="shared" si="48"/>
        <v>1066114.6066666667</v>
      </c>
      <c r="O43" s="41">
        <f t="shared" si="48"/>
        <v>1066114.6066666667</v>
      </c>
      <c r="P43" s="41">
        <f t="shared" si="48"/>
        <v>1066114.6066666667</v>
      </c>
      <c r="Q43" s="41">
        <f t="shared" si="48"/>
        <v>1066114.6066666667</v>
      </c>
      <c r="R43" s="41">
        <f t="shared" si="48"/>
        <v>1066114.6066666667</v>
      </c>
      <c r="S43" s="41">
        <f t="shared" si="48"/>
        <v>1066114.6066666667</v>
      </c>
      <c r="T43" s="41">
        <f t="shared" si="48"/>
        <v>1066114.6066666667</v>
      </c>
      <c r="U43" s="41">
        <f t="shared" si="48"/>
        <v>1066114.6066666667</v>
      </c>
      <c r="V43" s="41">
        <f t="shared" si="48"/>
        <v>1066114.6066666667</v>
      </c>
      <c r="W43" s="41">
        <f t="shared" si="48"/>
        <v>1066114.6066666667</v>
      </c>
      <c r="X43" s="41">
        <f t="shared" si="48"/>
        <v>1066114.6066666667</v>
      </c>
      <c r="Y43" s="41">
        <f t="shared" si="48"/>
        <v>1066114.6066666667</v>
      </c>
      <c r="Z43" s="41">
        <f t="shared" si="48"/>
        <v>1066114.6066666667</v>
      </c>
      <c r="AA43" s="41">
        <f t="shared" si="48"/>
        <v>1066114.6066666667</v>
      </c>
      <c r="AB43" s="41">
        <f t="shared" si="48"/>
        <v>1066114.6066666667</v>
      </c>
      <c r="AC43" s="41">
        <f t="shared" si="48"/>
        <v>1066114.6066666667</v>
      </c>
      <c r="AD43" s="41">
        <f t="shared" si="48"/>
        <v>1066114.6066666667</v>
      </c>
      <c r="AE43" s="41">
        <f t="shared" si="48"/>
        <v>1066114.6066666667</v>
      </c>
      <c r="AF43" s="41">
        <f t="shared" si="48"/>
        <v>1066114.6066666667</v>
      </c>
      <c r="AG43" s="41">
        <f t="shared" si="48"/>
        <v>1066114.6066666667</v>
      </c>
      <c r="AH43" s="41">
        <f t="shared" si="48"/>
        <v>1066114.6066666667</v>
      </c>
      <c r="AI43" s="41">
        <f t="shared" si="48"/>
        <v>1066114.6066666667</v>
      </c>
      <c r="AJ43" s="41">
        <f t="shared" si="48"/>
        <v>1066114.6066666667</v>
      </c>
      <c r="AK43" s="41">
        <f t="shared" si="48"/>
        <v>1066114.6066666667</v>
      </c>
      <c r="AL43" s="41">
        <f t="shared" si="48"/>
        <v>1066114.6066666667</v>
      </c>
      <c r="AM43" s="41">
        <f t="shared" si="48"/>
        <v>1066114.6066666667</v>
      </c>
      <c r="AN43" s="41">
        <f t="shared" si="48"/>
        <v>1066114.6066666667</v>
      </c>
      <c r="AO43" s="41">
        <f t="shared" si="48"/>
        <v>1066114.6066666667</v>
      </c>
      <c r="AP43" s="41">
        <f aca="true" t="shared" si="49" ref="AP43:BP43">AP14</f>
        <v>1066114.6066666667</v>
      </c>
      <c r="AQ43" s="41">
        <f t="shared" si="49"/>
        <v>1066114.6066666667</v>
      </c>
      <c r="AR43" s="41">
        <f t="shared" si="49"/>
        <v>1066114.6066666667</v>
      </c>
      <c r="AS43" s="41">
        <f t="shared" si="49"/>
        <v>1066114.6066666667</v>
      </c>
      <c r="AT43" s="41">
        <f t="shared" si="49"/>
        <v>1066114.6066666667</v>
      </c>
      <c r="AU43" s="41">
        <f t="shared" si="49"/>
        <v>1066114.6066666667</v>
      </c>
      <c r="AV43" s="41">
        <f t="shared" si="49"/>
        <v>1066114.6066666667</v>
      </c>
      <c r="AW43" s="41">
        <f t="shared" si="49"/>
        <v>1066114.6066666667</v>
      </c>
      <c r="AX43" s="41">
        <f t="shared" si="49"/>
        <v>1066114.6066666667</v>
      </c>
      <c r="AY43" s="41">
        <f t="shared" si="49"/>
        <v>1066114.6066666667</v>
      </c>
      <c r="AZ43" s="41">
        <f t="shared" si="49"/>
        <v>1066114.6066666667</v>
      </c>
      <c r="BA43" s="41">
        <f t="shared" si="49"/>
        <v>1066114.6066666667</v>
      </c>
      <c r="BB43" s="41">
        <f t="shared" si="49"/>
        <v>1066114.6066666667</v>
      </c>
      <c r="BC43" s="41">
        <f t="shared" si="49"/>
        <v>1066114.6066666667</v>
      </c>
      <c r="BD43" s="41">
        <f t="shared" si="49"/>
        <v>1066114.6066666667</v>
      </c>
      <c r="BE43" s="41">
        <f t="shared" si="49"/>
        <v>1066114.6066666667</v>
      </c>
      <c r="BF43" s="41">
        <f t="shared" si="49"/>
        <v>1066114.6066666667</v>
      </c>
      <c r="BG43" s="41">
        <f t="shared" si="49"/>
        <v>1066114.6066666667</v>
      </c>
      <c r="BH43" s="41">
        <f t="shared" si="49"/>
        <v>1066114.6066666667</v>
      </c>
      <c r="BI43" s="41">
        <f t="shared" si="49"/>
        <v>1066114.6066666667</v>
      </c>
      <c r="BJ43" s="41">
        <f t="shared" si="49"/>
        <v>1066114.6066666667</v>
      </c>
      <c r="BK43" s="41">
        <f t="shared" si="49"/>
        <v>1066114.6066666667</v>
      </c>
      <c r="BL43" s="41">
        <f t="shared" si="49"/>
        <v>1066114.6066666667</v>
      </c>
      <c r="BM43" s="41">
        <f t="shared" si="49"/>
        <v>1066114.6066666667</v>
      </c>
      <c r="BN43" s="41">
        <f t="shared" si="49"/>
        <v>1066114.6066666667</v>
      </c>
      <c r="BO43" s="41">
        <f t="shared" si="49"/>
        <v>1066114.6066666667</v>
      </c>
      <c r="BP43" s="41">
        <f t="shared" si="49"/>
        <v>1066114.6066666667</v>
      </c>
      <c r="BQ43" s="41">
        <f t="shared" si="30"/>
        <v>63653276.40000006</v>
      </c>
      <c r="IQ43"/>
      <c r="IR43"/>
      <c r="IS43"/>
      <c r="IT43"/>
      <c r="IU43"/>
      <c r="IV43"/>
    </row>
    <row r="44" spans="1:256" ht="12.75" customHeight="1">
      <c r="A44" s="343" t="s">
        <v>86</v>
      </c>
      <c r="B44" s="343"/>
      <c r="C44" s="40"/>
      <c r="D44" s="40"/>
      <c r="E44" s="40"/>
      <c r="F44" s="40"/>
      <c r="G44" s="40"/>
      <c r="H44" s="40"/>
      <c r="I44" s="41">
        <f aca="true" t="shared" si="50" ref="I44:AN44">I15*0.5</f>
        <v>7036833.368250001</v>
      </c>
      <c r="J44" s="41">
        <f t="shared" si="50"/>
        <v>7036833.368250001</v>
      </c>
      <c r="K44" s="41">
        <f t="shared" si="50"/>
        <v>7036833.368250001</v>
      </c>
      <c r="L44" s="41">
        <f t="shared" si="50"/>
        <v>7036833.368250001</v>
      </c>
      <c r="M44" s="41">
        <f t="shared" si="50"/>
        <v>7036833.368250001</v>
      </c>
      <c r="N44" s="41">
        <f t="shared" si="50"/>
        <v>7036833.368250001</v>
      </c>
      <c r="O44" s="41">
        <f t="shared" si="50"/>
        <v>7036833.368250001</v>
      </c>
      <c r="P44" s="41">
        <f t="shared" si="50"/>
        <v>7036833.368250001</v>
      </c>
      <c r="Q44" s="41">
        <f t="shared" si="50"/>
        <v>7036833.368250001</v>
      </c>
      <c r="R44" s="41">
        <f t="shared" si="50"/>
        <v>7036833.368250001</v>
      </c>
      <c r="S44" s="41">
        <f t="shared" si="50"/>
        <v>7036833.368250001</v>
      </c>
      <c r="T44" s="41">
        <f t="shared" si="50"/>
        <v>7036833.368250001</v>
      </c>
      <c r="U44" s="41">
        <f t="shared" si="50"/>
        <v>7036833.368250001</v>
      </c>
      <c r="V44" s="41">
        <f t="shared" si="50"/>
        <v>7036833.368250001</v>
      </c>
      <c r="W44" s="41">
        <f t="shared" si="50"/>
        <v>7036833.368250001</v>
      </c>
      <c r="X44" s="41">
        <f t="shared" si="50"/>
        <v>7036833.368250001</v>
      </c>
      <c r="Y44" s="41">
        <f t="shared" si="50"/>
        <v>7036833.368250001</v>
      </c>
      <c r="Z44" s="41">
        <f t="shared" si="50"/>
        <v>7036833.368250001</v>
      </c>
      <c r="AA44" s="41">
        <f t="shared" si="50"/>
        <v>7036833.368250001</v>
      </c>
      <c r="AB44" s="41">
        <f t="shared" si="50"/>
        <v>7036833.368250001</v>
      </c>
      <c r="AC44" s="41">
        <f t="shared" si="50"/>
        <v>7036833.368250001</v>
      </c>
      <c r="AD44" s="41">
        <f t="shared" si="50"/>
        <v>7036833.368250001</v>
      </c>
      <c r="AE44" s="41">
        <f t="shared" si="50"/>
        <v>7036833.368250001</v>
      </c>
      <c r="AF44" s="41">
        <f t="shared" si="50"/>
        <v>7036833.368250001</v>
      </c>
      <c r="AG44" s="41">
        <f t="shared" si="50"/>
        <v>11258933.389200004</v>
      </c>
      <c r="AH44" s="41">
        <f t="shared" si="50"/>
        <v>11258933.389200004</v>
      </c>
      <c r="AI44" s="41">
        <f t="shared" si="50"/>
        <v>11258933.389200004</v>
      </c>
      <c r="AJ44" s="41">
        <f t="shared" si="50"/>
        <v>11258933.389200004</v>
      </c>
      <c r="AK44" s="41">
        <f t="shared" si="50"/>
        <v>11258933.389200004</v>
      </c>
      <c r="AL44" s="41">
        <f t="shared" si="50"/>
        <v>11258933.389200004</v>
      </c>
      <c r="AM44" s="41">
        <f t="shared" si="50"/>
        <v>11258933.389200004</v>
      </c>
      <c r="AN44" s="41">
        <f t="shared" si="50"/>
        <v>11258933.389200004</v>
      </c>
      <c r="AO44" s="41">
        <f aca="true" t="shared" si="51" ref="AO44:BP44">AO15*0.5</f>
        <v>11258933.389200004</v>
      </c>
      <c r="AP44" s="41">
        <f t="shared" si="51"/>
        <v>11258933.389200004</v>
      </c>
      <c r="AQ44" s="41">
        <f t="shared" si="51"/>
        <v>11258933.389200004</v>
      </c>
      <c r="AR44" s="41">
        <f t="shared" si="51"/>
        <v>11258933.389200004</v>
      </c>
      <c r="AS44" s="41">
        <f t="shared" si="51"/>
        <v>11258933.389200004</v>
      </c>
      <c r="AT44" s="41">
        <f t="shared" si="51"/>
        <v>11258933.389200004</v>
      </c>
      <c r="AU44" s="41">
        <f t="shared" si="51"/>
        <v>11258933.389200004</v>
      </c>
      <c r="AV44" s="41">
        <f t="shared" si="51"/>
        <v>11258933.389200004</v>
      </c>
      <c r="AW44" s="41">
        <f t="shared" si="51"/>
        <v>11258933.389200004</v>
      </c>
      <c r="AX44" s="41">
        <f t="shared" si="51"/>
        <v>11258933.389200004</v>
      </c>
      <c r="AY44" s="41">
        <f t="shared" si="51"/>
        <v>11258933.389200004</v>
      </c>
      <c r="AZ44" s="41">
        <f t="shared" si="51"/>
        <v>11258933.389200004</v>
      </c>
      <c r="BA44" s="41">
        <f t="shared" si="51"/>
        <v>11258933.389200004</v>
      </c>
      <c r="BB44" s="41">
        <f t="shared" si="51"/>
        <v>11258933.389200004</v>
      </c>
      <c r="BC44" s="41">
        <f t="shared" si="51"/>
        <v>11258933.389200004</v>
      </c>
      <c r="BD44" s="41">
        <f t="shared" si="51"/>
        <v>11258933.389200004</v>
      </c>
      <c r="BE44" s="41">
        <f t="shared" si="51"/>
        <v>11258933.389200004</v>
      </c>
      <c r="BF44" s="41">
        <f t="shared" si="51"/>
        <v>11258933.389200004</v>
      </c>
      <c r="BG44" s="41">
        <f t="shared" si="51"/>
        <v>11258933.389200004</v>
      </c>
      <c r="BH44" s="41">
        <f t="shared" si="51"/>
        <v>11258933.389200004</v>
      </c>
      <c r="BI44" s="41">
        <f t="shared" si="51"/>
        <v>11258933.389200004</v>
      </c>
      <c r="BJ44" s="41">
        <f t="shared" si="51"/>
        <v>11258933.389200004</v>
      </c>
      <c r="BK44" s="41">
        <f t="shared" si="51"/>
        <v>11258933.389200004</v>
      </c>
      <c r="BL44" s="41">
        <f t="shared" si="51"/>
        <v>11258933.389200004</v>
      </c>
      <c r="BM44" s="41">
        <f t="shared" si="51"/>
        <v>11258933.389200004</v>
      </c>
      <c r="BN44" s="41">
        <f t="shared" si="51"/>
        <v>11258933.389200004</v>
      </c>
      <c r="BO44" s="41">
        <f t="shared" si="51"/>
        <v>11258933.389200004</v>
      </c>
      <c r="BP44" s="41">
        <f t="shared" si="51"/>
        <v>11258933.389200004</v>
      </c>
      <c r="BQ44" s="41">
        <f t="shared" si="30"/>
        <v>574205602.8492007</v>
      </c>
      <c r="IQ44"/>
      <c r="IR44"/>
      <c r="IS44"/>
      <c r="IT44"/>
      <c r="IU44"/>
      <c r="IV44"/>
    </row>
    <row r="45" spans="1:256" ht="12.75" customHeight="1">
      <c r="A45" s="344"/>
      <c r="B45" s="344"/>
      <c r="C45" s="42"/>
      <c r="D45" s="42"/>
      <c r="E45" s="42"/>
      <c r="F45" s="42"/>
      <c r="G45" s="42"/>
      <c r="H45" s="42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IQ45"/>
      <c r="IR45"/>
      <c r="IS45"/>
      <c r="IT45"/>
      <c r="IU45"/>
      <c r="IV45"/>
    </row>
    <row r="46" spans="1:256" ht="12.75" customHeight="1">
      <c r="A46" s="334" t="s">
        <v>75</v>
      </c>
      <c r="B46" s="334"/>
      <c r="C46" s="39">
        <f aca="true" t="shared" si="52" ref="C46:AL46">C42+C43+C44</f>
        <v>93811670.20115</v>
      </c>
      <c r="D46" s="39">
        <f t="shared" si="52"/>
        <v>0</v>
      </c>
      <c r="E46" s="39">
        <f>E42+E43+E44</f>
        <v>0</v>
      </c>
      <c r="F46" s="39">
        <f>F42+F43+F44</f>
        <v>0</v>
      </c>
      <c r="G46" s="39">
        <f>G42+G43+G44</f>
        <v>0</v>
      </c>
      <c r="H46" s="39">
        <f>H42+H43+H44</f>
        <v>0</v>
      </c>
      <c r="I46" s="39">
        <f t="shared" si="52"/>
        <v>8040227.974916668</v>
      </c>
      <c r="J46" s="39">
        <f t="shared" si="52"/>
        <v>8040227.974916668</v>
      </c>
      <c r="K46" s="39">
        <f t="shared" si="52"/>
        <v>8040227.974916668</v>
      </c>
      <c r="L46" s="39">
        <f t="shared" si="52"/>
        <v>8040227.974916668</v>
      </c>
      <c r="M46" s="39">
        <f t="shared" si="52"/>
        <v>8040227.974916668</v>
      </c>
      <c r="N46" s="39">
        <f t="shared" si="52"/>
        <v>8102947.974916668</v>
      </c>
      <c r="O46" s="39">
        <f t="shared" si="52"/>
        <v>8102947.974916668</v>
      </c>
      <c r="P46" s="39">
        <f t="shared" si="52"/>
        <v>8102947.974916668</v>
      </c>
      <c r="Q46" s="39">
        <f t="shared" si="52"/>
        <v>8102947.974916668</v>
      </c>
      <c r="R46" s="39">
        <f t="shared" si="52"/>
        <v>8102947.974916668</v>
      </c>
      <c r="S46" s="39">
        <f t="shared" si="52"/>
        <v>8102947.974916668</v>
      </c>
      <c r="T46" s="39">
        <f t="shared" si="52"/>
        <v>8102947.974916668</v>
      </c>
      <c r="U46" s="39">
        <f t="shared" si="52"/>
        <v>8102947.974916668</v>
      </c>
      <c r="V46" s="39">
        <f t="shared" si="52"/>
        <v>8102947.974916668</v>
      </c>
      <c r="W46" s="39">
        <f t="shared" si="52"/>
        <v>8102947.974916668</v>
      </c>
      <c r="X46" s="39">
        <f t="shared" si="52"/>
        <v>8102947.974916668</v>
      </c>
      <c r="Y46" s="39">
        <f t="shared" si="52"/>
        <v>8102947.974916668</v>
      </c>
      <c r="Z46" s="39">
        <f t="shared" si="52"/>
        <v>8102947.974916668</v>
      </c>
      <c r="AA46" s="39">
        <f t="shared" si="52"/>
        <v>8102947.974916668</v>
      </c>
      <c r="AB46" s="39">
        <f t="shared" si="52"/>
        <v>8102947.974916668</v>
      </c>
      <c r="AC46" s="39">
        <f t="shared" si="52"/>
        <v>8102947.974916668</v>
      </c>
      <c r="AD46" s="39">
        <f t="shared" si="52"/>
        <v>8102947.974916668</v>
      </c>
      <c r="AE46" s="39">
        <f t="shared" si="52"/>
        <v>8102947.974916668</v>
      </c>
      <c r="AF46" s="39">
        <f t="shared" si="52"/>
        <v>8102947.974916668</v>
      </c>
      <c r="AG46" s="39">
        <f t="shared" si="52"/>
        <v>12325047.995866671</v>
      </c>
      <c r="AH46" s="39">
        <f t="shared" si="52"/>
        <v>12325047.995866671</v>
      </c>
      <c r="AI46" s="39">
        <f t="shared" si="52"/>
        <v>12325047.995866671</v>
      </c>
      <c r="AJ46" s="39">
        <f t="shared" si="52"/>
        <v>12325047.995866671</v>
      </c>
      <c r="AK46" s="39">
        <f t="shared" si="52"/>
        <v>12325047.995866671</v>
      </c>
      <c r="AL46" s="39">
        <f t="shared" si="52"/>
        <v>12325047.995866671</v>
      </c>
      <c r="AM46" s="39">
        <f aca="true" t="shared" si="53" ref="AM46:BP46">AM42+AM43+AM44</f>
        <v>12325047.995866671</v>
      </c>
      <c r="AN46" s="39">
        <f t="shared" si="53"/>
        <v>12325047.995866671</v>
      </c>
      <c r="AO46" s="39">
        <f t="shared" si="53"/>
        <v>12325047.995866671</v>
      </c>
      <c r="AP46" s="39">
        <f t="shared" si="53"/>
        <v>12325047.995866671</v>
      </c>
      <c r="AQ46" s="39">
        <f t="shared" si="53"/>
        <v>12325047.995866671</v>
      </c>
      <c r="AR46" s="39">
        <f t="shared" si="53"/>
        <v>12325047.995866671</v>
      </c>
      <c r="AS46" s="39">
        <f t="shared" si="53"/>
        <v>12325047.995866671</v>
      </c>
      <c r="AT46" s="39">
        <f t="shared" si="53"/>
        <v>12325047.995866671</v>
      </c>
      <c r="AU46" s="39">
        <f t="shared" si="53"/>
        <v>12325047.995866671</v>
      </c>
      <c r="AV46" s="39">
        <f t="shared" si="53"/>
        <v>12325047.995866671</v>
      </c>
      <c r="AW46" s="39">
        <f t="shared" si="53"/>
        <v>12325047.995866671</v>
      </c>
      <c r="AX46" s="39">
        <f t="shared" si="53"/>
        <v>12325047.995866671</v>
      </c>
      <c r="AY46" s="39">
        <f t="shared" si="53"/>
        <v>12325047.995866671</v>
      </c>
      <c r="AZ46" s="39">
        <f t="shared" si="53"/>
        <v>12325047.995866671</v>
      </c>
      <c r="BA46" s="39">
        <f t="shared" si="53"/>
        <v>12325047.995866671</v>
      </c>
      <c r="BB46" s="39">
        <f t="shared" si="53"/>
        <v>12325047.995866671</v>
      </c>
      <c r="BC46" s="39">
        <f t="shared" si="53"/>
        <v>12325047.995866671</v>
      </c>
      <c r="BD46" s="39">
        <f t="shared" si="53"/>
        <v>12325047.995866671</v>
      </c>
      <c r="BE46" s="39">
        <f t="shared" si="53"/>
        <v>12325047.995866671</v>
      </c>
      <c r="BF46" s="39">
        <f t="shared" si="53"/>
        <v>12325047.995866671</v>
      </c>
      <c r="BG46" s="39">
        <f t="shared" si="53"/>
        <v>12325047.995866671</v>
      </c>
      <c r="BH46" s="39">
        <f t="shared" si="53"/>
        <v>12325047.995866671</v>
      </c>
      <c r="BI46" s="39">
        <f t="shared" si="53"/>
        <v>12325047.995866671</v>
      </c>
      <c r="BJ46" s="39">
        <f t="shared" si="53"/>
        <v>12325047.995866671</v>
      </c>
      <c r="BK46" s="39">
        <f t="shared" si="53"/>
        <v>12325047.995866671</v>
      </c>
      <c r="BL46" s="39">
        <f t="shared" si="53"/>
        <v>12325047.995866671</v>
      </c>
      <c r="BM46" s="39">
        <f t="shared" si="53"/>
        <v>12325047.995866671</v>
      </c>
      <c r="BN46" s="39">
        <f t="shared" si="53"/>
        <v>12325047.995866671</v>
      </c>
      <c r="BO46" s="39">
        <f t="shared" si="53"/>
        <v>12325047.995866671</v>
      </c>
      <c r="BP46" s="39">
        <f t="shared" si="53"/>
        <v>12325047.995866671</v>
      </c>
      <c r="BQ46" s="39">
        <f aca="true" t="shared" si="54" ref="BQ46:BQ51">SUM(I46:BP46)</f>
        <v>637858879.2491997</v>
      </c>
      <c r="IQ46"/>
      <c r="IR46"/>
      <c r="IS46"/>
      <c r="IT46"/>
      <c r="IU46"/>
      <c r="IV46"/>
    </row>
    <row r="47" spans="1:256" ht="12.75" customHeight="1">
      <c r="A47" s="344" t="s">
        <v>76</v>
      </c>
      <c r="B47" s="344"/>
      <c r="C47" s="43">
        <f aca="true" t="shared" si="55" ref="C47:AH47">C34-C46</f>
        <v>-93811670.20115</v>
      </c>
      <c r="D47" s="43">
        <f t="shared" si="55"/>
        <v>0</v>
      </c>
      <c r="E47" s="43">
        <f t="shared" si="55"/>
        <v>0</v>
      </c>
      <c r="F47" s="43">
        <f t="shared" si="55"/>
        <v>0</v>
      </c>
      <c r="G47" s="43">
        <f t="shared" si="55"/>
        <v>0</v>
      </c>
      <c r="H47" s="43">
        <f t="shared" si="55"/>
        <v>0</v>
      </c>
      <c r="I47" s="43">
        <f t="shared" si="55"/>
        <v>2783987.9407083346</v>
      </c>
      <c r="J47" s="43">
        <f t="shared" si="55"/>
        <v>2783987.9407083346</v>
      </c>
      <c r="K47" s="43">
        <f t="shared" si="55"/>
        <v>2783987.9407083346</v>
      </c>
      <c r="L47" s="43">
        <f t="shared" si="55"/>
        <v>2783987.9407083346</v>
      </c>
      <c r="M47" s="43">
        <f t="shared" si="55"/>
        <v>2783987.9407083346</v>
      </c>
      <c r="N47" s="43">
        <f t="shared" si="55"/>
        <v>2721267.9407083346</v>
      </c>
      <c r="O47" s="43">
        <f t="shared" si="55"/>
        <v>2721267.9407083346</v>
      </c>
      <c r="P47" s="43">
        <f t="shared" si="55"/>
        <v>2721267.9407083346</v>
      </c>
      <c r="Q47" s="43">
        <f t="shared" si="55"/>
        <v>2721267.9407083346</v>
      </c>
      <c r="R47" s="43">
        <f t="shared" si="55"/>
        <v>2721267.9407083346</v>
      </c>
      <c r="S47" s="43">
        <f t="shared" si="55"/>
        <v>2721267.9407083346</v>
      </c>
      <c r="T47" s="43">
        <f t="shared" si="55"/>
        <v>2721267.9407083346</v>
      </c>
      <c r="U47" s="43">
        <f t="shared" si="55"/>
        <v>2721267.9407083346</v>
      </c>
      <c r="V47" s="43">
        <f t="shared" si="55"/>
        <v>2721267.9407083346</v>
      </c>
      <c r="W47" s="43">
        <f t="shared" si="55"/>
        <v>2721267.9407083346</v>
      </c>
      <c r="X47" s="43">
        <f t="shared" si="55"/>
        <v>2721267.9407083346</v>
      </c>
      <c r="Y47" s="43">
        <f t="shared" si="55"/>
        <v>2721267.9407083346</v>
      </c>
      <c r="Z47" s="43">
        <f t="shared" si="55"/>
        <v>2721267.9407083346</v>
      </c>
      <c r="AA47" s="43">
        <f t="shared" si="55"/>
        <v>2721267.9407083346</v>
      </c>
      <c r="AB47" s="43">
        <f t="shared" si="55"/>
        <v>2721267.9407083346</v>
      </c>
      <c r="AC47" s="43">
        <f t="shared" si="55"/>
        <v>2721267.9407083346</v>
      </c>
      <c r="AD47" s="43">
        <f t="shared" si="55"/>
        <v>2721267.9407083346</v>
      </c>
      <c r="AE47" s="43">
        <f t="shared" si="55"/>
        <v>2721267.9407083346</v>
      </c>
      <c r="AF47" s="43">
        <f t="shared" si="55"/>
        <v>2721267.9407083346</v>
      </c>
      <c r="AG47" s="43">
        <f t="shared" si="55"/>
        <v>4993697.469133332</v>
      </c>
      <c r="AH47" s="43">
        <f t="shared" si="55"/>
        <v>4993697.469133332</v>
      </c>
      <c r="AI47" s="43">
        <f aca="true" t="shared" si="56" ref="AI47:BN47">AI34-AI46</f>
        <v>4993697.469133332</v>
      </c>
      <c r="AJ47" s="43">
        <f t="shared" si="56"/>
        <v>4993697.469133332</v>
      </c>
      <c r="AK47" s="43">
        <f t="shared" si="56"/>
        <v>4993697.469133332</v>
      </c>
      <c r="AL47" s="43">
        <f t="shared" si="56"/>
        <v>4993697.469133332</v>
      </c>
      <c r="AM47" s="43">
        <f t="shared" si="56"/>
        <v>4993697.469133332</v>
      </c>
      <c r="AN47" s="43">
        <f t="shared" si="56"/>
        <v>4993697.469133332</v>
      </c>
      <c r="AO47" s="43">
        <f t="shared" si="56"/>
        <v>4993697.469133332</v>
      </c>
      <c r="AP47" s="43">
        <f t="shared" si="56"/>
        <v>4993697.469133332</v>
      </c>
      <c r="AQ47" s="43">
        <f t="shared" si="56"/>
        <v>4993697.469133332</v>
      </c>
      <c r="AR47" s="43">
        <f t="shared" si="56"/>
        <v>4993697.469133332</v>
      </c>
      <c r="AS47" s="43">
        <f t="shared" si="56"/>
        <v>4993697.469133332</v>
      </c>
      <c r="AT47" s="43">
        <f t="shared" si="56"/>
        <v>4993697.469133332</v>
      </c>
      <c r="AU47" s="43">
        <f t="shared" si="56"/>
        <v>4993697.469133332</v>
      </c>
      <c r="AV47" s="43">
        <f t="shared" si="56"/>
        <v>4993697.469133332</v>
      </c>
      <c r="AW47" s="43">
        <f t="shared" si="56"/>
        <v>4993697.469133332</v>
      </c>
      <c r="AX47" s="43">
        <f t="shared" si="56"/>
        <v>4993697.469133332</v>
      </c>
      <c r="AY47" s="43">
        <f t="shared" si="56"/>
        <v>4993697.469133332</v>
      </c>
      <c r="AZ47" s="43">
        <f t="shared" si="56"/>
        <v>4993697.469133332</v>
      </c>
      <c r="BA47" s="43">
        <f t="shared" si="56"/>
        <v>4993697.469133332</v>
      </c>
      <c r="BB47" s="43">
        <f t="shared" si="56"/>
        <v>4993697.469133332</v>
      </c>
      <c r="BC47" s="43">
        <f t="shared" si="56"/>
        <v>4993697.469133332</v>
      </c>
      <c r="BD47" s="43">
        <f t="shared" si="56"/>
        <v>4993697.469133332</v>
      </c>
      <c r="BE47" s="43">
        <f t="shared" si="56"/>
        <v>4993697.469133332</v>
      </c>
      <c r="BF47" s="43">
        <f t="shared" si="56"/>
        <v>4993697.469133332</v>
      </c>
      <c r="BG47" s="43">
        <f t="shared" si="56"/>
        <v>4993697.469133332</v>
      </c>
      <c r="BH47" s="43">
        <f t="shared" si="56"/>
        <v>4993697.469133332</v>
      </c>
      <c r="BI47" s="43">
        <f t="shared" si="56"/>
        <v>4993697.469133332</v>
      </c>
      <c r="BJ47" s="43">
        <f t="shared" si="56"/>
        <v>4993697.469133332</v>
      </c>
      <c r="BK47" s="43">
        <f t="shared" si="56"/>
        <v>4993697.469133332</v>
      </c>
      <c r="BL47" s="43">
        <f t="shared" si="56"/>
        <v>4993697.469133332</v>
      </c>
      <c r="BM47" s="43">
        <f t="shared" si="56"/>
        <v>4993697.469133332</v>
      </c>
      <c r="BN47" s="43">
        <f t="shared" si="56"/>
        <v>4993697.469133332</v>
      </c>
      <c r="BO47" s="43">
        <f>BO34-BO46</f>
        <v>4993697.469133332</v>
      </c>
      <c r="BP47" s="43">
        <f>BP34-BP46</f>
        <v>4993697.469133332</v>
      </c>
      <c r="BQ47" s="43">
        <f t="shared" si="54"/>
        <v>245397139.46579963</v>
      </c>
      <c r="IQ47"/>
      <c r="IR47"/>
      <c r="IS47"/>
      <c r="IT47"/>
      <c r="IU47"/>
      <c r="IV47"/>
    </row>
    <row r="48" spans="1:256" ht="12.75" customHeight="1">
      <c r="A48" s="344" t="s">
        <v>77</v>
      </c>
      <c r="B48" s="344"/>
      <c r="C48" s="42"/>
      <c r="D48" s="42"/>
      <c r="E48" s="42"/>
      <c r="F48" s="42"/>
      <c r="G48" s="42"/>
      <c r="H48" s="42"/>
      <c r="I48" s="44">
        <f aca="true" t="shared" si="57" ref="I48:AN48">I47*0.167</f>
        <v>464925.9860982919</v>
      </c>
      <c r="J48" s="44">
        <f t="shared" si="57"/>
        <v>464925.9860982919</v>
      </c>
      <c r="K48" s="44">
        <f t="shared" si="57"/>
        <v>464925.9860982919</v>
      </c>
      <c r="L48" s="44">
        <f t="shared" si="57"/>
        <v>464925.9860982919</v>
      </c>
      <c r="M48" s="44">
        <f t="shared" si="57"/>
        <v>464925.9860982919</v>
      </c>
      <c r="N48" s="44">
        <f t="shared" si="57"/>
        <v>454451.7460982919</v>
      </c>
      <c r="O48" s="44">
        <f t="shared" si="57"/>
        <v>454451.7460982919</v>
      </c>
      <c r="P48" s="44">
        <f t="shared" si="57"/>
        <v>454451.7460982919</v>
      </c>
      <c r="Q48" s="44">
        <f t="shared" si="57"/>
        <v>454451.7460982919</v>
      </c>
      <c r="R48" s="44">
        <f t="shared" si="57"/>
        <v>454451.7460982919</v>
      </c>
      <c r="S48" s="44">
        <f t="shared" si="57"/>
        <v>454451.7460982919</v>
      </c>
      <c r="T48" s="44">
        <f t="shared" si="57"/>
        <v>454451.7460982919</v>
      </c>
      <c r="U48" s="44">
        <f t="shared" si="57"/>
        <v>454451.7460982919</v>
      </c>
      <c r="V48" s="44">
        <f t="shared" si="57"/>
        <v>454451.7460982919</v>
      </c>
      <c r="W48" s="44">
        <f t="shared" si="57"/>
        <v>454451.7460982919</v>
      </c>
      <c r="X48" s="44">
        <f t="shared" si="57"/>
        <v>454451.7460982919</v>
      </c>
      <c r="Y48" s="44">
        <f t="shared" si="57"/>
        <v>454451.7460982919</v>
      </c>
      <c r="Z48" s="44">
        <f t="shared" si="57"/>
        <v>454451.7460982919</v>
      </c>
      <c r="AA48" s="44">
        <f t="shared" si="57"/>
        <v>454451.7460982919</v>
      </c>
      <c r="AB48" s="44">
        <f t="shared" si="57"/>
        <v>454451.7460982919</v>
      </c>
      <c r="AC48" s="44">
        <f t="shared" si="57"/>
        <v>454451.7460982919</v>
      </c>
      <c r="AD48" s="44">
        <f t="shared" si="57"/>
        <v>454451.7460982919</v>
      </c>
      <c r="AE48" s="44">
        <f t="shared" si="57"/>
        <v>454451.7460982919</v>
      </c>
      <c r="AF48" s="44">
        <f t="shared" si="57"/>
        <v>454451.7460982919</v>
      </c>
      <c r="AG48" s="44">
        <f t="shared" si="57"/>
        <v>833947.4773452665</v>
      </c>
      <c r="AH48" s="44">
        <f t="shared" si="57"/>
        <v>833947.4773452665</v>
      </c>
      <c r="AI48" s="44">
        <f t="shared" si="57"/>
        <v>833947.4773452665</v>
      </c>
      <c r="AJ48" s="44">
        <f t="shared" si="57"/>
        <v>833947.4773452665</v>
      </c>
      <c r="AK48" s="44">
        <f t="shared" si="57"/>
        <v>833947.4773452665</v>
      </c>
      <c r="AL48" s="44">
        <f t="shared" si="57"/>
        <v>833947.4773452665</v>
      </c>
      <c r="AM48" s="44">
        <f t="shared" si="57"/>
        <v>833947.4773452665</v>
      </c>
      <c r="AN48" s="44">
        <f t="shared" si="57"/>
        <v>833947.4773452665</v>
      </c>
      <c r="AO48" s="44">
        <f aca="true" t="shared" si="58" ref="AO48:BP48">AO47*0.167</f>
        <v>833947.4773452665</v>
      </c>
      <c r="AP48" s="44">
        <f t="shared" si="58"/>
        <v>833947.4773452665</v>
      </c>
      <c r="AQ48" s="44">
        <f t="shared" si="58"/>
        <v>833947.4773452665</v>
      </c>
      <c r="AR48" s="44">
        <f t="shared" si="58"/>
        <v>833947.4773452665</v>
      </c>
      <c r="AS48" s="44">
        <f t="shared" si="58"/>
        <v>833947.4773452665</v>
      </c>
      <c r="AT48" s="44">
        <f t="shared" si="58"/>
        <v>833947.4773452665</v>
      </c>
      <c r="AU48" s="44">
        <f t="shared" si="58"/>
        <v>833947.4773452665</v>
      </c>
      <c r="AV48" s="44">
        <f t="shared" si="58"/>
        <v>833947.4773452665</v>
      </c>
      <c r="AW48" s="44">
        <f t="shared" si="58"/>
        <v>833947.4773452665</v>
      </c>
      <c r="AX48" s="44">
        <f t="shared" si="58"/>
        <v>833947.4773452665</v>
      </c>
      <c r="AY48" s="44">
        <f t="shared" si="58"/>
        <v>833947.4773452665</v>
      </c>
      <c r="AZ48" s="44">
        <f t="shared" si="58"/>
        <v>833947.4773452665</v>
      </c>
      <c r="BA48" s="44">
        <f t="shared" si="58"/>
        <v>833947.4773452665</v>
      </c>
      <c r="BB48" s="44">
        <f t="shared" si="58"/>
        <v>833947.4773452665</v>
      </c>
      <c r="BC48" s="44">
        <f t="shared" si="58"/>
        <v>833947.4773452665</v>
      </c>
      <c r="BD48" s="44">
        <f t="shared" si="58"/>
        <v>833947.4773452665</v>
      </c>
      <c r="BE48" s="44">
        <f t="shared" si="58"/>
        <v>833947.4773452665</v>
      </c>
      <c r="BF48" s="44">
        <f t="shared" si="58"/>
        <v>833947.4773452665</v>
      </c>
      <c r="BG48" s="44">
        <f t="shared" si="58"/>
        <v>833947.4773452665</v>
      </c>
      <c r="BH48" s="44">
        <f t="shared" si="58"/>
        <v>833947.4773452665</v>
      </c>
      <c r="BI48" s="44">
        <f t="shared" si="58"/>
        <v>833947.4773452665</v>
      </c>
      <c r="BJ48" s="44">
        <f t="shared" si="58"/>
        <v>833947.4773452665</v>
      </c>
      <c r="BK48" s="44">
        <f t="shared" si="58"/>
        <v>833947.4773452665</v>
      </c>
      <c r="BL48" s="44">
        <f t="shared" si="58"/>
        <v>833947.4773452665</v>
      </c>
      <c r="BM48" s="44">
        <f t="shared" si="58"/>
        <v>833947.4773452665</v>
      </c>
      <c r="BN48" s="44">
        <f t="shared" si="58"/>
        <v>833947.4773452665</v>
      </c>
      <c r="BO48" s="44">
        <f t="shared" si="58"/>
        <v>833947.4773452665</v>
      </c>
      <c r="BP48" s="44">
        <f t="shared" si="58"/>
        <v>833947.4773452665</v>
      </c>
      <c r="BQ48" s="43">
        <f t="shared" si="54"/>
        <v>40981322.290788576</v>
      </c>
      <c r="BR48" s="28">
        <f>BQ48/5</f>
        <v>8196264.458157715</v>
      </c>
      <c r="IQ48"/>
      <c r="IR48"/>
      <c r="IS48"/>
      <c r="IT48"/>
      <c r="IU48"/>
      <c r="IV48"/>
    </row>
    <row r="49" spans="1:256" ht="12.75" customHeight="1">
      <c r="A49" s="42" t="str">
        <f>A20</f>
        <v>Налог на землю</v>
      </c>
      <c r="B49" s="42"/>
      <c r="C49" s="42">
        <f aca="true" t="shared" si="59" ref="C49:AH49">C20</f>
        <v>0</v>
      </c>
      <c r="D49" s="42">
        <f t="shared" si="59"/>
        <v>0</v>
      </c>
      <c r="E49" s="42">
        <f t="shared" si="59"/>
        <v>0</v>
      </c>
      <c r="F49" s="42">
        <f t="shared" si="59"/>
        <v>0</v>
      </c>
      <c r="G49" s="42">
        <f t="shared" si="59"/>
        <v>0</v>
      </c>
      <c r="H49" s="42">
        <f t="shared" si="59"/>
        <v>0</v>
      </c>
      <c r="I49" s="42">
        <f t="shared" si="59"/>
        <v>0</v>
      </c>
      <c r="J49" s="42">
        <f t="shared" si="59"/>
        <v>0</v>
      </c>
      <c r="K49" s="42">
        <f t="shared" si="59"/>
        <v>0</v>
      </c>
      <c r="L49" s="42">
        <f t="shared" si="59"/>
        <v>0</v>
      </c>
      <c r="M49" s="42">
        <f t="shared" si="59"/>
        <v>0</v>
      </c>
      <c r="N49" s="42">
        <f t="shared" si="59"/>
        <v>0</v>
      </c>
      <c r="O49" s="42">
        <f t="shared" si="59"/>
        <v>0</v>
      </c>
      <c r="P49" s="42">
        <f t="shared" si="59"/>
        <v>0</v>
      </c>
      <c r="Q49" s="42">
        <f t="shared" si="59"/>
        <v>0</v>
      </c>
      <c r="R49" s="42">
        <f t="shared" si="59"/>
        <v>0</v>
      </c>
      <c r="S49" s="42">
        <f t="shared" si="59"/>
        <v>0</v>
      </c>
      <c r="T49" s="42">
        <f t="shared" si="59"/>
        <v>0</v>
      </c>
      <c r="U49" s="42">
        <f t="shared" si="59"/>
        <v>0</v>
      </c>
      <c r="V49" s="42">
        <f t="shared" si="59"/>
        <v>0</v>
      </c>
      <c r="W49" s="42">
        <f t="shared" si="59"/>
        <v>0</v>
      </c>
      <c r="X49" s="42">
        <f t="shared" si="59"/>
        <v>0</v>
      </c>
      <c r="Y49" s="42">
        <f t="shared" si="59"/>
        <v>0</v>
      </c>
      <c r="Z49" s="42">
        <f t="shared" si="59"/>
        <v>0</v>
      </c>
      <c r="AA49" s="42">
        <f t="shared" si="59"/>
        <v>0</v>
      </c>
      <c r="AB49" s="42">
        <f t="shared" si="59"/>
        <v>0</v>
      </c>
      <c r="AC49" s="42">
        <f t="shared" si="59"/>
        <v>0</v>
      </c>
      <c r="AD49" s="42">
        <f t="shared" si="59"/>
        <v>0</v>
      </c>
      <c r="AE49" s="42">
        <f t="shared" si="59"/>
        <v>0</v>
      </c>
      <c r="AF49" s="42">
        <f t="shared" si="59"/>
        <v>0</v>
      </c>
      <c r="AG49" s="42">
        <f t="shared" si="59"/>
        <v>0</v>
      </c>
      <c r="AH49" s="42">
        <f t="shared" si="59"/>
        <v>0</v>
      </c>
      <c r="AI49" s="42">
        <f aca="true" t="shared" si="60" ref="AI49:BP49">AI20</f>
        <v>0</v>
      </c>
      <c r="AJ49" s="42">
        <f t="shared" si="60"/>
        <v>0</v>
      </c>
      <c r="AK49" s="42">
        <f t="shared" si="60"/>
        <v>0</v>
      </c>
      <c r="AL49" s="42">
        <f t="shared" si="60"/>
        <v>0</v>
      </c>
      <c r="AM49" s="42">
        <f t="shared" si="60"/>
        <v>0</v>
      </c>
      <c r="AN49" s="42">
        <f t="shared" si="60"/>
        <v>0</v>
      </c>
      <c r="AO49" s="42">
        <f t="shared" si="60"/>
        <v>0</v>
      </c>
      <c r="AP49" s="42">
        <f t="shared" si="60"/>
        <v>0</v>
      </c>
      <c r="AQ49" s="42">
        <f t="shared" si="60"/>
        <v>0</v>
      </c>
      <c r="AR49" s="42">
        <f t="shared" si="60"/>
        <v>0</v>
      </c>
      <c r="AS49" s="42">
        <f t="shared" si="60"/>
        <v>0</v>
      </c>
      <c r="AT49" s="42">
        <f t="shared" si="60"/>
        <v>0</v>
      </c>
      <c r="AU49" s="42">
        <f t="shared" si="60"/>
        <v>0</v>
      </c>
      <c r="AV49" s="42">
        <f t="shared" si="60"/>
        <v>0</v>
      </c>
      <c r="AW49" s="42">
        <f t="shared" si="60"/>
        <v>0</v>
      </c>
      <c r="AX49" s="42">
        <f t="shared" si="60"/>
        <v>0</v>
      </c>
      <c r="AY49" s="42">
        <f t="shared" si="60"/>
        <v>0</v>
      </c>
      <c r="AZ49" s="42">
        <f t="shared" si="60"/>
        <v>0</v>
      </c>
      <c r="BA49" s="42">
        <f t="shared" si="60"/>
        <v>0</v>
      </c>
      <c r="BB49" s="42">
        <f t="shared" si="60"/>
        <v>0</v>
      </c>
      <c r="BC49" s="42">
        <f t="shared" si="60"/>
        <v>0</v>
      </c>
      <c r="BD49" s="42">
        <f t="shared" si="60"/>
        <v>0</v>
      </c>
      <c r="BE49" s="42">
        <f t="shared" si="60"/>
        <v>0</v>
      </c>
      <c r="BF49" s="42">
        <f t="shared" si="60"/>
        <v>0</v>
      </c>
      <c r="BG49" s="42">
        <f t="shared" si="60"/>
        <v>0</v>
      </c>
      <c r="BH49" s="42">
        <f t="shared" si="60"/>
        <v>0</v>
      </c>
      <c r="BI49" s="42">
        <f t="shared" si="60"/>
        <v>0</v>
      </c>
      <c r="BJ49" s="42">
        <f t="shared" si="60"/>
        <v>0</v>
      </c>
      <c r="BK49" s="42">
        <f t="shared" si="60"/>
        <v>0</v>
      </c>
      <c r="BL49" s="42">
        <f t="shared" si="60"/>
        <v>0</v>
      </c>
      <c r="BM49" s="42">
        <f t="shared" si="60"/>
        <v>0</v>
      </c>
      <c r="BN49" s="42">
        <f t="shared" si="60"/>
        <v>0</v>
      </c>
      <c r="BO49" s="42">
        <f t="shared" si="60"/>
        <v>0</v>
      </c>
      <c r="BP49" s="42">
        <f t="shared" si="60"/>
        <v>0</v>
      </c>
      <c r="BQ49" s="43">
        <f t="shared" si="54"/>
        <v>0</v>
      </c>
      <c r="IQ49"/>
      <c r="IR49"/>
      <c r="IS49"/>
      <c r="IT49"/>
      <c r="IU49"/>
      <c r="IV49"/>
    </row>
    <row r="50" spans="1:256" ht="12.75" customHeight="1">
      <c r="A50" s="42" t="str">
        <f>A21</f>
        <v>Налог на имущество</v>
      </c>
      <c r="B50" s="42"/>
      <c r="C50" s="42">
        <f aca="true" t="shared" si="61" ref="C50:AH50">C21</f>
        <v>0</v>
      </c>
      <c r="D50" s="42">
        <f t="shared" si="61"/>
        <v>0</v>
      </c>
      <c r="E50" s="42">
        <f t="shared" si="61"/>
        <v>0</v>
      </c>
      <c r="F50" s="42">
        <f t="shared" si="61"/>
        <v>0</v>
      </c>
      <c r="G50" s="42">
        <f t="shared" si="61"/>
        <v>0</v>
      </c>
      <c r="H50" s="42">
        <f t="shared" si="61"/>
        <v>0</v>
      </c>
      <c r="I50" s="42">
        <f t="shared" si="61"/>
        <v>0</v>
      </c>
      <c r="J50" s="42">
        <f t="shared" si="61"/>
        <v>0</v>
      </c>
      <c r="K50" s="42">
        <f t="shared" si="61"/>
        <v>250000</v>
      </c>
      <c r="L50" s="42">
        <f t="shared" si="61"/>
        <v>0</v>
      </c>
      <c r="M50" s="42">
        <f t="shared" si="61"/>
        <v>0</v>
      </c>
      <c r="N50" s="42">
        <f t="shared" si="61"/>
        <v>250000</v>
      </c>
      <c r="O50" s="42">
        <f t="shared" si="61"/>
        <v>0</v>
      </c>
      <c r="P50" s="42">
        <f t="shared" si="61"/>
        <v>0</v>
      </c>
      <c r="Q50" s="42">
        <f t="shared" si="61"/>
        <v>250000</v>
      </c>
      <c r="R50" s="42">
        <f t="shared" si="61"/>
        <v>0</v>
      </c>
      <c r="S50" s="42">
        <f t="shared" si="61"/>
        <v>0</v>
      </c>
      <c r="T50" s="42">
        <f t="shared" si="61"/>
        <v>250000</v>
      </c>
      <c r="U50" s="42">
        <f t="shared" si="61"/>
        <v>0</v>
      </c>
      <c r="V50" s="42">
        <f t="shared" si="61"/>
        <v>0</v>
      </c>
      <c r="W50" s="42">
        <f t="shared" si="61"/>
        <v>250000</v>
      </c>
      <c r="X50" s="42">
        <f t="shared" si="61"/>
        <v>0</v>
      </c>
      <c r="Y50" s="42">
        <f t="shared" si="61"/>
        <v>0</v>
      </c>
      <c r="Z50" s="42">
        <f t="shared" si="61"/>
        <v>250000</v>
      </c>
      <c r="AA50" s="42">
        <f t="shared" si="61"/>
        <v>0</v>
      </c>
      <c r="AB50" s="42">
        <f t="shared" si="61"/>
        <v>0</v>
      </c>
      <c r="AC50" s="42">
        <f t="shared" si="61"/>
        <v>250000</v>
      </c>
      <c r="AD50" s="42">
        <f t="shared" si="61"/>
        <v>0</v>
      </c>
      <c r="AE50" s="42">
        <f t="shared" si="61"/>
        <v>0</v>
      </c>
      <c r="AF50" s="42">
        <f t="shared" si="61"/>
        <v>250000</v>
      </c>
      <c r="AG50" s="42">
        <f t="shared" si="61"/>
        <v>0</v>
      </c>
      <c r="AH50" s="42">
        <f t="shared" si="61"/>
        <v>0</v>
      </c>
      <c r="AI50" s="42">
        <f aca="true" t="shared" si="62" ref="AI50:BP50">AI21</f>
        <v>250000</v>
      </c>
      <c r="AJ50" s="42">
        <f t="shared" si="62"/>
        <v>0</v>
      </c>
      <c r="AK50" s="42">
        <f t="shared" si="62"/>
        <v>0</v>
      </c>
      <c r="AL50" s="42">
        <f t="shared" si="62"/>
        <v>250000</v>
      </c>
      <c r="AM50" s="42">
        <f t="shared" si="62"/>
        <v>0</v>
      </c>
      <c r="AN50" s="42">
        <f t="shared" si="62"/>
        <v>0</v>
      </c>
      <c r="AO50" s="42">
        <f t="shared" si="62"/>
        <v>250000</v>
      </c>
      <c r="AP50" s="42">
        <f t="shared" si="62"/>
        <v>0</v>
      </c>
      <c r="AQ50" s="42">
        <f t="shared" si="62"/>
        <v>0</v>
      </c>
      <c r="AR50" s="42">
        <f t="shared" si="62"/>
        <v>250000</v>
      </c>
      <c r="AS50" s="42">
        <f t="shared" si="62"/>
        <v>0</v>
      </c>
      <c r="AT50" s="42">
        <f t="shared" si="62"/>
        <v>0</v>
      </c>
      <c r="AU50" s="42">
        <f t="shared" si="62"/>
        <v>250000</v>
      </c>
      <c r="AV50" s="42">
        <f t="shared" si="62"/>
        <v>0</v>
      </c>
      <c r="AW50" s="42">
        <f t="shared" si="62"/>
        <v>0</v>
      </c>
      <c r="AX50" s="42">
        <f t="shared" si="62"/>
        <v>250000</v>
      </c>
      <c r="AY50" s="42">
        <f t="shared" si="62"/>
        <v>0</v>
      </c>
      <c r="AZ50" s="42">
        <f t="shared" si="62"/>
        <v>0</v>
      </c>
      <c r="BA50" s="42">
        <f t="shared" si="62"/>
        <v>250000</v>
      </c>
      <c r="BB50" s="42">
        <f t="shared" si="62"/>
        <v>0</v>
      </c>
      <c r="BC50" s="42">
        <f t="shared" si="62"/>
        <v>0</v>
      </c>
      <c r="BD50" s="42">
        <f t="shared" si="62"/>
        <v>250000</v>
      </c>
      <c r="BE50" s="42">
        <f t="shared" si="62"/>
        <v>0</v>
      </c>
      <c r="BF50" s="42">
        <f t="shared" si="62"/>
        <v>0</v>
      </c>
      <c r="BG50" s="42">
        <f t="shared" si="62"/>
        <v>250000</v>
      </c>
      <c r="BH50" s="42">
        <f t="shared" si="62"/>
        <v>0</v>
      </c>
      <c r="BI50" s="42">
        <f t="shared" si="62"/>
        <v>0</v>
      </c>
      <c r="BJ50" s="42">
        <f t="shared" si="62"/>
        <v>250000</v>
      </c>
      <c r="BK50" s="42">
        <f t="shared" si="62"/>
        <v>0</v>
      </c>
      <c r="BL50" s="42">
        <f t="shared" si="62"/>
        <v>0</v>
      </c>
      <c r="BM50" s="42">
        <f t="shared" si="62"/>
        <v>250000</v>
      </c>
      <c r="BN50" s="42">
        <f t="shared" si="62"/>
        <v>0</v>
      </c>
      <c r="BO50" s="42">
        <f t="shared" si="62"/>
        <v>0</v>
      </c>
      <c r="BP50" s="42">
        <f t="shared" si="62"/>
        <v>250000</v>
      </c>
      <c r="BQ50" s="43">
        <f t="shared" si="54"/>
        <v>5000000</v>
      </c>
      <c r="IQ50"/>
      <c r="IR50"/>
      <c r="IS50"/>
      <c r="IT50"/>
      <c r="IU50"/>
      <c r="IV50"/>
    </row>
    <row r="51" spans="1:256" ht="12.75" customHeight="1">
      <c r="A51" s="333" t="s">
        <v>80</v>
      </c>
      <c r="B51" s="333"/>
      <c r="C51" s="45">
        <f aca="true" t="shared" si="63" ref="C51:AL51">C47-C48-C49-C50</f>
        <v>-93811670.20115</v>
      </c>
      <c r="D51" s="45">
        <f t="shared" si="63"/>
        <v>0</v>
      </c>
      <c r="E51" s="45">
        <f t="shared" si="63"/>
        <v>0</v>
      </c>
      <c r="F51" s="45">
        <f t="shared" si="63"/>
        <v>0</v>
      </c>
      <c r="G51" s="45">
        <f t="shared" si="63"/>
        <v>0</v>
      </c>
      <c r="H51" s="45">
        <f t="shared" si="63"/>
        <v>0</v>
      </c>
      <c r="I51" s="47">
        <f t="shared" si="63"/>
        <v>2319061.9546100427</v>
      </c>
      <c r="J51" s="47">
        <f t="shared" si="63"/>
        <v>2319061.9546100427</v>
      </c>
      <c r="K51" s="47">
        <f t="shared" si="63"/>
        <v>2069061.9546100427</v>
      </c>
      <c r="L51" s="47">
        <f t="shared" si="63"/>
        <v>2319061.9546100427</v>
      </c>
      <c r="M51" s="47">
        <f t="shared" si="63"/>
        <v>2319061.9546100427</v>
      </c>
      <c r="N51" s="47">
        <f t="shared" si="63"/>
        <v>2016816.1946100425</v>
      </c>
      <c r="O51" s="47">
        <f t="shared" si="63"/>
        <v>2266816.1946100425</v>
      </c>
      <c r="P51" s="47">
        <f t="shared" si="63"/>
        <v>2266816.1946100425</v>
      </c>
      <c r="Q51" s="47">
        <f t="shared" si="63"/>
        <v>2016816.1946100425</v>
      </c>
      <c r="R51" s="47">
        <f t="shared" si="63"/>
        <v>2266816.1946100425</v>
      </c>
      <c r="S51" s="47">
        <f t="shared" si="63"/>
        <v>2266816.1946100425</v>
      </c>
      <c r="T51" s="47">
        <f t="shared" si="63"/>
        <v>2016816.1946100425</v>
      </c>
      <c r="U51" s="47">
        <f t="shared" si="63"/>
        <v>2266816.1946100425</v>
      </c>
      <c r="V51" s="47">
        <f t="shared" si="63"/>
        <v>2266816.1946100425</v>
      </c>
      <c r="W51" s="47">
        <f t="shared" si="63"/>
        <v>2016816.1946100425</v>
      </c>
      <c r="X51" s="47">
        <f t="shared" si="63"/>
        <v>2266816.1946100425</v>
      </c>
      <c r="Y51" s="47">
        <f t="shared" si="63"/>
        <v>2266816.1946100425</v>
      </c>
      <c r="Z51" s="47">
        <f t="shared" si="63"/>
        <v>2016816.1946100425</v>
      </c>
      <c r="AA51" s="47">
        <f t="shared" si="63"/>
        <v>2266816.1946100425</v>
      </c>
      <c r="AB51" s="47">
        <f t="shared" si="63"/>
        <v>2266816.1946100425</v>
      </c>
      <c r="AC51" s="47">
        <f t="shared" si="63"/>
        <v>2016816.1946100425</v>
      </c>
      <c r="AD51" s="47">
        <f t="shared" si="63"/>
        <v>2266816.1946100425</v>
      </c>
      <c r="AE51" s="47">
        <f t="shared" si="63"/>
        <v>2266816.1946100425</v>
      </c>
      <c r="AF51" s="47">
        <f t="shared" si="63"/>
        <v>2016816.1946100425</v>
      </c>
      <c r="AG51" s="47">
        <f t="shared" si="63"/>
        <v>4159749.991788066</v>
      </c>
      <c r="AH51" s="47">
        <f t="shared" si="63"/>
        <v>4159749.991788066</v>
      </c>
      <c r="AI51" s="47">
        <f t="shared" si="63"/>
        <v>3909749.991788066</v>
      </c>
      <c r="AJ51" s="47">
        <f t="shared" si="63"/>
        <v>4159749.991788066</v>
      </c>
      <c r="AK51" s="47">
        <f t="shared" si="63"/>
        <v>4159749.991788066</v>
      </c>
      <c r="AL51" s="47">
        <f t="shared" si="63"/>
        <v>3909749.991788066</v>
      </c>
      <c r="AM51" s="47">
        <f aca="true" t="shared" si="64" ref="AM51:BP51">AM47-AM48-AM49-AM50</f>
        <v>4159749.991788066</v>
      </c>
      <c r="AN51" s="47">
        <f t="shared" si="64"/>
        <v>4159749.991788066</v>
      </c>
      <c r="AO51" s="47">
        <f t="shared" si="64"/>
        <v>3909749.991788066</v>
      </c>
      <c r="AP51" s="47">
        <f t="shared" si="64"/>
        <v>4159749.991788066</v>
      </c>
      <c r="AQ51" s="47">
        <f t="shared" si="64"/>
        <v>4159749.991788066</v>
      </c>
      <c r="AR51" s="47">
        <f t="shared" si="64"/>
        <v>3909749.991788066</v>
      </c>
      <c r="AS51" s="47">
        <f t="shared" si="64"/>
        <v>4159749.991788066</v>
      </c>
      <c r="AT51" s="47">
        <f t="shared" si="64"/>
        <v>4159749.991788066</v>
      </c>
      <c r="AU51" s="47">
        <f t="shared" si="64"/>
        <v>3909749.991788066</v>
      </c>
      <c r="AV51" s="47">
        <f t="shared" si="64"/>
        <v>4159749.991788066</v>
      </c>
      <c r="AW51" s="47">
        <f t="shared" si="64"/>
        <v>4159749.991788066</v>
      </c>
      <c r="AX51" s="47">
        <f t="shared" si="64"/>
        <v>3909749.991788066</v>
      </c>
      <c r="AY51" s="47">
        <f t="shared" si="64"/>
        <v>4159749.991788066</v>
      </c>
      <c r="AZ51" s="47">
        <f t="shared" si="64"/>
        <v>4159749.991788066</v>
      </c>
      <c r="BA51" s="47">
        <f t="shared" si="64"/>
        <v>3909749.991788066</v>
      </c>
      <c r="BB51" s="47">
        <f t="shared" si="64"/>
        <v>4159749.991788066</v>
      </c>
      <c r="BC51" s="47">
        <f t="shared" si="64"/>
        <v>4159749.991788066</v>
      </c>
      <c r="BD51" s="47">
        <f t="shared" si="64"/>
        <v>3909749.991788066</v>
      </c>
      <c r="BE51" s="47">
        <f t="shared" si="64"/>
        <v>4159749.991788066</v>
      </c>
      <c r="BF51" s="47">
        <f t="shared" si="64"/>
        <v>4159749.991788066</v>
      </c>
      <c r="BG51" s="47">
        <f t="shared" si="64"/>
        <v>3909749.991788066</v>
      </c>
      <c r="BH51" s="47">
        <f t="shared" si="64"/>
        <v>4159749.991788066</v>
      </c>
      <c r="BI51" s="47">
        <f t="shared" si="64"/>
        <v>4159749.991788066</v>
      </c>
      <c r="BJ51" s="47">
        <f t="shared" si="64"/>
        <v>3909749.991788066</v>
      </c>
      <c r="BK51" s="47">
        <f t="shared" si="64"/>
        <v>4159749.991788066</v>
      </c>
      <c r="BL51" s="47">
        <f t="shared" si="64"/>
        <v>4159749.991788066</v>
      </c>
      <c r="BM51" s="47">
        <f t="shared" si="64"/>
        <v>3909749.991788066</v>
      </c>
      <c r="BN51" s="47">
        <f t="shared" si="64"/>
        <v>4159749.991788066</v>
      </c>
      <c r="BO51" s="47">
        <f t="shared" si="64"/>
        <v>4159749.991788066</v>
      </c>
      <c r="BP51" s="47">
        <f t="shared" si="64"/>
        <v>3909749.991788066</v>
      </c>
      <c r="BQ51" s="47">
        <f t="shared" si="54"/>
        <v>199415817.17501122</v>
      </c>
      <c r="IQ51"/>
      <c r="IR51"/>
      <c r="IS51"/>
      <c r="IT51"/>
      <c r="IU51"/>
      <c r="IV51"/>
    </row>
    <row r="52" spans="1:256" ht="12.75" customHeight="1">
      <c r="A52" s="344" t="s">
        <v>81</v>
      </c>
      <c r="B52" s="344"/>
      <c r="C52" s="48">
        <f>C51</f>
        <v>-93811670.20115</v>
      </c>
      <c r="D52" s="48">
        <f aca="true" t="shared" si="65" ref="D52:S52">D51+C52</f>
        <v>-93811670.20115</v>
      </c>
      <c r="E52" s="48">
        <f>E51+D52</f>
        <v>-93811670.20115</v>
      </c>
      <c r="F52" s="48">
        <f>F51+E52</f>
        <v>-93811670.20115</v>
      </c>
      <c r="G52" s="48">
        <f>G51+F52</f>
        <v>-93811670.20115</v>
      </c>
      <c r="H52" s="48">
        <f>H51+G52</f>
        <v>-93811670.20115</v>
      </c>
      <c r="I52" s="48">
        <f>I51+H52</f>
        <v>-91492608.24653995</v>
      </c>
      <c r="J52" s="48">
        <f t="shared" si="65"/>
        <v>-89173546.2919299</v>
      </c>
      <c r="K52" s="48">
        <f t="shared" si="65"/>
        <v>-87104484.33731985</v>
      </c>
      <c r="L52" s="48">
        <f t="shared" si="65"/>
        <v>-84785422.3827098</v>
      </c>
      <c r="M52" s="48">
        <f t="shared" si="65"/>
        <v>-82466360.42809975</v>
      </c>
      <c r="N52" s="48">
        <f t="shared" si="65"/>
        <v>-80449544.2334897</v>
      </c>
      <c r="O52" s="48">
        <f t="shared" si="65"/>
        <v>-78182728.03887966</v>
      </c>
      <c r="P52" s="48">
        <f t="shared" si="65"/>
        <v>-75915911.84426962</v>
      </c>
      <c r="Q52" s="48">
        <f t="shared" si="65"/>
        <v>-73899095.64965957</v>
      </c>
      <c r="R52" s="48">
        <f t="shared" si="65"/>
        <v>-71632279.45504953</v>
      </c>
      <c r="S52" s="48">
        <f t="shared" si="65"/>
        <v>-69365463.26043949</v>
      </c>
      <c r="T52" s="48">
        <f aca="true" t="shared" si="66" ref="T52:AM52">T51+S52</f>
        <v>-67348647.06582944</v>
      </c>
      <c r="U52" s="48">
        <f t="shared" si="66"/>
        <v>-65081830.8712194</v>
      </c>
      <c r="V52" s="48">
        <f t="shared" si="66"/>
        <v>-62815014.67660935</v>
      </c>
      <c r="W52" s="48">
        <f t="shared" si="66"/>
        <v>-60798198.48199931</v>
      </c>
      <c r="X52" s="48">
        <f t="shared" si="66"/>
        <v>-58531382.28738926</v>
      </c>
      <c r="Y52" s="48">
        <f t="shared" si="66"/>
        <v>-56264566.09277922</v>
      </c>
      <c r="Z52" s="48">
        <f t="shared" si="66"/>
        <v>-54247749.898169175</v>
      </c>
      <c r="AA52" s="48">
        <f t="shared" si="66"/>
        <v>-51980933.70355913</v>
      </c>
      <c r="AB52" s="48">
        <f t="shared" si="66"/>
        <v>-49714117.508949086</v>
      </c>
      <c r="AC52" s="48">
        <f t="shared" si="66"/>
        <v>-47697301.31433904</v>
      </c>
      <c r="AD52" s="48">
        <f t="shared" si="66"/>
        <v>-45430485.119729</v>
      </c>
      <c r="AE52" s="48">
        <f t="shared" si="66"/>
        <v>-43163668.92511895</v>
      </c>
      <c r="AF52" s="48">
        <f t="shared" si="66"/>
        <v>-41146852.73050891</v>
      </c>
      <c r="AG52" s="48">
        <f t="shared" si="66"/>
        <v>-36987102.73872084</v>
      </c>
      <c r="AH52" s="48">
        <f t="shared" si="66"/>
        <v>-32827352.746932775</v>
      </c>
      <c r="AI52" s="48">
        <f t="shared" si="66"/>
        <v>-28917602.755144708</v>
      </c>
      <c r="AJ52" s="48">
        <f t="shared" si="66"/>
        <v>-24757852.76335664</v>
      </c>
      <c r="AK52" s="48">
        <f t="shared" si="66"/>
        <v>-20598102.771568574</v>
      </c>
      <c r="AL52" s="48">
        <f t="shared" si="66"/>
        <v>-16688352.779780507</v>
      </c>
      <c r="AM52" s="48">
        <f t="shared" si="66"/>
        <v>-12528602.78799244</v>
      </c>
      <c r="AN52" s="49">
        <f aca="true" t="shared" si="67" ref="AN52:BJ52">AM52+AN51</f>
        <v>-8368852.796204374</v>
      </c>
      <c r="AO52" s="49">
        <f t="shared" si="67"/>
        <v>-4459102.804416308</v>
      </c>
      <c r="AP52" s="49">
        <f t="shared" si="67"/>
        <v>-299352.8126282422</v>
      </c>
      <c r="AQ52" s="49">
        <f t="shared" si="67"/>
        <v>3860397.179159824</v>
      </c>
      <c r="AR52" s="49">
        <f t="shared" si="67"/>
        <v>7770147.17094789</v>
      </c>
      <c r="AS52" s="49">
        <f t="shared" si="67"/>
        <v>11929897.162735956</v>
      </c>
      <c r="AT52" s="49">
        <f t="shared" si="67"/>
        <v>16089647.15452402</v>
      </c>
      <c r="AU52" s="49">
        <f t="shared" si="67"/>
        <v>19999397.146312088</v>
      </c>
      <c r="AV52" s="49">
        <f t="shared" si="67"/>
        <v>24159147.138100155</v>
      </c>
      <c r="AW52" s="49">
        <f t="shared" si="67"/>
        <v>28318897.12988822</v>
      </c>
      <c r="AX52" s="49">
        <f t="shared" si="67"/>
        <v>32228647.12167629</v>
      </c>
      <c r="AY52" s="49">
        <f t="shared" si="67"/>
        <v>36388397.113464355</v>
      </c>
      <c r="AZ52" s="49">
        <f t="shared" si="67"/>
        <v>40548147.10525242</v>
      </c>
      <c r="BA52" s="49">
        <f t="shared" si="67"/>
        <v>44457897.09704049</v>
      </c>
      <c r="BB52" s="49">
        <f t="shared" si="67"/>
        <v>48617647.088828556</v>
      </c>
      <c r="BC52" s="49">
        <f t="shared" si="67"/>
        <v>52777397.08061662</v>
      </c>
      <c r="BD52" s="49">
        <f t="shared" si="67"/>
        <v>56687147.07240469</v>
      </c>
      <c r="BE52" s="49">
        <f t="shared" si="67"/>
        <v>60846897.06419276</v>
      </c>
      <c r="BF52" s="49">
        <f t="shared" si="67"/>
        <v>65006647.055980824</v>
      </c>
      <c r="BG52" s="49">
        <f t="shared" si="67"/>
        <v>68916397.04776889</v>
      </c>
      <c r="BH52" s="49">
        <f t="shared" si="67"/>
        <v>73076147.03955695</v>
      </c>
      <c r="BI52" s="49">
        <f t="shared" si="67"/>
        <v>77235897.03134501</v>
      </c>
      <c r="BJ52" s="49">
        <f t="shared" si="67"/>
        <v>81145647.02313307</v>
      </c>
      <c r="BK52" s="49">
        <f aca="true" t="shared" si="68" ref="BK52:BP52">BJ52+BK51</f>
        <v>85305397.01492113</v>
      </c>
      <c r="BL52" s="49">
        <f t="shared" si="68"/>
        <v>89465147.00670919</v>
      </c>
      <c r="BM52" s="49">
        <f t="shared" si="68"/>
        <v>93374896.99849725</v>
      </c>
      <c r="BN52" s="49">
        <f t="shared" si="68"/>
        <v>97534646.9902853</v>
      </c>
      <c r="BO52" s="49">
        <f t="shared" si="68"/>
        <v>101694396.98207337</v>
      </c>
      <c r="BP52" s="49">
        <f t="shared" si="68"/>
        <v>105604146.97386143</v>
      </c>
      <c r="BQ52" s="43"/>
      <c r="IQ52"/>
      <c r="IR52"/>
      <c r="IS52"/>
      <c r="IT52"/>
      <c r="IU52"/>
      <c r="IV52"/>
    </row>
    <row r="53" spans="1:69" ht="12.75">
      <c r="A53" s="28" t="s">
        <v>338</v>
      </c>
      <c r="I53" s="288">
        <f aca="true" t="shared" si="69" ref="I53:AN53">I51/I34</f>
        <v>0.21424756977199835</v>
      </c>
      <c r="J53" s="288">
        <f t="shared" si="69"/>
        <v>0.21424756977199835</v>
      </c>
      <c r="K53" s="288">
        <f t="shared" si="69"/>
        <v>0.19115120861764265</v>
      </c>
      <c r="L53" s="288">
        <f t="shared" si="69"/>
        <v>0.21424756977199835</v>
      </c>
      <c r="M53" s="288">
        <f t="shared" si="69"/>
        <v>0.21424756977199835</v>
      </c>
      <c r="N53" s="288">
        <f t="shared" si="69"/>
        <v>0.18632446085066748</v>
      </c>
      <c r="O53" s="288">
        <f t="shared" si="69"/>
        <v>0.20942082200502318</v>
      </c>
      <c r="P53" s="288">
        <f t="shared" si="69"/>
        <v>0.20942082200502318</v>
      </c>
      <c r="Q53" s="288">
        <f t="shared" si="69"/>
        <v>0.18632446085066748</v>
      </c>
      <c r="R53" s="288">
        <f t="shared" si="69"/>
        <v>0.20942082200502318</v>
      </c>
      <c r="S53" s="288">
        <f t="shared" si="69"/>
        <v>0.20942082200502318</v>
      </c>
      <c r="T53" s="288">
        <f t="shared" si="69"/>
        <v>0.18632446085066748</v>
      </c>
      <c r="U53" s="288">
        <f t="shared" si="69"/>
        <v>0.20942082200502318</v>
      </c>
      <c r="V53" s="288">
        <f t="shared" si="69"/>
        <v>0.20942082200502318</v>
      </c>
      <c r="W53" s="288">
        <f t="shared" si="69"/>
        <v>0.18632446085066748</v>
      </c>
      <c r="X53" s="288">
        <f t="shared" si="69"/>
        <v>0.20942082200502318</v>
      </c>
      <c r="Y53" s="288">
        <f t="shared" si="69"/>
        <v>0.20942082200502318</v>
      </c>
      <c r="Z53" s="288">
        <f t="shared" si="69"/>
        <v>0.18632446085066748</v>
      </c>
      <c r="AA53" s="288">
        <f t="shared" si="69"/>
        <v>0.20942082200502318</v>
      </c>
      <c r="AB53" s="288">
        <f t="shared" si="69"/>
        <v>0.20942082200502318</v>
      </c>
      <c r="AC53" s="288">
        <f t="shared" si="69"/>
        <v>0.18632446085066748</v>
      </c>
      <c r="AD53" s="288">
        <f t="shared" si="69"/>
        <v>0.20942082200502318</v>
      </c>
      <c r="AE53" s="288">
        <f t="shared" si="69"/>
        <v>0.20942082200502318</v>
      </c>
      <c r="AF53" s="288">
        <f t="shared" si="69"/>
        <v>0.18632446085066748</v>
      </c>
      <c r="AG53" s="288">
        <f t="shared" si="69"/>
        <v>0.2401877203054133</v>
      </c>
      <c r="AH53" s="288">
        <f t="shared" si="69"/>
        <v>0.2401877203054133</v>
      </c>
      <c r="AI53" s="288">
        <f t="shared" si="69"/>
        <v>0.225752494583941</v>
      </c>
      <c r="AJ53" s="288">
        <f t="shared" si="69"/>
        <v>0.2401877203054133</v>
      </c>
      <c r="AK53" s="288">
        <f t="shared" si="69"/>
        <v>0.2401877203054133</v>
      </c>
      <c r="AL53" s="288">
        <f t="shared" si="69"/>
        <v>0.225752494583941</v>
      </c>
      <c r="AM53" s="288">
        <f t="shared" si="69"/>
        <v>0.2401877203054133</v>
      </c>
      <c r="AN53" s="288">
        <f t="shared" si="69"/>
        <v>0.2401877203054133</v>
      </c>
      <c r="AO53" s="288">
        <f aca="true" t="shared" si="70" ref="AO53:BQ53">AO51/AO34</f>
        <v>0.225752494583941</v>
      </c>
      <c r="AP53" s="288">
        <f t="shared" si="70"/>
        <v>0.2401877203054133</v>
      </c>
      <c r="AQ53" s="288">
        <f t="shared" si="70"/>
        <v>0.2401877203054133</v>
      </c>
      <c r="AR53" s="288">
        <f t="shared" si="70"/>
        <v>0.225752494583941</v>
      </c>
      <c r="AS53" s="288">
        <f t="shared" si="70"/>
        <v>0.2401877203054133</v>
      </c>
      <c r="AT53" s="288">
        <f t="shared" si="70"/>
        <v>0.2401877203054133</v>
      </c>
      <c r="AU53" s="288">
        <f t="shared" si="70"/>
        <v>0.225752494583941</v>
      </c>
      <c r="AV53" s="288">
        <f t="shared" si="70"/>
        <v>0.2401877203054133</v>
      </c>
      <c r="AW53" s="288">
        <f t="shared" si="70"/>
        <v>0.2401877203054133</v>
      </c>
      <c r="AX53" s="288">
        <f t="shared" si="70"/>
        <v>0.225752494583941</v>
      </c>
      <c r="AY53" s="288">
        <f t="shared" si="70"/>
        <v>0.2401877203054133</v>
      </c>
      <c r="AZ53" s="288">
        <f t="shared" si="70"/>
        <v>0.2401877203054133</v>
      </c>
      <c r="BA53" s="288">
        <f t="shared" si="70"/>
        <v>0.225752494583941</v>
      </c>
      <c r="BB53" s="288">
        <f t="shared" si="70"/>
        <v>0.2401877203054133</v>
      </c>
      <c r="BC53" s="288">
        <f t="shared" si="70"/>
        <v>0.2401877203054133</v>
      </c>
      <c r="BD53" s="288">
        <f t="shared" si="70"/>
        <v>0.225752494583941</v>
      </c>
      <c r="BE53" s="288">
        <f t="shared" si="70"/>
        <v>0.2401877203054133</v>
      </c>
      <c r="BF53" s="288">
        <f t="shared" si="70"/>
        <v>0.2401877203054133</v>
      </c>
      <c r="BG53" s="288">
        <f t="shared" si="70"/>
        <v>0.225752494583941</v>
      </c>
      <c r="BH53" s="288">
        <f t="shared" si="70"/>
        <v>0.2401877203054133</v>
      </c>
      <c r="BI53" s="288">
        <f t="shared" si="70"/>
        <v>0.2401877203054133</v>
      </c>
      <c r="BJ53" s="288">
        <f t="shared" si="70"/>
        <v>0.225752494583941</v>
      </c>
      <c r="BK53" s="288">
        <f t="shared" si="70"/>
        <v>0.2401877203054133</v>
      </c>
      <c r="BL53" s="288">
        <f t="shared" si="70"/>
        <v>0.2401877203054133</v>
      </c>
      <c r="BM53" s="288">
        <f t="shared" si="70"/>
        <v>0.225752494583941</v>
      </c>
      <c r="BN53" s="288">
        <f t="shared" si="70"/>
        <v>0.2401877203054133</v>
      </c>
      <c r="BO53" s="288">
        <f t="shared" si="70"/>
        <v>0.2401877203054133</v>
      </c>
      <c r="BP53" s="288">
        <f t="shared" si="70"/>
        <v>0.225752494583941</v>
      </c>
      <c r="BQ53" s="288">
        <f t="shared" si="70"/>
        <v>0.22577351634142262</v>
      </c>
    </row>
    <row r="54" spans="1:12" ht="12.75">
      <c r="A54" s="28" t="s">
        <v>82</v>
      </c>
      <c r="C54" s="28">
        <f>C42+I43+I44</f>
        <v>101851898.17606667</v>
      </c>
      <c r="D54" s="50">
        <f>C54</f>
        <v>101851898.17606667</v>
      </c>
      <c r="E54" s="50"/>
      <c r="F54" s="50"/>
      <c r="G54" s="50"/>
      <c r="H54" s="50"/>
      <c r="I54" s="50">
        <f>D54/36</f>
        <v>2829219.39377963</v>
      </c>
      <c r="L54" s="28" t="s">
        <v>87</v>
      </c>
    </row>
    <row r="55" ht="12.75">
      <c r="L55" s="28" t="s">
        <v>362</v>
      </c>
    </row>
    <row r="56" ht="12.75">
      <c r="L56" s="28" t="s">
        <v>361</v>
      </c>
    </row>
  </sheetData>
  <sheetProtection/>
  <mergeCells count="54">
    <mergeCell ref="A47:B47"/>
    <mergeCell ref="A48:B48"/>
    <mergeCell ref="A36:B36"/>
    <mergeCell ref="A37:B37"/>
    <mergeCell ref="A38:B38"/>
    <mergeCell ref="A23:B23"/>
    <mergeCell ref="A51:B51"/>
    <mergeCell ref="A52:B52"/>
    <mergeCell ref="A39:B39"/>
    <mergeCell ref="A40:B40"/>
    <mergeCell ref="A41:B41"/>
    <mergeCell ref="A42:B42"/>
    <mergeCell ref="A43:B43"/>
    <mergeCell ref="A44:B44"/>
    <mergeCell ref="A45:B45"/>
    <mergeCell ref="A46:B46"/>
    <mergeCell ref="AG32:AR32"/>
    <mergeCell ref="AS32:BD32"/>
    <mergeCell ref="BE32:BP32"/>
    <mergeCell ref="A34:B34"/>
    <mergeCell ref="A35:B35"/>
    <mergeCell ref="A32:B33"/>
    <mergeCell ref="C32:D32"/>
    <mergeCell ref="I32:T32"/>
    <mergeCell ref="C35:H40"/>
    <mergeCell ref="A13:B13"/>
    <mergeCell ref="A14:B14"/>
    <mergeCell ref="A15:B15"/>
    <mergeCell ref="A16:B16"/>
    <mergeCell ref="U32:AF32"/>
    <mergeCell ref="A17:B17"/>
    <mergeCell ref="A18:B18"/>
    <mergeCell ref="A19:B19"/>
    <mergeCell ref="A20:B20"/>
    <mergeCell ref="A21:B21"/>
    <mergeCell ref="AS3:BD3"/>
    <mergeCell ref="BE3:BP3"/>
    <mergeCell ref="A5:B5"/>
    <mergeCell ref="A6:B6"/>
    <mergeCell ref="A7:B7"/>
    <mergeCell ref="U3:AF3"/>
    <mergeCell ref="AG3:AR3"/>
    <mergeCell ref="C6:H11"/>
    <mergeCell ref="A11:B11"/>
    <mergeCell ref="A1:T1"/>
    <mergeCell ref="A31:T31"/>
    <mergeCell ref="A8:B8"/>
    <mergeCell ref="A9:B9"/>
    <mergeCell ref="A10:B10"/>
    <mergeCell ref="A3:B4"/>
    <mergeCell ref="C3:D3"/>
    <mergeCell ref="I3:T3"/>
    <mergeCell ref="A22:B22"/>
    <mergeCell ref="A12:B1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24"/>
  <sheetViews>
    <sheetView zoomScale="75" zoomScaleNormal="75" zoomScalePageLayoutView="0" workbookViewId="0" topLeftCell="A1">
      <selection activeCell="B18" sqref="B18"/>
    </sheetView>
  </sheetViews>
  <sheetFormatPr defaultColWidth="11.57421875" defaultRowHeight="15"/>
  <cols>
    <col min="1" max="1" width="39.28125" style="0" customWidth="1"/>
    <col min="2" max="2" width="20.8515625" style="0" bestFit="1" customWidth="1"/>
  </cols>
  <sheetData>
    <row r="1" spans="1:2" ht="14.25">
      <c r="A1" s="55"/>
      <c r="B1" s="55"/>
    </row>
    <row r="2" spans="1:2" ht="12.75" customHeight="1">
      <c r="A2" s="347" t="s">
        <v>88</v>
      </c>
      <c r="B2" s="347"/>
    </row>
    <row r="3" spans="1:2" ht="15">
      <c r="A3" s="56"/>
      <c r="B3" s="56"/>
    </row>
    <row r="4" spans="1:2" ht="15">
      <c r="A4" s="57" t="s">
        <v>89</v>
      </c>
      <c r="B4" s="58"/>
    </row>
    <row r="5" spans="1:2" ht="15">
      <c r="A5" s="59" t="s">
        <v>90</v>
      </c>
      <c r="B5" s="59"/>
    </row>
    <row r="6" spans="1:2" ht="15">
      <c r="A6" s="60" t="s">
        <v>91</v>
      </c>
      <c r="B6" s="61">
        <f>SUM('Дисконтированные потоки'!BQ14:BQ15)</f>
        <v>1212064482.0984015</v>
      </c>
    </row>
    <row r="7" spans="1:2" ht="15">
      <c r="A7" s="60" t="s">
        <v>92</v>
      </c>
      <c r="B7" s="61">
        <f>'Дисконтированные потоки'!BQ13</f>
        <v>93811670.20115</v>
      </c>
    </row>
    <row r="8" spans="1:2" ht="15">
      <c r="A8" s="60" t="s">
        <v>93</v>
      </c>
      <c r="B8" s="61">
        <f>'Дисконтированные потоки'!BQ5</f>
        <v>1766512037.4300025</v>
      </c>
    </row>
    <row r="9" spans="1:2" ht="15">
      <c r="A9" s="60" t="s">
        <v>94</v>
      </c>
      <c r="B9" s="62">
        <f>'Объем производства'!Y42+'Объем производства'!AL42+'Объем производства'!AY42+'Объем производства'!BL42*2</f>
        <v>1766512037.4300008</v>
      </c>
    </row>
    <row r="10" spans="1:2" ht="15">
      <c r="A10" s="60"/>
      <c r="B10" s="61"/>
    </row>
    <row r="11" spans="1:2" ht="30.75">
      <c r="A11" s="60" t="s">
        <v>95</v>
      </c>
      <c r="B11" s="63">
        <f>B7/B9</f>
        <v>0.05310559351615364</v>
      </c>
    </row>
    <row r="12" spans="1:2" ht="15">
      <c r="A12" s="60"/>
      <c r="B12" s="61"/>
    </row>
    <row r="13" spans="1:2" ht="15">
      <c r="A13" s="60" t="s">
        <v>96</v>
      </c>
      <c r="B13" s="63">
        <f>Прейскурант!D18</f>
        <v>42</v>
      </c>
    </row>
    <row r="14" spans="1:2" ht="15">
      <c r="A14" s="60"/>
      <c r="B14" s="61"/>
    </row>
    <row r="15" spans="1:2" ht="15">
      <c r="A15" s="60"/>
      <c r="B15" s="61"/>
    </row>
    <row r="16" spans="1:2" ht="30.75">
      <c r="A16" s="60" t="s">
        <v>97</v>
      </c>
      <c r="B16" s="64">
        <f>B9*B6/(B8-B7)</f>
        <v>1280041865.068381</v>
      </c>
    </row>
    <row r="17" spans="1:2" ht="15">
      <c r="A17" s="60"/>
      <c r="B17" s="61"/>
    </row>
    <row r="18" spans="1:2" ht="30.75">
      <c r="A18" s="60" t="s">
        <v>98</v>
      </c>
      <c r="B18" s="64">
        <f>B6/(B13-B11)</f>
        <v>28895213.799452323</v>
      </c>
    </row>
    <row r="19" spans="1:2" ht="14.25">
      <c r="A19" s="55"/>
      <c r="B19" s="55"/>
    </row>
    <row r="20" spans="1:256" s="69" customFormat="1" ht="15">
      <c r="A20" s="348" t="s">
        <v>99</v>
      </c>
      <c r="B20" s="65"/>
      <c r="C20" s="66"/>
      <c r="D20" s="67"/>
      <c r="E20" s="68"/>
      <c r="F20" s="68"/>
      <c r="G20" s="68"/>
      <c r="H20" s="68"/>
      <c r="IU20"/>
      <c r="IV20"/>
    </row>
    <row r="21" spans="1:256" s="69" customFormat="1" ht="15">
      <c r="A21" s="348"/>
      <c r="B21" s="65"/>
      <c r="C21" s="70" t="s">
        <v>100</v>
      </c>
      <c r="D21" s="70" t="s">
        <v>5</v>
      </c>
      <c r="E21" s="70" t="s">
        <v>6</v>
      </c>
      <c r="F21" s="70" t="s">
        <v>7</v>
      </c>
      <c r="G21" s="70" t="s">
        <v>8</v>
      </c>
      <c r="H21" s="70" t="s">
        <v>101</v>
      </c>
      <c r="I21" s="71"/>
      <c r="J21" s="71"/>
      <c r="K21" s="71"/>
      <c r="IU21"/>
      <c r="IV21"/>
    </row>
    <row r="22" spans="1:256" s="69" customFormat="1" ht="30.75">
      <c r="A22" s="72" t="s">
        <v>102</v>
      </c>
      <c r="B22" s="73" t="s">
        <v>103</v>
      </c>
      <c r="C22" s="74">
        <f>SUM('Дисконтированные потоки'!I5:T5)</f>
        <v>259781181.9750001</v>
      </c>
      <c r="D22" s="74">
        <f>SUM('Дисконтированные потоки'!U5:AF5)</f>
        <v>259781181.9750001</v>
      </c>
      <c r="E22" s="74">
        <f>SUM('Дисконтированные потоки'!AG5:AR5)</f>
        <v>415649891.1600001</v>
      </c>
      <c r="F22" s="75">
        <f>SUM('Дисконтированные потоки'!AS5:BD5)</f>
        <v>415649891.1600001</v>
      </c>
      <c r="G22" s="74">
        <f>SUM('Дисконтированные потоки'!BE5:BP5)</f>
        <v>415649891.1600001</v>
      </c>
      <c r="H22" s="74">
        <f>G22</f>
        <v>415649891.1600001</v>
      </c>
      <c r="I22" s="76"/>
      <c r="J22" s="76"/>
      <c r="K22" s="76"/>
      <c r="L22" s="77"/>
      <c r="M22" s="77"/>
      <c r="N22" s="77"/>
      <c r="IU22"/>
      <c r="IV22"/>
    </row>
    <row r="23" spans="1:256" s="69" customFormat="1" ht="15">
      <c r="A23" s="72" t="s">
        <v>104</v>
      </c>
      <c r="B23" s="78" t="s">
        <v>58</v>
      </c>
      <c r="C23" s="79">
        <f>SUM('Дисконтированные потоки'!I14:T15)</f>
        <v>181363776.11799997</v>
      </c>
      <c r="D23" s="79">
        <f>SUM('Дисконтированные потоки'!U14:AF15)</f>
        <v>181677376.11799997</v>
      </c>
      <c r="E23" s="79">
        <f>SUM('Дисконтированные потоки'!AG14:AR15)</f>
        <v>283007776.6208001</v>
      </c>
      <c r="F23" s="79">
        <f>SUM('Дисконтированные потоки'!AS14:BD15)</f>
        <v>283007776.6208001</v>
      </c>
      <c r="G23" s="79">
        <f>SUM('Дисконтированные потоки'!BE14:BP15)</f>
        <v>283007776.6208001</v>
      </c>
      <c r="H23" s="79">
        <f>G23</f>
        <v>283007776.6208001</v>
      </c>
      <c r="I23" s="71"/>
      <c r="J23" s="71"/>
      <c r="K23" s="71"/>
      <c r="IU23"/>
      <c r="IV23"/>
    </row>
    <row r="24" spans="1:256" s="69" customFormat="1" ht="15">
      <c r="A24" s="72" t="s">
        <v>105</v>
      </c>
      <c r="B24" s="78" t="s">
        <v>56</v>
      </c>
      <c r="C24" s="80">
        <f>SUM('Дисконтированные потоки'!C13)</f>
        <v>93811670.20115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71"/>
      <c r="J24" s="71"/>
      <c r="K24" s="71"/>
      <c r="IU24"/>
      <c r="IV24"/>
    </row>
  </sheetData>
  <sheetProtection/>
  <mergeCells count="2">
    <mergeCell ref="A2:B2"/>
    <mergeCell ref="A20:A2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69"/>
  <sheetViews>
    <sheetView zoomScale="75" zoomScaleNormal="75" zoomScalePageLayoutView="0" workbookViewId="0" topLeftCell="A1">
      <selection activeCell="A2" sqref="A2:O12"/>
    </sheetView>
  </sheetViews>
  <sheetFormatPr defaultColWidth="8.28125" defaultRowHeight="15"/>
  <cols>
    <col min="1" max="1" width="3.7109375" style="27" bestFit="1" customWidth="1"/>
    <col min="2" max="2" width="22.28125" style="27" customWidth="1"/>
    <col min="3" max="3" width="7.7109375" style="27" customWidth="1"/>
    <col min="4" max="4" width="8.00390625" style="27" customWidth="1"/>
    <col min="5" max="10" width="7.7109375" style="27" customWidth="1"/>
    <col min="11" max="11" width="9.28125" style="27" customWidth="1"/>
    <col min="12" max="12" width="8.421875" style="27" customWidth="1"/>
    <col min="13" max="13" width="7.7109375" style="27" customWidth="1"/>
    <col min="14" max="14" width="8.57421875" style="27" customWidth="1"/>
    <col min="15" max="15" width="9.28125" style="27" customWidth="1"/>
    <col min="16" max="23" width="12.00390625" style="27" customWidth="1"/>
    <col min="24" max="16384" width="8.28125" style="27" customWidth="1"/>
  </cols>
  <sheetData>
    <row r="1" spans="2:52" ht="14.25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</row>
    <row r="2" spans="1:52" ht="15" customHeight="1">
      <c r="A2" s="349" t="s">
        <v>106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</row>
    <row r="3" spans="1:52" ht="14.25">
      <c r="A3" s="82" t="s">
        <v>107</v>
      </c>
      <c r="B3" s="82" t="s">
        <v>108</v>
      </c>
      <c r="C3" s="83" t="s">
        <v>109</v>
      </c>
      <c r="D3" s="83" t="s">
        <v>110</v>
      </c>
      <c r="E3" s="83" t="s">
        <v>111</v>
      </c>
      <c r="F3" s="83" t="s">
        <v>112</v>
      </c>
      <c r="G3" s="83" t="s">
        <v>113</v>
      </c>
      <c r="H3" s="83" t="s">
        <v>114</v>
      </c>
      <c r="I3" s="83" t="s">
        <v>115</v>
      </c>
      <c r="J3" s="83" t="s">
        <v>116</v>
      </c>
      <c r="K3" s="83" t="s">
        <v>117</v>
      </c>
      <c r="L3" s="83" t="s">
        <v>118</v>
      </c>
      <c r="M3" s="83" t="s">
        <v>119</v>
      </c>
      <c r="N3" s="83" t="s">
        <v>120</v>
      </c>
      <c r="O3" s="84" t="s">
        <v>121</v>
      </c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</row>
    <row r="4" spans="1:52" ht="14.25">
      <c r="A4" s="85" t="s">
        <v>122</v>
      </c>
      <c r="B4" s="86" t="s">
        <v>123</v>
      </c>
      <c r="C4" s="87">
        <f aca="true" t="shared" si="0" ref="C4:N4">SUM(C5:C9)</f>
        <v>591500</v>
      </c>
      <c r="D4" s="87">
        <f t="shared" si="0"/>
        <v>591500</v>
      </c>
      <c r="E4" s="87">
        <f t="shared" si="0"/>
        <v>591500</v>
      </c>
      <c r="F4" s="87">
        <f t="shared" si="0"/>
        <v>591500</v>
      </c>
      <c r="G4" s="87">
        <f t="shared" si="0"/>
        <v>591500</v>
      </c>
      <c r="H4" s="87">
        <f t="shared" si="0"/>
        <v>591500</v>
      </c>
      <c r="I4" s="87">
        <f t="shared" si="0"/>
        <v>591500</v>
      </c>
      <c r="J4" s="87">
        <f t="shared" si="0"/>
        <v>591500</v>
      </c>
      <c r="K4" s="87">
        <f t="shared" si="0"/>
        <v>591500</v>
      </c>
      <c r="L4" s="87">
        <f t="shared" si="0"/>
        <v>591500</v>
      </c>
      <c r="M4" s="87">
        <f t="shared" si="0"/>
        <v>591500</v>
      </c>
      <c r="N4" s="87">
        <f t="shared" si="0"/>
        <v>591500</v>
      </c>
      <c r="O4" s="88">
        <f aca="true" t="shared" si="1" ref="O4:O12">SUM(C4:N4)</f>
        <v>7098000</v>
      </c>
      <c r="P4" s="89"/>
      <c r="Q4" s="89"/>
      <c r="R4" s="89"/>
      <c r="S4" s="89"/>
      <c r="T4" s="89"/>
      <c r="U4" s="89"/>
      <c r="V4" s="89"/>
      <c r="W4" s="89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</row>
    <row r="5" spans="1:52" ht="14.25">
      <c r="A5" s="90" t="s">
        <v>124</v>
      </c>
      <c r="B5" s="91" t="str">
        <f>'Расходы на оплату труда персона'!A6</f>
        <v>Генеральный директор</v>
      </c>
      <c r="C5" s="92">
        <f>'Расходы на оплату труда персона'!B6*'Расходы на оплату труда персона'!C6</f>
        <v>70000</v>
      </c>
      <c r="D5" s="5">
        <f aca="true" t="shared" si="2" ref="D5:N5">C5</f>
        <v>70000</v>
      </c>
      <c r="E5" s="5">
        <f t="shared" si="2"/>
        <v>70000</v>
      </c>
      <c r="F5" s="5">
        <f t="shared" si="2"/>
        <v>70000</v>
      </c>
      <c r="G5" s="5">
        <f t="shared" si="2"/>
        <v>70000</v>
      </c>
      <c r="H5" s="5">
        <f t="shared" si="2"/>
        <v>70000</v>
      </c>
      <c r="I5" s="5">
        <f t="shared" si="2"/>
        <v>70000</v>
      </c>
      <c r="J5" s="5">
        <f t="shared" si="2"/>
        <v>70000</v>
      </c>
      <c r="K5" s="5">
        <f t="shared" si="2"/>
        <v>70000</v>
      </c>
      <c r="L5" s="5">
        <f t="shared" si="2"/>
        <v>70000</v>
      </c>
      <c r="M5" s="5">
        <f t="shared" si="2"/>
        <v>70000</v>
      </c>
      <c r="N5" s="5">
        <f t="shared" si="2"/>
        <v>70000</v>
      </c>
      <c r="O5" s="88">
        <f t="shared" si="1"/>
        <v>840000</v>
      </c>
      <c r="P5" s="89"/>
      <c r="Q5" s="89"/>
      <c r="R5" s="89"/>
      <c r="S5" s="89"/>
      <c r="T5" s="89"/>
      <c r="U5" s="89"/>
      <c r="V5" s="89"/>
      <c r="W5" s="89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</row>
    <row r="6" spans="1:52" ht="14.25">
      <c r="A6" s="90" t="s">
        <v>125</v>
      </c>
      <c r="B6" s="91" t="str">
        <f>'Расходы на оплату труда персона'!A8</f>
        <v>оператор кассир</v>
      </c>
      <c r="C6" s="92">
        <f>'Расходы на оплату труда персона'!B8*'Расходы на оплату труда персона'!C8</f>
        <v>320000</v>
      </c>
      <c r="D6" s="5">
        <f aca="true" t="shared" si="3" ref="D6:N6">C6</f>
        <v>320000</v>
      </c>
      <c r="E6" s="5">
        <f t="shared" si="3"/>
        <v>320000</v>
      </c>
      <c r="F6" s="5">
        <f t="shared" si="3"/>
        <v>320000</v>
      </c>
      <c r="G6" s="5">
        <f t="shared" si="3"/>
        <v>320000</v>
      </c>
      <c r="H6" s="5">
        <f t="shared" si="3"/>
        <v>320000</v>
      </c>
      <c r="I6" s="5">
        <f t="shared" si="3"/>
        <v>320000</v>
      </c>
      <c r="J6" s="5">
        <f t="shared" si="3"/>
        <v>320000</v>
      </c>
      <c r="K6" s="5">
        <f t="shared" si="3"/>
        <v>320000</v>
      </c>
      <c r="L6" s="5">
        <f t="shared" si="3"/>
        <v>320000</v>
      </c>
      <c r="M6" s="5">
        <f t="shared" si="3"/>
        <v>320000</v>
      </c>
      <c r="N6" s="5">
        <f t="shared" si="3"/>
        <v>320000</v>
      </c>
      <c r="O6" s="88">
        <f t="shared" si="1"/>
        <v>3840000</v>
      </c>
      <c r="P6" s="89"/>
      <c r="Q6" s="89"/>
      <c r="R6" s="89"/>
      <c r="S6" s="89"/>
      <c r="T6" s="89"/>
      <c r="U6" s="89"/>
      <c r="V6" s="89"/>
      <c r="W6" s="89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</row>
    <row r="7" spans="1:52" ht="14.25">
      <c r="A7" s="90" t="s">
        <v>126</v>
      </c>
      <c r="B7" s="91" t="str">
        <f>'Расходы на оплату труда персона'!A9</f>
        <v>Заправщик </v>
      </c>
      <c r="C7" s="92">
        <f>'Расходы на оплату труда персона'!B9*'Расходы на оплату труда персона'!C9</f>
        <v>120000</v>
      </c>
      <c r="D7" s="5">
        <f aca="true" t="shared" si="4" ref="D7:N7">C7</f>
        <v>120000</v>
      </c>
      <c r="E7" s="5">
        <f t="shared" si="4"/>
        <v>120000</v>
      </c>
      <c r="F7" s="5">
        <f t="shared" si="4"/>
        <v>120000</v>
      </c>
      <c r="G7" s="5">
        <f t="shared" si="4"/>
        <v>120000</v>
      </c>
      <c r="H7" s="5">
        <f t="shared" si="4"/>
        <v>120000</v>
      </c>
      <c r="I7" s="5">
        <f t="shared" si="4"/>
        <v>120000</v>
      </c>
      <c r="J7" s="5">
        <f t="shared" si="4"/>
        <v>120000</v>
      </c>
      <c r="K7" s="5">
        <f t="shared" si="4"/>
        <v>120000</v>
      </c>
      <c r="L7" s="5">
        <f t="shared" si="4"/>
        <v>120000</v>
      </c>
      <c r="M7" s="5">
        <f t="shared" si="4"/>
        <v>120000</v>
      </c>
      <c r="N7" s="5">
        <f t="shared" si="4"/>
        <v>120000</v>
      </c>
      <c r="O7" s="88">
        <f t="shared" si="1"/>
        <v>1440000</v>
      </c>
      <c r="P7" s="89"/>
      <c r="Q7" s="89"/>
      <c r="R7" s="89"/>
      <c r="S7" s="89"/>
      <c r="T7" s="89"/>
      <c r="U7" s="89"/>
      <c r="V7" s="89"/>
      <c r="W7" s="89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</row>
    <row r="8" spans="1:52" ht="14.25">
      <c r="A8" s="90" t="s">
        <v>127</v>
      </c>
      <c r="B8" s="91" t="str">
        <f>'Расходы на оплату труда персона'!A10</f>
        <v>Механизатор</v>
      </c>
      <c r="C8" s="92">
        <f>'Расходы на оплату труда персона'!B10*'Расходы на оплату труда персона'!C10</f>
        <v>70000</v>
      </c>
      <c r="D8" s="5">
        <f aca="true" t="shared" si="5" ref="D8:N8">C8</f>
        <v>70000</v>
      </c>
      <c r="E8" s="5">
        <f t="shared" si="5"/>
        <v>70000</v>
      </c>
      <c r="F8" s="5">
        <f t="shared" si="5"/>
        <v>70000</v>
      </c>
      <c r="G8" s="5">
        <f t="shared" si="5"/>
        <v>70000</v>
      </c>
      <c r="H8" s="5">
        <f t="shared" si="5"/>
        <v>70000</v>
      </c>
      <c r="I8" s="5">
        <f t="shared" si="5"/>
        <v>70000</v>
      </c>
      <c r="J8" s="5">
        <f t="shared" si="5"/>
        <v>70000</v>
      </c>
      <c r="K8" s="5">
        <f t="shared" si="5"/>
        <v>70000</v>
      </c>
      <c r="L8" s="5">
        <f t="shared" si="5"/>
        <v>70000</v>
      </c>
      <c r="M8" s="5">
        <f t="shared" si="5"/>
        <v>70000</v>
      </c>
      <c r="N8" s="5">
        <f t="shared" si="5"/>
        <v>70000</v>
      </c>
      <c r="O8" s="88">
        <f t="shared" si="1"/>
        <v>840000</v>
      </c>
      <c r="P8" s="89"/>
      <c r="Q8" s="89"/>
      <c r="R8" s="89"/>
      <c r="S8" s="89"/>
      <c r="T8" s="89"/>
      <c r="U8" s="89"/>
      <c r="V8" s="89"/>
      <c r="W8" s="89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</row>
    <row r="9" spans="1:52" ht="14.25">
      <c r="A9" s="90" t="s">
        <v>128</v>
      </c>
      <c r="B9" s="91" t="str">
        <f>'Расходы на оплату труда персона'!A11</f>
        <v>Уборщица</v>
      </c>
      <c r="C9" s="92">
        <f>'Расходы на оплату труда персона'!B11*'Расходы на оплату труда персона'!C11</f>
        <v>11500</v>
      </c>
      <c r="D9" s="5">
        <f aca="true" t="shared" si="6" ref="D9:N9">C9</f>
        <v>11500</v>
      </c>
      <c r="E9" s="5">
        <f t="shared" si="6"/>
        <v>11500</v>
      </c>
      <c r="F9" s="5">
        <f t="shared" si="6"/>
        <v>11500</v>
      </c>
      <c r="G9" s="5">
        <f t="shared" si="6"/>
        <v>11500</v>
      </c>
      <c r="H9" s="5">
        <f t="shared" si="6"/>
        <v>11500</v>
      </c>
      <c r="I9" s="5">
        <f t="shared" si="6"/>
        <v>11500</v>
      </c>
      <c r="J9" s="5">
        <f t="shared" si="6"/>
        <v>11500</v>
      </c>
      <c r="K9" s="5">
        <f t="shared" si="6"/>
        <v>11500</v>
      </c>
      <c r="L9" s="5">
        <f t="shared" si="6"/>
        <v>11500</v>
      </c>
      <c r="M9" s="5">
        <f t="shared" si="6"/>
        <v>11500</v>
      </c>
      <c r="N9" s="5">
        <f t="shared" si="6"/>
        <v>11500</v>
      </c>
      <c r="O9" s="88">
        <f t="shared" si="1"/>
        <v>138000</v>
      </c>
      <c r="P9" s="89"/>
      <c r="Q9" s="89"/>
      <c r="R9" s="89"/>
      <c r="S9" s="89"/>
      <c r="T9" s="89"/>
      <c r="U9" s="89"/>
      <c r="V9" s="89"/>
      <c r="W9" s="89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</row>
    <row r="10" spans="1:52" ht="14.25">
      <c r="A10" s="85" t="s">
        <v>129</v>
      </c>
      <c r="B10" s="93" t="s">
        <v>130</v>
      </c>
      <c r="C10" s="87">
        <f aca="true" t="shared" si="7" ref="C10:N10">C4*13%</f>
        <v>76895</v>
      </c>
      <c r="D10" s="87">
        <f t="shared" si="7"/>
        <v>76895</v>
      </c>
      <c r="E10" s="87">
        <f t="shared" si="7"/>
        <v>76895</v>
      </c>
      <c r="F10" s="87">
        <f t="shared" si="7"/>
        <v>76895</v>
      </c>
      <c r="G10" s="87">
        <f t="shared" si="7"/>
        <v>76895</v>
      </c>
      <c r="H10" s="87">
        <f t="shared" si="7"/>
        <v>76895</v>
      </c>
      <c r="I10" s="87">
        <f t="shared" si="7"/>
        <v>76895</v>
      </c>
      <c r="J10" s="87">
        <f t="shared" si="7"/>
        <v>76895</v>
      </c>
      <c r="K10" s="87">
        <f t="shared" si="7"/>
        <v>76895</v>
      </c>
      <c r="L10" s="87">
        <f t="shared" si="7"/>
        <v>76895</v>
      </c>
      <c r="M10" s="87">
        <f t="shared" si="7"/>
        <v>76895</v>
      </c>
      <c r="N10" s="87">
        <f t="shared" si="7"/>
        <v>76895</v>
      </c>
      <c r="O10" s="88">
        <f t="shared" si="1"/>
        <v>922740</v>
      </c>
      <c r="P10" s="89"/>
      <c r="Q10" s="89"/>
      <c r="R10" s="89"/>
      <c r="S10" s="89"/>
      <c r="T10" s="89"/>
      <c r="U10" s="89"/>
      <c r="V10" s="89"/>
      <c r="W10" s="89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</row>
    <row r="11" spans="1:52" ht="14.25">
      <c r="A11" s="85" t="s">
        <v>131</v>
      </c>
      <c r="B11" s="93" t="s">
        <v>132</v>
      </c>
      <c r="C11" s="87">
        <f aca="true" t="shared" si="8" ref="C11:N11">C4*30%</f>
        <v>177450</v>
      </c>
      <c r="D11" s="87">
        <f t="shared" si="8"/>
        <v>177450</v>
      </c>
      <c r="E11" s="87">
        <f t="shared" si="8"/>
        <v>177450</v>
      </c>
      <c r="F11" s="87">
        <f t="shared" si="8"/>
        <v>177450</v>
      </c>
      <c r="G11" s="87">
        <f t="shared" si="8"/>
        <v>177450</v>
      </c>
      <c r="H11" s="87">
        <f t="shared" si="8"/>
        <v>177450</v>
      </c>
      <c r="I11" s="87">
        <f t="shared" si="8"/>
        <v>177450</v>
      </c>
      <c r="J11" s="87">
        <f t="shared" si="8"/>
        <v>177450</v>
      </c>
      <c r="K11" s="87">
        <f t="shared" si="8"/>
        <v>177450</v>
      </c>
      <c r="L11" s="87">
        <f t="shared" si="8"/>
        <v>177450</v>
      </c>
      <c r="M11" s="87">
        <f t="shared" si="8"/>
        <v>177450</v>
      </c>
      <c r="N11" s="87">
        <f t="shared" si="8"/>
        <v>177450</v>
      </c>
      <c r="O11" s="88">
        <f t="shared" si="1"/>
        <v>2129400</v>
      </c>
      <c r="P11" s="89"/>
      <c r="Q11" s="89"/>
      <c r="R11" s="89"/>
      <c r="S11" s="89"/>
      <c r="T11" s="89"/>
      <c r="U11" s="89"/>
      <c r="V11" s="89"/>
      <c r="W11" s="89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</row>
    <row r="12" spans="1:52" ht="14.25">
      <c r="A12" s="85" t="s">
        <v>133</v>
      </c>
      <c r="B12" s="93" t="s">
        <v>134</v>
      </c>
      <c r="C12" s="87">
        <f aca="true" t="shared" si="9" ref="C12:N12">SUM(C4,C10,C11)</f>
        <v>845845</v>
      </c>
      <c r="D12" s="87">
        <f t="shared" si="9"/>
        <v>845845</v>
      </c>
      <c r="E12" s="87">
        <f t="shared" si="9"/>
        <v>845845</v>
      </c>
      <c r="F12" s="87">
        <f t="shared" si="9"/>
        <v>845845</v>
      </c>
      <c r="G12" s="87">
        <f t="shared" si="9"/>
        <v>845845</v>
      </c>
      <c r="H12" s="87">
        <f t="shared" si="9"/>
        <v>845845</v>
      </c>
      <c r="I12" s="87">
        <f t="shared" si="9"/>
        <v>845845</v>
      </c>
      <c r="J12" s="87">
        <f t="shared" si="9"/>
        <v>845845</v>
      </c>
      <c r="K12" s="87">
        <f t="shared" si="9"/>
        <v>845845</v>
      </c>
      <c r="L12" s="87">
        <f t="shared" si="9"/>
        <v>845845</v>
      </c>
      <c r="M12" s="87">
        <f t="shared" si="9"/>
        <v>845845</v>
      </c>
      <c r="N12" s="87">
        <f t="shared" si="9"/>
        <v>845845</v>
      </c>
      <c r="O12" s="88">
        <f t="shared" si="1"/>
        <v>10150140</v>
      </c>
      <c r="P12" s="89"/>
      <c r="Q12" s="89"/>
      <c r="R12" s="89"/>
      <c r="S12" s="89"/>
      <c r="T12" s="89"/>
      <c r="U12" s="89"/>
      <c r="V12" s="89"/>
      <c r="W12" s="89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</row>
    <row r="13" spans="1:52" ht="14.25">
      <c r="A13" s="94"/>
      <c r="B13" s="95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7"/>
      <c r="P13" s="89"/>
      <c r="Q13" s="89"/>
      <c r="R13" s="89"/>
      <c r="S13" s="89"/>
      <c r="T13" s="89"/>
      <c r="U13" s="89"/>
      <c r="V13" s="89"/>
      <c r="W13" s="89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</row>
    <row r="14" spans="1:52" ht="14.25">
      <c r="A14" s="98"/>
      <c r="B14" s="95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89"/>
      <c r="P14" s="89"/>
      <c r="Q14" s="89"/>
      <c r="R14" s="89"/>
      <c r="S14" s="89"/>
      <c r="T14" s="89"/>
      <c r="U14" s="89"/>
      <c r="V14" s="89"/>
      <c r="W14" s="89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</row>
    <row r="15" spans="1:52" ht="14.25">
      <c r="A15" s="98"/>
      <c r="B15" s="100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89"/>
      <c r="P15" s="89"/>
      <c r="Q15" s="89"/>
      <c r="R15" s="89"/>
      <c r="S15" s="89"/>
      <c r="T15" s="89"/>
      <c r="U15" s="89"/>
      <c r="V15" s="89"/>
      <c r="W15" s="89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</row>
    <row r="16" spans="1:52" ht="14.25">
      <c r="A16" s="98"/>
      <c r="B16" s="100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89"/>
      <c r="P16" s="89"/>
      <c r="Q16" s="89"/>
      <c r="R16" s="89"/>
      <c r="S16" s="89"/>
      <c r="T16" s="89"/>
      <c r="U16" s="89"/>
      <c r="V16" s="89"/>
      <c r="W16" s="89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</row>
    <row r="17" spans="1:52" ht="14.25">
      <c r="A17" s="98"/>
      <c r="B17" s="100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89"/>
      <c r="P17" s="89"/>
      <c r="Q17" s="89"/>
      <c r="R17" s="89"/>
      <c r="S17" s="89"/>
      <c r="T17" s="89"/>
      <c r="U17" s="89"/>
      <c r="V17" s="89"/>
      <c r="W17" s="89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</row>
    <row r="18" spans="1:52" ht="14.25">
      <c r="A18" s="98"/>
      <c r="B18" s="100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89"/>
      <c r="P18" s="89"/>
      <c r="Q18" s="89"/>
      <c r="R18" s="89"/>
      <c r="S18" s="89"/>
      <c r="T18" s="89"/>
      <c r="U18" s="89"/>
      <c r="V18" s="89"/>
      <c r="W18" s="89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</row>
    <row r="19" spans="1:52" ht="14.25">
      <c r="A19" s="98"/>
      <c r="B19" s="100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89"/>
      <c r="P19" s="89"/>
      <c r="Q19" s="89"/>
      <c r="R19" s="89"/>
      <c r="S19" s="89"/>
      <c r="T19" s="89"/>
      <c r="U19" s="89"/>
      <c r="V19" s="89"/>
      <c r="W19" s="89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</row>
    <row r="20" spans="1:52" ht="14.25">
      <c r="A20" s="98"/>
      <c r="B20" s="100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89"/>
      <c r="P20" s="89"/>
      <c r="Q20" s="89"/>
      <c r="R20" s="89"/>
      <c r="S20" s="89"/>
      <c r="T20" s="89"/>
      <c r="U20" s="89"/>
      <c r="V20" s="89"/>
      <c r="W20" s="89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</row>
    <row r="21" spans="1:52" ht="14.25">
      <c r="A21" s="98"/>
      <c r="B21" s="100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89"/>
      <c r="P21" s="89"/>
      <c r="Q21" s="89"/>
      <c r="R21" s="89"/>
      <c r="S21" s="89"/>
      <c r="T21" s="89"/>
      <c r="U21" s="89"/>
      <c r="V21" s="89"/>
      <c r="W21" s="89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</row>
    <row r="22" spans="1:52" ht="14.25">
      <c r="A22" s="98"/>
      <c r="B22" s="100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89"/>
      <c r="P22" s="89"/>
      <c r="Q22" s="89"/>
      <c r="R22" s="89"/>
      <c r="S22" s="89"/>
      <c r="T22" s="89"/>
      <c r="U22" s="89"/>
      <c r="V22" s="89"/>
      <c r="W22" s="89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</row>
    <row r="23" spans="1:52" ht="14.25">
      <c r="A23" s="98"/>
      <c r="B23" s="100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89"/>
      <c r="P23" s="89"/>
      <c r="Q23" s="89"/>
      <c r="R23" s="89"/>
      <c r="S23" s="89"/>
      <c r="T23" s="89"/>
      <c r="U23" s="89"/>
      <c r="V23" s="89"/>
      <c r="W23" s="89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</row>
    <row r="24" spans="1:52" ht="14.25">
      <c r="A24" s="98"/>
      <c r="B24" s="100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89"/>
      <c r="P24" s="89"/>
      <c r="Q24" s="89"/>
      <c r="R24" s="89"/>
      <c r="S24" s="89"/>
      <c r="T24" s="89"/>
      <c r="U24" s="89"/>
      <c r="V24" s="89"/>
      <c r="W24" s="89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</row>
    <row r="25" spans="1:52" ht="14.25">
      <c r="A25" s="98"/>
      <c r="B25" s="100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89"/>
      <c r="P25" s="89"/>
      <c r="Q25" s="89"/>
      <c r="R25" s="89"/>
      <c r="S25" s="89"/>
      <c r="T25" s="89"/>
      <c r="U25" s="89"/>
      <c r="V25" s="89"/>
      <c r="W25" s="89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</row>
    <row r="26" spans="1:52" ht="14.25">
      <c r="A26" s="98"/>
      <c r="B26" s="100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89"/>
      <c r="P26" s="89"/>
      <c r="Q26" s="89"/>
      <c r="R26" s="89"/>
      <c r="S26" s="89"/>
      <c r="T26" s="89"/>
      <c r="U26" s="89"/>
      <c r="V26" s="89"/>
      <c r="W26" s="89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</row>
    <row r="27" spans="1:52" ht="14.25">
      <c r="A27" s="98"/>
      <c r="B27" s="100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89"/>
      <c r="P27" s="89"/>
      <c r="Q27" s="89"/>
      <c r="R27" s="89"/>
      <c r="S27" s="89"/>
      <c r="T27" s="89"/>
      <c r="U27" s="89"/>
      <c r="V27" s="89"/>
      <c r="W27" s="89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</row>
    <row r="28" spans="1:52" ht="14.25">
      <c r="A28" s="98"/>
      <c r="B28" s="100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89"/>
      <c r="P28" s="89"/>
      <c r="Q28" s="89"/>
      <c r="R28" s="89"/>
      <c r="S28" s="89"/>
      <c r="T28" s="89"/>
      <c r="U28" s="89"/>
      <c r="V28" s="89"/>
      <c r="W28" s="89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</row>
    <row r="29" spans="1:52" ht="14.25">
      <c r="A29" s="98"/>
      <c r="B29" s="100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89"/>
      <c r="P29" s="89"/>
      <c r="Q29" s="89"/>
      <c r="R29" s="89"/>
      <c r="S29" s="89"/>
      <c r="T29" s="89"/>
      <c r="U29" s="89"/>
      <c r="V29" s="89"/>
      <c r="W29" s="89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</row>
    <row r="30" spans="1:52" ht="14.25">
      <c r="A30" s="98"/>
      <c r="B30" s="100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89"/>
      <c r="P30" s="89"/>
      <c r="Q30" s="89"/>
      <c r="R30" s="89"/>
      <c r="S30" s="89"/>
      <c r="T30" s="89"/>
      <c r="U30" s="89"/>
      <c r="V30" s="89"/>
      <c r="W30" s="89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</row>
    <row r="31" spans="1:52" ht="14.25">
      <c r="A31" s="98"/>
      <c r="B31" s="100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89"/>
      <c r="P31" s="89"/>
      <c r="Q31" s="89"/>
      <c r="R31" s="89"/>
      <c r="S31" s="89"/>
      <c r="T31" s="89"/>
      <c r="U31" s="89"/>
      <c r="V31" s="89"/>
      <c r="W31" s="89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</row>
    <row r="32" spans="1:52" ht="14.25">
      <c r="A32" s="98"/>
      <c r="B32" s="100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89"/>
      <c r="P32" s="89"/>
      <c r="Q32" s="89"/>
      <c r="R32" s="89"/>
      <c r="S32" s="89"/>
      <c r="T32" s="89"/>
      <c r="U32" s="89"/>
      <c r="V32" s="89"/>
      <c r="W32" s="89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</row>
    <row r="33" spans="1:52" ht="14.25">
      <c r="A33" s="98"/>
      <c r="B33" s="100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89"/>
      <c r="P33" s="89"/>
      <c r="Q33" s="89"/>
      <c r="R33" s="89"/>
      <c r="S33" s="89"/>
      <c r="T33" s="89"/>
      <c r="U33" s="89"/>
      <c r="V33" s="89"/>
      <c r="W33" s="89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</row>
    <row r="34" spans="1:52" ht="14.25">
      <c r="A34" s="98"/>
      <c r="B34" s="100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89"/>
      <c r="P34" s="89"/>
      <c r="Q34" s="89"/>
      <c r="R34" s="89"/>
      <c r="S34" s="89"/>
      <c r="T34" s="89"/>
      <c r="U34" s="89"/>
      <c r="V34" s="89"/>
      <c r="W34" s="89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</row>
    <row r="35" spans="1:52" ht="14.25">
      <c r="A35" s="98"/>
      <c r="B35" s="100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89"/>
      <c r="P35" s="89"/>
      <c r="Q35" s="89"/>
      <c r="R35" s="89"/>
      <c r="S35" s="89"/>
      <c r="T35" s="89"/>
      <c r="U35" s="89"/>
      <c r="V35" s="89"/>
      <c r="W35" s="89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</row>
    <row r="36" spans="1:52" ht="14.25">
      <c r="A36" s="98"/>
      <c r="B36" s="100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89"/>
      <c r="P36" s="89"/>
      <c r="Q36" s="89"/>
      <c r="R36" s="89"/>
      <c r="S36" s="89"/>
      <c r="T36" s="89"/>
      <c r="U36" s="89"/>
      <c r="V36" s="89"/>
      <c r="W36" s="89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</row>
    <row r="37" spans="1:52" ht="14.25">
      <c r="A37" s="98"/>
      <c r="B37" s="100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89"/>
      <c r="P37" s="89"/>
      <c r="Q37" s="89"/>
      <c r="R37" s="89"/>
      <c r="S37" s="89"/>
      <c r="T37" s="89"/>
      <c r="U37" s="89"/>
      <c r="V37" s="89"/>
      <c r="W37" s="89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</row>
    <row r="38" spans="1:52" ht="14.25">
      <c r="A38" s="98"/>
      <c r="B38" s="100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89"/>
      <c r="P38" s="89"/>
      <c r="Q38" s="89"/>
      <c r="R38" s="89"/>
      <c r="S38" s="89"/>
      <c r="T38" s="89"/>
      <c r="U38" s="89"/>
      <c r="V38" s="89"/>
      <c r="W38" s="89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</row>
    <row r="39" spans="1:52" ht="14.25">
      <c r="A39" s="94"/>
      <c r="B39" s="100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89"/>
      <c r="P39" s="89"/>
      <c r="Q39" s="89"/>
      <c r="R39" s="89"/>
      <c r="S39" s="89"/>
      <c r="T39" s="89"/>
      <c r="U39" s="89"/>
      <c r="V39" s="89"/>
      <c r="W39" s="89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</row>
    <row r="40" spans="1:52" ht="14.25">
      <c r="A40" s="94"/>
      <c r="B40" s="95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89"/>
      <c r="P40" s="89"/>
      <c r="Q40" s="89"/>
      <c r="R40" s="89"/>
      <c r="S40" s="89"/>
      <c r="T40" s="89"/>
      <c r="U40" s="89"/>
      <c r="V40" s="89"/>
      <c r="W40" s="89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</row>
    <row r="41" spans="1:52" ht="14.25">
      <c r="A41" s="94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89"/>
      <c r="P41" s="89"/>
      <c r="Q41" s="89"/>
      <c r="R41" s="89"/>
      <c r="S41" s="89"/>
      <c r="T41" s="89"/>
      <c r="U41" s="89"/>
      <c r="V41" s="89"/>
      <c r="W41" s="89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</row>
    <row r="42" spans="1:52" ht="14.25">
      <c r="A42" s="94"/>
      <c r="B42" s="101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89"/>
      <c r="P42" s="89"/>
      <c r="Q42" s="89"/>
      <c r="R42" s="89"/>
      <c r="S42" s="89"/>
      <c r="T42" s="89"/>
      <c r="U42" s="89"/>
      <c r="V42" s="89"/>
      <c r="W42" s="89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</row>
    <row r="43" spans="1:52" ht="14.25">
      <c r="A43" s="94"/>
      <c r="B43" s="95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89"/>
      <c r="P43" s="89"/>
      <c r="Q43" s="89"/>
      <c r="R43" s="89"/>
      <c r="S43" s="89"/>
      <c r="T43" s="89"/>
      <c r="U43" s="89"/>
      <c r="V43" s="89"/>
      <c r="W43" s="89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</row>
    <row r="44" spans="1:52" ht="14.25">
      <c r="A44" s="94"/>
      <c r="B44" s="95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89"/>
      <c r="P44" s="89"/>
      <c r="Q44" s="89"/>
      <c r="R44" s="89"/>
      <c r="S44" s="89"/>
      <c r="T44" s="89"/>
      <c r="U44" s="89"/>
      <c r="V44" s="89"/>
      <c r="W44" s="89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</row>
    <row r="45" spans="1:52" ht="14.25">
      <c r="A45" s="94"/>
      <c r="B45" s="95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89"/>
      <c r="P45" s="89"/>
      <c r="Q45" s="89"/>
      <c r="R45" s="89"/>
      <c r="S45" s="89"/>
      <c r="T45" s="89"/>
      <c r="U45" s="89"/>
      <c r="V45" s="89"/>
      <c r="W45" s="89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</row>
    <row r="46" spans="1:52" ht="14.25">
      <c r="A46" s="94"/>
      <c r="B46" s="95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89"/>
      <c r="P46" s="89"/>
      <c r="Q46" s="89"/>
      <c r="R46" s="89"/>
      <c r="S46" s="89"/>
      <c r="T46" s="89"/>
      <c r="U46" s="89"/>
      <c r="V46" s="89"/>
      <c r="W46" s="89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</row>
    <row r="47" spans="1:52" ht="14.25">
      <c r="A47" s="94"/>
      <c r="B47" s="95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89"/>
      <c r="P47" s="89"/>
      <c r="Q47" s="89"/>
      <c r="R47" s="89"/>
      <c r="S47" s="89"/>
      <c r="T47" s="89"/>
      <c r="U47" s="89"/>
      <c r="V47" s="89"/>
      <c r="W47" s="89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</row>
    <row r="48" spans="1:52" ht="14.25">
      <c r="A48" s="94"/>
      <c r="B48" s="101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89"/>
      <c r="P48" s="89"/>
      <c r="Q48" s="89"/>
      <c r="R48" s="89"/>
      <c r="S48" s="89"/>
      <c r="T48" s="89"/>
      <c r="U48" s="89"/>
      <c r="V48" s="89"/>
      <c r="W48" s="89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</row>
    <row r="49" spans="1:52" ht="14.25">
      <c r="A49" s="81"/>
      <c r="B49" s="101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</row>
    <row r="50" spans="1:52" ht="14.25">
      <c r="A50" s="81"/>
      <c r="B50" s="102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</row>
    <row r="51" spans="1:52" ht="14.25">
      <c r="A51" s="81"/>
      <c r="B51" s="102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</row>
    <row r="52" spans="1:52" ht="14.25">
      <c r="A52" s="81"/>
      <c r="B52" s="102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</row>
    <row r="53" spans="1:52" ht="14.25">
      <c r="A53" s="81"/>
      <c r="B53" s="102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</row>
    <row r="54" spans="1:52" ht="14.25">
      <c r="A54" s="81"/>
      <c r="B54" s="102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</row>
    <row r="55" spans="1:52" ht="14.25">
      <c r="A55" s="81"/>
      <c r="B55" s="102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</row>
    <row r="56" spans="1:52" ht="14.25">
      <c r="A56" s="81"/>
      <c r="B56" s="102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</row>
    <row r="57" spans="1:52" ht="14.25">
      <c r="A57" s="81"/>
      <c r="B57" s="102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</row>
    <row r="58" spans="1:52" ht="14.25">
      <c r="A58" s="81"/>
      <c r="B58" s="102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</row>
    <row r="59" spans="1:52" ht="14.25">
      <c r="A59" s="81"/>
      <c r="B59" s="102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</row>
    <row r="60" spans="1:52" ht="14.25">
      <c r="A60" s="81"/>
      <c r="B60" s="81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</row>
    <row r="61" spans="1:52" ht="14.25">
      <c r="A61" s="81"/>
      <c r="B61" s="81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</row>
    <row r="62" spans="1:52" ht="14.25">
      <c r="A62" s="81"/>
      <c r="B62" s="81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</row>
    <row r="63" spans="1:52" ht="14.25">
      <c r="A63" s="81"/>
      <c r="B63" s="81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</row>
    <row r="64" spans="1:52" ht="14.25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</row>
    <row r="65" spans="1:52" ht="14.25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</row>
    <row r="66" spans="1:52" ht="14.25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</row>
    <row r="67" spans="1:52" ht="14.2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</row>
    <row r="68" spans="1:52" ht="14.2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</row>
    <row r="69" ht="14.25">
      <c r="B69" s="81"/>
    </row>
  </sheetData>
  <sheetProtection/>
  <mergeCells count="1">
    <mergeCell ref="A2:O2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4"/>
  <sheetViews>
    <sheetView zoomScale="75" zoomScaleNormal="75" zoomScalePageLayoutView="0" workbookViewId="0" topLeftCell="A1">
      <selection activeCell="A2" sqref="A2:I12"/>
    </sheetView>
  </sheetViews>
  <sheetFormatPr defaultColWidth="9.8515625" defaultRowHeight="15"/>
  <cols>
    <col min="1" max="1" width="25.00390625" style="103" customWidth="1"/>
    <col min="2" max="2" width="13.140625" style="104" customWidth="1"/>
    <col min="3" max="3" width="12.8515625" style="104" customWidth="1"/>
    <col min="4" max="4" width="10.8515625" style="104" customWidth="1"/>
    <col min="5" max="5" width="15.28125" style="104" customWidth="1"/>
    <col min="6" max="6" width="12.140625" style="104" customWidth="1"/>
    <col min="7" max="7" width="12.421875" style="104" customWidth="1"/>
    <col min="8" max="8" width="13.57421875" style="104" customWidth="1"/>
    <col min="9" max="9" width="13.00390625" style="104" customWidth="1"/>
    <col min="10" max="251" width="9.8515625" style="104" customWidth="1"/>
    <col min="252" max="16384" width="9.8515625" style="105" customWidth="1"/>
  </cols>
  <sheetData>
    <row r="2" spans="1:9" ht="12.75" customHeight="1">
      <c r="A2" s="353" t="s">
        <v>135</v>
      </c>
      <c r="B2" s="353"/>
      <c r="C2" s="353"/>
      <c r="D2" s="353"/>
      <c r="E2" s="353"/>
      <c r="F2" s="353"/>
      <c r="G2" s="353"/>
      <c r="H2" s="353"/>
      <c r="I2" s="353"/>
    </row>
    <row r="3" spans="1:9" ht="25.5" customHeight="1">
      <c r="A3" s="351" t="s">
        <v>136</v>
      </c>
      <c r="B3" s="350" t="s">
        <v>137</v>
      </c>
      <c r="C3" s="350" t="s">
        <v>138</v>
      </c>
      <c r="D3" s="350" t="s">
        <v>139</v>
      </c>
      <c r="E3" s="350" t="s">
        <v>140</v>
      </c>
      <c r="F3" s="350" t="s">
        <v>141</v>
      </c>
      <c r="G3" s="350"/>
      <c r="H3" s="350" t="s">
        <v>142</v>
      </c>
      <c r="I3" s="350" t="s">
        <v>143</v>
      </c>
    </row>
    <row r="4" spans="1:9" ht="66">
      <c r="A4" s="354"/>
      <c r="B4" s="350"/>
      <c r="C4" s="350"/>
      <c r="D4" s="350"/>
      <c r="E4" s="350"/>
      <c r="F4" s="18" t="s">
        <v>144</v>
      </c>
      <c r="G4" s="107" t="s">
        <v>145</v>
      </c>
      <c r="H4" s="350"/>
      <c r="I4" s="350"/>
    </row>
    <row r="5" spans="1:9" ht="13.5" customHeight="1">
      <c r="A5" s="351" t="s">
        <v>146</v>
      </c>
      <c r="B5" s="350"/>
      <c r="C5" s="350"/>
      <c r="D5" s="350"/>
      <c r="E5" s="350"/>
      <c r="F5" s="350"/>
      <c r="G5" s="350"/>
      <c r="H5" s="350"/>
      <c r="I5" s="350"/>
    </row>
    <row r="6" spans="1:9" ht="15">
      <c r="A6" s="290" t="s">
        <v>147</v>
      </c>
      <c r="B6" s="289">
        <v>70000</v>
      </c>
      <c r="C6" s="109">
        <v>1</v>
      </c>
      <c r="D6" s="110">
        <v>12</v>
      </c>
      <c r="E6" s="110">
        <f>B6*C6*D6</f>
        <v>840000</v>
      </c>
      <c r="F6" s="110">
        <f>E6*0.13</f>
        <v>109200</v>
      </c>
      <c r="G6" s="44">
        <f>E6*0.3</f>
        <v>252000.00000000003</v>
      </c>
      <c r="H6" s="110">
        <f>SUM(E6:G6)</f>
        <v>1201200</v>
      </c>
      <c r="I6" s="110">
        <f>SUM(F6:G6)</f>
        <v>361200</v>
      </c>
    </row>
    <row r="7" spans="1:9" ht="16.5" customHeight="1">
      <c r="A7" s="352" t="s">
        <v>148</v>
      </c>
      <c r="B7" s="327"/>
      <c r="C7" s="327"/>
      <c r="D7" s="327"/>
      <c r="E7" s="327"/>
      <c r="F7" s="327"/>
      <c r="G7" s="327"/>
      <c r="H7" s="327"/>
      <c r="I7" s="327"/>
    </row>
    <row r="8" spans="1:9" ht="15">
      <c r="A8" s="109" t="s">
        <v>149</v>
      </c>
      <c r="B8" s="109">
        <v>40000</v>
      </c>
      <c r="C8" s="109">
        <v>8</v>
      </c>
      <c r="D8" s="110">
        <v>12</v>
      </c>
      <c r="E8" s="110">
        <f>B8*C8*D8</f>
        <v>3840000</v>
      </c>
      <c r="F8" s="110">
        <f>E8*0.13</f>
        <v>499200</v>
      </c>
      <c r="G8" s="44">
        <f>E8*0.3</f>
        <v>1152000.0000000002</v>
      </c>
      <c r="H8" s="110">
        <f>SUM(E8:G8)</f>
        <v>5491200</v>
      </c>
      <c r="I8" s="110">
        <f>SUM(F8:G8)</f>
        <v>1651200.0000000002</v>
      </c>
    </row>
    <row r="9" spans="1:9" ht="15">
      <c r="A9" s="109" t="s">
        <v>150</v>
      </c>
      <c r="B9" s="109">
        <v>40000</v>
      </c>
      <c r="C9" s="109">
        <v>3</v>
      </c>
      <c r="D9" s="110">
        <v>12</v>
      </c>
      <c r="E9" s="110">
        <f>B9*C9*D9</f>
        <v>1440000</v>
      </c>
      <c r="F9" s="110">
        <f>E9*0.13</f>
        <v>187200</v>
      </c>
      <c r="G9" s="44">
        <f>E9*0.3</f>
        <v>432000.00000000006</v>
      </c>
      <c r="H9" s="110">
        <f>SUM(E9:G9)</f>
        <v>2059200</v>
      </c>
      <c r="I9" s="110">
        <f>SUM(F9:G9)</f>
        <v>619200</v>
      </c>
    </row>
    <row r="10" spans="1:9" ht="14.25">
      <c r="A10" s="111" t="s">
        <v>339</v>
      </c>
      <c r="B10" s="111">
        <v>35000</v>
      </c>
      <c r="C10" s="111">
        <v>2</v>
      </c>
      <c r="D10" s="111">
        <v>12</v>
      </c>
      <c r="E10" s="110">
        <f>B10*C10*D10</f>
        <v>840000</v>
      </c>
      <c r="F10" s="110">
        <f>E10*0.13</f>
        <v>109200</v>
      </c>
      <c r="G10" s="44">
        <f>E10*0.3</f>
        <v>252000.00000000003</v>
      </c>
      <c r="H10" s="110">
        <f>SUM(E10:G10)</f>
        <v>1201200</v>
      </c>
      <c r="I10" s="110">
        <f>SUM(F10:G10)</f>
        <v>361200</v>
      </c>
    </row>
    <row r="11" spans="1:9" ht="15">
      <c r="A11" s="109" t="s">
        <v>151</v>
      </c>
      <c r="B11" s="109">
        <v>11500</v>
      </c>
      <c r="C11" s="109">
        <v>1</v>
      </c>
      <c r="D11" s="110">
        <v>12</v>
      </c>
      <c r="E11" s="110">
        <f>B11*C11*D11</f>
        <v>138000</v>
      </c>
      <c r="F11" s="110">
        <f>E11*0.13</f>
        <v>17940</v>
      </c>
      <c r="G11" s="44">
        <f>E11*0.3</f>
        <v>41400.00000000001</v>
      </c>
      <c r="H11" s="110">
        <f>SUM(E11:G11)</f>
        <v>197340</v>
      </c>
      <c r="I11" s="110">
        <f>SUM(F11:G11)</f>
        <v>59340.00000000001</v>
      </c>
    </row>
    <row r="12" spans="1:9" ht="15">
      <c r="A12" s="112" t="s">
        <v>152</v>
      </c>
      <c r="B12" s="112"/>
      <c r="C12" s="112">
        <f>SUM(C6:C11)</f>
        <v>15</v>
      </c>
      <c r="D12" s="112"/>
      <c r="E12" s="112">
        <f>SUM(E6:E11)</f>
        <v>7098000</v>
      </c>
      <c r="F12" s="112">
        <f>SUM(F6:F11)</f>
        <v>922740</v>
      </c>
      <c r="G12" s="112">
        <f>SUM(G6:G11)</f>
        <v>2129400.0000000005</v>
      </c>
      <c r="H12" s="112">
        <f>SUM(H6:H11)</f>
        <v>10150140</v>
      </c>
      <c r="I12" s="112">
        <f>SUM(I6:I11)</f>
        <v>3052140</v>
      </c>
    </row>
    <row r="13" spans="7:9" ht="12.75">
      <c r="G13" s="104">
        <f>G12/12</f>
        <v>177450.00000000003</v>
      </c>
      <c r="H13" s="104">
        <f>H12/12</f>
        <v>845845</v>
      </c>
      <c r="I13" s="104">
        <f>I12/12</f>
        <v>254345</v>
      </c>
    </row>
    <row r="14" spans="8:9" ht="12.75">
      <c r="H14" s="105"/>
      <c r="I14" s="105"/>
    </row>
  </sheetData>
  <sheetProtection/>
  <mergeCells count="11">
    <mergeCell ref="E3:E4"/>
    <mergeCell ref="F3:G3"/>
    <mergeCell ref="H3:H4"/>
    <mergeCell ref="I3:I4"/>
    <mergeCell ref="A5:I5"/>
    <mergeCell ref="A7:I7"/>
    <mergeCell ref="A2:I2"/>
    <mergeCell ref="A3:A4"/>
    <mergeCell ref="B3:B4"/>
    <mergeCell ref="C3:C4"/>
    <mergeCell ref="D3:D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18"/>
  <sheetViews>
    <sheetView tabSelected="1" zoomScale="75" zoomScaleNormal="75" zoomScalePageLayoutView="0" workbookViewId="0" topLeftCell="A1">
      <selection activeCell="I18" sqref="I18"/>
    </sheetView>
  </sheetViews>
  <sheetFormatPr defaultColWidth="8.28125" defaultRowHeight="15"/>
  <cols>
    <col min="1" max="1" width="5.57421875" style="113" customWidth="1"/>
    <col min="2" max="2" width="31.8515625" style="114" customWidth="1"/>
    <col min="3" max="3" width="10.57421875" style="115" customWidth="1"/>
    <col min="4" max="4" width="12.421875" style="115" customWidth="1"/>
    <col min="5" max="251" width="8.28125" style="114" customWidth="1"/>
    <col min="252" max="252" width="8.28125" style="116" customWidth="1"/>
  </cols>
  <sheetData>
    <row r="1" spans="1:256" s="119" customFormat="1" ht="34.5" customHeight="1">
      <c r="A1" s="355" t="s">
        <v>354</v>
      </c>
      <c r="B1" s="355"/>
      <c r="C1" s="355"/>
      <c r="D1" s="118"/>
      <c r="IR1" s="120"/>
      <c r="IS1"/>
      <c r="IT1"/>
      <c r="IU1"/>
      <c r="IV1"/>
    </row>
    <row r="2" spans="1:256" s="119" customFormat="1" ht="13.5" customHeight="1">
      <c r="A2" s="117"/>
      <c r="B2" s="355" t="s">
        <v>153</v>
      </c>
      <c r="C2" s="355"/>
      <c r="D2" s="118"/>
      <c r="IR2" s="120"/>
      <c r="IS2"/>
      <c r="IT2"/>
      <c r="IU2"/>
      <c r="IV2"/>
    </row>
    <row r="3" spans="1:253" ht="27.75" customHeight="1">
      <c r="A3" s="121" t="s">
        <v>102</v>
      </c>
      <c r="B3" s="356" t="s">
        <v>341</v>
      </c>
      <c r="C3" s="356"/>
      <c r="IR3" s="114"/>
      <c r="IS3" s="122"/>
    </row>
    <row r="4" spans="2:253" ht="15.75" customHeight="1">
      <c r="B4" s="357" t="s">
        <v>154</v>
      </c>
      <c r="C4" s="357"/>
      <c r="IR4" s="114"/>
      <c r="IS4" s="122"/>
    </row>
    <row r="5" spans="1:253" ht="15.75" customHeight="1">
      <c r="A5" s="121" t="s">
        <v>104</v>
      </c>
      <c r="B5" s="359" t="s">
        <v>155</v>
      </c>
      <c r="C5" s="359"/>
      <c r="IR5" s="114"/>
      <c r="IS5" s="122"/>
    </row>
    <row r="6" spans="1:253" ht="14.25" customHeight="1">
      <c r="A6" s="123" t="s">
        <v>105</v>
      </c>
      <c r="B6" s="359" t="s">
        <v>157</v>
      </c>
      <c r="C6" s="359"/>
      <c r="IR6" s="114"/>
      <c r="IS6" s="122"/>
    </row>
    <row r="7" spans="1:253" ht="15.75" customHeight="1">
      <c r="A7" s="123" t="s">
        <v>156</v>
      </c>
      <c r="B7" s="359" t="s">
        <v>159</v>
      </c>
      <c r="C7" s="359"/>
      <c r="IR7" s="114"/>
      <c r="IS7" s="122"/>
    </row>
    <row r="8" spans="1:253" ht="15.75" customHeight="1">
      <c r="A8" s="123" t="s">
        <v>158</v>
      </c>
      <c r="B8" s="359" t="s">
        <v>161</v>
      </c>
      <c r="C8" s="359"/>
      <c r="IR8" s="114"/>
      <c r="IS8" s="122"/>
    </row>
    <row r="9" spans="1:253" ht="15.75" customHeight="1">
      <c r="A9" s="123" t="s">
        <v>160</v>
      </c>
      <c r="B9" s="356" t="s">
        <v>340</v>
      </c>
      <c r="C9" s="356"/>
      <c r="IR9" s="114"/>
      <c r="IS9" s="122"/>
    </row>
    <row r="10" spans="1:8" ht="12.75" customHeight="1">
      <c r="A10" s="358" t="s">
        <v>163</v>
      </c>
      <c r="B10" s="358"/>
      <c r="C10" s="358"/>
      <c r="D10" s="358"/>
      <c r="E10" s="358"/>
      <c r="F10" s="358"/>
      <c r="G10" s="358"/>
      <c r="H10" s="124"/>
    </row>
    <row r="11" spans="1:256" s="115" customFormat="1" ht="41.25">
      <c r="A11" s="301"/>
      <c r="B11" s="302" t="s">
        <v>164</v>
      </c>
      <c r="C11" s="303" t="s">
        <v>165</v>
      </c>
      <c r="D11" s="303" t="s">
        <v>166</v>
      </c>
      <c r="E11" s="303" t="s">
        <v>167</v>
      </c>
      <c r="F11" s="303" t="s">
        <v>349</v>
      </c>
      <c r="G11" s="303" t="s">
        <v>167</v>
      </c>
      <c r="H11" s="124"/>
      <c r="IR11" s="116"/>
      <c r="IS11"/>
      <c r="IT11"/>
      <c r="IU11"/>
      <c r="IV11"/>
    </row>
    <row r="12" spans="1:253" ht="14.25">
      <c r="A12" s="304" t="str">
        <f>A3</f>
        <v>1.</v>
      </c>
      <c r="B12" s="305" t="str">
        <f>B3</f>
        <v>Пропан - бутановая смесь (СУГ)</v>
      </c>
      <c r="C12" s="306" t="s">
        <v>174</v>
      </c>
      <c r="D12" s="307">
        <v>23.5</v>
      </c>
      <c r="E12" s="306" t="s">
        <v>168</v>
      </c>
      <c r="F12" s="299">
        <f>(18+19)/2</f>
        <v>18.5</v>
      </c>
      <c r="G12" s="306" t="s">
        <v>168</v>
      </c>
      <c r="H12" s="125"/>
      <c r="IR12" s="114"/>
      <c r="IS12" s="122"/>
    </row>
    <row r="13" spans="1:253" ht="14.25">
      <c r="A13" s="304" t="str">
        <f aca="true" t="shared" si="0" ref="A13:B17">A5</f>
        <v>2.</v>
      </c>
      <c r="B13" s="308" t="str">
        <f t="shared" si="0"/>
        <v>АИ 98</v>
      </c>
      <c r="C13" s="303" t="s">
        <v>174</v>
      </c>
      <c r="D13" s="309">
        <v>49</v>
      </c>
      <c r="E13" s="303" t="s">
        <v>168</v>
      </c>
      <c r="F13" s="300">
        <v>39</v>
      </c>
      <c r="G13" s="303" t="s">
        <v>168</v>
      </c>
      <c r="H13" s="125"/>
      <c r="IR13" s="114"/>
      <c r="IS13" s="122"/>
    </row>
    <row r="14" spans="1:253" ht="14.25">
      <c r="A14" s="310" t="str">
        <f t="shared" si="0"/>
        <v>3.</v>
      </c>
      <c r="B14" s="308" t="str">
        <f t="shared" si="0"/>
        <v>АИ 95</v>
      </c>
      <c r="C14" s="303" t="s">
        <v>174</v>
      </c>
      <c r="D14" s="309">
        <f>(47+50)/2</f>
        <v>48.5</v>
      </c>
      <c r="E14" s="303" t="s">
        <v>168</v>
      </c>
      <c r="F14" s="300">
        <v>34</v>
      </c>
      <c r="G14" s="303" t="s">
        <v>168</v>
      </c>
      <c r="H14" s="125"/>
      <c r="IR14" s="114"/>
      <c r="IS14" s="122"/>
    </row>
    <row r="15" spans="1:253" ht="14.25">
      <c r="A15" s="310" t="str">
        <f t="shared" si="0"/>
        <v>4.</v>
      </c>
      <c r="B15" s="308" t="str">
        <f t="shared" si="0"/>
        <v>АИ-92</v>
      </c>
      <c r="C15" s="303" t="s">
        <v>174</v>
      </c>
      <c r="D15" s="309">
        <f>(40+42)/2</f>
        <v>41</v>
      </c>
      <c r="E15" s="303" t="s">
        <v>168</v>
      </c>
      <c r="F15" s="300">
        <v>32</v>
      </c>
      <c r="G15" s="303" t="s">
        <v>168</v>
      </c>
      <c r="H15" s="125"/>
      <c r="IR15" s="114"/>
      <c r="IS15" s="122"/>
    </row>
    <row r="16" spans="1:253" ht="14.25">
      <c r="A16" s="310" t="str">
        <f t="shared" si="0"/>
        <v>5.</v>
      </c>
      <c r="B16" s="308" t="str">
        <f t="shared" si="0"/>
        <v>ДТ</v>
      </c>
      <c r="C16" s="303" t="s">
        <v>174</v>
      </c>
      <c r="D16" s="309">
        <f>(46+50)/2</f>
        <v>48</v>
      </c>
      <c r="E16" s="303" t="s">
        <v>168</v>
      </c>
      <c r="F16" s="300">
        <v>33</v>
      </c>
      <c r="G16" s="303" t="s">
        <v>168</v>
      </c>
      <c r="H16" s="125"/>
      <c r="IR16" s="114"/>
      <c r="IS16" s="122"/>
    </row>
    <row r="17" spans="1:253" ht="14.25">
      <c r="A17" s="310" t="str">
        <f t="shared" si="0"/>
        <v>6.</v>
      </c>
      <c r="B17" s="305" t="str">
        <f t="shared" si="0"/>
        <v>Магазин</v>
      </c>
      <c r="C17" s="306"/>
      <c r="D17" s="311"/>
      <c r="E17" s="306" t="s">
        <v>168</v>
      </c>
      <c r="F17" s="298"/>
      <c r="G17" s="306" t="s">
        <v>168</v>
      </c>
      <c r="H17" s="125"/>
      <c r="IR17" s="114"/>
      <c r="IS17" s="122"/>
    </row>
    <row r="18" spans="3:4" ht="27">
      <c r="C18" s="115" t="s">
        <v>342</v>
      </c>
      <c r="D18" s="127">
        <f>SUM(D12:D16)/5</f>
        <v>42</v>
      </c>
    </row>
  </sheetData>
  <sheetProtection/>
  <mergeCells count="10">
    <mergeCell ref="A1:C1"/>
    <mergeCell ref="B2:C2"/>
    <mergeCell ref="B3:C3"/>
    <mergeCell ref="B4:C4"/>
    <mergeCell ref="A10:G10"/>
    <mergeCell ref="B5:C5"/>
    <mergeCell ref="B6:C6"/>
    <mergeCell ref="B7:C7"/>
    <mergeCell ref="B8:C8"/>
    <mergeCell ref="B9:C9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462"/>
  <sheetViews>
    <sheetView zoomScalePageLayoutView="0" workbookViewId="0" topLeftCell="A1">
      <selection activeCell="L16" sqref="L16"/>
    </sheetView>
  </sheetViews>
  <sheetFormatPr defaultColWidth="8.28125" defaultRowHeight="15"/>
  <cols>
    <col min="1" max="1" width="4.7109375" style="128" customWidth="1"/>
    <col min="2" max="2" width="44.57421875" style="129" customWidth="1"/>
    <col min="3" max="3" width="8.28125" style="130" bestFit="1" customWidth="1"/>
    <col min="4" max="4" width="9.421875" style="130" bestFit="1" customWidth="1"/>
    <col min="5" max="6" width="9.57421875" style="130" customWidth="1"/>
    <col min="7" max="7" width="10.421875" style="130" customWidth="1"/>
    <col min="8" max="9" width="9.57421875" style="129" customWidth="1"/>
    <col min="10" max="13" width="10.57421875" style="130" customWidth="1"/>
    <col min="14" max="24" width="10.57421875" style="129" customWidth="1"/>
    <col min="25" max="25" width="11.57421875" style="129" customWidth="1"/>
    <col min="26" max="37" width="10.57421875" style="129" customWidth="1"/>
    <col min="38" max="38" width="11.57421875" style="129" customWidth="1"/>
    <col min="39" max="50" width="10.57421875" style="129" customWidth="1"/>
    <col min="51" max="51" width="11.57421875" style="129" customWidth="1"/>
    <col min="52" max="63" width="10.57421875" style="129" customWidth="1"/>
    <col min="64" max="64" width="11.57421875" style="129" customWidth="1"/>
    <col min="65" max="65" width="10.28125" style="129" customWidth="1"/>
    <col min="66" max="255" width="8.28125" style="129" customWidth="1"/>
  </cols>
  <sheetData>
    <row r="1" spans="1:20" s="129" customFormat="1" ht="52.5" customHeight="1">
      <c r="A1" s="360" t="s">
        <v>355</v>
      </c>
      <c r="B1" s="360"/>
      <c r="C1" s="131"/>
      <c r="D1" s="361" t="s">
        <v>169</v>
      </c>
      <c r="E1" s="361"/>
      <c r="F1" s="361"/>
      <c r="G1" s="4">
        <v>860</v>
      </c>
      <c r="H1" s="4" t="s">
        <v>170</v>
      </c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362"/>
      <c r="T1" s="362"/>
    </row>
    <row r="2" spans="1:20" s="129" customFormat="1" ht="24.75" customHeight="1">
      <c r="A2" s="134" t="str">
        <f>Прейскурант!A3</f>
        <v>1.</v>
      </c>
      <c r="B2" s="135" t="str">
        <f>Прейскурант!B3</f>
        <v>Пропан - бутановая смесь (СУГ)</v>
      </c>
      <c r="C2"/>
      <c r="D2" s="361" t="s">
        <v>171</v>
      </c>
      <c r="E2" s="361"/>
      <c r="F2" s="361"/>
      <c r="G2" s="136">
        <v>60</v>
      </c>
      <c r="H2" s="137" t="s">
        <v>172</v>
      </c>
      <c r="I2" s="138"/>
      <c r="J2" s="140"/>
      <c r="K2" s="140"/>
      <c r="L2" s="140"/>
      <c r="M2" s="140"/>
      <c r="N2" s="140"/>
      <c r="O2" s="140"/>
      <c r="P2" s="140"/>
      <c r="Q2" s="140"/>
      <c r="R2" s="141"/>
      <c r="S2" s="133"/>
      <c r="T2" s="133"/>
    </row>
    <row r="3" spans="1:256" ht="24.75" customHeight="1">
      <c r="A3" s="134" t="str">
        <f>Прейскурант!A5</f>
        <v>2.</v>
      </c>
      <c r="B3" s="145" t="str">
        <f>Прейскурант!B5</f>
        <v>АИ 98</v>
      </c>
      <c r="C3"/>
      <c r="D3" s="361" t="s">
        <v>171</v>
      </c>
      <c r="E3" s="361"/>
      <c r="F3" s="361"/>
      <c r="G3" s="136">
        <v>50</v>
      </c>
      <c r="H3" s="142" t="s">
        <v>174</v>
      </c>
      <c r="I3" s="138"/>
      <c r="J3" s="141"/>
      <c r="K3" s="141"/>
      <c r="L3" s="141"/>
      <c r="M3" s="141"/>
      <c r="N3" s="141"/>
      <c r="O3" s="141"/>
      <c r="P3" s="141"/>
      <c r="Q3" s="141"/>
      <c r="R3" s="133"/>
      <c r="S3" s="133"/>
      <c r="IV3" s="129"/>
    </row>
    <row r="4" spans="1:256" ht="26.25" customHeight="1">
      <c r="A4" s="144" t="str">
        <f>Прейскурант!A6</f>
        <v>3.</v>
      </c>
      <c r="B4" s="145" t="str">
        <f>Прейскурант!B6</f>
        <v>АИ 95</v>
      </c>
      <c r="C4"/>
      <c r="D4" s="365" t="s">
        <v>175</v>
      </c>
      <c r="E4" s="365"/>
      <c r="F4" s="365"/>
      <c r="G4" s="139">
        <v>300</v>
      </c>
      <c r="H4" s="142" t="s">
        <v>174</v>
      </c>
      <c r="I4" s="138"/>
      <c r="J4" s="141"/>
      <c r="K4" s="141"/>
      <c r="L4" s="141"/>
      <c r="M4" s="141"/>
      <c r="N4" s="141"/>
      <c r="O4" s="141"/>
      <c r="P4" s="141"/>
      <c r="Q4" s="141"/>
      <c r="R4" s="133"/>
      <c r="S4" s="133"/>
      <c r="IV4" s="129"/>
    </row>
    <row r="5" spans="1:256" ht="12.75" customHeight="1">
      <c r="A5" s="144" t="str">
        <f>Прейскурант!A7</f>
        <v>4.</v>
      </c>
      <c r="B5" s="145" t="str">
        <f>Прейскурант!B7</f>
        <v>АИ-92</v>
      </c>
      <c r="C5"/>
      <c r="D5" s="361" t="s">
        <v>176</v>
      </c>
      <c r="E5" s="361" t="s">
        <v>177</v>
      </c>
      <c r="F5" s="366">
        <v>14000</v>
      </c>
      <c r="G5" s="367" t="s">
        <v>178</v>
      </c>
      <c r="H5" s="143"/>
      <c r="I5" s="138"/>
      <c r="J5" s="141"/>
      <c r="K5" s="141"/>
      <c r="L5" s="141"/>
      <c r="M5" s="141"/>
      <c r="N5" s="141"/>
      <c r="O5" s="141"/>
      <c r="P5" s="141"/>
      <c r="Q5" s="141"/>
      <c r="R5" s="133"/>
      <c r="S5" s="133"/>
      <c r="IV5" s="129"/>
    </row>
    <row r="6" spans="1:256" ht="12.75" customHeight="1">
      <c r="A6" s="144" t="str">
        <f>Прейскурант!A8</f>
        <v>5.</v>
      </c>
      <c r="B6" s="145" t="str">
        <f>Прейскурант!B8</f>
        <v>ДТ</v>
      </c>
      <c r="C6"/>
      <c r="D6" s="361"/>
      <c r="E6" s="361"/>
      <c r="F6" s="366"/>
      <c r="G6" s="367"/>
      <c r="H6" s="143"/>
      <c r="I6" s="138"/>
      <c r="J6" s="141"/>
      <c r="K6" s="141"/>
      <c r="L6" s="141"/>
      <c r="M6" s="141"/>
      <c r="N6" s="141"/>
      <c r="O6" s="141"/>
      <c r="P6" s="141"/>
      <c r="Q6" s="141"/>
      <c r="R6" s="133"/>
      <c r="S6" s="133"/>
      <c r="IV6" s="129"/>
    </row>
    <row r="7" spans="1:256" ht="14.25">
      <c r="A7" s="144" t="str">
        <f>Прейскурант!A9</f>
        <v>6.</v>
      </c>
      <c r="B7" s="135" t="str">
        <f>Прейскурант!B9</f>
        <v>Магазин</v>
      </c>
      <c r="C7"/>
      <c r="D7" s="361"/>
      <c r="E7" s="361"/>
      <c r="F7" s="366"/>
      <c r="G7" s="367"/>
      <c r="H7" s="143"/>
      <c r="I7" s="138"/>
      <c r="J7" s="141"/>
      <c r="K7" s="141"/>
      <c r="L7" s="141"/>
      <c r="M7" s="141"/>
      <c r="N7" s="141"/>
      <c r="O7" s="141"/>
      <c r="P7" s="141"/>
      <c r="Q7" s="141"/>
      <c r="R7" s="133"/>
      <c r="S7" s="133"/>
      <c r="IV7" s="129"/>
    </row>
    <row r="8" spans="3:256" ht="25.5" customHeight="1">
      <c r="C8" s="146"/>
      <c r="D8" s="361" t="s">
        <v>356</v>
      </c>
      <c r="E8" s="361"/>
      <c r="F8" s="297">
        <f>F5*0.01789</f>
        <v>250.46</v>
      </c>
      <c r="G8" s="142" t="s">
        <v>178</v>
      </c>
      <c r="I8" s="138"/>
      <c r="J8" s="141"/>
      <c r="K8" s="141"/>
      <c r="L8" s="141"/>
      <c r="M8" s="141"/>
      <c r="N8" s="141"/>
      <c r="O8" s="141"/>
      <c r="P8" s="141"/>
      <c r="Q8" s="141"/>
      <c r="R8" s="133"/>
      <c r="S8" s="133"/>
      <c r="IV8" s="129"/>
    </row>
    <row r="9" spans="1:256" ht="25.5" customHeight="1">
      <c r="A9" s="368" t="s">
        <v>179</v>
      </c>
      <c r="B9" s="368"/>
      <c r="C9" s="368"/>
      <c r="D9" s="368"/>
      <c r="E9" s="368"/>
      <c r="F9" s="368"/>
      <c r="G9" s="368"/>
      <c r="H9" s="368"/>
      <c r="I9" s="148">
        <v>24</v>
      </c>
      <c r="J9" s="149" t="s">
        <v>180</v>
      </c>
      <c r="K9" s="369" t="s">
        <v>181</v>
      </c>
      <c r="L9" s="369"/>
      <c r="M9" s="369" t="s">
        <v>182</v>
      </c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150"/>
      <c r="Z9" s="369" t="s">
        <v>183</v>
      </c>
      <c r="AA9" s="369"/>
      <c r="AB9" s="369"/>
      <c r="AC9" s="369"/>
      <c r="AD9" s="369"/>
      <c r="AE9" s="369"/>
      <c r="AF9" s="369"/>
      <c r="AG9" s="369"/>
      <c r="AH9" s="369"/>
      <c r="AI9" s="369"/>
      <c r="AJ9" s="369"/>
      <c r="AK9" s="369"/>
      <c r="AL9" s="150"/>
      <c r="AM9" s="369" t="s">
        <v>184</v>
      </c>
      <c r="AN9" s="369"/>
      <c r="AO9" s="369"/>
      <c r="AP9" s="369"/>
      <c r="AQ9" s="369"/>
      <c r="AR9" s="369"/>
      <c r="AS9" s="369"/>
      <c r="AT9" s="369"/>
      <c r="AU9" s="369"/>
      <c r="AV9" s="369"/>
      <c r="AW9" s="369"/>
      <c r="AX9" s="369"/>
      <c r="AY9" s="150"/>
      <c r="AZ9" s="369" t="s">
        <v>185</v>
      </c>
      <c r="BA9" s="369"/>
      <c r="BB9" s="369"/>
      <c r="BC9" s="369"/>
      <c r="BD9" s="369"/>
      <c r="BE9" s="369"/>
      <c r="BF9" s="369"/>
      <c r="BG9" s="369"/>
      <c r="BH9" s="369"/>
      <c r="BI9" s="369"/>
      <c r="BJ9" s="369"/>
      <c r="BK9" s="369"/>
      <c r="BL9" s="150"/>
      <c r="IV9" s="129"/>
    </row>
    <row r="10" spans="1:256" ht="21.75" customHeight="1">
      <c r="A10" s="369" t="s">
        <v>186</v>
      </c>
      <c r="B10" s="369" t="s">
        <v>187</v>
      </c>
      <c r="C10" s="370" t="s">
        <v>188</v>
      </c>
      <c r="D10" s="370"/>
      <c r="E10" s="370"/>
      <c r="F10" s="370"/>
      <c r="G10" s="370"/>
      <c r="H10" s="370"/>
      <c r="I10" s="370"/>
      <c r="J10" s="369" t="s">
        <v>189</v>
      </c>
      <c r="K10" s="371" t="s">
        <v>190</v>
      </c>
      <c r="L10" s="371" t="s">
        <v>191</v>
      </c>
      <c r="M10" s="131" t="s">
        <v>109</v>
      </c>
      <c r="N10" s="131" t="s">
        <v>110</v>
      </c>
      <c r="O10" s="131" t="s">
        <v>111</v>
      </c>
      <c r="P10" s="131" t="s">
        <v>112</v>
      </c>
      <c r="Q10" s="131" t="s">
        <v>113</v>
      </c>
      <c r="R10" s="131" t="s">
        <v>114</v>
      </c>
      <c r="S10" s="131" t="s">
        <v>115</v>
      </c>
      <c r="T10" s="131" t="s">
        <v>116</v>
      </c>
      <c r="U10" s="131" t="s">
        <v>117</v>
      </c>
      <c r="V10" s="131" t="s">
        <v>118</v>
      </c>
      <c r="W10" s="131" t="s">
        <v>119</v>
      </c>
      <c r="X10" s="131" t="s">
        <v>120</v>
      </c>
      <c r="Y10" s="131" t="s">
        <v>192</v>
      </c>
      <c r="Z10" s="131" t="s">
        <v>109</v>
      </c>
      <c r="AA10" s="131" t="s">
        <v>110</v>
      </c>
      <c r="AB10" s="131" t="s">
        <v>111</v>
      </c>
      <c r="AC10" s="131" t="s">
        <v>112</v>
      </c>
      <c r="AD10" s="131" t="s">
        <v>113</v>
      </c>
      <c r="AE10" s="131" t="s">
        <v>114</v>
      </c>
      <c r="AF10" s="131" t="s">
        <v>115</v>
      </c>
      <c r="AG10" s="131" t="s">
        <v>116</v>
      </c>
      <c r="AH10" s="131" t="s">
        <v>117</v>
      </c>
      <c r="AI10" s="131" t="s">
        <v>118</v>
      </c>
      <c r="AJ10" s="131" t="s">
        <v>119</v>
      </c>
      <c r="AK10" s="131" t="s">
        <v>120</v>
      </c>
      <c r="AL10" s="131" t="s">
        <v>192</v>
      </c>
      <c r="AM10" s="131" t="s">
        <v>109</v>
      </c>
      <c r="AN10" s="131" t="s">
        <v>110</v>
      </c>
      <c r="AO10" s="131" t="s">
        <v>111</v>
      </c>
      <c r="AP10" s="131" t="s">
        <v>112</v>
      </c>
      <c r="AQ10" s="131" t="s">
        <v>113</v>
      </c>
      <c r="AR10" s="131" t="s">
        <v>114</v>
      </c>
      <c r="AS10" s="131" t="s">
        <v>115</v>
      </c>
      <c r="AT10" s="131" t="s">
        <v>116</v>
      </c>
      <c r="AU10" s="131" t="s">
        <v>117</v>
      </c>
      <c r="AV10" s="131" t="s">
        <v>118</v>
      </c>
      <c r="AW10" s="131" t="s">
        <v>119</v>
      </c>
      <c r="AX10" s="131" t="s">
        <v>120</v>
      </c>
      <c r="AY10" s="131" t="s">
        <v>192</v>
      </c>
      <c r="AZ10" s="131" t="s">
        <v>109</v>
      </c>
      <c r="BA10" s="131" t="s">
        <v>110</v>
      </c>
      <c r="BB10" s="131" t="s">
        <v>111</v>
      </c>
      <c r="BC10" s="131" t="s">
        <v>112</v>
      </c>
      <c r="BD10" s="131" t="s">
        <v>113</v>
      </c>
      <c r="BE10" s="131" t="s">
        <v>114</v>
      </c>
      <c r="BF10" s="131" t="s">
        <v>115</v>
      </c>
      <c r="BG10" s="131" t="s">
        <v>116</v>
      </c>
      <c r="BH10" s="131" t="s">
        <v>117</v>
      </c>
      <c r="BI10" s="131" t="s">
        <v>118</v>
      </c>
      <c r="BJ10" s="131" t="s">
        <v>119</v>
      </c>
      <c r="BK10" s="131" t="s">
        <v>120</v>
      </c>
      <c r="BL10" s="131" t="s">
        <v>192</v>
      </c>
      <c r="IV10" s="129"/>
    </row>
    <row r="11" spans="1:256" ht="30.75" customHeight="1">
      <c r="A11" s="369"/>
      <c r="B11" s="369"/>
      <c r="C11" s="132" t="s">
        <v>193</v>
      </c>
      <c r="D11" s="151" t="s">
        <v>194</v>
      </c>
      <c r="E11" s="151" t="s">
        <v>195</v>
      </c>
      <c r="F11" s="151" t="s">
        <v>196</v>
      </c>
      <c r="G11" s="151" t="s">
        <v>197</v>
      </c>
      <c r="H11" s="151" t="s">
        <v>198</v>
      </c>
      <c r="I11" s="132" t="s">
        <v>199</v>
      </c>
      <c r="J11" s="369"/>
      <c r="K11" s="371"/>
      <c r="L11" s="371"/>
      <c r="M11" s="132">
        <v>31</v>
      </c>
      <c r="N11" s="132">
        <v>28</v>
      </c>
      <c r="O11" s="132">
        <f aca="true" t="shared" si="0" ref="O11:O19">M11</f>
        <v>31</v>
      </c>
      <c r="P11" s="132">
        <f aca="true" t="shared" si="1" ref="P11:X11">O11</f>
        <v>31</v>
      </c>
      <c r="Q11" s="132">
        <f t="shared" si="1"/>
        <v>31</v>
      </c>
      <c r="R11" s="132">
        <f t="shared" si="1"/>
        <v>31</v>
      </c>
      <c r="S11" s="132">
        <f t="shared" si="1"/>
        <v>31</v>
      </c>
      <c r="T11" s="132">
        <f t="shared" si="1"/>
        <v>31</v>
      </c>
      <c r="U11" s="132">
        <f t="shared" si="1"/>
        <v>31</v>
      </c>
      <c r="V11" s="132">
        <f t="shared" si="1"/>
        <v>31</v>
      </c>
      <c r="W11" s="132">
        <f t="shared" si="1"/>
        <v>31</v>
      </c>
      <c r="X11" s="132">
        <f t="shared" si="1"/>
        <v>31</v>
      </c>
      <c r="Y11" s="132">
        <f>SUM(M11:X11)</f>
        <v>369</v>
      </c>
      <c r="Z11" s="132">
        <v>30</v>
      </c>
      <c r="AA11" s="132">
        <v>28</v>
      </c>
      <c r="AB11" s="132">
        <f>Z11</f>
        <v>30</v>
      </c>
      <c r="AC11" s="132">
        <f aca="true" t="shared" si="2" ref="AC11:AK11">AB11</f>
        <v>30</v>
      </c>
      <c r="AD11" s="132">
        <f t="shared" si="2"/>
        <v>30</v>
      </c>
      <c r="AE11" s="132">
        <f t="shared" si="2"/>
        <v>30</v>
      </c>
      <c r="AF11" s="132">
        <f t="shared" si="2"/>
        <v>30</v>
      </c>
      <c r="AG11" s="132">
        <f t="shared" si="2"/>
        <v>30</v>
      </c>
      <c r="AH11" s="132">
        <f t="shared" si="2"/>
        <v>30</v>
      </c>
      <c r="AI11" s="132">
        <f t="shared" si="2"/>
        <v>30</v>
      </c>
      <c r="AJ11" s="132">
        <f t="shared" si="2"/>
        <v>30</v>
      </c>
      <c r="AK11" s="132">
        <f t="shared" si="2"/>
        <v>30</v>
      </c>
      <c r="AL11" s="132">
        <f aca="true" t="shared" si="3" ref="AL11:AL19">SUM(Z11:AK11)</f>
        <v>358</v>
      </c>
      <c r="AM11" s="132">
        <v>30</v>
      </c>
      <c r="AN11" s="132">
        <v>28</v>
      </c>
      <c r="AO11" s="132">
        <f aca="true" t="shared" si="4" ref="AO11:AO19">AM11</f>
        <v>30</v>
      </c>
      <c r="AP11" s="132">
        <f aca="true" t="shared" si="5" ref="AP11:AX11">AO11</f>
        <v>30</v>
      </c>
      <c r="AQ11" s="132">
        <f t="shared" si="5"/>
        <v>30</v>
      </c>
      <c r="AR11" s="132">
        <f t="shared" si="5"/>
        <v>30</v>
      </c>
      <c r="AS11" s="132">
        <f t="shared" si="5"/>
        <v>30</v>
      </c>
      <c r="AT11" s="132">
        <f t="shared" si="5"/>
        <v>30</v>
      </c>
      <c r="AU11" s="132">
        <f t="shared" si="5"/>
        <v>30</v>
      </c>
      <c r="AV11" s="132">
        <f t="shared" si="5"/>
        <v>30</v>
      </c>
      <c r="AW11" s="132">
        <f t="shared" si="5"/>
        <v>30</v>
      </c>
      <c r="AX11" s="132">
        <f t="shared" si="5"/>
        <v>30</v>
      </c>
      <c r="AY11" s="132">
        <f aca="true" t="shared" si="6" ref="AY11:AY19">SUM(AM11:AX11)</f>
        <v>358</v>
      </c>
      <c r="AZ11" s="132">
        <v>30</v>
      </c>
      <c r="BA11" s="132">
        <v>28</v>
      </c>
      <c r="BB11" s="132">
        <f>AZ11</f>
        <v>30</v>
      </c>
      <c r="BC11" s="132">
        <f aca="true" t="shared" si="7" ref="BC11:BK11">BB11</f>
        <v>30</v>
      </c>
      <c r="BD11" s="132">
        <f t="shared" si="7"/>
        <v>30</v>
      </c>
      <c r="BE11" s="132">
        <f t="shared" si="7"/>
        <v>30</v>
      </c>
      <c r="BF11" s="132">
        <f t="shared" si="7"/>
        <v>30</v>
      </c>
      <c r="BG11" s="132">
        <f t="shared" si="7"/>
        <v>30</v>
      </c>
      <c r="BH11" s="132">
        <f t="shared" si="7"/>
        <v>30</v>
      </c>
      <c r="BI11" s="132">
        <f t="shared" si="7"/>
        <v>30</v>
      </c>
      <c r="BJ11" s="132">
        <f t="shared" si="7"/>
        <v>30</v>
      </c>
      <c r="BK11" s="132">
        <f t="shared" si="7"/>
        <v>30</v>
      </c>
      <c r="BL11" s="132">
        <f aca="true" t="shared" si="8" ref="BL11:BL19">SUM(AZ11:BK11)</f>
        <v>358</v>
      </c>
      <c r="IV11" s="129"/>
    </row>
    <row r="12" spans="1:256" s="152" customFormat="1" ht="12.75" customHeight="1">
      <c r="A12" s="134" t="str">
        <f aca="true" t="shared" si="9" ref="A12:B16">A2</f>
        <v>1.</v>
      </c>
      <c r="B12" s="135" t="str">
        <f t="shared" si="9"/>
        <v>Пропан - бутановая смесь (СУГ)</v>
      </c>
      <c r="C12" s="36">
        <f>F8*0.1</f>
        <v>25.046000000000003</v>
      </c>
      <c r="D12" s="36">
        <f aca="true" t="shared" si="10" ref="D12:I18">C12</f>
        <v>25.046000000000003</v>
      </c>
      <c r="E12" s="36">
        <f t="shared" si="10"/>
        <v>25.046000000000003</v>
      </c>
      <c r="F12" s="36">
        <f t="shared" si="10"/>
        <v>25.046000000000003</v>
      </c>
      <c r="G12" s="36">
        <f t="shared" si="10"/>
        <v>25.046000000000003</v>
      </c>
      <c r="H12" s="36">
        <f t="shared" si="10"/>
        <v>25.046000000000003</v>
      </c>
      <c r="I12" s="36">
        <f t="shared" si="10"/>
        <v>25.046000000000003</v>
      </c>
      <c r="J12" s="36">
        <f aca="true" t="shared" si="11" ref="J12:J18">SUM(C12:I12)*4</f>
        <v>701.288</v>
      </c>
      <c r="K12" s="36">
        <f aca="true" t="shared" si="12" ref="K12:K18">J12*0.8</f>
        <v>561.0304</v>
      </c>
      <c r="L12" s="36">
        <f aca="true" t="shared" si="13" ref="L12:L18">J12*0.5</f>
        <v>350.644</v>
      </c>
      <c r="M12" s="134">
        <f aca="true" t="shared" si="14" ref="M12:M19">L12</f>
        <v>350.644</v>
      </c>
      <c r="N12" s="134">
        <f aca="true" t="shared" si="15" ref="N12:N19">L12</f>
        <v>350.644</v>
      </c>
      <c r="O12" s="134">
        <f t="shared" si="0"/>
        <v>350.644</v>
      </c>
      <c r="P12" s="134">
        <f aca="true" t="shared" si="16" ref="P12:X19">N12</f>
        <v>350.644</v>
      </c>
      <c r="Q12" s="134">
        <f t="shared" si="16"/>
        <v>350.644</v>
      </c>
      <c r="R12" s="134">
        <f t="shared" si="16"/>
        <v>350.644</v>
      </c>
      <c r="S12" s="134">
        <f t="shared" si="16"/>
        <v>350.644</v>
      </c>
      <c r="T12" s="134">
        <f t="shared" si="16"/>
        <v>350.644</v>
      </c>
      <c r="U12" s="134">
        <f t="shared" si="16"/>
        <v>350.644</v>
      </c>
      <c r="V12" s="134">
        <f t="shared" si="16"/>
        <v>350.644</v>
      </c>
      <c r="W12" s="134">
        <f t="shared" si="16"/>
        <v>350.644</v>
      </c>
      <c r="X12" s="134">
        <f t="shared" si="16"/>
        <v>350.644</v>
      </c>
      <c r="Y12" s="152">
        <f>SUM(M12:X12)</f>
        <v>4207.728000000001</v>
      </c>
      <c r="Z12" s="134">
        <f aca="true" t="shared" si="17" ref="Z12:Z19">L12</f>
        <v>350.644</v>
      </c>
      <c r="AA12" s="134">
        <f aca="true" t="shared" si="18" ref="AA12:AB19">Z12</f>
        <v>350.644</v>
      </c>
      <c r="AB12" s="134">
        <f t="shared" si="18"/>
        <v>350.644</v>
      </c>
      <c r="AC12" s="134">
        <f aca="true" t="shared" si="19" ref="AC12:AK12">AB12</f>
        <v>350.644</v>
      </c>
      <c r="AD12" s="134">
        <f t="shared" si="19"/>
        <v>350.644</v>
      </c>
      <c r="AE12" s="134">
        <f t="shared" si="19"/>
        <v>350.644</v>
      </c>
      <c r="AF12" s="134">
        <f t="shared" si="19"/>
        <v>350.644</v>
      </c>
      <c r="AG12" s="134">
        <f t="shared" si="19"/>
        <v>350.644</v>
      </c>
      <c r="AH12" s="134">
        <f t="shared" si="19"/>
        <v>350.644</v>
      </c>
      <c r="AI12" s="134">
        <f t="shared" si="19"/>
        <v>350.644</v>
      </c>
      <c r="AJ12" s="134">
        <f t="shared" si="19"/>
        <v>350.644</v>
      </c>
      <c r="AK12" s="134">
        <f t="shared" si="19"/>
        <v>350.644</v>
      </c>
      <c r="AL12" s="152">
        <f t="shared" si="3"/>
        <v>4207.728000000001</v>
      </c>
      <c r="AM12" s="134">
        <f aca="true" t="shared" si="20" ref="AM12:AM19">K12</f>
        <v>561.0304</v>
      </c>
      <c r="AN12" s="134">
        <f aca="true" t="shared" si="21" ref="AN12:AN19">AM12</f>
        <v>561.0304</v>
      </c>
      <c r="AO12" s="134">
        <f t="shared" si="4"/>
        <v>561.0304</v>
      </c>
      <c r="AP12" s="134">
        <f aca="true" t="shared" si="22" ref="AP12:AX19">AN12</f>
        <v>561.0304</v>
      </c>
      <c r="AQ12" s="134">
        <f t="shared" si="22"/>
        <v>561.0304</v>
      </c>
      <c r="AR12" s="134">
        <f t="shared" si="22"/>
        <v>561.0304</v>
      </c>
      <c r="AS12" s="134">
        <f t="shared" si="22"/>
        <v>561.0304</v>
      </c>
      <c r="AT12" s="134">
        <f t="shared" si="22"/>
        <v>561.0304</v>
      </c>
      <c r="AU12" s="134">
        <f t="shared" si="22"/>
        <v>561.0304</v>
      </c>
      <c r="AV12" s="134">
        <f t="shared" si="22"/>
        <v>561.0304</v>
      </c>
      <c r="AW12" s="134">
        <f t="shared" si="22"/>
        <v>561.0304</v>
      </c>
      <c r="AX12" s="134">
        <f t="shared" si="22"/>
        <v>561.0304</v>
      </c>
      <c r="AY12" s="152">
        <f t="shared" si="6"/>
        <v>6732.3647999999985</v>
      </c>
      <c r="AZ12" s="134">
        <f aca="true" t="shared" si="23" ref="AZ12:AZ19">K12</f>
        <v>561.0304</v>
      </c>
      <c r="BA12" s="134">
        <f aca="true" t="shared" si="24" ref="BA12:BB19">AZ12</f>
        <v>561.0304</v>
      </c>
      <c r="BB12" s="134">
        <f t="shared" si="24"/>
        <v>561.0304</v>
      </c>
      <c r="BC12" s="134">
        <f aca="true" t="shared" si="25" ref="BC12:BK12">BB12</f>
        <v>561.0304</v>
      </c>
      <c r="BD12" s="134">
        <f t="shared" si="25"/>
        <v>561.0304</v>
      </c>
      <c r="BE12" s="134">
        <f t="shared" si="25"/>
        <v>561.0304</v>
      </c>
      <c r="BF12" s="134">
        <f t="shared" si="25"/>
        <v>561.0304</v>
      </c>
      <c r="BG12" s="134">
        <f t="shared" si="25"/>
        <v>561.0304</v>
      </c>
      <c r="BH12" s="134">
        <f t="shared" si="25"/>
        <v>561.0304</v>
      </c>
      <c r="BI12" s="134">
        <f t="shared" si="25"/>
        <v>561.0304</v>
      </c>
      <c r="BJ12" s="134">
        <f t="shared" si="25"/>
        <v>561.0304</v>
      </c>
      <c r="BK12" s="134">
        <f t="shared" si="25"/>
        <v>561.0304</v>
      </c>
      <c r="BL12" s="152">
        <f t="shared" si="8"/>
        <v>6732.3647999999985</v>
      </c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  <c r="HY12" s="129"/>
      <c r="HZ12" s="129"/>
      <c r="IA12" s="129"/>
      <c r="IB12" s="129"/>
      <c r="IC12" s="129"/>
      <c r="ID12" s="129"/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  <c r="IQ12" s="129"/>
      <c r="IR12" s="129"/>
      <c r="IS12" s="129"/>
      <c r="IT12" s="129"/>
      <c r="IU12" s="129"/>
      <c r="IV12" s="129"/>
    </row>
    <row r="13" spans="1:256" s="150" customFormat="1" ht="12.75" customHeight="1">
      <c r="A13" s="134" t="str">
        <f t="shared" si="9"/>
        <v>2.</v>
      </c>
      <c r="B13" s="145" t="str">
        <f t="shared" si="9"/>
        <v>АИ 98</v>
      </c>
      <c r="C13" s="153">
        <f>F8*0.225</f>
        <v>56.353500000000004</v>
      </c>
      <c r="D13" s="153">
        <f t="shared" si="10"/>
        <v>56.353500000000004</v>
      </c>
      <c r="E13" s="153">
        <f t="shared" si="10"/>
        <v>56.353500000000004</v>
      </c>
      <c r="F13" s="153">
        <f t="shared" si="10"/>
        <v>56.353500000000004</v>
      </c>
      <c r="G13" s="153">
        <f t="shared" si="10"/>
        <v>56.353500000000004</v>
      </c>
      <c r="H13" s="153">
        <f t="shared" si="10"/>
        <v>56.353500000000004</v>
      </c>
      <c r="I13" s="153">
        <f t="shared" si="10"/>
        <v>56.353500000000004</v>
      </c>
      <c r="J13" s="153">
        <f t="shared" si="11"/>
        <v>1577.8980000000001</v>
      </c>
      <c r="K13" s="153">
        <f t="shared" si="12"/>
        <v>1262.3184</v>
      </c>
      <c r="L13" s="153">
        <f t="shared" si="13"/>
        <v>788.9490000000001</v>
      </c>
      <c r="M13" s="144">
        <f t="shared" si="14"/>
        <v>788.9490000000001</v>
      </c>
      <c r="N13" s="144">
        <f t="shared" si="15"/>
        <v>788.9490000000001</v>
      </c>
      <c r="O13" s="144">
        <f t="shared" si="0"/>
        <v>788.9490000000001</v>
      </c>
      <c r="P13" s="144">
        <f t="shared" si="16"/>
        <v>788.9490000000001</v>
      </c>
      <c r="Q13" s="144">
        <f t="shared" si="16"/>
        <v>788.9490000000001</v>
      </c>
      <c r="R13" s="144">
        <f t="shared" si="16"/>
        <v>788.9490000000001</v>
      </c>
      <c r="S13" s="144">
        <f t="shared" si="16"/>
        <v>788.9490000000001</v>
      </c>
      <c r="T13" s="144">
        <f t="shared" si="16"/>
        <v>788.9490000000001</v>
      </c>
      <c r="U13" s="144">
        <f t="shared" si="16"/>
        <v>788.9490000000001</v>
      </c>
      <c r="V13" s="144">
        <f t="shared" si="16"/>
        <v>788.9490000000001</v>
      </c>
      <c r="W13" s="144">
        <f t="shared" si="16"/>
        <v>788.9490000000001</v>
      </c>
      <c r="X13" s="144">
        <f t="shared" si="16"/>
        <v>788.9490000000001</v>
      </c>
      <c r="Y13" s="144">
        <f>SUM(C13:X13)</f>
        <v>13491.027900000006</v>
      </c>
      <c r="Z13" s="144">
        <f t="shared" si="17"/>
        <v>788.9490000000001</v>
      </c>
      <c r="AA13" s="144">
        <f t="shared" si="18"/>
        <v>788.9490000000001</v>
      </c>
      <c r="AB13" s="144">
        <f t="shared" si="18"/>
        <v>788.9490000000001</v>
      </c>
      <c r="AC13" s="144">
        <f aca="true" t="shared" si="26" ref="AC13:AK13">AB13</f>
        <v>788.9490000000001</v>
      </c>
      <c r="AD13" s="144">
        <f t="shared" si="26"/>
        <v>788.9490000000001</v>
      </c>
      <c r="AE13" s="144">
        <f t="shared" si="26"/>
        <v>788.9490000000001</v>
      </c>
      <c r="AF13" s="144">
        <f t="shared" si="26"/>
        <v>788.9490000000001</v>
      </c>
      <c r="AG13" s="144">
        <f t="shared" si="26"/>
        <v>788.9490000000001</v>
      </c>
      <c r="AH13" s="144">
        <f t="shared" si="26"/>
        <v>788.9490000000001</v>
      </c>
      <c r="AI13" s="144">
        <f t="shared" si="26"/>
        <v>788.9490000000001</v>
      </c>
      <c r="AJ13" s="144">
        <f t="shared" si="26"/>
        <v>788.9490000000001</v>
      </c>
      <c r="AK13" s="144">
        <f t="shared" si="26"/>
        <v>788.9490000000001</v>
      </c>
      <c r="AL13" s="144">
        <f t="shared" si="3"/>
        <v>9467.388000000003</v>
      </c>
      <c r="AM13" s="144">
        <f t="shared" si="20"/>
        <v>1262.3184</v>
      </c>
      <c r="AN13" s="144">
        <f t="shared" si="21"/>
        <v>1262.3184</v>
      </c>
      <c r="AO13" s="144">
        <f t="shared" si="4"/>
        <v>1262.3184</v>
      </c>
      <c r="AP13" s="144">
        <f t="shared" si="22"/>
        <v>1262.3184</v>
      </c>
      <c r="AQ13" s="144">
        <f t="shared" si="22"/>
        <v>1262.3184</v>
      </c>
      <c r="AR13" s="144">
        <f t="shared" si="22"/>
        <v>1262.3184</v>
      </c>
      <c r="AS13" s="144">
        <f t="shared" si="22"/>
        <v>1262.3184</v>
      </c>
      <c r="AT13" s="144">
        <f t="shared" si="22"/>
        <v>1262.3184</v>
      </c>
      <c r="AU13" s="144">
        <f t="shared" si="22"/>
        <v>1262.3184</v>
      </c>
      <c r="AV13" s="144">
        <f t="shared" si="22"/>
        <v>1262.3184</v>
      </c>
      <c r="AW13" s="144">
        <f t="shared" si="22"/>
        <v>1262.3184</v>
      </c>
      <c r="AX13" s="144">
        <f t="shared" si="22"/>
        <v>1262.3184</v>
      </c>
      <c r="AY13" s="144">
        <f t="shared" si="6"/>
        <v>15147.820800000001</v>
      </c>
      <c r="AZ13" s="144">
        <f t="shared" si="23"/>
        <v>1262.3184</v>
      </c>
      <c r="BA13" s="144">
        <f t="shared" si="24"/>
        <v>1262.3184</v>
      </c>
      <c r="BB13" s="144">
        <f t="shared" si="24"/>
        <v>1262.3184</v>
      </c>
      <c r="BC13" s="144">
        <f aca="true" t="shared" si="27" ref="BC13:BK13">BB13</f>
        <v>1262.3184</v>
      </c>
      <c r="BD13" s="144">
        <f t="shared" si="27"/>
        <v>1262.3184</v>
      </c>
      <c r="BE13" s="144">
        <f t="shared" si="27"/>
        <v>1262.3184</v>
      </c>
      <c r="BF13" s="144">
        <f t="shared" si="27"/>
        <v>1262.3184</v>
      </c>
      <c r="BG13" s="144">
        <f t="shared" si="27"/>
        <v>1262.3184</v>
      </c>
      <c r="BH13" s="144">
        <f t="shared" si="27"/>
        <v>1262.3184</v>
      </c>
      <c r="BI13" s="144">
        <f t="shared" si="27"/>
        <v>1262.3184</v>
      </c>
      <c r="BJ13" s="144">
        <f t="shared" si="27"/>
        <v>1262.3184</v>
      </c>
      <c r="BK13" s="144">
        <f t="shared" si="27"/>
        <v>1262.3184</v>
      </c>
      <c r="BL13" s="144">
        <f t="shared" si="8"/>
        <v>15147.820800000001</v>
      </c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  <c r="IA13" s="129"/>
      <c r="IB13" s="129"/>
      <c r="IC13" s="129"/>
      <c r="ID13" s="129"/>
      <c r="IE13" s="129"/>
      <c r="IF13" s="129"/>
      <c r="IG13" s="129"/>
      <c r="IH13" s="129"/>
      <c r="II13" s="129"/>
      <c r="IJ13" s="129"/>
      <c r="IK13" s="129"/>
      <c r="IL13" s="129"/>
      <c r="IM13" s="129"/>
      <c r="IN13" s="129"/>
      <c r="IO13" s="129"/>
      <c r="IP13" s="129"/>
      <c r="IQ13" s="129"/>
      <c r="IR13" s="129"/>
      <c r="IS13" s="129"/>
      <c r="IT13" s="129"/>
      <c r="IU13" s="129"/>
      <c r="IV13" s="129"/>
    </row>
    <row r="14" spans="1:256" s="150" customFormat="1" ht="12.75" customHeight="1">
      <c r="A14" s="144" t="str">
        <f t="shared" si="9"/>
        <v>3.</v>
      </c>
      <c r="B14" s="145" t="str">
        <f t="shared" si="9"/>
        <v>АИ 95</v>
      </c>
      <c r="C14" s="153">
        <f>F8*0.225</f>
        <v>56.353500000000004</v>
      </c>
      <c r="D14" s="153">
        <f t="shared" si="10"/>
        <v>56.353500000000004</v>
      </c>
      <c r="E14" s="153">
        <f t="shared" si="10"/>
        <v>56.353500000000004</v>
      </c>
      <c r="F14" s="153">
        <f t="shared" si="10"/>
        <v>56.353500000000004</v>
      </c>
      <c r="G14" s="153">
        <f t="shared" si="10"/>
        <v>56.353500000000004</v>
      </c>
      <c r="H14" s="153">
        <f t="shared" si="10"/>
        <v>56.353500000000004</v>
      </c>
      <c r="I14" s="153">
        <f t="shared" si="10"/>
        <v>56.353500000000004</v>
      </c>
      <c r="J14" s="153">
        <f t="shared" si="11"/>
        <v>1577.8980000000001</v>
      </c>
      <c r="K14" s="153">
        <f t="shared" si="12"/>
        <v>1262.3184</v>
      </c>
      <c r="L14" s="153">
        <f t="shared" si="13"/>
        <v>788.9490000000001</v>
      </c>
      <c r="M14" s="144">
        <f t="shared" si="14"/>
        <v>788.9490000000001</v>
      </c>
      <c r="N14" s="144">
        <f t="shared" si="15"/>
        <v>788.9490000000001</v>
      </c>
      <c r="O14" s="144">
        <f t="shared" si="0"/>
        <v>788.9490000000001</v>
      </c>
      <c r="P14" s="144">
        <f t="shared" si="16"/>
        <v>788.9490000000001</v>
      </c>
      <c r="Q14" s="144">
        <f t="shared" si="16"/>
        <v>788.9490000000001</v>
      </c>
      <c r="R14" s="144">
        <f t="shared" si="16"/>
        <v>788.9490000000001</v>
      </c>
      <c r="S14" s="144">
        <f t="shared" si="16"/>
        <v>788.9490000000001</v>
      </c>
      <c r="T14" s="144">
        <f t="shared" si="16"/>
        <v>788.9490000000001</v>
      </c>
      <c r="U14" s="144">
        <f t="shared" si="16"/>
        <v>788.9490000000001</v>
      </c>
      <c r="V14" s="144">
        <f t="shared" si="16"/>
        <v>788.9490000000001</v>
      </c>
      <c r="W14" s="144">
        <f t="shared" si="16"/>
        <v>788.9490000000001</v>
      </c>
      <c r="X14" s="144">
        <f t="shared" si="16"/>
        <v>788.9490000000001</v>
      </c>
      <c r="Y14" s="144">
        <f>SUM(C14:X14)</f>
        <v>13491.027900000006</v>
      </c>
      <c r="Z14" s="144">
        <f t="shared" si="17"/>
        <v>788.9490000000001</v>
      </c>
      <c r="AA14" s="144">
        <f t="shared" si="18"/>
        <v>788.9490000000001</v>
      </c>
      <c r="AB14" s="144">
        <f t="shared" si="18"/>
        <v>788.9490000000001</v>
      </c>
      <c r="AC14" s="144">
        <f aca="true" t="shared" si="28" ref="AC14:AK14">AB14</f>
        <v>788.9490000000001</v>
      </c>
      <c r="AD14" s="144">
        <f t="shared" si="28"/>
        <v>788.9490000000001</v>
      </c>
      <c r="AE14" s="144">
        <f t="shared" si="28"/>
        <v>788.9490000000001</v>
      </c>
      <c r="AF14" s="144">
        <f t="shared" si="28"/>
        <v>788.9490000000001</v>
      </c>
      <c r="AG14" s="144">
        <f t="shared" si="28"/>
        <v>788.9490000000001</v>
      </c>
      <c r="AH14" s="144">
        <f t="shared" si="28"/>
        <v>788.9490000000001</v>
      </c>
      <c r="AI14" s="144">
        <f t="shared" si="28"/>
        <v>788.9490000000001</v>
      </c>
      <c r="AJ14" s="144">
        <f t="shared" si="28"/>
        <v>788.9490000000001</v>
      </c>
      <c r="AK14" s="144">
        <f t="shared" si="28"/>
        <v>788.9490000000001</v>
      </c>
      <c r="AL14" s="144">
        <f t="shared" si="3"/>
        <v>9467.388000000003</v>
      </c>
      <c r="AM14" s="144">
        <f t="shared" si="20"/>
        <v>1262.3184</v>
      </c>
      <c r="AN14" s="144">
        <f t="shared" si="21"/>
        <v>1262.3184</v>
      </c>
      <c r="AO14" s="144">
        <f t="shared" si="4"/>
        <v>1262.3184</v>
      </c>
      <c r="AP14" s="144">
        <f t="shared" si="22"/>
        <v>1262.3184</v>
      </c>
      <c r="AQ14" s="144">
        <f t="shared" si="22"/>
        <v>1262.3184</v>
      </c>
      <c r="AR14" s="144">
        <f t="shared" si="22"/>
        <v>1262.3184</v>
      </c>
      <c r="AS14" s="144">
        <f t="shared" si="22"/>
        <v>1262.3184</v>
      </c>
      <c r="AT14" s="144">
        <f t="shared" si="22"/>
        <v>1262.3184</v>
      </c>
      <c r="AU14" s="144">
        <f t="shared" si="22"/>
        <v>1262.3184</v>
      </c>
      <c r="AV14" s="144">
        <f t="shared" si="22"/>
        <v>1262.3184</v>
      </c>
      <c r="AW14" s="144">
        <f t="shared" si="22"/>
        <v>1262.3184</v>
      </c>
      <c r="AX14" s="144">
        <f t="shared" si="22"/>
        <v>1262.3184</v>
      </c>
      <c r="AY14" s="144">
        <f t="shared" si="6"/>
        <v>15147.820800000001</v>
      </c>
      <c r="AZ14" s="144">
        <f t="shared" si="23"/>
        <v>1262.3184</v>
      </c>
      <c r="BA14" s="144">
        <f t="shared" si="24"/>
        <v>1262.3184</v>
      </c>
      <c r="BB14" s="144">
        <f t="shared" si="24"/>
        <v>1262.3184</v>
      </c>
      <c r="BC14" s="144">
        <f aca="true" t="shared" si="29" ref="BC14:BK14">BB14</f>
        <v>1262.3184</v>
      </c>
      <c r="BD14" s="144">
        <f t="shared" si="29"/>
        <v>1262.3184</v>
      </c>
      <c r="BE14" s="144">
        <f t="shared" si="29"/>
        <v>1262.3184</v>
      </c>
      <c r="BF14" s="144">
        <f t="shared" si="29"/>
        <v>1262.3184</v>
      </c>
      <c r="BG14" s="144">
        <f t="shared" si="29"/>
        <v>1262.3184</v>
      </c>
      <c r="BH14" s="144">
        <f t="shared" si="29"/>
        <v>1262.3184</v>
      </c>
      <c r="BI14" s="144">
        <f t="shared" si="29"/>
        <v>1262.3184</v>
      </c>
      <c r="BJ14" s="144">
        <f t="shared" si="29"/>
        <v>1262.3184</v>
      </c>
      <c r="BK14" s="144">
        <f t="shared" si="29"/>
        <v>1262.3184</v>
      </c>
      <c r="BL14" s="144">
        <f t="shared" si="8"/>
        <v>15147.820800000001</v>
      </c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29"/>
      <c r="HY14" s="129"/>
      <c r="HZ14" s="129"/>
      <c r="IA14" s="129"/>
      <c r="IB14" s="129"/>
      <c r="IC14" s="129"/>
      <c r="ID14" s="129"/>
      <c r="IE14" s="129"/>
      <c r="IF14" s="129"/>
      <c r="IG14" s="129"/>
      <c r="IH14" s="129"/>
      <c r="II14" s="129"/>
      <c r="IJ14" s="129"/>
      <c r="IK14" s="129"/>
      <c r="IL14" s="129"/>
      <c r="IM14" s="129"/>
      <c r="IN14" s="129"/>
      <c r="IO14" s="129"/>
      <c r="IP14" s="129"/>
      <c r="IQ14" s="129"/>
      <c r="IR14" s="129"/>
      <c r="IS14" s="129"/>
      <c r="IT14" s="129"/>
      <c r="IU14" s="129"/>
      <c r="IV14" s="129"/>
    </row>
    <row r="15" spans="1:256" s="150" customFormat="1" ht="12.75" customHeight="1">
      <c r="A15" s="144" t="str">
        <f t="shared" si="9"/>
        <v>4.</v>
      </c>
      <c r="B15" s="145" t="str">
        <f t="shared" si="9"/>
        <v>АИ-92</v>
      </c>
      <c r="C15" s="153">
        <f>F8*0.225</f>
        <v>56.353500000000004</v>
      </c>
      <c r="D15" s="153">
        <f t="shared" si="10"/>
        <v>56.353500000000004</v>
      </c>
      <c r="E15" s="153">
        <f t="shared" si="10"/>
        <v>56.353500000000004</v>
      </c>
      <c r="F15" s="153">
        <f t="shared" si="10"/>
        <v>56.353500000000004</v>
      </c>
      <c r="G15" s="153">
        <f t="shared" si="10"/>
        <v>56.353500000000004</v>
      </c>
      <c r="H15" s="153">
        <f t="shared" si="10"/>
        <v>56.353500000000004</v>
      </c>
      <c r="I15" s="153">
        <f t="shared" si="10"/>
        <v>56.353500000000004</v>
      </c>
      <c r="J15" s="153">
        <f t="shared" si="11"/>
        <v>1577.8980000000001</v>
      </c>
      <c r="K15" s="153">
        <f t="shared" si="12"/>
        <v>1262.3184</v>
      </c>
      <c r="L15" s="153">
        <f t="shared" si="13"/>
        <v>788.9490000000001</v>
      </c>
      <c r="M15" s="144">
        <f t="shared" si="14"/>
        <v>788.9490000000001</v>
      </c>
      <c r="N15" s="144">
        <f t="shared" si="15"/>
        <v>788.9490000000001</v>
      </c>
      <c r="O15" s="144">
        <f t="shared" si="0"/>
        <v>788.9490000000001</v>
      </c>
      <c r="P15" s="144">
        <f t="shared" si="16"/>
        <v>788.9490000000001</v>
      </c>
      <c r="Q15" s="144">
        <f t="shared" si="16"/>
        <v>788.9490000000001</v>
      </c>
      <c r="R15" s="144">
        <f t="shared" si="16"/>
        <v>788.9490000000001</v>
      </c>
      <c r="S15" s="144">
        <f t="shared" si="16"/>
        <v>788.9490000000001</v>
      </c>
      <c r="T15" s="144">
        <f t="shared" si="16"/>
        <v>788.9490000000001</v>
      </c>
      <c r="U15" s="144">
        <f t="shared" si="16"/>
        <v>788.9490000000001</v>
      </c>
      <c r="V15" s="144">
        <f t="shared" si="16"/>
        <v>788.9490000000001</v>
      </c>
      <c r="W15" s="144">
        <f t="shared" si="16"/>
        <v>788.9490000000001</v>
      </c>
      <c r="X15" s="144">
        <f t="shared" si="16"/>
        <v>788.9490000000001</v>
      </c>
      <c r="Y15" s="144">
        <f>SUM(C15:X15)</f>
        <v>13491.027900000006</v>
      </c>
      <c r="Z15" s="144">
        <f t="shared" si="17"/>
        <v>788.9490000000001</v>
      </c>
      <c r="AA15" s="144">
        <f t="shared" si="18"/>
        <v>788.9490000000001</v>
      </c>
      <c r="AB15" s="144">
        <f t="shared" si="18"/>
        <v>788.9490000000001</v>
      </c>
      <c r="AC15" s="144">
        <f aca="true" t="shared" si="30" ref="AC15:AK15">AB15</f>
        <v>788.9490000000001</v>
      </c>
      <c r="AD15" s="144">
        <f t="shared" si="30"/>
        <v>788.9490000000001</v>
      </c>
      <c r="AE15" s="144">
        <f t="shared" si="30"/>
        <v>788.9490000000001</v>
      </c>
      <c r="AF15" s="144">
        <f t="shared" si="30"/>
        <v>788.9490000000001</v>
      </c>
      <c r="AG15" s="144">
        <f t="shared" si="30"/>
        <v>788.9490000000001</v>
      </c>
      <c r="AH15" s="144">
        <f t="shared" si="30"/>
        <v>788.9490000000001</v>
      </c>
      <c r="AI15" s="144">
        <f t="shared" si="30"/>
        <v>788.9490000000001</v>
      </c>
      <c r="AJ15" s="144">
        <f t="shared" si="30"/>
        <v>788.9490000000001</v>
      </c>
      <c r="AK15" s="144">
        <f t="shared" si="30"/>
        <v>788.9490000000001</v>
      </c>
      <c r="AL15" s="144">
        <f t="shared" si="3"/>
        <v>9467.388000000003</v>
      </c>
      <c r="AM15" s="144">
        <f t="shared" si="20"/>
        <v>1262.3184</v>
      </c>
      <c r="AN15" s="144">
        <f t="shared" si="21"/>
        <v>1262.3184</v>
      </c>
      <c r="AO15" s="144">
        <f t="shared" si="4"/>
        <v>1262.3184</v>
      </c>
      <c r="AP15" s="144">
        <f t="shared" si="22"/>
        <v>1262.3184</v>
      </c>
      <c r="AQ15" s="144">
        <f t="shared" si="22"/>
        <v>1262.3184</v>
      </c>
      <c r="AR15" s="144">
        <f t="shared" si="22"/>
        <v>1262.3184</v>
      </c>
      <c r="AS15" s="144">
        <f t="shared" si="22"/>
        <v>1262.3184</v>
      </c>
      <c r="AT15" s="144">
        <f t="shared" si="22"/>
        <v>1262.3184</v>
      </c>
      <c r="AU15" s="144">
        <f t="shared" si="22"/>
        <v>1262.3184</v>
      </c>
      <c r="AV15" s="144">
        <f t="shared" si="22"/>
        <v>1262.3184</v>
      </c>
      <c r="AW15" s="144">
        <f t="shared" si="22"/>
        <v>1262.3184</v>
      </c>
      <c r="AX15" s="144">
        <f t="shared" si="22"/>
        <v>1262.3184</v>
      </c>
      <c r="AY15" s="144">
        <f t="shared" si="6"/>
        <v>15147.820800000001</v>
      </c>
      <c r="AZ15" s="144">
        <f t="shared" si="23"/>
        <v>1262.3184</v>
      </c>
      <c r="BA15" s="144">
        <f t="shared" si="24"/>
        <v>1262.3184</v>
      </c>
      <c r="BB15" s="144">
        <f t="shared" si="24"/>
        <v>1262.3184</v>
      </c>
      <c r="BC15" s="144">
        <f aca="true" t="shared" si="31" ref="BC15:BK15">BB15</f>
        <v>1262.3184</v>
      </c>
      <c r="BD15" s="144">
        <f t="shared" si="31"/>
        <v>1262.3184</v>
      </c>
      <c r="BE15" s="144">
        <f t="shared" si="31"/>
        <v>1262.3184</v>
      </c>
      <c r="BF15" s="144">
        <f t="shared" si="31"/>
        <v>1262.3184</v>
      </c>
      <c r="BG15" s="144">
        <f t="shared" si="31"/>
        <v>1262.3184</v>
      </c>
      <c r="BH15" s="144">
        <f t="shared" si="31"/>
        <v>1262.3184</v>
      </c>
      <c r="BI15" s="144">
        <f t="shared" si="31"/>
        <v>1262.3184</v>
      </c>
      <c r="BJ15" s="144">
        <f t="shared" si="31"/>
        <v>1262.3184</v>
      </c>
      <c r="BK15" s="144">
        <f t="shared" si="31"/>
        <v>1262.3184</v>
      </c>
      <c r="BL15" s="144">
        <f t="shared" si="8"/>
        <v>15147.820800000001</v>
      </c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129"/>
      <c r="GT15" s="129"/>
      <c r="GU15" s="129"/>
      <c r="GV15" s="129"/>
      <c r="GW15" s="129"/>
      <c r="GX15" s="129"/>
      <c r="GY15" s="129"/>
      <c r="GZ15" s="129"/>
      <c r="HA15" s="129"/>
      <c r="HB15" s="129"/>
      <c r="HC15" s="129"/>
      <c r="HD15" s="129"/>
      <c r="HE15" s="129"/>
      <c r="HF15" s="129"/>
      <c r="HG15" s="129"/>
      <c r="HH15" s="129"/>
      <c r="HI15" s="129"/>
      <c r="HJ15" s="129"/>
      <c r="HK15" s="129"/>
      <c r="HL15" s="129"/>
      <c r="HM15" s="129"/>
      <c r="HN15" s="129"/>
      <c r="HO15" s="129"/>
      <c r="HP15" s="129"/>
      <c r="HQ15" s="129"/>
      <c r="HR15" s="129"/>
      <c r="HS15" s="129"/>
      <c r="HT15" s="129"/>
      <c r="HU15" s="129"/>
      <c r="HV15" s="129"/>
      <c r="HW15" s="129"/>
      <c r="HX15" s="129"/>
      <c r="HY15" s="129"/>
      <c r="HZ15" s="129"/>
      <c r="IA15" s="129"/>
      <c r="IB15" s="129"/>
      <c r="IC15" s="129"/>
      <c r="ID15" s="129"/>
      <c r="IE15" s="129"/>
      <c r="IF15" s="129"/>
      <c r="IG15" s="129"/>
      <c r="IH15" s="129"/>
      <c r="II15" s="129"/>
      <c r="IJ15" s="129"/>
      <c r="IK15" s="129"/>
      <c r="IL15" s="129"/>
      <c r="IM15" s="129"/>
      <c r="IN15" s="129"/>
      <c r="IO15" s="129"/>
      <c r="IP15" s="129"/>
      <c r="IQ15" s="129"/>
      <c r="IR15" s="129"/>
      <c r="IS15" s="129"/>
      <c r="IT15" s="129"/>
      <c r="IU15" s="129"/>
      <c r="IV15" s="129"/>
    </row>
    <row r="16" spans="1:256" s="150" customFormat="1" ht="12.75" customHeight="1">
      <c r="A16" s="144" t="str">
        <f t="shared" si="9"/>
        <v>5.</v>
      </c>
      <c r="B16" s="145" t="str">
        <f t="shared" si="9"/>
        <v>ДТ</v>
      </c>
      <c r="C16" s="153">
        <f>F8*0.225</f>
        <v>56.353500000000004</v>
      </c>
      <c r="D16" s="153">
        <f>C16</f>
        <v>56.353500000000004</v>
      </c>
      <c r="E16" s="153">
        <f t="shared" si="10"/>
        <v>56.353500000000004</v>
      </c>
      <c r="F16" s="153">
        <f t="shared" si="10"/>
        <v>56.353500000000004</v>
      </c>
      <c r="G16" s="153">
        <f t="shared" si="10"/>
        <v>56.353500000000004</v>
      </c>
      <c r="H16" s="153">
        <f t="shared" si="10"/>
        <v>56.353500000000004</v>
      </c>
      <c r="I16" s="153">
        <f t="shared" si="10"/>
        <v>56.353500000000004</v>
      </c>
      <c r="J16" s="153">
        <f>SUM(C16:I16)*4</f>
        <v>1577.8980000000001</v>
      </c>
      <c r="K16" s="153">
        <f t="shared" si="12"/>
        <v>1262.3184</v>
      </c>
      <c r="L16" s="153">
        <f t="shared" si="13"/>
        <v>788.9490000000001</v>
      </c>
      <c r="M16" s="144">
        <f t="shared" si="14"/>
        <v>788.9490000000001</v>
      </c>
      <c r="N16" s="144">
        <f t="shared" si="15"/>
        <v>788.9490000000001</v>
      </c>
      <c r="O16" s="144">
        <f t="shared" si="0"/>
        <v>788.9490000000001</v>
      </c>
      <c r="P16" s="144">
        <f t="shared" si="16"/>
        <v>788.9490000000001</v>
      </c>
      <c r="Q16" s="144">
        <f t="shared" si="16"/>
        <v>788.9490000000001</v>
      </c>
      <c r="R16" s="144">
        <f t="shared" si="16"/>
        <v>788.9490000000001</v>
      </c>
      <c r="S16" s="144">
        <f t="shared" si="16"/>
        <v>788.9490000000001</v>
      </c>
      <c r="T16" s="144">
        <f t="shared" si="16"/>
        <v>788.9490000000001</v>
      </c>
      <c r="U16" s="144">
        <f t="shared" si="16"/>
        <v>788.9490000000001</v>
      </c>
      <c r="V16" s="144">
        <f t="shared" si="16"/>
        <v>788.9490000000001</v>
      </c>
      <c r="W16" s="144">
        <f t="shared" si="16"/>
        <v>788.9490000000001</v>
      </c>
      <c r="X16" s="144">
        <f t="shared" si="16"/>
        <v>788.9490000000001</v>
      </c>
      <c r="Y16" s="144">
        <f>SUM(C16:X16)</f>
        <v>13491.027900000006</v>
      </c>
      <c r="Z16" s="144">
        <f t="shared" si="17"/>
        <v>788.9490000000001</v>
      </c>
      <c r="AA16" s="144">
        <f t="shared" si="18"/>
        <v>788.9490000000001</v>
      </c>
      <c r="AB16" s="144">
        <f t="shared" si="18"/>
        <v>788.9490000000001</v>
      </c>
      <c r="AC16" s="144">
        <f aca="true" t="shared" si="32" ref="AC16:AK16">AB16</f>
        <v>788.9490000000001</v>
      </c>
      <c r="AD16" s="144">
        <f t="shared" si="32"/>
        <v>788.9490000000001</v>
      </c>
      <c r="AE16" s="144">
        <f t="shared" si="32"/>
        <v>788.9490000000001</v>
      </c>
      <c r="AF16" s="144">
        <f t="shared" si="32"/>
        <v>788.9490000000001</v>
      </c>
      <c r="AG16" s="144">
        <f t="shared" si="32"/>
        <v>788.9490000000001</v>
      </c>
      <c r="AH16" s="144">
        <f t="shared" si="32"/>
        <v>788.9490000000001</v>
      </c>
      <c r="AI16" s="144">
        <f t="shared" si="32"/>
        <v>788.9490000000001</v>
      </c>
      <c r="AJ16" s="144">
        <f t="shared" si="32"/>
        <v>788.9490000000001</v>
      </c>
      <c r="AK16" s="144">
        <f t="shared" si="32"/>
        <v>788.9490000000001</v>
      </c>
      <c r="AL16" s="144">
        <f t="shared" si="3"/>
        <v>9467.388000000003</v>
      </c>
      <c r="AM16" s="144">
        <f t="shared" si="20"/>
        <v>1262.3184</v>
      </c>
      <c r="AN16" s="144">
        <f t="shared" si="21"/>
        <v>1262.3184</v>
      </c>
      <c r="AO16" s="144">
        <f t="shared" si="4"/>
        <v>1262.3184</v>
      </c>
      <c r="AP16" s="144">
        <f t="shared" si="22"/>
        <v>1262.3184</v>
      </c>
      <c r="AQ16" s="144">
        <f t="shared" si="22"/>
        <v>1262.3184</v>
      </c>
      <c r="AR16" s="144">
        <f t="shared" si="22"/>
        <v>1262.3184</v>
      </c>
      <c r="AS16" s="144">
        <f t="shared" si="22"/>
        <v>1262.3184</v>
      </c>
      <c r="AT16" s="144">
        <f t="shared" si="22"/>
        <v>1262.3184</v>
      </c>
      <c r="AU16" s="144">
        <f t="shared" si="22"/>
        <v>1262.3184</v>
      </c>
      <c r="AV16" s="144">
        <f t="shared" si="22"/>
        <v>1262.3184</v>
      </c>
      <c r="AW16" s="144">
        <f t="shared" si="22"/>
        <v>1262.3184</v>
      </c>
      <c r="AX16" s="144">
        <f t="shared" si="22"/>
        <v>1262.3184</v>
      </c>
      <c r="AY16" s="144">
        <f t="shared" si="6"/>
        <v>15147.820800000001</v>
      </c>
      <c r="AZ16" s="144">
        <f t="shared" si="23"/>
        <v>1262.3184</v>
      </c>
      <c r="BA16" s="144">
        <f t="shared" si="24"/>
        <v>1262.3184</v>
      </c>
      <c r="BB16" s="144">
        <f t="shared" si="24"/>
        <v>1262.3184</v>
      </c>
      <c r="BC16" s="144">
        <f aca="true" t="shared" si="33" ref="BC16:BK16">BB16</f>
        <v>1262.3184</v>
      </c>
      <c r="BD16" s="144">
        <f t="shared" si="33"/>
        <v>1262.3184</v>
      </c>
      <c r="BE16" s="144">
        <f t="shared" si="33"/>
        <v>1262.3184</v>
      </c>
      <c r="BF16" s="144">
        <f t="shared" si="33"/>
        <v>1262.3184</v>
      </c>
      <c r="BG16" s="144">
        <f t="shared" si="33"/>
        <v>1262.3184</v>
      </c>
      <c r="BH16" s="144">
        <f t="shared" si="33"/>
        <v>1262.3184</v>
      </c>
      <c r="BI16" s="144">
        <f t="shared" si="33"/>
        <v>1262.3184</v>
      </c>
      <c r="BJ16" s="144">
        <f t="shared" si="33"/>
        <v>1262.3184</v>
      </c>
      <c r="BK16" s="144">
        <f t="shared" si="33"/>
        <v>1262.3184</v>
      </c>
      <c r="BL16" s="144">
        <f t="shared" si="8"/>
        <v>15147.820800000001</v>
      </c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  <c r="ID16" s="129"/>
      <c r="IE16" s="129"/>
      <c r="IF16" s="129"/>
      <c r="IG16" s="129"/>
      <c r="IH16" s="129"/>
      <c r="II16" s="129"/>
      <c r="IJ16" s="129"/>
      <c r="IK16" s="129"/>
      <c r="IL16" s="129"/>
      <c r="IM16" s="129"/>
      <c r="IN16" s="129"/>
      <c r="IO16" s="129"/>
      <c r="IP16" s="129"/>
      <c r="IQ16" s="129"/>
      <c r="IR16" s="129"/>
      <c r="IS16" s="129"/>
      <c r="IT16" s="129"/>
      <c r="IU16" s="129"/>
      <c r="IV16" s="129"/>
    </row>
    <row r="17" spans="1:256" s="150" customFormat="1" ht="12.75" customHeight="1">
      <c r="A17" s="154"/>
      <c r="B17" s="155" t="s">
        <v>54</v>
      </c>
      <c r="C17" s="154">
        <f aca="true" t="shared" si="34" ref="C17:AH17">SUM(C12:C16)</f>
        <v>250.46</v>
      </c>
      <c r="D17" s="154">
        <f t="shared" si="34"/>
        <v>250.46</v>
      </c>
      <c r="E17" s="154">
        <f t="shared" si="34"/>
        <v>250.46</v>
      </c>
      <c r="F17" s="154">
        <f t="shared" si="34"/>
        <v>250.46</v>
      </c>
      <c r="G17" s="154">
        <f t="shared" si="34"/>
        <v>250.46</v>
      </c>
      <c r="H17" s="154">
        <f t="shared" si="34"/>
        <v>250.46</v>
      </c>
      <c r="I17" s="154">
        <f t="shared" si="34"/>
        <v>250.46</v>
      </c>
      <c r="J17" s="154">
        <f t="shared" si="34"/>
        <v>7012.88</v>
      </c>
      <c r="K17" s="154">
        <f t="shared" si="34"/>
        <v>5610.304</v>
      </c>
      <c r="L17" s="154">
        <f t="shared" si="34"/>
        <v>3506.44</v>
      </c>
      <c r="M17" s="154">
        <f t="shared" si="34"/>
        <v>3506.44</v>
      </c>
      <c r="N17" s="154">
        <f t="shared" si="34"/>
        <v>3506.44</v>
      </c>
      <c r="O17" s="154">
        <f t="shared" si="34"/>
        <v>3506.44</v>
      </c>
      <c r="P17" s="154">
        <f t="shared" si="34"/>
        <v>3506.44</v>
      </c>
      <c r="Q17" s="154">
        <f t="shared" si="34"/>
        <v>3506.44</v>
      </c>
      <c r="R17" s="154">
        <f t="shared" si="34"/>
        <v>3506.44</v>
      </c>
      <c r="S17" s="154">
        <f t="shared" si="34"/>
        <v>3506.44</v>
      </c>
      <c r="T17" s="154">
        <f t="shared" si="34"/>
        <v>3506.44</v>
      </c>
      <c r="U17" s="154">
        <f t="shared" si="34"/>
        <v>3506.44</v>
      </c>
      <c r="V17" s="154">
        <f t="shared" si="34"/>
        <v>3506.44</v>
      </c>
      <c r="W17" s="154">
        <f t="shared" si="34"/>
        <v>3506.44</v>
      </c>
      <c r="X17" s="154">
        <f t="shared" si="34"/>
        <v>3506.44</v>
      </c>
      <c r="Y17" s="154">
        <f t="shared" si="34"/>
        <v>58171.83960000003</v>
      </c>
      <c r="Z17" s="154">
        <f t="shared" si="34"/>
        <v>3506.44</v>
      </c>
      <c r="AA17" s="154">
        <f t="shared" si="34"/>
        <v>3506.44</v>
      </c>
      <c r="AB17" s="154">
        <f t="shared" si="34"/>
        <v>3506.44</v>
      </c>
      <c r="AC17" s="154">
        <f t="shared" si="34"/>
        <v>3506.44</v>
      </c>
      <c r="AD17" s="154">
        <f t="shared" si="34"/>
        <v>3506.44</v>
      </c>
      <c r="AE17" s="154">
        <f t="shared" si="34"/>
        <v>3506.44</v>
      </c>
      <c r="AF17" s="154">
        <f t="shared" si="34"/>
        <v>3506.44</v>
      </c>
      <c r="AG17" s="154">
        <f t="shared" si="34"/>
        <v>3506.44</v>
      </c>
      <c r="AH17" s="154">
        <f t="shared" si="34"/>
        <v>3506.44</v>
      </c>
      <c r="AI17" s="154">
        <f aca="true" t="shared" si="35" ref="AI17:BL17">SUM(AI12:AI16)</f>
        <v>3506.44</v>
      </c>
      <c r="AJ17" s="154">
        <f t="shared" si="35"/>
        <v>3506.44</v>
      </c>
      <c r="AK17" s="154">
        <f t="shared" si="35"/>
        <v>3506.44</v>
      </c>
      <c r="AL17" s="154">
        <f t="shared" si="35"/>
        <v>42077.28000000001</v>
      </c>
      <c r="AM17" s="154">
        <f t="shared" si="35"/>
        <v>5610.304</v>
      </c>
      <c r="AN17" s="154">
        <f t="shared" si="35"/>
        <v>5610.304</v>
      </c>
      <c r="AO17" s="154">
        <f t="shared" si="35"/>
        <v>5610.304</v>
      </c>
      <c r="AP17" s="154">
        <f t="shared" si="35"/>
        <v>5610.304</v>
      </c>
      <c r="AQ17" s="154">
        <f t="shared" si="35"/>
        <v>5610.304</v>
      </c>
      <c r="AR17" s="154">
        <f t="shared" si="35"/>
        <v>5610.304</v>
      </c>
      <c r="AS17" s="154">
        <f t="shared" si="35"/>
        <v>5610.304</v>
      </c>
      <c r="AT17" s="154">
        <f t="shared" si="35"/>
        <v>5610.304</v>
      </c>
      <c r="AU17" s="154">
        <f t="shared" si="35"/>
        <v>5610.304</v>
      </c>
      <c r="AV17" s="154">
        <f t="shared" si="35"/>
        <v>5610.304</v>
      </c>
      <c r="AW17" s="154">
        <f t="shared" si="35"/>
        <v>5610.304</v>
      </c>
      <c r="AX17" s="154">
        <f t="shared" si="35"/>
        <v>5610.304</v>
      </c>
      <c r="AY17" s="154">
        <f t="shared" si="35"/>
        <v>67323.648</v>
      </c>
      <c r="AZ17" s="154">
        <f t="shared" si="35"/>
        <v>5610.304</v>
      </c>
      <c r="BA17" s="154">
        <f t="shared" si="35"/>
        <v>5610.304</v>
      </c>
      <c r="BB17" s="154">
        <f t="shared" si="35"/>
        <v>5610.304</v>
      </c>
      <c r="BC17" s="154">
        <f t="shared" si="35"/>
        <v>5610.304</v>
      </c>
      <c r="BD17" s="154">
        <f t="shared" si="35"/>
        <v>5610.304</v>
      </c>
      <c r="BE17" s="154">
        <f t="shared" si="35"/>
        <v>5610.304</v>
      </c>
      <c r="BF17" s="154">
        <f t="shared" si="35"/>
        <v>5610.304</v>
      </c>
      <c r="BG17" s="154">
        <f t="shared" si="35"/>
        <v>5610.304</v>
      </c>
      <c r="BH17" s="154">
        <f t="shared" si="35"/>
        <v>5610.304</v>
      </c>
      <c r="BI17" s="154">
        <f t="shared" si="35"/>
        <v>5610.304</v>
      </c>
      <c r="BJ17" s="154">
        <f t="shared" si="35"/>
        <v>5610.304</v>
      </c>
      <c r="BK17" s="154">
        <f t="shared" si="35"/>
        <v>5610.304</v>
      </c>
      <c r="BL17" s="154">
        <f t="shared" si="35"/>
        <v>67323.648</v>
      </c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129"/>
      <c r="GT17" s="129"/>
      <c r="GU17" s="129"/>
      <c r="GV17" s="129"/>
      <c r="GW17" s="129"/>
      <c r="GX17" s="129"/>
      <c r="GY17" s="129"/>
      <c r="GZ17" s="129"/>
      <c r="HA17" s="129"/>
      <c r="HB17" s="129"/>
      <c r="HC17" s="129"/>
      <c r="HD17" s="129"/>
      <c r="HE17" s="129"/>
      <c r="HF17" s="129"/>
      <c r="HG17" s="129"/>
      <c r="HH17" s="129"/>
      <c r="HI17" s="129"/>
      <c r="HJ17" s="129"/>
      <c r="HK17" s="129"/>
      <c r="HL17" s="129"/>
      <c r="HM17" s="129"/>
      <c r="HN17" s="129"/>
      <c r="HO17" s="129"/>
      <c r="HP17" s="129"/>
      <c r="HQ17" s="129"/>
      <c r="HR17" s="129"/>
      <c r="HS17" s="129"/>
      <c r="HT17" s="129"/>
      <c r="HU17" s="129"/>
      <c r="HV17" s="129"/>
      <c r="HW17" s="129"/>
      <c r="HX17" s="129"/>
      <c r="HY17" s="129"/>
      <c r="HZ17" s="129"/>
      <c r="IA17" s="129"/>
      <c r="IB17" s="129"/>
      <c r="IC17" s="129"/>
      <c r="ID17" s="129"/>
      <c r="IE17" s="129"/>
      <c r="IF17" s="129"/>
      <c r="IG17" s="129"/>
      <c r="IH17" s="129"/>
      <c r="II17" s="129"/>
      <c r="IJ17" s="129"/>
      <c r="IK17" s="129"/>
      <c r="IL17" s="129"/>
      <c r="IM17" s="129"/>
      <c r="IN17" s="129"/>
      <c r="IO17" s="129"/>
      <c r="IP17" s="129"/>
      <c r="IQ17" s="129"/>
      <c r="IR17" s="129"/>
      <c r="IS17" s="129"/>
      <c r="IT17" s="129"/>
      <c r="IU17" s="129"/>
      <c r="IV17" s="129"/>
    </row>
    <row r="18" spans="1:256" s="152" customFormat="1" ht="12.75" customHeight="1">
      <c r="A18" s="144" t="str">
        <f>A7</f>
        <v>6.</v>
      </c>
      <c r="B18" s="135" t="str">
        <f>B7</f>
        <v>Магазин</v>
      </c>
      <c r="C18" s="36">
        <f>F8*0.9</f>
        <v>225.41400000000002</v>
      </c>
      <c r="D18" s="36">
        <f t="shared" si="10"/>
        <v>225.41400000000002</v>
      </c>
      <c r="E18" s="36">
        <f t="shared" si="10"/>
        <v>225.41400000000002</v>
      </c>
      <c r="F18" s="36">
        <f t="shared" si="10"/>
        <v>225.41400000000002</v>
      </c>
      <c r="G18" s="36">
        <f t="shared" si="10"/>
        <v>225.41400000000002</v>
      </c>
      <c r="H18" s="36">
        <f t="shared" si="10"/>
        <v>225.41400000000002</v>
      </c>
      <c r="I18" s="36">
        <f t="shared" si="10"/>
        <v>225.41400000000002</v>
      </c>
      <c r="J18" s="36">
        <f t="shared" si="11"/>
        <v>6311.592000000001</v>
      </c>
      <c r="K18" s="36">
        <f t="shared" si="12"/>
        <v>5049.2736</v>
      </c>
      <c r="L18" s="36">
        <f t="shared" si="13"/>
        <v>3155.7960000000003</v>
      </c>
      <c r="M18" s="134">
        <f t="shared" si="14"/>
        <v>3155.7960000000003</v>
      </c>
      <c r="N18" s="134">
        <f t="shared" si="15"/>
        <v>3155.7960000000003</v>
      </c>
      <c r="O18" s="134">
        <f t="shared" si="0"/>
        <v>3155.7960000000003</v>
      </c>
      <c r="P18" s="134">
        <f t="shared" si="16"/>
        <v>3155.7960000000003</v>
      </c>
      <c r="Q18" s="134">
        <f t="shared" si="16"/>
        <v>3155.7960000000003</v>
      </c>
      <c r="R18" s="134">
        <f t="shared" si="16"/>
        <v>3155.7960000000003</v>
      </c>
      <c r="S18" s="134">
        <f t="shared" si="16"/>
        <v>3155.7960000000003</v>
      </c>
      <c r="T18" s="134">
        <f t="shared" si="16"/>
        <v>3155.7960000000003</v>
      </c>
      <c r="U18" s="134">
        <f t="shared" si="16"/>
        <v>3155.7960000000003</v>
      </c>
      <c r="V18" s="134">
        <f t="shared" si="16"/>
        <v>3155.7960000000003</v>
      </c>
      <c r="W18" s="134">
        <f t="shared" si="16"/>
        <v>3155.7960000000003</v>
      </c>
      <c r="X18" s="134">
        <f t="shared" si="16"/>
        <v>3155.7960000000003</v>
      </c>
      <c r="Y18" s="134">
        <f>SUM(C18:X18)</f>
        <v>53964.111600000026</v>
      </c>
      <c r="Z18" s="134">
        <f t="shared" si="17"/>
        <v>3155.7960000000003</v>
      </c>
      <c r="AA18" s="134">
        <f t="shared" si="18"/>
        <v>3155.7960000000003</v>
      </c>
      <c r="AB18" s="134">
        <f t="shared" si="18"/>
        <v>3155.7960000000003</v>
      </c>
      <c r="AC18" s="134">
        <f aca="true" t="shared" si="36" ref="AC18:AK19">AB18</f>
        <v>3155.7960000000003</v>
      </c>
      <c r="AD18" s="134">
        <f t="shared" si="36"/>
        <v>3155.7960000000003</v>
      </c>
      <c r="AE18" s="134">
        <f t="shared" si="36"/>
        <v>3155.7960000000003</v>
      </c>
      <c r="AF18" s="134">
        <f t="shared" si="36"/>
        <v>3155.7960000000003</v>
      </c>
      <c r="AG18" s="134">
        <f t="shared" si="36"/>
        <v>3155.7960000000003</v>
      </c>
      <c r="AH18" s="134">
        <f t="shared" si="36"/>
        <v>3155.7960000000003</v>
      </c>
      <c r="AI18" s="134">
        <f t="shared" si="36"/>
        <v>3155.7960000000003</v>
      </c>
      <c r="AJ18" s="134">
        <f t="shared" si="36"/>
        <v>3155.7960000000003</v>
      </c>
      <c r="AK18" s="134">
        <f t="shared" si="36"/>
        <v>3155.7960000000003</v>
      </c>
      <c r="AL18" s="134">
        <f t="shared" si="3"/>
        <v>37869.55200000001</v>
      </c>
      <c r="AM18" s="134">
        <f t="shared" si="20"/>
        <v>5049.2736</v>
      </c>
      <c r="AN18" s="134">
        <f t="shared" si="21"/>
        <v>5049.2736</v>
      </c>
      <c r="AO18" s="134">
        <f t="shared" si="4"/>
        <v>5049.2736</v>
      </c>
      <c r="AP18" s="134">
        <f t="shared" si="22"/>
        <v>5049.2736</v>
      </c>
      <c r="AQ18" s="134">
        <f t="shared" si="22"/>
        <v>5049.2736</v>
      </c>
      <c r="AR18" s="134">
        <f t="shared" si="22"/>
        <v>5049.2736</v>
      </c>
      <c r="AS18" s="134">
        <f t="shared" si="22"/>
        <v>5049.2736</v>
      </c>
      <c r="AT18" s="134">
        <f t="shared" si="22"/>
        <v>5049.2736</v>
      </c>
      <c r="AU18" s="134">
        <f t="shared" si="22"/>
        <v>5049.2736</v>
      </c>
      <c r="AV18" s="134">
        <f t="shared" si="22"/>
        <v>5049.2736</v>
      </c>
      <c r="AW18" s="134">
        <f t="shared" si="22"/>
        <v>5049.2736</v>
      </c>
      <c r="AX18" s="134">
        <f t="shared" si="22"/>
        <v>5049.2736</v>
      </c>
      <c r="AY18" s="134">
        <f t="shared" si="6"/>
        <v>60591.283200000005</v>
      </c>
      <c r="AZ18" s="134">
        <f t="shared" si="23"/>
        <v>5049.2736</v>
      </c>
      <c r="BA18" s="134">
        <f t="shared" si="24"/>
        <v>5049.2736</v>
      </c>
      <c r="BB18" s="134">
        <f t="shared" si="24"/>
        <v>5049.2736</v>
      </c>
      <c r="BC18" s="134">
        <f aca="true" t="shared" si="37" ref="BC18:BK19">BB18</f>
        <v>5049.2736</v>
      </c>
      <c r="BD18" s="134">
        <f t="shared" si="37"/>
        <v>5049.2736</v>
      </c>
      <c r="BE18" s="134">
        <f t="shared" si="37"/>
        <v>5049.2736</v>
      </c>
      <c r="BF18" s="134">
        <f t="shared" si="37"/>
        <v>5049.2736</v>
      </c>
      <c r="BG18" s="134">
        <f t="shared" si="37"/>
        <v>5049.2736</v>
      </c>
      <c r="BH18" s="134">
        <f t="shared" si="37"/>
        <v>5049.2736</v>
      </c>
      <c r="BI18" s="134">
        <f t="shared" si="37"/>
        <v>5049.2736</v>
      </c>
      <c r="BJ18" s="134">
        <f t="shared" si="37"/>
        <v>5049.2736</v>
      </c>
      <c r="BK18" s="134">
        <f t="shared" si="37"/>
        <v>5049.2736</v>
      </c>
      <c r="BL18" s="134">
        <f t="shared" si="8"/>
        <v>60591.283200000005</v>
      </c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129"/>
      <c r="GT18" s="129"/>
      <c r="GU18" s="129"/>
      <c r="GV18" s="129"/>
      <c r="GW18" s="129"/>
      <c r="GX18" s="129"/>
      <c r="GY18" s="129"/>
      <c r="GZ18" s="129"/>
      <c r="HA18" s="129"/>
      <c r="HB18" s="129"/>
      <c r="HC18" s="129"/>
      <c r="HD18" s="129"/>
      <c r="HE18" s="129"/>
      <c r="HF18" s="129"/>
      <c r="HG18" s="129"/>
      <c r="HH18" s="129"/>
      <c r="HI18" s="129"/>
      <c r="HJ18" s="129"/>
      <c r="HK18" s="129"/>
      <c r="HL18" s="129"/>
      <c r="HM18" s="129"/>
      <c r="HN18" s="129"/>
      <c r="HO18" s="129"/>
      <c r="HP18" s="129"/>
      <c r="HQ18" s="129"/>
      <c r="HR18" s="129"/>
      <c r="HS18" s="129"/>
      <c r="HT18" s="129"/>
      <c r="HU18" s="129"/>
      <c r="HV18" s="129"/>
      <c r="HW18" s="129"/>
      <c r="HX18" s="129"/>
      <c r="HY18" s="129"/>
      <c r="HZ18" s="129"/>
      <c r="IA18" s="129"/>
      <c r="IB18" s="129"/>
      <c r="IC18" s="129"/>
      <c r="ID18" s="129"/>
      <c r="IE18" s="129"/>
      <c r="IF18" s="129"/>
      <c r="IG18" s="129"/>
      <c r="IH18" s="129"/>
      <c r="II18" s="129"/>
      <c r="IJ18" s="129"/>
      <c r="IK18" s="129"/>
      <c r="IL18" s="129"/>
      <c r="IM18" s="129"/>
      <c r="IN18" s="129"/>
      <c r="IO18" s="129"/>
      <c r="IP18" s="129"/>
      <c r="IQ18" s="129"/>
      <c r="IR18" s="129"/>
      <c r="IS18" s="129"/>
      <c r="IT18" s="129"/>
      <c r="IU18" s="129"/>
      <c r="IV18" s="129"/>
    </row>
    <row r="19" spans="11:256" ht="12.75" customHeight="1">
      <c r="K19" s="130">
        <f>K17/M11</f>
        <v>180.9775483870968</v>
      </c>
      <c r="L19" s="130">
        <f>L17/M11</f>
        <v>113.11096774193548</v>
      </c>
      <c r="M19" s="130">
        <f t="shared" si="14"/>
        <v>113.11096774193548</v>
      </c>
      <c r="N19" s="129">
        <f t="shared" si="15"/>
        <v>113.11096774193548</v>
      </c>
      <c r="O19" s="129">
        <f t="shared" si="0"/>
        <v>113.11096774193548</v>
      </c>
      <c r="P19" s="129">
        <f t="shared" si="16"/>
        <v>113.11096774193548</v>
      </c>
      <c r="Q19" s="129">
        <f t="shared" si="16"/>
        <v>113.11096774193548</v>
      </c>
      <c r="R19" s="129">
        <f t="shared" si="16"/>
        <v>113.11096774193548</v>
      </c>
      <c r="S19" s="129">
        <f t="shared" si="16"/>
        <v>113.11096774193548</v>
      </c>
      <c r="T19" s="129">
        <f t="shared" si="16"/>
        <v>113.11096774193548</v>
      </c>
      <c r="U19" s="129">
        <f t="shared" si="16"/>
        <v>113.11096774193548</v>
      </c>
      <c r="V19" s="129">
        <f t="shared" si="16"/>
        <v>113.11096774193548</v>
      </c>
      <c r="W19" s="129">
        <f t="shared" si="16"/>
        <v>113.11096774193548</v>
      </c>
      <c r="X19" s="129">
        <f t="shared" si="16"/>
        <v>113.11096774193548</v>
      </c>
      <c r="Z19" s="129">
        <f t="shared" si="17"/>
        <v>113.11096774193548</v>
      </c>
      <c r="AA19" s="129">
        <f t="shared" si="18"/>
        <v>113.11096774193548</v>
      </c>
      <c r="AB19" s="129">
        <f t="shared" si="18"/>
        <v>113.11096774193548</v>
      </c>
      <c r="AC19" s="129">
        <f t="shared" si="36"/>
        <v>113.11096774193548</v>
      </c>
      <c r="AD19" s="129">
        <f t="shared" si="36"/>
        <v>113.11096774193548</v>
      </c>
      <c r="AE19" s="129">
        <f t="shared" si="36"/>
        <v>113.11096774193548</v>
      </c>
      <c r="AF19" s="129">
        <f t="shared" si="36"/>
        <v>113.11096774193548</v>
      </c>
      <c r="AG19" s="129">
        <f t="shared" si="36"/>
        <v>113.11096774193548</v>
      </c>
      <c r="AH19" s="129">
        <f t="shared" si="36"/>
        <v>113.11096774193548</v>
      </c>
      <c r="AI19" s="129">
        <f t="shared" si="36"/>
        <v>113.11096774193548</v>
      </c>
      <c r="AJ19" s="129">
        <f t="shared" si="36"/>
        <v>113.11096774193548</v>
      </c>
      <c r="AK19" s="129">
        <f t="shared" si="36"/>
        <v>113.11096774193548</v>
      </c>
      <c r="AL19" s="129">
        <f t="shared" si="3"/>
        <v>1357.3316129032255</v>
      </c>
      <c r="AM19" s="129">
        <f t="shared" si="20"/>
        <v>180.9775483870968</v>
      </c>
      <c r="AN19" s="129">
        <f t="shared" si="21"/>
        <v>180.9775483870968</v>
      </c>
      <c r="AO19" s="129">
        <f t="shared" si="4"/>
        <v>180.9775483870968</v>
      </c>
      <c r="AP19" s="129">
        <f t="shared" si="22"/>
        <v>180.9775483870968</v>
      </c>
      <c r="AQ19" s="129">
        <f t="shared" si="22"/>
        <v>180.9775483870968</v>
      </c>
      <c r="AR19" s="129">
        <f t="shared" si="22"/>
        <v>180.9775483870968</v>
      </c>
      <c r="AS19" s="129">
        <f t="shared" si="22"/>
        <v>180.9775483870968</v>
      </c>
      <c r="AT19" s="129">
        <f t="shared" si="22"/>
        <v>180.9775483870968</v>
      </c>
      <c r="AU19" s="129">
        <f t="shared" si="22"/>
        <v>180.9775483870968</v>
      </c>
      <c r="AV19" s="129">
        <f t="shared" si="22"/>
        <v>180.9775483870968</v>
      </c>
      <c r="AW19" s="129">
        <f t="shared" si="22"/>
        <v>180.9775483870968</v>
      </c>
      <c r="AX19" s="129">
        <f t="shared" si="22"/>
        <v>180.9775483870968</v>
      </c>
      <c r="AY19" s="129">
        <f t="shared" si="6"/>
        <v>2171.730580645161</v>
      </c>
      <c r="AZ19" s="129">
        <f t="shared" si="23"/>
        <v>180.9775483870968</v>
      </c>
      <c r="BA19" s="129">
        <f t="shared" si="24"/>
        <v>180.9775483870968</v>
      </c>
      <c r="BB19" s="129">
        <f t="shared" si="24"/>
        <v>180.9775483870968</v>
      </c>
      <c r="BC19" s="129">
        <f t="shared" si="37"/>
        <v>180.9775483870968</v>
      </c>
      <c r="BD19" s="129">
        <f t="shared" si="37"/>
        <v>180.9775483870968</v>
      </c>
      <c r="BE19" s="129">
        <f t="shared" si="37"/>
        <v>180.9775483870968</v>
      </c>
      <c r="BF19" s="129">
        <f t="shared" si="37"/>
        <v>180.9775483870968</v>
      </c>
      <c r="BG19" s="129">
        <f t="shared" si="37"/>
        <v>180.9775483870968</v>
      </c>
      <c r="BH19" s="129">
        <f t="shared" si="37"/>
        <v>180.9775483870968</v>
      </c>
      <c r="BI19" s="129">
        <f t="shared" si="37"/>
        <v>180.9775483870968</v>
      </c>
      <c r="BJ19" s="129">
        <f t="shared" si="37"/>
        <v>180.9775483870968</v>
      </c>
      <c r="BK19" s="129">
        <f t="shared" si="37"/>
        <v>180.9775483870968</v>
      </c>
      <c r="BL19" s="129">
        <f t="shared" si="8"/>
        <v>2171.730580645161</v>
      </c>
      <c r="IV19" s="129"/>
    </row>
    <row r="20" spans="1:256" ht="12.75" customHeight="1">
      <c r="A20" s="146"/>
      <c r="B20" s="146"/>
      <c r="C20" s="146"/>
      <c r="D20" s="133"/>
      <c r="E20" s="133"/>
      <c r="J20" s="147"/>
      <c r="K20" s="147"/>
      <c r="L20" s="147">
        <f>L16/M11</f>
        <v>25.449967741935485</v>
      </c>
      <c r="M20" s="140"/>
      <c r="N20" s="141"/>
      <c r="O20" s="141"/>
      <c r="P20" s="141"/>
      <c r="Q20" s="133"/>
      <c r="R20" s="133"/>
      <c r="IV20" s="129"/>
    </row>
    <row r="21" spans="1:256" ht="24.75" customHeight="1">
      <c r="A21" s="360" t="s">
        <v>200</v>
      </c>
      <c r="B21" s="360"/>
      <c r="C21" s="360"/>
      <c r="D21" s="360"/>
      <c r="E21" s="360"/>
      <c r="F21" s="360"/>
      <c r="G21" s="360"/>
      <c r="H21" s="360"/>
      <c r="I21" s="360"/>
      <c r="J21" s="360"/>
      <c r="K21" s="369" t="s">
        <v>181</v>
      </c>
      <c r="L21" s="369"/>
      <c r="M21" s="369" t="s">
        <v>201</v>
      </c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69"/>
      <c r="Y21" s="150"/>
      <c r="Z21" s="369" t="s">
        <v>202</v>
      </c>
      <c r="AA21" s="369"/>
      <c r="AB21" s="369"/>
      <c r="AC21" s="369"/>
      <c r="AD21" s="369"/>
      <c r="AE21" s="369"/>
      <c r="AF21" s="369"/>
      <c r="AG21" s="369"/>
      <c r="AH21" s="369"/>
      <c r="AI21" s="369"/>
      <c r="AJ21" s="369"/>
      <c r="AK21" s="369"/>
      <c r="AL21" s="150"/>
      <c r="AM21" s="369" t="s">
        <v>203</v>
      </c>
      <c r="AN21" s="369"/>
      <c r="AO21" s="369"/>
      <c r="AP21" s="369"/>
      <c r="AQ21" s="369"/>
      <c r="AR21" s="369"/>
      <c r="AS21" s="369"/>
      <c r="AT21" s="369"/>
      <c r="AU21" s="369"/>
      <c r="AV21" s="369"/>
      <c r="AW21" s="369"/>
      <c r="AX21" s="369"/>
      <c r="AY21" s="150"/>
      <c r="AZ21" s="369" t="s">
        <v>204</v>
      </c>
      <c r="BA21" s="369"/>
      <c r="BB21" s="369"/>
      <c r="BC21" s="369"/>
      <c r="BD21" s="369"/>
      <c r="BE21" s="369"/>
      <c r="BF21" s="369"/>
      <c r="BG21" s="369"/>
      <c r="BH21" s="369"/>
      <c r="BI21" s="369"/>
      <c r="BJ21" s="369"/>
      <c r="BK21" s="369"/>
      <c r="BL21" s="150"/>
      <c r="IV21" s="129"/>
    </row>
    <row r="22" spans="1:256" ht="35.25" customHeight="1">
      <c r="A22" s="369" t="s">
        <v>186</v>
      </c>
      <c r="B22" s="369" t="s">
        <v>187</v>
      </c>
      <c r="C22" s="370" t="s">
        <v>205</v>
      </c>
      <c r="D22" s="370"/>
      <c r="E22" s="370"/>
      <c r="F22" s="370"/>
      <c r="G22" s="370"/>
      <c r="H22" s="370"/>
      <c r="I22" s="370"/>
      <c r="J22" s="369" t="s">
        <v>206</v>
      </c>
      <c r="K22" s="371" t="s">
        <v>190</v>
      </c>
      <c r="L22" s="371" t="s">
        <v>191</v>
      </c>
      <c r="M22" s="131" t="s">
        <v>109</v>
      </c>
      <c r="N22" s="131" t="s">
        <v>110</v>
      </c>
      <c r="O22" s="131" t="s">
        <v>111</v>
      </c>
      <c r="P22" s="131" t="s">
        <v>112</v>
      </c>
      <c r="Q22" s="131" t="s">
        <v>113</v>
      </c>
      <c r="R22" s="131" t="s">
        <v>114</v>
      </c>
      <c r="S22" s="131" t="s">
        <v>115</v>
      </c>
      <c r="T22" s="131" t="s">
        <v>116</v>
      </c>
      <c r="U22" s="131" t="s">
        <v>117</v>
      </c>
      <c r="V22" s="131" t="s">
        <v>118</v>
      </c>
      <c r="W22" s="131" t="s">
        <v>119</v>
      </c>
      <c r="X22" s="131" t="s">
        <v>120</v>
      </c>
      <c r="Y22" s="131" t="s">
        <v>192</v>
      </c>
      <c r="Z22" s="131" t="s">
        <v>109</v>
      </c>
      <c r="AA22" s="131" t="s">
        <v>110</v>
      </c>
      <c r="AB22" s="131" t="s">
        <v>111</v>
      </c>
      <c r="AC22" s="131" t="s">
        <v>112</v>
      </c>
      <c r="AD22" s="131" t="s">
        <v>113</v>
      </c>
      <c r="AE22" s="131" t="s">
        <v>114</v>
      </c>
      <c r="AF22" s="131" t="s">
        <v>115</v>
      </c>
      <c r="AG22" s="131" t="s">
        <v>116</v>
      </c>
      <c r="AH22" s="131" t="s">
        <v>117</v>
      </c>
      <c r="AI22" s="131" t="s">
        <v>118</v>
      </c>
      <c r="AJ22" s="131" t="s">
        <v>119</v>
      </c>
      <c r="AK22" s="131" t="s">
        <v>120</v>
      </c>
      <c r="AL22" s="131" t="s">
        <v>192</v>
      </c>
      <c r="AM22" s="131" t="s">
        <v>109</v>
      </c>
      <c r="AN22" s="131" t="s">
        <v>110</v>
      </c>
      <c r="AO22" s="131" t="s">
        <v>111</v>
      </c>
      <c r="AP22" s="131" t="s">
        <v>112</v>
      </c>
      <c r="AQ22" s="131" t="s">
        <v>113</v>
      </c>
      <c r="AR22" s="131" t="s">
        <v>114</v>
      </c>
      <c r="AS22" s="131" t="s">
        <v>115</v>
      </c>
      <c r="AT22" s="131" t="s">
        <v>116</v>
      </c>
      <c r="AU22" s="131" t="s">
        <v>117</v>
      </c>
      <c r="AV22" s="131" t="s">
        <v>118</v>
      </c>
      <c r="AW22" s="131" t="s">
        <v>119</v>
      </c>
      <c r="AX22" s="131" t="s">
        <v>120</v>
      </c>
      <c r="AY22" s="131" t="s">
        <v>192</v>
      </c>
      <c r="AZ22" s="131" t="s">
        <v>109</v>
      </c>
      <c r="BA22" s="131" t="s">
        <v>110</v>
      </c>
      <c r="BB22" s="131" t="s">
        <v>111</v>
      </c>
      <c r="BC22" s="131" t="s">
        <v>112</v>
      </c>
      <c r="BD22" s="131" t="s">
        <v>113</v>
      </c>
      <c r="BE22" s="131" t="s">
        <v>114</v>
      </c>
      <c r="BF22" s="131" t="s">
        <v>115</v>
      </c>
      <c r="BG22" s="131" t="s">
        <v>116</v>
      </c>
      <c r="BH22" s="131" t="s">
        <v>117</v>
      </c>
      <c r="BI22" s="131" t="s">
        <v>118</v>
      </c>
      <c r="BJ22" s="131" t="s">
        <v>119</v>
      </c>
      <c r="BK22" s="131" t="s">
        <v>120</v>
      </c>
      <c r="BL22" s="131" t="s">
        <v>192</v>
      </c>
      <c r="IV22" s="129"/>
    </row>
    <row r="23" spans="1:256" ht="26.25" customHeight="1">
      <c r="A23" s="369"/>
      <c r="B23" s="369"/>
      <c r="C23" s="132" t="s">
        <v>193</v>
      </c>
      <c r="D23" s="151" t="s">
        <v>194</v>
      </c>
      <c r="E23" s="151" t="s">
        <v>195</v>
      </c>
      <c r="F23" s="151" t="s">
        <v>196</v>
      </c>
      <c r="G23" s="151" t="s">
        <v>197</v>
      </c>
      <c r="H23" s="151" t="s">
        <v>198</v>
      </c>
      <c r="I23" s="132" t="s">
        <v>199</v>
      </c>
      <c r="J23" s="369"/>
      <c r="K23" s="371"/>
      <c r="L23" s="371"/>
      <c r="M23" s="132">
        <v>30</v>
      </c>
      <c r="N23" s="132">
        <v>28</v>
      </c>
      <c r="O23" s="132">
        <f aca="true" t="shared" si="38" ref="O23:O30">M23</f>
        <v>30</v>
      </c>
      <c r="P23" s="132">
        <f aca="true" t="shared" si="39" ref="P23:X23">O23</f>
        <v>30</v>
      </c>
      <c r="Q23" s="132">
        <f t="shared" si="39"/>
        <v>30</v>
      </c>
      <c r="R23" s="132">
        <f t="shared" si="39"/>
        <v>30</v>
      </c>
      <c r="S23" s="132">
        <f t="shared" si="39"/>
        <v>30</v>
      </c>
      <c r="T23" s="132">
        <f t="shared" si="39"/>
        <v>30</v>
      </c>
      <c r="U23" s="132">
        <f t="shared" si="39"/>
        <v>30</v>
      </c>
      <c r="V23" s="132">
        <f t="shared" si="39"/>
        <v>30</v>
      </c>
      <c r="W23" s="132">
        <f t="shared" si="39"/>
        <v>30</v>
      </c>
      <c r="X23" s="132">
        <f t="shared" si="39"/>
        <v>30</v>
      </c>
      <c r="Y23" s="132">
        <f>SUM(M23:X23)</f>
        <v>358</v>
      </c>
      <c r="Z23" s="132">
        <v>30</v>
      </c>
      <c r="AA23" s="132">
        <v>28</v>
      </c>
      <c r="AB23" s="132">
        <f>Z23</f>
        <v>30</v>
      </c>
      <c r="AC23" s="132">
        <f aca="true" t="shared" si="40" ref="AC23:AK23">AB23</f>
        <v>30</v>
      </c>
      <c r="AD23" s="132">
        <f t="shared" si="40"/>
        <v>30</v>
      </c>
      <c r="AE23" s="132">
        <f t="shared" si="40"/>
        <v>30</v>
      </c>
      <c r="AF23" s="132">
        <f t="shared" si="40"/>
        <v>30</v>
      </c>
      <c r="AG23" s="132">
        <f t="shared" si="40"/>
        <v>30</v>
      </c>
      <c r="AH23" s="132">
        <f t="shared" si="40"/>
        <v>30</v>
      </c>
      <c r="AI23" s="132">
        <f t="shared" si="40"/>
        <v>30</v>
      </c>
      <c r="AJ23" s="132">
        <f t="shared" si="40"/>
        <v>30</v>
      </c>
      <c r="AK23" s="132">
        <f t="shared" si="40"/>
        <v>30</v>
      </c>
      <c r="AL23" s="132">
        <f aca="true" t="shared" si="41" ref="AL23:AL30">SUM(Z23:AK23)</f>
        <v>358</v>
      </c>
      <c r="AM23" s="132">
        <v>30</v>
      </c>
      <c r="AN23" s="132">
        <v>28</v>
      </c>
      <c r="AO23" s="132">
        <f aca="true" t="shared" si="42" ref="AO23:AO30">AM23</f>
        <v>30</v>
      </c>
      <c r="AP23" s="132">
        <f aca="true" t="shared" si="43" ref="AP23:AX23">AO23</f>
        <v>30</v>
      </c>
      <c r="AQ23" s="132">
        <f t="shared" si="43"/>
        <v>30</v>
      </c>
      <c r="AR23" s="132">
        <f t="shared" si="43"/>
        <v>30</v>
      </c>
      <c r="AS23" s="132">
        <f t="shared" si="43"/>
        <v>30</v>
      </c>
      <c r="AT23" s="132">
        <f t="shared" si="43"/>
        <v>30</v>
      </c>
      <c r="AU23" s="132">
        <f t="shared" si="43"/>
        <v>30</v>
      </c>
      <c r="AV23" s="132">
        <f t="shared" si="43"/>
        <v>30</v>
      </c>
      <c r="AW23" s="132">
        <f t="shared" si="43"/>
        <v>30</v>
      </c>
      <c r="AX23" s="132">
        <f t="shared" si="43"/>
        <v>30</v>
      </c>
      <c r="AY23" s="132">
        <f aca="true" t="shared" si="44" ref="AY23:AY30">SUM(AM23:AX23)</f>
        <v>358</v>
      </c>
      <c r="AZ23" s="132">
        <v>30</v>
      </c>
      <c r="BA23" s="132">
        <v>28</v>
      </c>
      <c r="BB23" s="132">
        <f>AZ23</f>
        <v>30</v>
      </c>
      <c r="BC23" s="132">
        <f aca="true" t="shared" si="45" ref="BC23:BK23">BB23</f>
        <v>30</v>
      </c>
      <c r="BD23" s="132">
        <f t="shared" si="45"/>
        <v>30</v>
      </c>
      <c r="BE23" s="132">
        <f t="shared" si="45"/>
        <v>30</v>
      </c>
      <c r="BF23" s="132">
        <f t="shared" si="45"/>
        <v>30</v>
      </c>
      <c r="BG23" s="132">
        <f t="shared" si="45"/>
        <v>30</v>
      </c>
      <c r="BH23" s="132">
        <f t="shared" si="45"/>
        <v>30</v>
      </c>
      <c r="BI23" s="132">
        <f t="shared" si="45"/>
        <v>30</v>
      </c>
      <c r="BJ23" s="132">
        <f t="shared" si="45"/>
        <v>30</v>
      </c>
      <c r="BK23" s="132">
        <f t="shared" si="45"/>
        <v>30</v>
      </c>
      <c r="BL23" s="132">
        <f aca="true" t="shared" si="46" ref="BL23:BL30">SUM(AZ23:BK23)</f>
        <v>358</v>
      </c>
      <c r="IV23" s="129"/>
    </row>
    <row r="24" spans="1:256" s="156" customFormat="1" ht="14.25">
      <c r="A24" s="134" t="str">
        <f aca="true" t="shared" si="47" ref="A24:B28">A2</f>
        <v>1.</v>
      </c>
      <c r="B24" s="134" t="str">
        <f t="shared" si="47"/>
        <v>Пропан - бутановая смесь (СУГ)</v>
      </c>
      <c r="C24" s="36">
        <f>C12*G2</f>
        <v>1502.7600000000002</v>
      </c>
      <c r="D24" s="36">
        <f aca="true" t="shared" si="48" ref="D24:I30">C24</f>
        <v>1502.7600000000002</v>
      </c>
      <c r="E24" s="36">
        <f t="shared" si="48"/>
        <v>1502.7600000000002</v>
      </c>
      <c r="F24" s="36">
        <f t="shared" si="48"/>
        <v>1502.7600000000002</v>
      </c>
      <c r="G24" s="36">
        <f t="shared" si="48"/>
        <v>1502.7600000000002</v>
      </c>
      <c r="H24" s="36">
        <f t="shared" si="48"/>
        <v>1502.7600000000002</v>
      </c>
      <c r="I24" s="36">
        <f t="shared" si="48"/>
        <v>1502.7600000000002</v>
      </c>
      <c r="J24" s="36">
        <f aca="true" t="shared" si="49" ref="J24:J30">SUM(C24:I24)*4</f>
        <v>42077.280000000006</v>
      </c>
      <c r="K24" s="36">
        <f aca="true" t="shared" si="50" ref="K24:K30">J24*0.8</f>
        <v>33661.82400000001</v>
      </c>
      <c r="L24" s="36">
        <f aca="true" t="shared" si="51" ref="L24:L30">J24*0.5</f>
        <v>21038.640000000003</v>
      </c>
      <c r="M24" s="134">
        <f aca="true" t="shared" si="52" ref="M24:M30">L24</f>
        <v>21038.640000000003</v>
      </c>
      <c r="N24" s="134">
        <f aca="true" t="shared" si="53" ref="N24:N30">L24</f>
        <v>21038.640000000003</v>
      </c>
      <c r="O24" s="134">
        <f t="shared" si="38"/>
        <v>21038.640000000003</v>
      </c>
      <c r="P24" s="134">
        <f aca="true" t="shared" si="54" ref="P24:X30">N24</f>
        <v>21038.640000000003</v>
      </c>
      <c r="Q24" s="134">
        <f t="shared" si="54"/>
        <v>21038.640000000003</v>
      </c>
      <c r="R24" s="134">
        <f t="shared" si="54"/>
        <v>21038.640000000003</v>
      </c>
      <c r="S24" s="134">
        <f t="shared" si="54"/>
        <v>21038.640000000003</v>
      </c>
      <c r="T24" s="134">
        <f t="shared" si="54"/>
        <v>21038.640000000003</v>
      </c>
      <c r="U24" s="134">
        <f t="shared" si="54"/>
        <v>21038.640000000003</v>
      </c>
      <c r="V24" s="134">
        <f t="shared" si="54"/>
        <v>21038.640000000003</v>
      </c>
      <c r="W24" s="134">
        <f t="shared" si="54"/>
        <v>21038.640000000003</v>
      </c>
      <c r="X24" s="134">
        <f t="shared" si="54"/>
        <v>21038.640000000003</v>
      </c>
      <c r="Y24" s="152">
        <f>SUM(M24:X24)</f>
        <v>252463.68000000008</v>
      </c>
      <c r="Z24" s="134">
        <f aca="true" t="shared" si="55" ref="Z24:Z30">L24</f>
        <v>21038.640000000003</v>
      </c>
      <c r="AA24" s="134">
        <f aca="true" t="shared" si="56" ref="AA24:AB30">Z24</f>
        <v>21038.640000000003</v>
      </c>
      <c r="AB24" s="134">
        <f t="shared" si="56"/>
        <v>21038.640000000003</v>
      </c>
      <c r="AC24" s="134">
        <f aca="true" t="shared" si="57" ref="AC24:AK24">AB24</f>
        <v>21038.640000000003</v>
      </c>
      <c r="AD24" s="134">
        <f t="shared" si="57"/>
        <v>21038.640000000003</v>
      </c>
      <c r="AE24" s="134">
        <f t="shared" si="57"/>
        <v>21038.640000000003</v>
      </c>
      <c r="AF24" s="134">
        <f t="shared" si="57"/>
        <v>21038.640000000003</v>
      </c>
      <c r="AG24" s="134">
        <f t="shared" si="57"/>
        <v>21038.640000000003</v>
      </c>
      <c r="AH24" s="134">
        <f t="shared" si="57"/>
        <v>21038.640000000003</v>
      </c>
      <c r="AI24" s="134">
        <f t="shared" si="57"/>
        <v>21038.640000000003</v>
      </c>
      <c r="AJ24" s="134">
        <f t="shared" si="57"/>
        <v>21038.640000000003</v>
      </c>
      <c r="AK24" s="134">
        <f t="shared" si="57"/>
        <v>21038.640000000003</v>
      </c>
      <c r="AL24" s="152">
        <f t="shared" si="41"/>
        <v>252463.68000000008</v>
      </c>
      <c r="AM24" s="134">
        <f aca="true" t="shared" si="58" ref="AM24:AM30">K24</f>
        <v>33661.82400000001</v>
      </c>
      <c r="AN24" s="134">
        <f aca="true" t="shared" si="59" ref="AN24:AN30">AM24</f>
        <v>33661.82400000001</v>
      </c>
      <c r="AO24" s="134">
        <f t="shared" si="42"/>
        <v>33661.82400000001</v>
      </c>
      <c r="AP24" s="134">
        <f aca="true" t="shared" si="60" ref="AP24:AX30">AN24</f>
        <v>33661.82400000001</v>
      </c>
      <c r="AQ24" s="134">
        <f t="shared" si="60"/>
        <v>33661.82400000001</v>
      </c>
      <c r="AR24" s="134">
        <f t="shared" si="60"/>
        <v>33661.82400000001</v>
      </c>
      <c r="AS24" s="134">
        <f t="shared" si="60"/>
        <v>33661.82400000001</v>
      </c>
      <c r="AT24" s="134">
        <f t="shared" si="60"/>
        <v>33661.82400000001</v>
      </c>
      <c r="AU24" s="134">
        <f t="shared" si="60"/>
        <v>33661.82400000001</v>
      </c>
      <c r="AV24" s="134">
        <f t="shared" si="60"/>
        <v>33661.82400000001</v>
      </c>
      <c r="AW24" s="134">
        <f t="shared" si="60"/>
        <v>33661.82400000001</v>
      </c>
      <c r="AX24" s="134">
        <f t="shared" si="60"/>
        <v>33661.82400000001</v>
      </c>
      <c r="AY24" s="152">
        <f t="shared" si="44"/>
        <v>403941.8880000002</v>
      </c>
      <c r="AZ24" s="134">
        <f aca="true" t="shared" si="61" ref="AZ24:AZ30">K24</f>
        <v>33661.82400000001</v>
      </c>
      <c r="BA24" s="134">
        <f aca="true" t="shared" si="62" ref="BA24:BB30">AZ24</f>
        <v>33661.82400000001</v>
      </c>
      <c r="BB24" s="134">
        <f t="shared" si="62"/>
        <v>33661.82400000001</v>
      </c>
      <c r="BC24" s="134">
        <f aca="true" t="shared" si="63" ref="BC24:BK24">BB24</f>
        <v>33661.82400000001</v>
      </c>
      <c r="BD24" s="134">
        <f t="shared" si="63"/>
        <v>33661.82400000001</v>
      </c>
      <c r="BE24" s="134">
        <f t="shared" si="63"/>
        <v>33661.82400000001</v>
      </c>
      <c r="BF24" s="134">
        <f t="shared" si="63"/>
        <v>33661.82400000001</v>
      </c>
      <c r="BG24" s="134">
        <f t="shared" si="63"/>
        <v>33661.82400000001</v>
      </c>
      <c r="BH24" s="134">
        <f t="shared" si="63"/>
        <v>33661.82400000001</v>
      </c>
      <c r="BI24" s="134">
        <f t="shared" si="63"/>
        <v>33661.82400000001</v>
      </c>
      <c r="BJ24" s="134">
        <f t="shared" si="63"/>
        <v>33661.82400000001</v>
      </c>
      <c r="BK24" s="134">
        <f t="shared" si="63"/>
        <v>33661.82400000001</v>
      </c>
      <c r="BL24" s="152">
        <f t="shared" si="46"/>
        <v>403941.8880000002</v>
      </c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129"/>
      <c r="FL24" s="129"/>
      <c r="FM24" s="129"/>
      <c r="FN24" s="129"/>
      <c r="FO24" s="129"/>
      <c r="FP24" s="129"/>
      <c r="FQ24" s="129"/>
      <c r="FR24" s="129"/>
      <c r="FS24" s="129"/>
      <c r="FT24" s="129"/>
      <c r="FU24" s="129"/>
      <c r="FV24" s="129"/>
      <c r="FW24" s="129"/>
      <c r="FX24" s="129"/>
      <c r="FY24" s="129"/>
      <c r="FZ24" s="129"/>
      <c r="GA24" s="129"/>
      <c r="GB24" s="129"/>
      <c r="GC24" s="129"/>
      <c r="GD24" s="129"/>
      <c r="GE24" s="129"/>
      <c r="GF24" s="129"/>
      <c r="GG24" s="129"/>
      <c r="GH24" s="129"/>
      <c r="GI24" s="129"/>
      <c r="GJ24" s="129"/>
      <c r="GK24" s="129"/>
      <c r="GL24" s="129"/>
      <c r="GM24" s="129"/>
      <c r="GN24" s="129"/>
      <c r="GO24" s="129"/>
      <c r="GP24" s="129"/>
      <c r="GQ24" s="129"/>
      <c r="GR24" s="129"/>
      <c r="GS24" s="129"/>
      <c r="GT24" s="129"/>
      <c r="GU24" s="129"/>
      <c r="GV24" s="129"/>
      <c r="GW24" s="129"/>
      <c r="GX24" s="129"/>
      <c r="GY24" s="129"/>
      <c r="GZ24" s="129"/>
      <c r="HA24" s="129"/>
      <c r="HB24" s="129"/>
      <c r="HC24" s="129"/>
      <c r="HD24" s="129"/>
      <c r="HE24" s="129"/>
      <c r="HF24" s="129"/>
      <c r="HG24" s="129"/>
      <c r="HH24" s="129"/>
      <c r="HI24" s="129"/>
      <c r="HJ24" s="129"/>
      <c r="HK24" s="129"/>
      <c r="HL24" s="129"/>
      <c r="HM24" s="129"/>
      <c r="HN24" s="129"/>
      <c r="HO24" s="129"/>
      <c r="HP24" s="129"/>
      <c r="HQ24" s="129"/>
      <c r="HR24" s="129"/>
      <c r="HS24" s="129"/>
      <c r="HT24" s="129"/>
      <c r="HU24" s="129"/>
      <c r="HV24" s="129"/>
      <c r="HW24" s="129"/>
      <c r="HX24" s="129"/>
      <c r="HY24" s="129"/>
      <c r="HZ24" s="129"/>
      <c r="IA24" s="129"/>
      <c r="IB24" s="129"/>
      <c r="IC24" s="129"/>
      <c r="ID24" s="129"/>
      <c r="IE24" s="129"/>
      <c r="IF24" s="129"/>
      <c r="IG24" s="129"/>
      <c r="IH24" s="129"/>
      <c r="II24" s="129"/>
      <c r="IJ24" s="129"/>
      <c r="IK24" s="129"/>
      <c r="IL24" s="129"/>
      <c r="IM24" s="129"/>
      <c r="IN24" s="129"/>
      <c r="IO24" s="129"/>
      <c r="IP24" s="129"/>
      <c r="IQ24" s="129"/>
      <c r="IR24" s="129"/>
      <c r="IS24" s="129"/>
      <c r="IT24" s="129"/>
      <c r="IU24" s="129"/>
      <c r="IV24" s="129"/>
    </row>
    <row r="25" spans="1:256" s="156" customFormat="1" ht="14.25">
      <c r="A25" s="313" t="str">
        <f t="shared" si="47"/>
        <v>2.</v>
      </c>
      <c r="B25" s="144" t="str">
        <f t="shared" si="47"/>
        <v>АИ 98</v>
      </c>
      <c r="C25" s="153">
        <f>C13*G3</f>
        <v>2817.675</v>
      </c>
      <c r="D25" s="153">
        <f t="shared" si="48"/>
        <v>2817.675</v>
      </c>
      <c r="E25" s="153">
        <f t="shared" si="48"/>
        <v>2817.675</v>
      </c>
      <c r="F25" s="153">
        <f t="shared" si="48"/>
        <v>2817.675</v>
      </c>
      <c r="G25" s="153">
        <f t="shared" si="48"/>
        <v>2817.675</v>
      </c>
      <c r="H25" s="153">
        <f t="shared" si="48"/>
        <v>2817.675</v>
      </c>
      <c r="I25" s="153">
        <f t="shared" si="48"/>
        <v>2817.675</v>
      </c>
      <c r="J25" s="153">
        <f t="shared" si="49"/>
        <v>78894.9</v>
      </c>
      <c r="K25" s="153">
        <f t="shared" si="50"/>
        <v>63115.92</v>
      </c>
      <c r="L25" s="153">
        <f t="shared" si="51"/>
        <v>39447.45</v>
      </c>
      <c r="M25" s="144">
        <f t="shared" si="52"/>
        <v>39447.45</v>
      </c>
      <c r="N25" s="144">
        <f t="shared" si="53"/>
        <v>39447.45</v>
      </c>
      <c r="O25" s="144">
        <f t="shared" si="38"/>
        <v>39447.45</v>
      </c>
      <c r="P25" s="144">
        <f t="shared" si="54"/>
        <v>39447.45</v>
      </c>
      <c r="Q25" s="144">
        <f t="shared" si="54"/>
        <v>39447.45</v>
      </c>
      <c r="R25" s="144">
        <f t="shared" si="54"/>
        <v>39447.45</v>
      </c>
      <c r="S25" s="144">
        <f t="shared" si="54"/>
        <v>39447.45</v>
      </c>
      <c r="T25" s="144">
        <f t="shared" si="54"/>
        <v>39447.45</v>
      </c>
      <c r="U25" s="144">
        <f t="shared" si="54"/>
        <v>39447.45</v>
      </c>
      <c r="V25" s="144">
        <f t="shared" si="54"/>
        <v>39447.45</v>
      </c>
      <c r="W25" s="144">
        <f t="shared" si="54"/>
        <v>39447.45</v>
      </c>
      <c r="X25" s="144">
        <f t="shared" si="54"/>
        <v>39447.45</v>
      </c>
      <c r="Y25" s="144">
        <f>SUM(C25:X25)</f>
        <v>674551.3949999999</v>
      </c>
      <c r="Z25" s="144">
        <f t="shared" si="55"/>
        <v>39447.45</v>
      </c>
      <c r="AA25" s="144">
        <f t="shared" si="56"/>
        <v>39447.45</v>
      </c>
      <c r="AB25" s="144">
        <f t="shared" si="56"/>
        <v>39447.45</v>
      </c>
      <c r="AC25" s="144">
        <f aca="true" t="shared" si="64" ref="AC25:AK25">AB25</f>
        <v>39447.45</v>
      </c>
      <c r="AD25" s="144">
        <f t="shared" si="64"/>
        <v>39447.45</v>
      </c>
      <c r="AE25" s="144">
        <f t="shared" si="64"/>
        <v>39447.45</v>
      </c>
      <c r="AF25" s="144">
        <f t="shared" si="64"/>
        <v>39447.45</v>
      </c>
      <c r="AG25" s="144">
        <f t="shared" si="64"/>
        <v>39447.45</v>
      </c>
      <c r="AH25" s="144">
        <f t="shared" si="64"/>
        <v>39447.45</v>
      </c>
      <c r="AI25" s="144">
        <f t="shared" si="64"/>
        <v>39447.45</v>
      </c>
      <c r="AJ25" s="144">
        <f t="shared" si="64"/>
        <v>39447.45</v>
      </c>
      <c r="AK25" s="144">
        <f t="shared" si="64"/>
        <v>39447.45</v>
      </c>
      <c r="AL25" s="144">
        <f t="shared" si="41"/>
        <v>473369.4000000001</v>
      </c>
      <c r="AM25" s="144">
        <f t="shared" si="58"/>
        <v>63115.92</v>
      </c>
      <c r="AN25" s="144">
        <f t="shared" si="59"/>
        <v>63115.92</v>
      </c>
      <c r="AO25" s="144">
        <f t="shared" si="42"/>
        <v>63115.92</v>
      </c>
      <c r="AP25" s="144">
        <f t="shared" si="60"/>
        <v>63115.92</v>
      </c>
      <c r="AQ25" s="144">
        <f t="shared" si="60"/>
        <v>63115.92</v>
      </c>
      <c r="AR25" s="144">
        <f t="shared" si="60"/>
        <v>63115.92</v>
      </c>
      <c r="AS25" s="144">
        <f t="shared" si="60"/>
        <v>63115.92</v>
      </c>
      <c r="AT25" s="144">
        <f t="shared" si="60"/>
        <v>63115.92</v>
      </c>
      <c r="AU25" s="144">
        <f t="shared" si="60"/>
        <v>63115.92</v>
      </c>
      <c r="AV25" s="144">
        <f t="shared" si="60"/>
        <v>63115.92</v>
      </c>
      <c r="AW25" s="144">
        <f t="shared" si="60"/>
        <v>63115.92</v>
      </c>
      <c r="AX25" s="144">
        <f t="shared" si="60"/>
        <v>63115.92</v>
      </c>
      <c r="AY25" s="144">
        <f t="shared" si="44"/>
        <v>757391.04</v>
      </c>
      <c r="AZ25" s="144">
        <f t="shared" si="61"/>
        <v>63115.92</v>
      </c>
      <c r="BA25" s="144">
        <f t="shared" si="62"/>
        <v>63115.92</v>
      </c>
      <c r="BB25" s="144">
        <f t="shared" si="62"/>
        <v>63115.92</v>
      </c>
      <c r="BC25" s="144">
        <f aca="true" t="shared" si="65" ref="BC25:BK25">BB25</f>
        <v>63115.92</v>
      </c>
      <c r="BD25" s="144">
        <f t="shared" si="65"/>
        <v>63115.92</v>
      </c>
      <c r="BE25" s="144">
        <f t="shared" si="65"/>
        <v>63115.92</v>
      </c>
      <c r="BF25" s="144">
        <f t="shared" si="65"/>
        <v>63115.92</v>
      </c>
      <c r="BG25" s="144">
        <f t="shared" si="65"/>
        <v>63115.92</v>
      </c>
      <c r="BH25" s="144">
        <f t="shared" si="65"/>
        <v>63115.92</v>
      </c>
      <c r="BI25" s="144">
        <f t="shared" si="65"/>
        <v>63115.92</v>
      </c>
      <c r="BJ25" s="144">
        <f t="shared" si="65"/>
        <v>63115.92</v>
      </c>
      <c r="BK25" s="144">
        <f t="shared" si="65"/>
        <v>63115.92</v>
      </c>
      <c r="BL25" s="144">
        <f t="shared" si="46"/>
        <v>757391.04</v>
      </c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/>
      <c r="ER25" s="129"/>
      <c r="ES25" s="129"/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29"/>
      <c r="FE25" s="129"/>
      <c r="FF25" s="129"/>
      <c r="FG25" s="129"/>
      <c r="FH25" s="129"/>
      <c r="FI25" s="129"/>
      <c r="FJ25" s="129"/>
      <c r="FK25" s="129"/>
      <c r="FL25" s="129"/>
      <c r="FM25" s="129"/>
      <c r="FN25" s="129"/>
      <c r="FO25" s="129"/>
      <c r="FP25" s="129"/>
      <c r="FQ25" s="129"/>
      <c r="FR25" s="129"/>
      <c r="FS25" s="129"/>
      <c r="FT25" s="129"/>
      <c r="FU25" s="129"/>
      <c r="FV25" s="129"/>
      <c r="FW25" s="129"/>
      <c r="FX25" s="129"/>
      <c r="FY25" s="129"/>
      <c r="FZ25" s="129"/>
      <c r="GA25" s="129"/>
      <c r="GB25" s="129"/>
      <c r="GC25" s="129"/>
      <c r="GD25" s="129"/>
      <c r="GE25" s="129"/>
      <c r="GF25" s="129"/>
      <c r="GG25" s="129"/>
      <c r="GH25" s="129"/>
      <c r="GI25" s="129"/>
      <c r="GJ25" s="129"/>
      <c r="GK25" s="129"/>
      <c r="GL25" s="129"/>
      <c r="GM25" s="129"/>
      <c r="GN25" s="129"/>
      <c r="GO25" s="129"/>
      <c r="GP25" s="129"/>
      <c r="GQ25" s="129"/>
      <c r="GR25" s="129"/>
      <c r="GS25" s="129"/>
      <c r="GT25" s="129"/>
      <c r="GU25" s="129"/>
      <c r="GV25" s="129"/>
      <c r="GW25" s="129"/>
      <c r="GX25" s="129"/>
      <c r="GY25" s="129"/>
      <c r="GZ25" s="129"/>
      <c r="HA25" s="129"/>
      <c r="HB25" s="129"/>
      <c r="HC25" s="129"/>
      <c r="HD25" s="129"/>
      <c r="HE25" s="129"/>
      <c r="HF25" s="129"/>
      <c r="HG25" s="129"/>
      <c r="HH25" s="129"/>
      <c r="HI25" s="129"/>
      <c r="HJ25" s="129"/>
      <c r="HK25" s="129"/>
      <c r="HL25" s="129"/>
      <c r="HM25" s="129"/>
      <c r="HN25" s="129"/>
      <c r="HO25" s="129"/>
      <c r="HP25" s="129"/>
      <c r="HQ25" s="129"/>
      <c r="HR25" s="129"/>
      <c r="HS25" s="129"/>
      <c r="HT25" s="129"/>
      <c r="HU25" s="129"/>
      <c r="HV25" s="129"/>
      <c r="HW25" s="129"/>
      <c r="HX25" s="129"/>
      <c r="HY25" s="129"/>
      <c r="HZ25" s="129"/>
      <c r="IA25" s="129"/>
      <c r="IB25" s="129"/>
      <c r="IC25" s="129"/>
      <c r="ID25" s="129"/>
      <c r="IE25" s="129"/>
      <c r="IF25" s="129"/>
      <c r="IG25" s="129"/>
      <c r="IH25" s="129"/>
      <c r="II25" s="129"/>
      <c r="IJ25" s="129"/>
      <c r="IK25" s="129"/>
      <c r="IL25" s="129"/>
      <c r="IM25" s="129"/>
      <c r="IN25" s="129"/>
      <c r="IO25" s="129"/>
      <c r="IP25" s="129"/>
      <c r="IQ25" s="129"/>
      <c r="IR25" s="129"/>
      <c r="IS25" s="129"/>
      <c r="IT25" s="129"/>
      <c r="IU25" s="129"/>
      <c r="IV25" s="129"/>
    </row>
    <row r="26" spans="1:256" s="156" customFormat="1" ht="14.25">
      <c r="A26" s="144" t="str">
        <f t="shared" si="47"/>
        <v>3.</v>
      </c>
      <c r="B26" s="144" t="str">
        <f t="shared" si="47"/>
        <v>АИ 95</v>
      </c>
      <c r="C26" s="153">
        <f>C14*G3</f>
        <v>2817.675</v>
      </c>
      <c r="D26" s="153">
        <f t="shared" si="48"/>
        <v>2817.675</v>
      </c>
      <c r="E26" s="153">
        <f t="shared" si="48"/>
        <v>2817.675</v>
      </c>
      <c r="F26" s="153">
        <f t="shared" si="48"/>
        <v>2817.675</v>
      </c>
      <c r="G26" s="153">
        <f t="shared" si="48"/>
        <v>2817.675</v>
      </c>
      <c r="H26" s="153">
        <f t="shared" si="48"/>
        <v>2817.675</v>
      </c>
      <c r="I26" s="153">
        <f t="shared" si="48"/>
        <v>2817.675</v>
      </c>
      <c r="J26" s="153">
        <f t="shared" si="49"/>
        <v>78894.9</v>
      </c>
      <c r="K26" s="153">
        <f t="shared" si="50"/>
        <v>63115.92</v>
      </c>
      <c r="L26" s="153">
        <f t="shared" si="51"/>
        <v>39447.45</v>
      </c>
      <c r="M26" s="144">
        <f t="shared" si="52"/>
        <v>39447.45</v>
      </c>
      <c r="N26" s="144">
        <f t="shared" si="53"/>
        <v>39447.45</v>
      </c>
      <c r="O26" s="144">
        <f t="shared" si="38"/>
        <v>39447.45</v>
      </c>
      <c r="P26" s="144">
        <f t="shared" si="54"/>
        <v>39447.45</v>
      </c>
      <c r="Q26" s="144">
        <f t="shared" si="54"/>
        <v>39447.45</v>
      </c>
      <c r="R26" s="144">
        <f t="shared" si="54"/>
        <v>39447.45</v>
      </c>
      <c r="S26" s="144">
        <f t="shared" si="54"/>
        <v>39447.45</v>
      </c>
      <c r="T26" s="144">
        <f t="shared" si="54"/>
        <v>39447.45</v>
      </c>
      <c r="U26" s="144">
        <f t="shared" si="54"/>
        <v>39447.45</v>
      </c>
      <c r="V26" s="144">
        <f t="shared" si="54"/>
        <v>39447.45</v>
      </c>
      <c r="W26" s="144">
        <f t="shared" si="54"/>
        <v>39447.45</v>
      </c>
      <c r="X26" s="144">
        <f t="shared" si="54"/>
        <v>39447.45</v>
      </c>
      <c r="Y26" s="144">
        <f>SUM(C26:X26)</f>
        <v>674551.3949999999</v>
      </c>
      <c r="Z26" s="144">
        <f t="shared" si="55"/>
        <v>39447.45</v>
      </c>
      <c r="AA26" s="144">
        <f t="shared" si="56"/>
        <v>39447.45</v>
      </c>
      <c r="AB26" s="144">
        <f t="shared" si="56"/>
        <v>39447.45</v>
      </c>
      <c r="AC26" s="144">
        <f aca="true" t="shared" si="66" ref="AC26:AK26">AB26</f>
        <v>39447.45</v>
      </c>
      <c r="AD26" s="144">
        <f t="shared" si="66"/>
        <v>39447.45</v>
      </c>
      <c r="AE26" s="144">
        <f t="shared" si="66"/>
        <v>39447.45</v>
      </c>
      <c r="AF26" s="144">
        <f t="shared" si="66"/>
        <v>39447.45</v>
      </c>
      <c r="AG26" s="144">
        <f t="shared" si="66"/>
        <v>39447.45</v>
      </c>
      <c r="AH26" s="144">
        <f t="shared" si="66"/>
        <v>39447.45</v>
      </c>
      <c r="AI26" s="144">
        <f t="shared" si="66"/>
        <v>39447.45</v>
      </c>
      <c r="AJ26" s="144">
        <f t="shared" si="66"/>
        <v>39447.45</v>
      </c>
      <c r="AK26" s="144">
        <f t="shared" si="66"/>
        <v>39447.45</v>
      </c>
      <c r="AL26" s="144">
        <f t="shared" si="41"/>
        <v>473369.4000000001</v>
      </c>
      <c r="AM26" s="144">
        <f t="shared" si="58"/>
        <v>63115.92</v>
      </c>
      <c r="AN26" s="144">
        <f t="shared" si="59"/>
        <v>63115.92</v>
      </c>
      <c r="AO26" s="144">
        <f t="shared" si="42"/>
        <v>63115.92</v>
      </c>
      <c r="AP26" s="144">
        <f t="shared" si="60"/>
        <v>63115.92</v>
      </c>
      <c r="AQ26" s="144">
        <f t="shared" si="60"/>
        <v>63115.92</v>
      </c>
      <c r="AR26" s="144">
        <f t="shared" si="60"/>
        <v>63115.92</v>
      </c>
      <c r="AS26" s="144">
        <f t="shared" si="60"/>
        <v>63115.92</v>
      </c>
      <c r="AT26" s="144">
        <f t="shared" si="60"/>
        <v>63115.92</v>
      </c>
      <c r="AU26" s="144">
        <f t="shared" si="60"/>
        <v>63115.92</v>
      </c>
      <c r="AV26" s="144">
        <f t="shared" si="60"/>
        <v>63115.92</v>
      </c>
      <c r="AW26" s="144">
        <f t="shared" si="60"/>
        <v>63115.92</v>
      </c>
      <c r="AX26" s="144">
        <f t="shared" si="60"/>
        <v>63115.92</v>
      </c>
      <c r="AY26" s="144">
        <f t="shared" si="44"/>
        <v>757391.04</v>
      </c>
      <c r="AZ26" s="144">
        <f t="shared" si="61"/>
        <v>63115.92</v>
      </c>
      <c r="BA26" s="144">
        <f t="shared" si="62"/>
        <v>63115.92</v>
      </c>
      <c r="BB26" s="144">
        <f t="shared" si="62"/>
        <v>63115.92</v>
      </c>
      <c r="BC26" s="144">
        <f aca="true" t="shared" si="67" ref="BC26:BK26">BB26</f>
        <v>63115.92</v>
      </c>
      <c r="BD26" s="144">
        <f t="shared" si="67"/>
        <v>63115.92</v>
      </c>
      <c r="BE26" s="144">
        <f t="shared" si="67"/>
        <v>63115.92</v>
      </c>
      <c r="BF26" s="144">
        <f t="shared" si="67"/>
        <v>63115.92</v>
      </c>
      <c r="BG26" s="144">
        <f t="shared" si="67"/>
        <v>63115.92</v>
      </c>
      <c r="BH26" s="144">
        <f t="shared" si="67"/>
        <v>63115.92</v>
      </c>
      <c r="BI26" s="144">
        <f t="shared" si="67"/>
        <v>63115.92</v>
      </c>
      <c r="BJ26" s="144">
        <f t="shared" si="67"/>
        <v>63115.92</v>
      </c>
      <c r="BK26" s="144">
        <f t="shared" si="67"/>
        <v>63115.92</v>
      </c>
      <c r="BL26" s="144">
        <f t="shared" si="46"/>
        <v>757391.04</v>
      </c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29"/>
      <c r="ES26" s="129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29"/>
      <c r="FE26" s="129"/>
      <c r="FF26" s="129"/>
      <c r="FG26" s="129"/>
      <c r="FH26" s="129"/>
      <c r="FI26" s="129"/>
      <c r="FJ26" s="129"/>
      <c r="FK26" s="129"/>
      <c r="FL26" s="129"/>
      <c r="FM26" s="129"/>
      <c r="FN26" s="129"/>
      <c r="FO26" s="129"/>
      <c r="FP26" s="129"/>
      <c r="FQ26" s="129"/>
      <c r="FR26" s="129"/>
      <c r="FS26" s="129"/>
      <c r="FT26" s="129"/>
      <c r="FU26" s="129"/>
      <c r="FV26" s="129"/>
      <c r="FW26" s="129"/>
      <c r="FX26" s="129"/>
      <c r="FY26" s="129"/>
      <c r="FZ26" s="129"/>
      <c r="GA26" s="129"/>
      <c r="GB26" s="129"/>
      <c r="GC26" s="129"/>
      <c r="GD26" s="129"/>
      <c r="GE26" s="129"/>
      <c r="GF26" s="129"/>
      <c r="GG26" s="129"/>
      <c r="GH26" s="129"/>
      <c r="GI26" s="129"/>
      <c r="GJ26" s="129"/>
      <c r="GK26" s="129"/>
      <c r="GL26" s="129"/>
      <c r="GM26" s="129"/>
      <c r="GN26" s="129"/>
      <c r="GO26" s="129"/>
      <c r="GP26" s="129"/>
      <c r="GQ26" s="129"/>
      <c r="GR26" s="129"/>
      <c r="GS26" s="129"/>
      <c r="GT26" s="129"/>
      <c r="GU26" s="129"/>
      <c r="GV26" s="129"/>
      <c r="GW26" s="129"/>
      <c r="GX26" s="129"/>
      <c r="GY26" s="129"/>
      <c r="GZ26" s="129"/>
      <c r="HA26" s="129"/>
      <c r="HB26" s="129"/>
      <c r="HC26" s="129"/>
      <c r="HD26" s="129"/>
      <c r="HE26" s="129"/>
      <c r="HF26" s="129"/>
      <c r="HG26" s="129"/>
      <c r="HH26" s="129"/>
      <c r="HI26" s="129"/>
      <c r="HJ26" s="129"/>
      <c r="HK26" s="129"/>
      <c r="HL26" s="129"/>
      <c r="HM26" s="129"/>
      <c r="HN26" s="129"/>
      <c r="HO26" s="129"/>
      <c r="HP26" s="129"/>
      <c r="HQ26" s="129"/>
      <c r="HR26" s="129"/>
      <c r="HS26" s="129"/>
      <c r="HT26" s="129"/>
      <c r="HU26" s="129"/>
      <c r="HV26" s="129"/>
      <c r="HW26" s="129"/>
      <c r="HX26" s="129"/>
      <c r="HY26" s="129"/>
      <c r="HZ26" s="129"/>
      <c r="IA26" s="129"/>
      <c r="IB26" s="129"/>
      <c r="IC26" s="129"/>
      <c r="ID26" s="129"/>
      <c r="IE26" s="129"/>
      <c r="IF26" s="129"/>
      <c r="IG26" s="129"/>
      <c r="IH26" s="129"/>
      <c r="II26" s="129"/>
      <c r="IJ26" s="129"/>
      <c r="IK26" s="129"/>
      <c r="IL26" s="129"/>
      <c r="IM26" s="129"/>
      <c r="IN26" s="129"/>
      <c r="IO26" s="129"/>
      <c r="IP26" s="129"/>
      <c r="IQ26" s="129"/>
      <c r="IR26" s="129"/>
      <c r="IS26" s="129"/>
      <c r="IT26" s="129"/>
      <c r="IU26" s="129"/>
      <c r="IV26" s="129"/>
    </row>
    <row r="27" spans="1:256" s="156" customFormat="1" ht="14.25">
      <c r="A27" s="144" t="str">
        <f t="shared" si="47"/>
        <v>4.</v>
      </c>
      <c r="B27" s="144" t="str">
        <f t="shared" si="47"/>
        <v>АИ-92</v>
      </c>
      <c r="C27" s="153">
        <f>C15*G3</f>
        <v>2817.675</v>
      </c>
      <c r="D27" s="153">
        <f t="shared" si="48"/>
        <v>2817.675</v>
      </c>
      <c r="E27" s="153">
        <f t="shared" si="48"/>
        <v>2817.675</v>
      </c>
      <c r="F27" s="153">
        <f t="shared" si="48"/>
        <v>2817.675</v>
      </c>
      <c r="G27" s="153">
        <f t="shared" si="48"/>
        <v>2817.675</v>
      </c>
      <c r="H27" s="153">
        <f t="shared" si="48"/>
        <v>2817.675</v>
      </c>
      <c r="I27" s="153">
        <f t="shared" si="48"/>
        <v>2817.675</v>
      </c>
      <c r="J27" s="153">
        <f t="shared" si="49"/>
        <v>78894.9</v>
      </c>
      <c r="K27" s="153">
        <f t="shared" si="50"/>
        <v>63115.92</v>
      </c>
      <c r="L27" s="153">
        <f t="shared" si="51"/>
        <v>39447.45</v>
      </c>
      <c r="M27" s="144">
        <f t="shared" si="52"/>
        <v>39447.45</v>
      </c>
      <c r="N27" s="144">
        <f t="shared" si="53"/>
        <v>39447.45</v>
      </c>
      <c r="O27" s="144">
        <f t="shared" si="38"/>
        <v>39447.45</v>
      </c>
      <c r="P27" s="144">
        <f t="shared" si="54"/>
        <v>39447.45</v>
      </c>
      <c r="Q27" s="144">
        <f t="shared" si="54"/>
        <v>39447.45</v>
      </c>
      <c r="R27" s="144">
        <f t="shared" si="54"/>
        <v>39447.45</v>
      </c>
      <c r="S27" s="144">
        <f t="shared" si="54"/>
        <v>39447.45</v>
      </c>
      <c r="T27" s="144">
        <f t="shared" si="54"/>
        <v>39447.45</v>
      </c>
      <c r="U27" s="144">
        <f t="shared" si="54"/>
        <v>39447.45</v>
      </c>
      <c r="V27" s="144">
        <f t="shared" si="54"/>
        <v>39447.45</v>
      </c>
      <c r="W27" s="144">
        <f t="shared" si="54"/>
        <v>39447.45</v>
      </c>
      <c r="X27" s="144">
        <f t="shared" si="54"/>
        <v>39447.45</v>
      </c>
      <c r="Y27" s="144">
        <f>SUM(C27:X27)</f>
        <v>674551.3949999999</v>
      </c>
      <c r="Z27" s="144">
        <f t="shared" si="55"/>
        <v>39447.45</v>
      </c>
      <c r="AA27" s="144">
        <f t="shared" si="56"/>
        <v>39447.45</v>
      </c>
      <c r="AB27" s="144">
        <f t="shared" si="56"/>
        <v>39447.45</v>
      </c>
      <c r="AC27" s="144">
        <f aca="true" t="shared" si="68" ref="AC27:AK27">AB27</f>
        <v>39447.45</v>
      </c>
      <c r="AD27" s="144">
        <f t="shared" si="68"/>
        <v>39447.45</v>
      </c>
      <c r="AE27" s="144">
        <f t="shared" si="68"/>
        <v>39447.45</v>
      </c>
      <c r="AF27" s="144">
        <f t="shared" si="68"/>
        <v>39447.45</v>
      </c>
      <c r="AG27" s="144">
        <f t="shared" si="68"/>
        <v>39447.45</v>
      </c>
      <c r="AH27" s="144">
        <f t="shared" si="68"/>
        <v>39447.45</v>
      </c>
      <c r="AI27" s="144">
        <f t="shared" si="68"/>
        <v>39447.45</v>
      </c>
      <c r="AJ27" s="144">
        <f t="shared" si="68"/>
        <v>39447.45</v>
      </c>
      <c r="AK27" s="144">
        <f t="shared" si="68"/>
        <v>39447.45</v>
      </c>
      <c r="AL27" s="144">
        <f t="shared" si="41"/>
        <v>473369.4000000001</v>
      </c>
      <c r="AM27" s="144">
        <f t="shared" si="58"/>
        <v>63115.92</v>
      </c>
      <c r="AN27" s="144">
        <f t="shared" si="59"/>
        <v>63115.92</v>
      </c>
      <c r="AO27" s="144">
        <f t="shared" si="42"/>
        <v>63115.92</v>
      </c>
      <c r="AP27" s="144">
        <f t="shared" si="60"/>
        <v>63115.92</v>
      </c>
      <c r="AQ27" s="144">
        <f t="shared" si="60"/>
        <v>63115.92</v>
      </c>
      <c r="AR27" s="144">
        <f t="shared" si="60"/>
        <v>63115.92</v>
      </c>
      <c r="AS27" s="144">
        <f t="shared" si="60"/>
        <v>63115.92</v>
      </c>
      <c r="AT27" s="144">
        <f t="shared" si="60"/>
        <v>63115.92</v>
      </c>
      <c r="AU27" s="144">
        <f t="shared" si="60"/>
        <v>63115.92</v>
      </c>
      <c r="AV27" s="144">
        <f t="shared" si="60"/>
        <v>63115.92</v>
      </c>
      <c r="AW27" s="144">
        <f t="shared" si="60"/>
        <v>63115.92</v>
      </c>
      <c r="AX27" s="144">
        <f t="shared" si="60"/>
        <v>63115.92</v>
      </c>
      <c r="AY27" s="144">
        <f t="shared" si="44"/>
        <v>757391.04</v>
      </c>
      <c r="AZ27" s="144">
        <f t="shared" si="61"/>
        <v>63115.92</v>
      </c>
      <c r="BA27" s="144">
        <f t="shared" si="62"/>
        <v>63115.92</v>
      </c>
      <c r="BB27" s="144">
        <f t="shared" si="62"/>
        <v>63115.92</v>
      </c>
      <c r="BC27" s="144">
        <f aca="true" t="shared" si="69" ref="BC27:BK27">BB27</f>
        <v>63115.92</v>
      </c>
      <c r="BD27" s="144">
        <f t="shared" si="69"/>
        <v>63115.92</v>
      </c>
      <c r="BE27" s="144">
        <f t="shared" si="69"/>
        <v>63115.92</v>
      </c>
      <c r="BF27" s="144">
        <f t="shared" si="69"/>
        <v>63115.92</v>
      </c>
      <c r="BG27" s="144">
        <f t="shared" si="69"/>
        <v>63115.92</v>
      </c>
      <c r="BH27" s="144">
        <f t="shared" si="69"/>
        <v>63115.92</v>
      </c>
      <c r="BI27" s="144">
        <f t="shared" si="69"/>
        <v>63115.92</v>
      </c>
      <c r="BJ27" s="144">
        <f t="shared" si="69"/>
        <v>63115.92</v>
      </c>
      <c r="BK27" s="144">
        <f t="shared" si="69"/>
        <v>63115.92</v>
      </c>
      <c r="BL27" s="144">
        <f t="shared" si="46"/>
        <v>757391.04</v>
      </c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29"/>
      <c r="ES27" s="129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29"/>
      <c r="FE27" s="129"/>
      <c r="FF27" s="129"/>
      <c r="FG27" s="129"/>
      <c r="FH27" s="129"/>
      <c r="FI27" s="129"/>
      <c r="FJ27" s="129"/>
      <c r="FK27" s="129"/>
      <c r="FL27" s="129"/>
      <c r="FM27" s="129"/>
      <c r="FN27" s="129"/>
      <c r="FO27" s="129"/>
      <c r="FP27" s="129"/>
      <c r="FQ27" s="129"/>
      <c r="FR27" s="129"/>
      <c r="FS27" s="129"/>
      <c r="FT27" s="129"/>
      <c r="FU27" s="129"/>
      <c r="FV27" s="129"/>
      <c r="FW27" s="129"/>
      <c r="FX27" s="129"/>
      <c r="FY27" s="129"/>
      <c r="FZ27" s="129"/>
      <c r="GA27" s="129"/>
      <c r="GB27" s="129"/>
      <c r="GC27" s="129"/>
      <c r="GD27" s="129"/>
      <c r="GE27" s="129"/>
      <c r="GF27" s="129"/>
      <c r="GG27" s="129"/>
      <c r="GH27" s="129"/>
      <c r="GI27" s="129"/>
      <c r="GJ27" s="129"/>
      <c r="GK27" s="129"/>
      <c r="GL27" s="129"/>
      <c r="GM27" s="129"/>
      <c r="GN27" s="129"/>
      <c r="GO27" s="129"/>
      <c r="GP27" s="129"/>
      <c r="GQ27" s="129"/>
      <c r="GR27" s="129"/>
      <c r="GS27" s="129"/>
      <c r="GT27" s="129"/>
      <c r="GU27" s="129"/>
      <c r="GV27" s="129"/>
      <c r="GW27" s="129"/>
      <c r="GX27" s="129"/>
      <c r="GY27" s="129"/>
      <c r="GZ27" s="129"/>
      <c r="HA27" s="129"/>
      <c r="HB27" s="129"/>
      <c r="HC27" s="129"/>
      <c r="HD27" s="129"/>
      <c r="HE27" s="129"/>
      <c r="HF27" s="129"/>
      <c r="HG27" s="129"/>
      <c r="HH27" s="129"/>
      <c r="HI27" s="129"/>
      <c r="HJ27" s="129"/>
      <c r="HK27" s="129"/>
      <c r="HL27" s="129"/>
      <c r="HM27" s="129"/>
      <c r="HN27" s="129"/>
      <c r="HO27" s="129"/>
      <c r="HP27" s="129"/>
      <c r="HQ27" s="129"/>
      <c r="HR27" s="129"/>
      <c r="HS27" s="129"/>
      <c r="HT27" s="129"/>
      <c r="HU27" s="129"/>
      <c r="HV27" s="129"/>
      <c r="HW27" s="129"/>
      <c r="HX27" s="129"/>
      <c r="HY27" s="129"/>
      <c r="HZ27" s="129"/>
      <c r="IA27" s="129"/>
      <c r="IB27" s="129"/>
      <c r="IC27" s="129"/>
      <c r="ID27" s="129"/>
      <c r="IE27" s="129"/>
      <c r="IF27" s="129"/>
      <c r="IG27" s="129"/>
      <c r="IH27" s="129"/>
      <c r="II27" s="129"/>
      <c r="IJ27" s="129"/>
      <c r="IK27" s="129"/>
      <c r="IL27" s="129"/>
      <c r="IM27" s="129"/>
      <c r="IN27" s="129"/>
      <c r="IO27" s="129"/>
      <c r="IP27" s="129"/>
      <c r="IQ27" s="129"/>
      <c r="IR27" s="129"/>
      <c r="IS27" s="129"/>
      <c r="IT27" s="129"/>
      <c r="IU27" s="129"/>
      <c r="IV27" s="129"/>
    </row>
    <row r="28" spans="1:256" s="156" customFormat="1" ht="14.25">
      <c r="A28" s="144" t="str">
        <f t="shared" si="47"/>
        <v>5.</v>
      </c>
      <c r="B28" s="144" t="str">
        <f t="shared" si="47"/>
        <v>ДТ</v>
      </c>
      <c r="C28" s="153">
        <f>C16*G4</f>
        <v>16906.050000000003</v>
      </c>
      <c r="D28" s="153">
        <f t="shared" si="48"/>
        <v>16906.050000000003</v>
      </c>
      <c r="E28" s="153">
        <f t="shared" si="48"/>
        <v>16906.050000000003</v>
      </c>
      <c r="F28" s="153">
        <f t="shared" si="48"/>
        <v>16906.050000000003</v>
      </c>
      <c r="G28" s="153">
        <f t="shared" si="48"/>
        <v>16906.050000000003</v>
      </c>
      <c r="H28" s="153">
        <f t="shared" si="48"/>
        <v>16906.050000000003</v>
      </c>
      <c r="I28" s="153">
        <f t="shared" si="48"/>
        <v>16906.050000000003</v>
      </c>
      <c r="J28" s="153">
        <f t="shared" si="49"/>
        <v>473369.4000000001</v>
      </c>
      <c r="K28" s="153">
        <f t="shared" si="50"/>
        <v>378695.5200000001</v>
      </c>
      <c r="L28" s="153">
        <f t="shared" si="51"/>
        <v>236684.70000000004</v>
      </c>
      <c r="M28" s="144">
        <f t="shared" si="52"/>
        <v>236684.70000000004</v>
      </c>
      <c r="N28" s="144">
        <f t="shared" si="53"/>
        <v>236684.70000000004</v>
      </c>
      <c r="O28" s="144">
        <f t="shared" si="38"/>
        <v>236684.70000000004</v>
      </c>
      <c r="P28" s="144">
        <f t="shared" si="54"/>
        <v>236684.70000000004</v>
      </c>
      <c r="Q28" s="144">
        <f t="shared" si="54"/>
        <v>236684.70000000004</v>
      </c>
      <c r="R28" s="144">
        <f t="shared" si="54"/>
        <v>236684.70000000004</v>
      </c>
      <c r="S28" s="144">
        <f t="shared" si="54"/>
        <v>236684.70000000004</v>
      </c>
      <c r="T28" s="144">
        <f t="shared" si="54"/>
        <v>236684.70000000004</v>
      </c>
      <c r="U28" s="144">
        <f t="shared" si="54"/>
        <v>236684.70000000004</v>
      </c>
      <c r="V28" s="144">
        <f t="shared" si="54"/>
        <v>236684.70000000004</v>
      </c>
      <c r="W28" s="144">
        <f t="shared" si="54"/>
        <v>236684.70000000004</v>
      </c>
      <c r="X28" s="144">
        <f t="shared" si="54"/>
        <v>236684.70000000004</v>
      </c>
      <c r="Y28" s="144">
        <f>SUM(C28:X28)</f>
        <v>4047308.3700000015</v>
      </c>
      <c r="Z28" s="144">
        <f t="shared" si="55"/>
        <v>236684.70000000004</v>
      </c>
      <c r="AA28" s="144">
        <f t="shared" si="56"/>
        <v>236684.70000000004</v>
      </c>
      <c r="AB28" s="144">
        <f t="shared" si="56"/>
        <v>236684.70000000004</v>
      </c>
      <c r="AC28" s="144">
        <f aca="true" t="shared" si="70" ref="AC28:AK28">AB28</f>
        <v>236684.70000000004</v>
      </c>
      <c r="AD28" s="144">
        <f t="shared" si="70"/>
        <v>236684.70000000004</v>
      </c>
      <c r="AE28" s="144">
        <f t="shared" si="70"/>
        <v>236684.70000000004</v>
      </c>
      <c r="AF28" s="144">
        <f t="shared" si="70"/>
        <v>236684.70000000004</v>
      </c>
      <c r="AG28" s="144">
        <f t="shared" si="70"/>
        <v>236684.70000000004</v>
      </c>
      <c r="AH28" s="144">
        <f t="shared" si="70"/>
        <v>236684.70000000004</v>
      </c>
      <c r="AI28" s="144">
        <f t="shared" si="70"/>
        <v>236684.70000000004</v>
      </c>
      <c r="AJ28" s="144">
        <f t="shared" si="70"/>
        <v>236684.70000000004</v>
      </c>
      <c r="AK28" s="144">
        <f t="shared" si="70"/>
        <v>236684.70000000004</v>
      </c>
      <c r="AL28" s="144">
        <f t="shared" si="41"/>
        <v>2840216.400000001</v>
      </c>
      <c r="AM28" s="144">
        <f t="shared" si="58"/>
        <v>378695.5200000001</v>
      </c>
      <c r="AN28" s="144">
        <f t="shared" si="59"/>
        <v>378695.5200000001</v>
      </c>
      <c r="AO28" s="144">
        <f t="shared" si="42"/>
        <v>378695.5200000001</v>
      </c>
      <c r="AP28" s="144">
        <f t="shared" si="60"/>
        <v>378695.5200000001</v>
      </c>
      <c r="AQ28" s="144">
        <f t="shared" si="60"/>
        <v>378695.5200000001</v>
      </c>
      <c r="AR28" s="144">
        <f t="shared" si="60"/>
        <v>378695.5200000001</v>
      </c>
      <c r="AS28" s="144">
        <f t="shared" si="60"/>
        <v>378695.5200000001</v>
      </c>
      <c r="AT28" s="144">
        <f t="shared" si="60"/>
        <v>378695.5200000001</v>
      </c>
      <c r="AU28" s="144">
        <f t="shared" si="60"/>
        <v>378695.5200000001</v>
      </c>
      <c r="AV28" s="144">
        <f t="shared" si="60"/>
        <v>378695.5200000001</v>
      </c>
      <c r="AW28" s="144">
        <f t="shared" si="60"/>
        <v>378695.5200000001</v>
      </c>
      <c r="AX28" s="144">
        <f t="shared" si="60"/>
        <v>378695.5200000001</v>
      </c>
      <c r="AY28" s="144">
        <f t="shared" si="44"/>
        <v>4544346.240000001</v>
      </c>
      <c r="AZ28" s="144">
        <f t="shared" si="61"/>
        <v>378695.5200000001</v>
      </c>
      <c r="BA28" s="144">
        <f t="shared" si="62"/>
        <v>378695.5200000001</v>
      </c>
      <c r="BB28" s="144">
        <f t="shared" si="62"/>
        <v>378695.5200000001</v>
      </c>
      <c r="BC28" s="144">
        <f aca="true" t="shared" si="71" ref="BC28:BK28">BB28</f>
        <v>378695.5200000001</v>
      </c>
      <c r="BD28" s="144">
        <f t="shared" si="71"/>
        <v>378695.5200000001</v>
      </c>
      <c r="BE28" s="144">
        <f t="shared" si="71"/>
        <v>378695.5200000001</v>
      </c>
      <c r="BF28" s="144">
        <f t="shared" si="71"/>
        <v>378695.5200000001</v>
      </c>
      <c r="BG28" s="144">
        <f t="shared" si="71"/>
        <v>378695.5200000001</v>
      </c>
      <c r="BH28" s="144">
        <f t="shared" si="71"/>
        <v>378695.5200000001</v>
      </c>
      <c r="BI28" s="144">
        <f t="shared" si="71"/>
        <v>378695.5200000001</v>
      </c>
      <c r="BJ28" s="144">
        <f t="shared" si="71"/>
        <v>378695.5200000001</v>
      </c>
      <c r="BK28" s="144">
        <f t="shared" si="71"/>
        <v>378695.5200000001</v>
      </c>
      <c r="BL28" s="144">
        <f t="shared" si="46"/>
        <v>4544346.240000001</v>
      </c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29"/>
      <c r="DS28" s="129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29"/>
      <c r="EF28" s="129"/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9"/>
      <c r="ER28" s="129"/>
      <c r="ES28" s="129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29"/>
      <c r="FE28" s="129"/>
      <c r="FF28" s="129"/>
      <c r="FG28" s="129"/>
      <c r="FH28" s="129"/>
      <c r="FI28" s="129"/>
      <c r="FJ28" s="129"/>
      <c r="FK28" s="129"/>
      <c r="FL28" s="129"/>
      <c r="FM28" s="129"/>
      <c r="FN28" s="129"/>
      <c r="FO28" s="129"/>
      <c r="FP28" s="129"/>
      <c r="FQ28" s="129"/>
      <c r="FR28" s="129"/>
      <c r="FS28" s="129"/>
      <c r="FT28" s="129"/>
      <c r="FU28" s="129"/>
      <c r="FV28" s="129"/>
      <c r="FW28" s="129"/>
      <c r="FX28" s="129"/>
      <c r="FY28" s="129"/>
      <c r="FZ28" s="129"/>
      <c r="GA28" s="129"/>
      <c r="GB28" s="129"/>
      <c r="GC28" s="129"/>
      <c r="GD28" s="129"/>
      <c r="GE28" s="129"/>
      <c r="GF28" s="129"/>
      <c r="GG28" s="129"/>
      <c r="GH28" s="129"/>
      <c r="GI28" s="129"/>
      <c r="GJ28" s="129"/>
      <c r="GK28" s="129"/>
      <c r="GL28" s="129"/>
      <c r="GM28" s="129"/>
      <c r="GN28" s="129"/>
      <c r="GO28" s="129"/>
      <c r="GP28" s="129"/>
      <c r="GQ28" s="129"/>
      <c r="GR28" s="129"/>
      <c r="GS28" s="129"/>
      <c r="GT28" s="129"/>
      <c r="GU28" s="129"/>
      <c r="GV28" s="129"/>
      <c r="GW28" s="129"/>
      <c r="GX28" s="129"/>
      <c r="GY28" s="129"/>
      <c r="GZ28" s="129"/>
      <c r="HA28" s="129"/>
      <c r="HB28" s="129"/>
      <c r="HC28" s="129"/>
      <c r="HD28" s="129"/>
      <c r="HE28" s="129"/>
      <c r="HF28" s="129"/>
      <c r="HG28" s="129"/>
      <c r="HH28" s="129"/>
      <c r="HI28" s="129"/>
      <c r="HJ28" s="129"/>
      <c r="HK28" s="129"/>
      <c r="HL28" s="129"/>
      <c r="HM28" s="129"/>
      <c r="HN28" s="129"/>
      <c r="HO28" s="129"/>
      <c r="HP28" s="129"/>
      <c r="HQ28" s="129"/>
      <c r="HR28" s="129"/>
      <c r="HS28" s="129"/>
      <c r="HT28" s="129"/>
      <c r="HU28" s="129"/>
      <c r="HV28" s="129"/>
      <c r="HW28" s="129"/>
      <c r="HX28" s="129"/>
      <c r="HY28" s="129"/>
      <c r="HZ28" s="129"/>
      <c r="IA28" s="129"/>
      <c r="IB28" s="129"/>
      <c r="IC28" s="129"/>
      <c r="ID28" s="129"/>
      <c r="IE28" s="129"/>
      <c r="IF28" s="129"/>
      <c r="IG28" s="129"/>
      <c r="IH28" s="129"/>
      <c r="II28" s="129"/>
      <c r="IJ28" s="129"/>
      <c r="IK28" s="129"/>
      <c r="IL28" s="129"/>
      <c r="IM28" s="129"/>
      <c r="IN28" s="129"/>
      <c r="IO28" s="129"/>
      <c r="IP28" s="129"/>
      <c r="IQ28" s="129"/>
      <c r="IR28" s="129"/>
      <c r="IS28" s="129"/>
      <c r="IT28" s="129"/>
      <c r="IU28" s="129"/>
      <c r="IV28" s="129"/>
    </row>
    <row r="29" spans="1:256" s="146" customFormat="1" ht="14.25">
      <c r="A29" s="154"/>
      <c r="B29" s="155" t="s">
        <v>54</v>
      </c>
      <c r="C29" s="154">
        <f>SUM(C24:C28)</f>
        <v>26861.835000000003</v>
      </c>
      <c r="D29" s="154">
        <f aca="true" t="shared" si="72" ref="D29:AI29">SUM(D24:D30)</f>
        <v>78437.5</v>
      </c>
      <c r="E29" s="154">
        <f t="shared" si="72"/>
        <v>78437.5</v>
      </c>
      <c r="F29" s="154">
        <f t="shared" si="72"/>
        <v>78437.5</v>
      </c>
      <c r="G29" s="154">
        <f t="shared" si="72"/>
        <v>78437.5</v>
      </c>
      <c r="H29" s="154">
        <f t="shared" si="72"/>
        <v>78437.5</v>
      </c>
      <c r="I29" s="154">
        <f t="shared" si="72"/>
        <v>78437.5</v>
      </c>
      <c r="J29" s="154">
        <f t="shared" si="72"/>
        <v>2196250</v>
      </c>
      <c r="K29" s="154">
        <f t="shared" si="72"/>
        <v>1757000</v>
      </c>
      <c r="L29" s="154">
        <f t="shared" si="72"/>
        <v>1098125</v>
      </c>
      <c r="M29" s="154">
        <f t="shared" si="72"/>
        <v>1098125</v>
      </c>
      <c r="N29" s="154">
        <f t="shared" si="72"/>
        <v>1098125</v>
      </c>
      <c r="O29" s="154">
        <f t="shared" si="72"/>
        <v>1098125</v>
      </c>
      <c r="P29" s="154">
        <f t="shared" si="72"/>
        <v>1098125</v>
      </c>
      <c r="Q29" s="154">
        <f t="shared" si="72"/>
        <v>1098125</v>
      </c>
      <c r="R29" s="154">
        <f t="shared" si="72"/>
        <v>1098125</v>
      </c>
      <c r="S29" s="154">
        <f t="shared" si="72"/>
        <v>1098125</v>
      </c>
      <c r="T29" s="154">
        <f t="shared" si="72"/>
        <v>1098125</v>
      </c>
      <c r="U29" s="154">
        <f t="shared" si="72"/>
        <v>1098125</v>
      </c>
      <c r="V29" s="154">
        <f t="shared" si="72"/>
        <v>1098125</v>
      </c>
      <c r="W29" s="154">
        <f t="shared" si="72"/>
        <v>1098125</v>
      </c>
      <c r="X29" s="154">
        <f t="shared" si="72"/>
        <v>1098125</v>
      </c>
      <c r="Y29" s="154">
        <f t="shared" si="72"/>
        <v>18599437.5</v>
      </c>
      <c r="Z29" s="154">
        <f t="shared" si="72"/>
        <v>1098125</v>
      </c>
      <c r="AA29" s="154">
        <f t="shared" si="72"/>
        <v>1098125</v>
      </c>
      <c r="AB29" s="154">
        <f t="shared" si="72"/>
        <v>1098125</v>
      </c>
      <c r="AC29" s="154">
        <f t="shared" si="72"/>
        <v>1098125</v>
      </c>
      <c r="AD29" s="154">
        <f t="shared" si="72"/>
        <v>1098125</v>
      </c>
      <c r="AE29" s="154">
        <f t="shared" si="72"/>
        <v>1098125</v>
      </c>
      <c r="AF29" s="154">
        <f t="shared" si="72"/>
        <v>1098125</v>
      </c>
      <c r="AG29" s="154">
        <f t="shared" si="72"/>
        <v>1098125</v>
      </c>
      <c r="AH29" s="154">
        <f t="shared" si="72"/>
        <v>1098125</v>
      </c>
      <c r="AI29" s="154">
        <f t="shared" si="72"/>
        <v>1098125</v>
      </c>
      <c r="AJ29" s="154">
        <f aca="true" t="shared" si="73" ref="AJ29:BL29">SUM(AJ24:AJ30)</f>
        <v>1098125</v>
      </c>
      <c r="AK29" s="154">
        <f t="shared" si="73"/>
        <v>1098125</v>
      </c>
      <c r="AL29" s="154">
        <f t="shared" si="73"/>
        <v>13177500</v>
      </c>
      <c r="AM29" s="154">
        <f t="shared" si="73"/>
        <v>1757000</v>
      </c>
      <c r="AN29" s="154">
        <f t="shared" si="73"/>
        <v>1757000</v>
      </c>
      <c r="AO29" s="154">
        <f t="shared" si="73"/>
        <v>1757000</v>
      </c>
      <c r="AP29" s="154">
        <f t="shared" si="73"/>
        <v>1757000</v>
      </c>
      <c r="AQ29" s="154">
        <f t="shared" si="73"/>
        <v>1757000</v>
      </c>
      <c r="AR29" s="154">
        <f t="shared" si="73"/>
        <v>1757000</v>
      </c>
      <c r="AS29" s="154">
        <f t="shared" si="73"/>
        <v>1757000</v>
      </c>
      <c r="AT29" s="154">
        <f t="shared" si="73"/>
        <v>1757000</v>
      </c>
      <c r="AU29" s="154">
        <f t="shared" si="73"/>
        <v>1757000</v>
      </c>
      <c r="AV29" s="154">
        <f t="shared" si="73"/>
        <v>1757000</v>
      </c>
      <c r="AW29" s="154">
        <f t="shared" si="73"/>
        <v>1757000</v>
      </c>
      <c r="AX29" s="154">
        <f t="shared" si="73"/>
        <v>1757000</v>
      </c>
      <c r="AY29" s="154">
        <f t="shared" si="73"/>
        <v>21084000</v>
      </c>
      <c r="AZ29" s="154">
        <f t="shared" si="73"/>
        <v>1757000</v>
      </c>
      <c r="BA29" s="154">
        <f t="shared" si="73"/>
        <v>1757000</v>
      </c>
      <c r="BB29" s="154">
        <f t="shared" si="73"/>
        <v>1757000</v>
      </c>
      <c r="BC29" s="154">
        <f t="shared" si="73"/>
        <v>1757000</v>
      </c>
      <c r="BD29" s="154">
        <f t="shared" si="73"/>
        <v>1757000</v>
      </c>
      <c r="BE29" s="154">
        <f t="shared" si="73"/>
        <v>1757000</v>
      </c>
      <c r="BF29" s="154">
        <f t="shared" si="73"/>
        <v>1757000</v>
      </c>
      <c r="BG29" s="154">
        <f t="shared" si="73"/>
        <v>1757000</v>
      </c>
      <c r="BH29" s="154">
        <f t="shared" si="73"/>
        <v>1757000</v>
      </c>
      <c r="BI29" s="154">
        <f t="shared" si="73"/>
        <v>1757000</v>
      </c>
      <c r="BJ29" s="154">
        <f t="shared" si="73"/>
        <v>1757000</v>
      </c>
      <c r="BK29" s="154">
        <f t="shared" si="73"/>
        <v>1757000</v>
      </c>
      <c r="BL29" s="154">
        <f t="shared" si="73"/>
        <v>21084000</v>
      </c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29"/>
      <c r="DR29" s="129"/>
      <c r="DS29" s="129"/>
      <c r="DT29" s="129"/>
      <c r="DU29" s="129"/>
      <c r="DV29" s="129"/>
      <c r="DW29" s="129"/>
      <c r="DX29" s="129"/>
      <c r="DY29" s="129"/>
      <c r="DZ29" s="129"/>
      <c r="EA29" s="129"/>
      <c r="EB29" s="129"/>
      <c r="EC29" s="129"/>
      <c r="ED29" s="129"/>
      <c r="EE29" s="129"/>
      <c r="EF29" s="129"/>
      <c r="EG29" s="129"/>
      <c r="EH29" s="129"/>
      <c r="EI29" s="129"/>
      <c r="EJ29" s="129"/>
      <c r="EK29" s="129"/>
      <c r="EL29" s="129"/>
      <c r="EM29" s="129"/>
      <c r="EN29" s="129"/>
      <c r="EO29" s="129"/>
      <c r="EP29" s="129"/>
      <c r="EQ29" s="129"/>
      <c r="ER29" s="129"/>
      <c r="ES29" s="129"/>
      <c r="ET29" s="129"/>
      <c r="EU29" s="129"/>
      <c r="EV29" s="129"/>
      <c r="EW29" s="129"/>
      <c r="EX29" s="129"/>
      <c r="EY29" s="129"/>
      <c r="EZ29" s="129"/>
      <c r="FA29" s="129"/>
      <c r="FB29" s="129"/>
      <c r="FC29" s="129"/>
      <c r="FD29" s="129"/>
      <c r="FE29" s="129"/>
      <c r="FF29" s="129"/>
      <c r="FG29" s="129"/>
      <c r="FH29" s="129"/>
      <c r="FI29" s="129"/>
      <c r="FJ29" s="129"/>
      <c r="FK29" s="129"/>
      <c r="FL29" s="129"/>
      <c r="FM29" s="129"/>
      <c r="FN29" s="129"/>
      <c r="FO29" s="129"/>
      <c r="FP29" s="129"/>
      <c r="FQ29" s="129"/>
      <c r="FR29" s="129"/>
      <c r="FS29" s="129"/>
      <c r="FT29" s="129"/>
      <c r="FU29" s="129"/>
      <c r="FV29" s="129"/>
      <c r="FW29" s="129"/>
      <c r="FX29" s="129"/>
      <c r="FY29" s="129"/>
      <c r="FZ29" s="129"/>
      <c r="GA29" s="129"/>
      <c r="GB29" s="129"/>
      <c r="GC29" s="129"/>
      <c r="GD29" s="129"/>
      <c r="GE29" s="129"/>
      <c r="GF29" s="129"/>
      <c r="GG29" s="129"/>
      <c r="GH29" s="129"/>
      <c r="GI29" s="129"/>
      <c r="GJ29" s="129"/>
      <c r="GK29" s="129"/>
      <c r="GL29" s="129"/>
      <c r="GM29" s="129"/>
      <c r="GN29" s="129"/>
      <c r="GO29" s="129"/>
      <c r="GP29" s="129"/>
      <c r="GQ29" s="129"/>
      <c r="GR29" s="129"/>
      <c r="GS29" s="129"/>
      <c r="GT29" s="129"/>
      <c r="GU29" s="129"/>
      <c r="GV29" s="129"/>
      <c r="GW29" s="129"/>
      <c r="GX29" s="129"/>
      <c r="GY29" s="129"/>
      <c r="GZ29" s="129"/>
      <c r="HA29" s="129"/>
      <c r="HB29" s="129"/>
      <c r="HC29" s="129"/>
      <c r="HD29" s="129"/>
      <c r="HE29" s="129"/>
      <c r="HF29" s="129"/>
      <c r="HG29" s="129"/>
      <c r="HH29" s="129"/>
      <c r="HI29" s="129"/>
      <c r="HJ29" s="129"/>
      <c r="HK29" s="129"/>
      <c r="HL29" s="129"/>
      <c r="HM29" s="129"/>
      <c r="HN29" s="129"/>
      <c r="HO29" s="129"/>
      <c r="HP29" s="129"/>
      <c r="HQ29" s="129"/>
      <c r="HR29" s="129"/>
      <c r="HS29" s="129"/>
      <c r="HT29" s="129"/>
      <c r="HU29" s="129"/>
      <c r="HV29" s="129"/>
      <c r="HW29" s="129"/>
      <c r="HX29" s="129"/>
      <c r="HY29" s="129"/>
      <c r="HZ29" s="129"/>
      <c r="IA29" s="129"/>
      <c r="IB29" s="129"/>
      <c r="IC29" s="129"/>
      <c r="ID29" s="129"/>
      <c r="IE29" s="129"/>
      <c r="IF29" s="129"/>
      <c r="IG29" s="129"/>
      <c r="IH29" s="129"/>
      <c r="II29" s="129"/>
      <c r="IJ29" s="129"/>
      <c r="IK29" s="129"/>
      <c r="IL29" s="129"/>
      <c r="IM29" s="129"/>
      <c r="IN29" s="129"/>
      <c r="IO29" s="129"/>
      <c r="IP29" s="129"/>
      <c r="IQ29" s="129"/>
      <c r="IR29" s="129"/>
      <c r="IS29" s="129"/>
      <c r="IT29" s="129"/>
      <c r="IU29" s="129"/>
      <c r="IV29" s="129"/>
    </row>
    <row r="30" spans="1:256" s="156" customFormat="1" ht="14.25">
      <c r="A30" s="144" t="str">
        <f>A7</f>
        <v>6.</v>
      </c>
      <c r="B30" s="134" t="str">
        <f>B7</f>
        <v>Магазин</v>
      </c>
      <c r="C30" s="36">
        <f>C17</f>
        <v>250.46</v>
      </c>
      <c r="D30" s="36">
        <f t="shared" si="48"/>
        <v>250.46</v>
      </c>
      <c r="E30" s="36">
        <f t="shared" si="48"/>
        <v>250.46</v>
      </c>
      <c r="F30" s="36">
        <f t="shared" si="48"/>
        <v>250.46</v>
      </c>
      <c r="G30" s="36">
        <f t="shared" si="48"/>
        <v>250.46</v>
      </c>
      <c r="H30" s="36">
        <f t="shared" si="48"/>
        <v>250.46</v>
      </c>
      <c r="I30" s="36">
        <f t="shared" si="48"/>
        <v>250.46</v>
      </c>
      <c r="J30" s="36">
        <f t="shared" si="49"/>
        <v>7012.88</v>
      </c>
      <c r="K30" s="36">
        <f t="shared" si="50"/>
        <v>5610.304</v>
      </c>
      <c r="L30" s="36">
        <f t="shared" si="51"/>
        <v>3506.44</v>
      </c>
      <c r="M30" s="134">
        <f t="shared" si="52"/>
        <v>3506.44</v>
      </c>
      <c r="N30" s="134">
        <f t="shared" si="53"/>
        <v>3506.44</v>
      </c>
      <c r="O30" s="134">
        <f t="shared" si="38"/>
        <v>3506.44</v>
      </c>
      <c r="P30" s="134">
        <f t="shared" si="54"/>
        <v>3506.44</v>
      </c>
      <c r="Q30" s="134">
        <f t="shared" si="54"/>
        <v>3506.44</v>
      </c>
      <c r="R30" s="134">
        <f t="shared" si="54"/>
        <v>3506.44</v>
      </c>
      <c r="S30" s="134">
        <f t="shared" si="54"/>
        <v>3506.44</v>
      </c>
      <c r="T30" s="134">
        <f t="shared" si="54"/>
        <v>3506.44</v>
      </c>
      <c r="U30" s="134">
        <f t="shared" si="54"/>
        <v>3506.44</v>
      </c>
      <c r="V30" s="134">
        <f t="shared" si="54"/>
        <v>3506.44</v>
      </c>
      <c r="W30" s="134">
        <f t="shared" si="54"/>
        <v>3506.44</v>
      </c>
      <c r="X30" s="134">
        <f t="shared" si="54"/>
        <v>3506.44</v>
      </c>
      <c r="Y30" s="134">
        <f>SUM(C30:X30)</f>
        <v>59960.12400000001</v>
      </c>
      <c r="Z30" s="134">
        <f t="shared" si="55"/>
        <v>3506.44</v>
      </c>
      <c r="AA30" s="134">
        <f t="shared" si="56"/>
        <v>3506.44</v>
      </c>
      <c r="AB30" s="134">
        <f t="shared" si="56"/>
        <v>3506.44</v>
      </c>
      <c r="AC30" s="134">
        <f aca="true" t="shared" si="74" ref="AC30:AK30">AB30</f>
        <v>3506.44</v>
      </c>
      <c r="AD30" s="134">
        <f t="shared" si="74"/>
        <v>3506.44</v>
      </c>
      <c r="AE30" s="134">
        <f t="shared" si="74"/>
        <v>3506.44</v>
      </c>
      <c r="AF30" s="134">
        <f t="shared" si="74"/>
        <v>3506.44</v>
      </c>
      <c r="AG30" s="134">
        <f t="shared" si="74"/>
        <v>3506.44</v>
      </c>
      <c r="AH30" s="134">
        <f t="shared" si="74"/>
        <v>3506.44</v>
      </c>
      <c r="AI30" s="134">
        <f t="shared" si="74"/>
        <v>3506.44</v>
      </c>
      <c r="AJ30" s="134">
        <f t="shared" si="74"/>
        <v>3506.44</v>
      </c>
      <c r="AK30" s="134">
        <f t="shared" si="74"/>
        <v>3506.44</v>
      </c>
      <c r="AL30" s="134">
        <f t="shared" si="41"/>
        <v>42077.28</v>
      </c>
      <c r="AM30" s="134">
        <f t="shared" si="58"/>
        <v>5610.304</v>
      </c>
      <c r="AN30" s="134">
        <f t="shared" si="59"/>
        <v>5610.304</v>
      </c>
      <c r="AO30" s="134">
        <f t="shared" si="42"/>
        <v>5610.304</v>
      </c>
      <c r="AP30" s="134">
        <f t="shared" si="60"/>
        <v>5610.304</v>
      </c>
      <c r="AQ30" s="134">
        <f t="shared" si="60"/>
        <v>5610.304</v>
      </c>
      <c r="AR30" s="134">
        <f t="shared" si="60"/>
        <v>5610.304</v>
      </c>
      <c r="AS30" s="134">
        <f t="shared" si="60"/>
        <v>5610.304</v>
      </c>
      <c r="AT30" s="134">
        <f t="shared" si="60"/>
        <v>5610.304</v>
      </c>
      <c r="AU30" s="134">
        <f t="shared" si="60"/>
        <v>5610.304</v>
      </c>
      <c r="AV30" s="134">
        <f t="shared" si="60"/>
        <v>5610.304</v>
      </c>
      <c r="AW30" s="134">
        <f t="shared" si="60"/>
        <v>5610.304</v>
      </c>
      <c r="AX30" s="134">
        <f t="shared" si="60"/>
        <v>5610.304</v>
      </c>
      <c r="AY30" s="134">
        <f t="shared" si="44"/>
        <v>67323.64800000002</v>
      </c>
      <c r="AZ30" s="134">
        <f t="shared" si="61"/>
        <v>5610.304</v>
      </c>
      <c r="BA30" s="134">
        <f t="shared" si="62"/>
        <v>5610.304</v>
      </c>
      <c r="BB30" s="134">
        <f t="shared" si="62"/>
        <v>5610.304</v>
      </c>
      <c r="BC30" s="134">
        <f aca="true" t="shared" si="75" ref="BC30:BK30">BB30</f>
        <v>5610.304</v>
      </c>
      <c r="BD30" s="134">
        <f t="shared" si="75"/>
        <v>5610.304</v>
      </c>
      <c r="BE30" s="134">
        <f t="shared" si="75"/>
        <v>5610.304</v>
      </c>
      <c r="BF30" s="134">
        <f t="shared" si="75"/>
        <v>5610.304</v>
      </c>
      <c r="BG30" s="134">
        <f t="shared" si="75"/>
        <v>5610.304</v>
      </c>
      <c r="BH30" s="134">
        <f t="shared" si="75"/>
        <v>5610.304</v>
      </c>
      <c r="BI30" s="134">
        <f t="shared" si="75"/>
        <v>5610.304</v>
      </c>
      <c r="BJ30" s="134">
        <f t="shared" si="75"/>
        <v>5610.304</v>
      </c>
      <c r="BK30" s="134">
        <f t="shared" si="75"/>
        <v>5610.304</v>
      </c>
      <c r="BL30" s="134">
        <f t="shared" si="46"/>
        <v>67323.64800000002</v>
      </c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  <c r="FU30" s="129"/>
      <c r="FV30" s="129"/>
      <c r="FW30" s="129"/>
      <c r="FX30" s="129"/>
      <c r="FY30" s="129"/>
      <c r="FZ30" s="129"/>
      <c r="GA30" s="129"/>
      <c r="GB30" s="129"/>
      <c r="GC30" s="129"/>
      <c r="GD30" s="129"/>
      <c r="GE30" s="129"/>
      <c r="GF30" s="129"/>
      <c r="GG30" s="129"/>
      <c r="GH30" s="129"/>
      <c r="GI30" s="129"/>
      <c r="GJ30" s="129"/>
      <c r="GK30" s="129"/>
      <c r="GL30" s="129"/>
      <c r="GM30" s="129"/>
      <c r="GN30" s="129"/>
      <c r="GO30" s="129"/>
      <c r="GP30" s="129"/>
      <c r="GQ30" s="129"/>
      <c r="GR30" s="129"/>
      <c r="GS30" s="129"/>
      <c r="GT30" s="129"/>
      <c r="GU30" s="129"/>
      <c r="GV30" s="129"/>
      <c r="GW30" s="129"/>
      <c r="GX30" s="129"/>
      <c r="GY30" s="129"/>
      <c r="GZ30" s="129"/>
      <c r="HA30" s="129"/>
      <c r="HB30" s="129"/>
      <c r="HC30" s="129"/>
      <c r="HD30" s="129"/>
      <c r="HE30" s="129"/>
      <c r="HF30" s="129"/>
      <c r="HG30" s="129"/>
      <c r="HH30" s="129"/>
      <c r="HI30" s="129"/>
      <c r="HJ30" s="129"/>
      <c r="HK30" s="129"/>
      <c r="HL30" s="129"/>
      <c r="HM30" s="129"/>
      <c r="HN30" s="129"/>
      <c r="HO30" s="129"/>
      <c r="HP30" s="129"/>
      <c r="HQ30" s="129"/>
      <c r="HR30" s="129"/>
      <c r="HS30" s="129"/>
      <c r="HT30" s="129"/>
      <c r="HU30" s="129"/>
      <c r="HV30" s="129"/>
      <c r="HW30" s="129"/>
      <c r="HX30" s="129"/>
      <c r="HY30" s="129"/>
      <c r="HZ30" s="129"/>
      <c r="IA30" s="129"/>
      <c r="IB30" s="129"/>
      <c r="IC30" s="129"/>
      <c r="ID30" s="129"/>
      <c r="IE30" s="129"/>
      <c r="IF30" s="129"/>
      <c r="IG30" s="129"/>
      <c r="IH30" s="129"/>
      <c r="II30" s="129"/>
      <c r="IJ30" s="129"/>
      <c r="IK30" s="129"/>
      <c r="IL30" s="129"/>
      <c r="IM30" s="129"/>
      <c r="IN30" s="129"/>
      <c r="IO30" s="129"/>
      <c r="IP30" s="129"/>
      <c r="IQ30" s="129"/>
      <c r="IR30" s="129"/>
      <c r="IS30" s="129"/>
      <c r="IT30" s="129"/>
      <c r="IU30" s="129"/>
      <c r="IV30" s="129"/>
    </row>
    <row r="31" ht="14.25">
      <c r="IV31" s="129"/>
    </row>
    <row r="32" spans="10:256" s="146" customFormat="1" ht="14.25">
      <c r="J32" s="157"/>
      <c r="K32" s="157"/>
      <c r="L32" s="157"/>
      <c r="IU32" s="129"/>
      <c r="IV32" s="129"/>
    </row>
    <row r="33" spans="1:256" s="146" customFormat="1" ht="28.5" customHeight="1">
      <c r="A33" s="372" t="s">
        <v>207</v>
      </c>
      <c r="B33" s="372"/>
      <c r="C33" s="372"/>
      <c r="D33" s="372"/>
      <c r="E33" s="372"/>
      <c r="F33" s="372"/>
      <c r="G33" s="372"/>
      <c r="H33" s="372"/>
      <c r="I33" s="372"/>
      <c r="J33" s="372"/>
      <c r="K33" s="373" t="s">
        <v>181</v>
      </c>
      <c r="L33" s="373"/>
      <c r="M33" s="159"/>
      <c r="N33" s="159"/>
      <c r="IU33" s="129"/>
      <c r="IV33" s="129"/>
    </row>
    <row r="34" spans="1:256" ht="26.25" customHeight="1">
      <c r="A34" s="369" t="s">
        <v>186</v>
      </c>
      <c r="B34" s="369" t="s">
        <v>187</v>
      </c>
      <c r="C34" s="373" t="s">
        <v>208</v>
      </c>
      <c r="D34" s="373"/>
      <c r="E34" s="373"/>
      <c r="F34" s="373"/>
      <c r="G34" s="373"/>
      <c r="H34" s="373"/>
      <c r="I34" s="373"/>
      <c r="J34" s="369" t="s">
        <v>209</v>
      </c>
      <c r="K34" s="371" t="s">
        <v>190</v>
      </c>
      <c r="L34" s="371" t="s">
        <v>191</v>
      </c>
      <c r="M34" s="369" t="s">
        <v>210</v>
      </c>
      <c r="N34" s="369"/>
      <c r="O34" s="369"/>
      <c r="P34" s="369"/>
      <c r="Q34" s="369"/>
      <c r="R34" s="369"/>
      <c r="S34" s="369"/>
      <c r="T34" s="369"/>
      <c r="U34" s="369"/>
      <c r="V34" s="369"/>
      <c r="W34" s="369"/>
      <c r="X34" s="369"/>
      <c r="Y34" s="369" t="s">
        <v>192</v>
      </c>
      <c r="Z34" s="369" t="s">
        <v>211</v>
      </c>
      <c r="AA34" s="369"/>
      <c r="AB34" s="369"/>
      <c r="AC34" s="369"/>
      <c r="AD34" s="369"/>
      <c r="AE34" s="369"/>
      <c r="AF34" s="369"/>
      <c r="AG34" s="369"/>
      <c r="AH34" s="369"/>
      <c r="AI34" s="369"/>
      <c r="AJ34" s="369"/>
      <c r="AK34" s="369"/>
      <c r="AL34" s="369" t="s">
        <v>192</v>
      </c>
      <c r="AM34" s="369" t="s">
        <v>212</v>
      </c>
      <c r="AN34" s="369"/>
      <c r="AO34" s="369"/>
      <c r="AP34" s="369"/>
      <c r="AQ34" s="369"/>
      <c r="AR34" s="369"/>
      <c r="AS34" s="369"/>
      <c r="AT34" s="369"/>
      <c r="AU34" s="369"/>
      <c r="AV34" s="369"/>
      <c r="AW34" s="369"/>
      <c r="AX34" s="369"/>
      <c r="AY34" s="369" t="s">
        <v>192</v>
      </c>
      <c r="AZ34" s="369" t="s">
        <v>213</v>
      </c>
      <c r="BA34" s="369"/>
      <c r="BB34" s="369"/>
      <c r="BC34" s="369"/>
      <c r="BD34" s="369"/>
      <c r="BE34" s="369"/>
      <c r="BF34" s="369"/>
      <c r="BG34" s="369"/>
      <c r="BH34" s="369"/>
      <c r="BI34" s="369"/>
      <c r="BJ34" s="369"/>
      <c r="BK34" s="369"/>
      <c r="BL34" s="369" t="s">
        <v>192</v>
      </c>
      <c r="IV34" s="129"/>
    </row>
    <row r="35" spans="1:256" ht="23.25" customHeight="1">
      <c r="A35" s="369"/>
      <c r="B35" s="369"/>
      <c r="C35" s="132" t="s">
        <v>193</v>
      </c>
      <c r="D35" s="151" t="s">
        <v>194</v>
      </c>
      <c r="E35" s="151" t="s">
        <v>195</v>
      </c>
      <c r="F35" s="151" t="s">
        <v>196</v>
      </c>
      <c r="G35" s="151" t="s">
        <v>197</v>
      </c>
      <c r="H35" s="151" t="s">
        <v>198</v>
      </c>
      <c r="I35" s="132" t="s">
        <v>199</v>
      </c>
      <c r="J35" s="369"/>
      <c r="K35" s="371"/>
      <c r="L35" s="371"/>
      <c r="M35" s="131" t="s">
        <v>109</v>
      </c>
      <c r="N35" s="131" t="s">
        <v>110</v>
      </c>
      <c r="O35" s="131" t="s">
        <v>111</v>
      </c>
      <c r="P35" s="131" t="s">
        <v>112</v>
      </c>
      <c r="Q35" s="131" t="s">
        <v>113</v>
      </c>
      <c r="R35" s="131" t="s">
        <v>114</v>
      </c>
      <c r="S35" s="131" t="s">
        <v>115</v>
      </c>
      <c r="T35" s="131" t="s">
        <v>116</v>
      </c>
      <c r="U35" s="131" t="s">
        <v>117</v>
      </c>
      <c r="V35" s="131" t="s">
        <v>118</v>
      </c>
      <c r="W35" s="131" t="s">
        <v>119</v>
      </c>
      <c r="X35" s="131" t="s">
        <v>120</v>
      </c>
      <c r="Y35" s="369"/>
      <c r="Z35" s="131" t="s">
        <v>109</v>
      </c>
      <c r="AA35" s="131" t="s">
        <v>110</v>
      </c>
      <c r="AB35" s="131" t="s">
        <v>111</v>
      </c>
      <c r="AC35" s="131" t="s">
        <v>112</v>
      </c>
      <c r="AD35" s="131" t="s">
        <v>113</v>
      </c>
      <c r="AE35" s="131" t="s">
        <v>114</v>
      </c>
      <c r="AF35" s="131" t="s">
        <v>115</v>
      </c>
      <c r="AG35" s="131" t="s">
        <v>116</v>
      </c>
      <c r="AH35" s="131" t="s">
        <v>117</v>
      </c>
      <c r="AI35" s="131" t="s">
        <v>118</v>
      </c>
      <c r="AJ35" s="131" t="s">
        <v>119</v>
      </c>
      <c r="AK35" s="131" t="s">
        <v>120</v>
      </c>
      <c r="AL35" s="369"/>
      <c r="AM35" s="131" t="s">
        <v>109</v>
      </c>
      <c r="AN35" s="131" t="s">
        <v>110</v>
      </c>
      <c r="AO35" s="131" t="s">
        <v>111</v>
      </c>
      <c r="AP35" s="131" t="s">
        <v>112</v>
      </c>
      <c r="AQ35" s="131" t="s">
        <v>113</v>
      </c>
      <c r="AR35" s="131" t="s">
        <v>114</v>
      </c>
      <c r="AS35" s="131" t="s">
        <v>115</v>
      </c>
      <c r="AT35" s="131" t="s">
        <v>116</v>
      </c>
      <c r="AU35" s="131" t="s">
        <v>117</v>
      </c>
      <c r="AV35" s="131" t="s">
        <v>118</v>
      </c>
      <c r="AW35" s="131" t="s">
        <v>119</v>
      </c>
      <c r="AX35" s="131" t="s">
        <v>120</v>
      </c>
      <c r="AY35" s="369"/>
      <c r="AZ35" s="131" t="s">
        <v>109</v>
      </c>
      <c r="BA35" s="131" t="s">
        <v>110</v>
      </c>
      <c r="BB35" s="131" t="s">
        <v>111</v>
      </c>
      <c r="BC35" s="131" t="s">
        <v>112</v>
      </c>
      <c r="BD35" s="131" t="s">
        <v>113</v>
      </c>
      <c r="BE35" s="131" t="s">
        <v>114</v>
      </c>
      <c r="BF35" s="131" t="s">
        <v>115</v>
      </c>
      <c r="BG35" s="131" t="s">
        <v>116</v>
      </c>
      <c r="BH35" s="131" t="s">
        <v>117</v>
      </c>
      <c r="BI35" s="131" t="s">
        <v>118</v>
      </c>
      <c r="BJ35" s="131" t="s">
        <v>119</v>
      </c>
      <c r="BK35" s="131" t="s">
        <v>120</v>
      </c>
      <c r="BL35" s="369"/>
      <c r="IV35" s="129"/>
    </row>
    <row r="36" spans="1:256" s="156" customFormat="1" ht="14.25">
      <c r="A36" s="134" t="str">
        <f aca="true" t="shared" si="76" ref="A36:B40">A24</f>
        <v>1.</v>
      </c>
      <c r="B36" s="134" t="str">
        <f t="shared" si="76"/>
        <v>Пропан - бутановая смесь (СУГ)</v>
      </c>
      <c r="C36" s="134">
        <f>C24*Прейскурант!D12</f>
        <v>35314.86000000001</v>
      </c>
      <c r="D36" s="134">
        <f>D24*Прейскурант!D12</f>
        <v>35314.86000000001</v>
      </c>
      <c r="E36" s="134">
        <f>E24*Прейскурант!D12</f>
        <v>35314.86000000001</v>
      </c>
      <c r="F36" s="134">
        <f>F24*Прейскурант!D12</f>
        <v>35314.86000000001</v>
      </c>
      <c r="G36" s="134">
        <f>G24*Прейскурант!D12</f>
        <v>35314.86000000001</v>
      </c>
      <c r="H36" s="134">
        <f>H24*Прейскурант!D12</f>
        <v>35314.86000000001</v>
      </c>
      <c r="I36" s="134">
        <f>I24*Прейскурант!D12</f>
        <v>35314.86000000001</v>
      </c>
      <c r="J36" s="36">
        <f aca="true" t="shared" si="77" ref="J36:J41">SUM(C36:I36)*4</f>
        <v>988816.0800000003</v>
      </c>
      <c r="K36" s="36">
        <f aca="true" t="shared" si="78" ref="K36:K41">J36*0.8</f>
        <v>791052.8640000003</v>
      </c>
      <c r="L36" s="36">
        <f aca="true" t="shared" si="79" ref="L36:L41">J36*0.5</f>
        <v>494408.04000000015</v>
      </c>
      <c r="M36" s="134">
        <f aca="true" t="shared" si="80" ref="M36:M41">L36</f>
        <v>494408.04000000015</v>
      </c>
      <c r="N36" s="134">
        <f aca="true" t="shared" si="81" ref="N36:X41">L36</f>
        <v>494408.04000000015</v>
      </c>
      <c r="O36" s="134">
        <f t="shared" si="81"/>
        <v>494408.04000000015</v>
      </c>
      <c r="P36" s="134">
        <f t="shared" si="81"/>
        <v>494408.04000000015</v>
      </c>
      <c r="Q36" s="134">
        <f t="shared" si="81"/>
        <v>494408.04000000015</v>
      </c>
      <c r="R36" s="134">
        <f t="shared" si="81"/>
        <v>494408.04000000015</v>
      </c>
      <c r="S36" s="134">
        <f t="shared" si="81"/>
        <v>494408.04000000015</v>
      </c>
      <c r="T36" s="134">
        <f t="shared" si="81"/>
        <v>494408.04000000015</v>
      </c>
      <c r="U36" s="134">
        <f t="shared" si="81"/>
        <v>494408.04000000015</v>
      </c>
      <c r="V36" s="134">
        <f t="shared" si="81"/>
        <v>494408.04000000015</v>
      </c>
      <c r="W36" s="134">
        <f t="shared" si="81"/>
        <v>494408.04000000015</v>
      </c>
      <c r="X36" s="134">
        <f t="shared" si="81"/>
        <v>494408.04000000015</v>
      </c>
      <c r="Y36" s="152">
        <f aca="true" t="shared" si="82" ref="Y36:Y41">SUM(M36:X36)</f>
        <v>5932896.480000001</v>
      </c>
      <c r="Z36" s="134">
        <f aca="true" t="shared" si="83" ref="Z36:Z41">L36</f>
        <v>494408.04000000015</v>
      </c>
      <c r="AA36" s="134">
        <f aca="true" t="shared" si="84" ref="AA36:AK36">Z36</f>
        <v>494408.04000000015</v>
      </c>
      <c r="AB36" s="134">
        <f t="shared" si="84"/>
        <v>494408.04000000015</v>
      </c>
      <c r="AC36" s="134">
        <f t="shared" si="84"/>
        <v>494408.04000000015</v>
      </c>
      <c r="AD36" s="134">
        <f t="shared" si="84"/>
        <v>494408.04000000015</v>
      </c>
      <c r="AE36" s="134">
        <f t="shared" si="84"/>
        <v>494408.04000000015</v>
      </c>
      <c r="AF36" s="134">
        <f t="shared" si="84"/>
        <v>494408.04000000015</v>
      </c>
      <c r="AG36" s="134">
        <f t="shared" si="84"/>
        <v>494408.04000000015</v>
      </c>
      <c r="AH36" s="134">
        <f t="shared" si="84"/>
        <v>494408.04000000015</v>
      </c>
      <c r="AI36" s="134">
        <f t="shared" si="84"/>
        <v>494408.04000000015</v>
      </c>
      <c r="AJ36" s="134">
        <f t="shared" si="84"/>
        <v>494408.04000000015</v>
      </c>
      <c r="AK36" s="134">
        <f t="shared" si="84"/>
        <v>494408.04000000015</v>
      </c>
      <c r="AL36" s="152">
        <f aca="true" t="shared" si="85" ref="AL36:AL41">SUM(Z36:AK36)</f>
        <v>5932896.480000001</v>
      </c>
      <c r="AM36" s="134">
        <f aca="true" t="shared" si="86" ref="AM36:AM41">K36</f>
        <v>791052.8640000003</v>
      </c>
      <c r="AN36" s="134">
        <f aca="true" t="shared" si="87" ref="AN36:AX36">AM36</f>
        <v>791052.8640000003</v>
      </c>
      <c r="AO36" s="134">
        <f t="shared" si="87"/>
        <v>791052.8640000003</v>
      </c>
      <c r="AP36" s="134">
        <f t="shared" si="87"/>
        <v>791052.8640000003</v>
      </c>
      <c r="AQ36" s="134">
        <f t="shared" si="87"/>
        <v>791052.8640000003</v>
      </c>
      <c r="AR36" s="134">
        <f t="shared" si="87"/>
        <v>791052.8640000003</v>
      </c>
      <c r="AS36" s="134">
        <f t="shared" si="87"/>
        <v>791052.8640000003</v>
      </c>
      <c r="AT36" s="134">
        <f t="shared" si="87"/>
        <v>791052.8640000003</v>
      </c>
      <c r="AU36" s="134">
        <f t="shared" si="87"/>
        <v>791052.8640000003</v>
      </c>
      <c r="AV36" s="134">
        <f t="shared" si="87"/>
        <v>791052.8640000003</v>
      </c>
      <c r="AW36" s="134">
        <f t="shared" si="87"/>
        <v>791052.8640000003</v>
      </c>
      <c r="AX36" s="134">
        <f t="shared" si="87"/>
        <v>791052.8640000003</v>
      </c>
      <c r="AY36" s="152">
        <f aca="true" t="shared" si="88" ref="AY36:AY41">SUM(AM36:AX36)</f>
        <v>9492634.368000003</v>
      </c>
      <c r="AZ36" s="134">
        <f aca="true" t="shared" si="89" ref="AZ36:AZ41">K36</f>
        <v>791052.8640000003</v>
      </c>
      <c r="BA36" s="134">
        <f aca="true" t="shared" si="90" ref="BA36:BK36">AZ36</f>
        <v>791052.8640000003</v>
      </c>
      <c r="BB36" s="134">
        <f t="shared" si="90"/>
        <v>791052.8640000003</v>
      </c>
      <c r="BC36" s="134">
        <f t="shared" si="90"/>
        <v>791052.8640000003</v>
      </c>
      <c r="BD36" s="134">
        <f t="shared" si="90"/>
        <v>791052.8640000003</v>
      </c>
      <c r="BE36" s="134">
        <f t="shared" si="90"/>
        <v>791052.8640000003</v>
      </c>
      <c r="BF36" s="134">
        <f t="shared" si="90"/>
        <v>791052.8640000003</v>
      </c>
      <c r="BG36" s="134">
        <f t="shared" si="90"/>
        <v>791052.8640000003</v>
      </c>
      <c r="BH36" s="134">
        <f t="shared" si="90"/>
        <v>791052.8640000003</v>
      </c>
      <c r="BI36" s="134">
        <f t="shared" si="90"/>
        <v>791052.8640000003</v>
      </c>
      <c r="BJ36" s="134">
        <f t="shared" si="90"/>
        <v>791052.8640000003</v>
      </c>
      <c r="BK36" s="134">
        <f t="shared" si="90"/>
        <v>791052.8640000003</v>
      </c>
      <c r="BL36" s="152">
        <f aca="true" t="shared" si="91" ref="BL36:BL41">SUM(AZ36:BK36)</f>
        <v>9492634.368000003</v>
      </c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  <c r="DO36" s="129"/>
      <c r="DP36" s="129"/>
      <c r="DQ36" s="129"/>
      <c r="DR36" s="129"/>
      <c r="DS36" s="129"/>
      <c r="DT36" s="129"/>
      <c r="DU36" s="129"/>
      <c r="DV36" s="129"/>
      <c r="DW36" s="129"/>
      <c r="DX36" s="129"/>
      <c r="DY36" s="129"/>
      <c r="DZ36" s="129"/>
      <c r="EA36" s="129"/>
      <c r="EB36" s="129"/>
      <c r="EC36" s="129"/>
      <c r="ED36" s="129"/>
      <c r="EE36" s="129"/>
      <c r="EF36" s="129"/>
      <c r="EG36" s="129"/>
      <c r="EH36" s="129"/>
      <c r="EI36" s="129"/>
      <c r="EJ36" s="129"/>
      <c r="EK36" s="129"/>
      <c r="EL36" s="129"/>
      <c r="EM36" s="129"/>
      <c r="EN36" s="129"/>
      <c r="EO36" s="129"/>
      <c r="EP36" s="129"/>
      <c r="EQ36" s="129"/>
      <c r="ER36" s="129"/>
      <c r="ES36" s="129"/>
      <c r="ET36" s="129"/>
      <c r="EU36" s="129"/>
      <c r="EV36" s="129"/>
      <c r="EW36" s="129"/>
      <c r="EX36" s="129"/>
      <c r="EY36" s="129"/>
      <c r="EZ36" s="129"/>
      <c r="FA36" s="129"/>
      <c r="FB36" s="129"/>
      <c r="FC36" s="129"/>
      <c r="FD36" s="129"/>
      <c r="FE36" s="129"/>
      <c r="FF36" s="129"/>
      <c r="FG36" s="129"/>
      <c r="FH36" s="129"/>
      <c r="FI36" s="129"/>
      <c r="FJ36" s="129"/>
      <c r="FK36" s="129"/>
      <c r="FL36" s="129"/>
      <c r="FM36" s="129"/>
      <c r="FN36" s="129"/>
      <c r="FO36" s="129"/>
      <c r="FP36" s="129"/>
      <c r="FQ36" s="129"/>
      <c r="FR36" s="129"/>
      <c r="FS36" s="129"/>
      <c r="FT36" s="129"/>
      <c r="FU36" s="129"/>
      <c r="FV36" s="129"/>
      <c r="FW36" s="129"/>
      <c r="FX36" s="129"/>
      <c r="FY36" s="129"/>
      <c r="FZ36" s="129"/>
      <c r="GA36" s="129"/>
      <c r="GB36" s="129"/>
      <c r="GC36" s="129"/>
      <c r="GD36" s="129"/>
      <c r="GE36" s="129"/>
      <c r="GF36" s="129"/>
      <c r="GG36" s="129"/>
      <c r="GH36" s="129"/>
      <c r="GI36" s="129"/>
      <c r="GJ36" s="129"/>
      <c r="GK36" s="129"/>
      <c r="GL36" s="129"/>
      <c r="GM36" s="129"/>
      <c r="GN36" s="129"/>
      <c r="GO36" s="129"/>
      <c r="GP36" s="129"/>
      <c r="GQ36" s="129"/>
      <c r="GR36" s="129"/>
      <c r="GS36" s="129"/>
      <c r="GT36" s="129"/>
      <c r="GU36" s="129"/>
      <c r="GV36" s="129"/>
      <c r="GW36" s="129"/>
      <c r="GX36" s="129"/>
      <c r="GY36" s="129"/>
      <c r="GZ36" s="129"/>
      <c r="HA36" s="129"/>
      <c r="HB36" s="129"/>
      <c r="HC36" s="129"/>
      <c r="HD36" s="129"/>
      <c r="HE36" s="129"/>
      <c r="HF36" s="129"/>
      <c r="HG36" s="129"/>
      <c r="HH36" s="129"/>
      <c r="HI36" s="129"/>
      <c r="HJ36" s="129"/>
      <c r="HK36" s="129"/>
      <c r="HL36" s="129"/>
      <c r="HM36" s="129"/>
      <c r="HN36" s="129"/>
      <c r="HO36" s="129"/>
      <c r="HP36" s="129"/>
      <c r="HQ36" s="129"/>
      <c r="HR36" s="129"/>
      <c r="HS36" s="129"/>
      <c r="HT36" s="129"/>
      <c r="HU36" s="129"/>
      <c r="HV36" s="129"/>
      <c r="HW36" s="129"/>
      <c r="HX36" s="129"/>
      <c r="HY36" s="129"/>
      <c r="HZ36" s="129"/>
      <c r="IA36" s="129"/>
      <c r="IB36" s="129"/>
      <c r="IC36" s="129"/>
      <c r="ID36" s="129"/>
      <c r="IE36" s="129"/>
      <c r="IF36" s="129"/>
      <c r="IG36" s="129"/>
      <c r="IH36" s="129"/>
      <c r="II36" s="129"/>
      <c r="IJ36" s="129"/>
      <c r="IK36" s="129"/>
      <c r="IL36" s="129"/>
      <c r="IM36" s="129"/>
      <c r="IN36" s="129"/>
      <c r="IO36" s="129"/>
      <c r="IP36" s="129"/>
      <c r="IQ36" s="129"/>
      <c r="IR36" s="129"/>
      <c r="IS36" s="129"/>
      <c r="IT36" s="129"/>
      <c r="IU36" s="129"/>
      <c r="IV36" s="129"/>
    </row>
    <row r="37" spans="1:256" s="156" customFormat="1" ht="14.25">
      <c r="A37" s="313" t="str">
        <f t="shared" si="76"/>
        <v>2.</v>
      </c>
      <c r="B37" s="144" t="str">
        <f t="shared" si="76"/>
        <v>АИ 98</v>
      </c>
      <c r="C37" s="144">
        <f>C25*Прейскурант!D13</f>
        <v>138066.075</v>
      </c>
      <c r="D37" s="144">
        <f>D25*Прейскурант!D13</f>
        <v>138066.075</v>
      </c>
      <c r="E37" s="144">
        <f>E25*Прейскурант!D13</f>
        <v>138066.075</v>
      </c>
      <c r="F37" s="144">
        <f>F25*Прейскурант!D13</f>
        <v>138066.075</v>
      </c>
      <c r="G37" s="144">
        <f>G25*Прейскурант!D13</f>
        <v>138066.075</v>
      </c>
      <c r="H37" s="144">
        <f>H25*Прейскурант!D13</f>
        <v>138066.075</v>
      </c>
      <c r="I37" s="144">
        <f>I25*Прейскурант!D13</f>
        <v>138066.075</v>
      </c>
      <c r="J37" s="153">
        <f t="shared" si="77"/>
        <v>3865850.0999999996</v>
      </c>
      <c r="K37" s="153">
        <f t="shared" si="78"/>
        <v>3092680.08</v>
      </c>
      <c r="L37" s="153">
        <f t="shared" si="79"/>
        <v>1932925.0499999998</v>
      </c>
      <c r="M37" s="144">
        <f t="shared" si="80"/>
        <v>1932925.0499999998</v>
      </c>
      <c r="N37" s="144">
        <f t="shared" si="81"/>
        <v>1932925.0499999998</v>
      </c>
      <c r="O37" s="144">
        <f t="shared" si="81"/>
        <v>1932925.0499999998</v>
      </c>
      <c r="P37" s="144">
        <f t="shared" si="81"/>
        <v>1932925.0499999998</v>
      </c>
      <c r="Q37" s="144">
        <f t="shared" si="81"/>
        <v>1932925.0499999998</v>
      </c>
      <c r="R37" s="144">
        <f t="shared" si="81"/>
        <v>1932925.0499999998</v>
      </c>
      <c r="S37" s="144">
        <f t="shared" si="81"/>
        <v>1932925.0499999998</v>
      </c>
      <c r="T37" s="144">
        <f t="shared" si="81"/>
        <v>1932925.0499999998</v>
      </c>
      <c r="U37" s="144">
        <f t="shared" si="81"/>
        <v>1932925.0499999998</v>
      </c>
      <c r="V37" s="144">
        <f t="shared" si="81"/>
        <v>1932925.0499999998</v>
      </c>
      <c r="W37" s="144">
        <f t="shared" si="81"/>
        <v>1932925.0499999998</v>
      </c>
      <c r="X37" s="144">
        <f t="shared" si="81"/>
        <v>1932925.0499999998</v>
      </c>
      <c r="Y37" s="150">
        <f t="shared" si="82"/>
        <v>23195100.600000005</v>
      </c>
      <c r="Z37" s="144">
        <f t="shared" si="83"/>
        <v>1932925.0499999998</v>
      </c>
      <c r="AA37" s="144">
        <f aca="true" t="shared" si="92" ref="AA37:AK37">Z37</f>
        <v>1932925.0499999998</v>
      </c>
      <c r="AB37" s="144">
        <f t="shared" si="92"/>
        <v>1932925.0499999998</v>
      </c>
      <c r="AC37" s="144">
        <f t="shared" si="92"/>
        <v>1932925.0499999998</v>
      </c>
      <c r="AD37" s="144">
        <f t="shared" si="92"/>
        <v>1932925.0499999998</v>
      </c>
      <c r="AE37" s="144">
        <f t="shared" si="92"/>
        <v>1932925.0499999998</v>
      </c>
      <c r="AF37" s="144">
        <f t="shared" si="92"/>
        <v>1932925.0499999998</v>
      </c>
      <c r="AG37" s="144">
        <f t="shared" si="92"/>
        <v>1932925.0499999998</v>
      </c>
      <c r="AH37" s="144">
        <f t="shared" si="92"/>
        <v>1932925.0499999998</v>
      </c>
      <c r="AI37" s="144">
        <f t="shared" si="92"/>
        <v>1932925.0499999998</v>
      </c>
      <c r="AJ37" s="144">
        <f t="shared" si="92"/>
        <v>1932925.0499999998</v>
      </c>
      <c r="AK37" s="144">
        <f t="shared" si="92"/>
        <v>1932925.0499999998</v>
      </c>
      <c r="AL37" s="150">
        <f t="shared" si="85"/>
        <v>23195100.600000005</v>
      </c>
      <c r="AM37" s="144">
        <f t="shared" si="86"/>
        <v>3092680.08</v>
      </c>
      <c r="AN37" s="144">
        <f>AM37</f>
        <v>3092680.08</v>
      </c>
      <c r="AO37" s="144">
        <f aca="true" t="shared" si="93" ref="AO37:AX41">AM37</f>
        <v>3092680.08</v>
      </c>
      <c r="AP37" s="144">
        <f t="shared" si="93"/>
        <v>3092680.08</v>
      </c>
      <c r="AQ37" s="144">
        <f t="shared" si="93"/>
        <v>3092680.08</v>
      </c>
      <c r="AR37" s="144">
        <f t="shared" si="93"/>
        <v>3092680.08</v>
      </c>
      <c r="AS37" s="144">
        <f t="shared" si="93"/>
        <v>3092680.08</v>
      </c>
      <c r="AT37" s="144">
        <f t="shared" si="93"/>
        <v>3092680.08</v>
      </c>
      <c r="AU37" s="144">
        <f t="shared" si="93"/>
        <v>3092680.08</v>
      </c>
      <c r="AV37" s="144">
        <f t="shared" si="93"/>
        <v>3092680.08</v>
      </c>
      <c r="AW37" s="144">
        <f t="shared" si="93"/>
        <v>3092680.08</v>
      </c>
      <c r="AX37" s="144">
        <f t="shared" si="93"/>
        <v>3092680.08</v>
      </c>
      <c r="AY37" s="150">
        <f t="shared" si="88"/>
        <v>37112160.95999999</v>
      </c>
      <c r="AZ37" s="144">
        <f t="shared" si="89"/>
        <v>3092680.08</v>
      </c>
      <c r="BA37" s="144">
        <f aca="true" t="shared" si="94" ref="BA37:BK37">AZ37</f>
        <v>3092680.08</v>
      </c>
      <c r="BB37" s="144">
        <f t="shared" si="94"/>
        <v>3092680.08</v>
      </c>
      <c r="BC37" s="144">
        <f t="shared" si="94"/>
        <v>3092680.08</v>
      </c>
      <c r="BD37" s="144">
        <f t="shared" si="94"/>
        <v>3092680.08</v>
      </c>
      <c r="BE37" s="144">
        <f t="shared" si="94"/>
        <v>3092680.08</v>
      </c>
      <c r="BF37" s="144">
        <f t="shared" si="94"/>
        <v>3092680.08</v>
      </c>
      <c r="BG37" s="144">
        <f t="shared" si="94"/>
        <v>3092680.08</v>
      </c>
      <c r="BH37" s="144">
        <f t="shared" si="94"/>
        <v>3092680.08</v>
      </c>
      <c r="BI37" s="144">
        <f t="shared" si="94"/>
        <v>3092680.08</v>
      </c>
      <c r="BJ37" s="144">
        <f t="shared" si="94"/>
        <v>3092680.08</v>
      </c>
      <c r="BK37" s="144">
        <f t="shared" si="94"/>
        <v>3092680.08</v>
      </c>
      <c r="BL37" s="150">
        <f t="shared" si="91"/>
        <v>37112160.95999999</v>
      </c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29"/>
      <c r="DF37" s="129"/>
      <c r="DG37" s="129"/>
      <c r="DH37" s="129"/>
      <c r="DI37" s="129"/>
      <c r="DJ37" s="129"/>
      <c r="DK37" s="129"/>
      <c r="DL37" s="129"/>
      <c r="DM37" s="129"/>
      <c r="DN37" s="129"/>
      <c r="DO37" s="129"/>
      <c r="DP37" s="129"/>
      <c r="DQ37" s="129"/>
      <c r="DR37" s="129"/>
      <c r="DS37" s="129"/>
      <c r="DT37" s="129"/>
      <c r="DU37" s="129"/>
      <c r="DV37" s="129"/>
      <c r="DW37" s="129"/>
      <c r="DX37" s="129"/>
      <c r="DY37" s="129"/>
      <c r="DZ37" s="129"/>
      <c r="EA37" s="129"/>
      <c r="EB37" s="129"/>
      <c r="EC37" s="129"/>
      <c r="ED37" s="129"/>
      <c r="EE37" s="129"/>
      <c r="EF37" s="129"/>
      <c r="EG37" s="129"/>
      <c r="EH37" s="129"/>
      <c r="EI37" s="129"/>
      <c r="EJ37" s="129"/>
      <c r="EK37" s="129"/>
      <c r="EL37" s="129"/>
      <c r="EM37" s="129"/>
      <c r="EN37" s="129"/>
      <c r="EO37" s="129"/>
      <c r="EP37" s="129"/>
      <c r="EQ37" s="129"/>
      <c r="ER37" s="129"/>
      <c r="ES37" s="129"/>
      <c r="ET37" s="129"/>
      <c r="EU37" s="129"/>
      <c r="EV37" s="129"/>
      <c r="EW37" s="129"/>
      <c r="EX37" s="129"/>
      <c r="EY37" s="129"/>
      <c r="EZ37" s="129"/>
      <c r="FA37" s="129"/>
      <c r="FB37" s="129"/>
      <c r="FC37" s="129"/>
      <c r="FD37" s="129"/>
      <c r="FE37" s="129"/>
      <c r="FF37" s="129"/>
      <c r="FG37" s="129"/>
      <c r="FH37" s="129"/>
      <c r="FI37" s="129"/>
      <c r="FJ37" s="129"/>
      <c r="FK37" s="129"/>
      <c r="FL37" s="129"/>
      <c r="FM37" s="129"/>
      <c r="FN37" s="129"/>
      <c r="FO37" s="129"/>
      <c r="FP37" s="129"/>
      <c r="FQ37" s="129"/>
      <c r="FR37" s="129"/>
      <c r="FS37" s="129"/>
      <c r="FT37" s="129"/>
      <c r="FU37" s="129"/>
      <c r="FV37" s="129"/>
      <c r="FW37" s="129"/>
      <c r="FX37" s="129"/>
      <c r="FY37" s="129"/>
      <c r="FZ37" s="129"/>
      <c r="GA37" s="129"/>
      <c r="GB37" s="129"/>
      <c r="GC37" s="129"/>
      <c r="GD37" s="129"/>
      <c r="GE37" s="129"/>
      <c r="GF37" s="129"/>
      <c r="GG37" s="129"/>
      <c r="GH37" s="129"/>
      <c r="GI37" s="129"/>
      <c r="GJ37" s="129"/>
      <c r="GK37" s="129"/>
      <c r="GL37" s="129"/>
      <c r="GM37" s="129"/>
      <c r="GN37" s="129"/>
      <c r="GO37" s="129"/>
      <c r="GP37" s="129"/>
      <c r="GQ37" s="129"/>
      <c r="GR37" s="129"/>
      <c r="GS37" s="129"/>
      <c r="GT37" s="129"/>
      <c r="GU37" s="129"/>
      <c r="GV37" s="129"/>
      <c r="GW37" s="129"/>
      <c r="GX37" s="129"/>
      <c r="GY37" s="129"/>
      <c r="GZ37" s="129"/>
      <c r="HA37" s="129"/>
      <c r="HB37" s="129"/>
      <c r="HC37" s="129"/>
      <c r="HD37" s="129"/>
      <c r="HE37" s="129"/>
      <c r="HF37" s="129"/>
      <c r="HG37" s="129"/>
      <c r="HH37" s="129"/>
      <c r="HI37" s="129"/>
      <c r="HJ37" s="129"/>
      <c r="HK37" s="129"/>
      <c r="HL37" s="129"/>
      <c r="HM37" s="129"/>
      <c r="HN37" s="129"/>
      <c r="HO37" s="129"/>
      <c r="HP37" s="129"/>
      <c r="HQ37" s="129"/>
      <c r="HR37" s="129"/>
      <c r="HS37" s="129"/>
      <c r="HT37" s="129"/>
      <c r="HU37" s="129"/>
      <c r="HV37" s="129"/>
      <c r="HW37" s="129"/>
      <c r="HX37" s="129"/>
      <c r="HY37" s="129"/>
      <c r="HZ37" s="129"/>
      <c r="IA37" s="129"/>
      <c r="IB37" s="129"/>
      <c r="IC37" s="129"/>
      <c r="ID37" s="129"/>
      <c r="IE37" s="129"/>
      <c r="IF37" s="129"/>
      <c r="IG37" s="129"/>
      <c r="IH37" s="129"/>
      <c r="II37" s="129"/>
      <c r="IJ37" s="129"/>
      <c r="IK37" s="129"/>
      <c r="IL37" s="129"/>
      <c r="IM37" s="129"/>
      <c r="IN37" s="129"/>
      <c r="IO37" s="129"/>
      <c r="IP37" s="129"/>
      <c r="IQ37" s="129"/>
      <c r="IR37" s="129"/>
      <c r="IS37" s="129"/>
      <c r="IT37" s="129"/>
      <c r="IU37" s="129"/>
      <c r="IV37" s="129"/>
    </row>
    <row r="38" spans="1:256" s="156" customFormat="1" ht="14.25">
      <c r="A38" s="144" t="str">
        <f t="shared" si="76"/>
        <v>3.</v>
      </c>
      <c r="B38" s="144" t="str">
        <f t="shared" si="76"/>
        <v>АИ 95</v>
      </c>
      <c r="C38" s="144">
        <f>C26*Прейскурант!D14</f>
        <v>136657.23750000002</v>
      </c>
      <c r="D38" s="144">
        <f>D26*Прейскурант!D14</f>
        <v>136657.23750000002</v>
      </c>
      <c r="E38" s="144">
        <f>E26*Прейскурант!D14</f>
        <v>136657.23750000002</v>
      </c>
      <c r="F38" s="144">
        <f>F26*Прейскурант!D14</f>
        <v>136657.23750000002</v>
      </c>
      <c r="G38" s="144">
        <f>G26*Прейскурант!D14</f>
        <v>136657.23750000002</v>
      </c>
      <c r="H38" s="144">
        <f>H26*Прейскурант!D14</f>
        <v>136657.23750000002</v>
      </c>
      <c r="I38" s="144">
        <f>I26*Прейскурант!D14</f>
        <v>136657.23750000002</v>
      </c>
      <c r="J38" s="153">
        <f t="shared" si="77"/>
        <v>3826402.650000001</v>
      </c>
      <c r="K38" s="153">
        <f t="shared" si="78"/>
        <v>3061122.120000001</v>
      </c>
      <c r="L38" s="153">
        <f t="shared" si="79"/>
        <v>1913201.3250000004</v>
      </c>
      <c r="M38" s="144">
        <f t="shared" si="80"/>
        <v>1913201.3250000004</v>
      </c>
      <c r="N38" s="144">
        <f t="shared" si="81"/>
        <v>1913201.3250000004</v>
      </c>
      <c r="O38" s="144">
        <f t="shared" si="81"/>
        <v>1913201.3250000004</v>
      </c>
      <c r="P38" s="144">
        <f t="shared" si="81"/>
        <v>1913201.3250000004</v>
      </c>
      <c r="Q38" s="144">
        <f t="shared" si="81"/>
        <v>1913201.3250000004</v>
      </c>
      <c r="R38" s="144">
        <f t="shared" si="81"/>
        <v>1913201.3250000004</v>
      </c>
      <c r="S38" s="144">
        <f t="shared" si="81"/>
        <v>1913201.3250000004</v>
      </c>
      <c r="T38" s="144">
        <f t="shared" si="81"/>
        <v>1913201.3250000004</v>
      </c>
      <c r="U38" s="144">
        <f t="shared" si="81"/>
        <v>1913201.3250000004</v>
      </c>
      <c r="V38" s="144">
        <f t="shared" si="81"/>
        <v>1913201.3250000004</v>
      </c>
      <c r="W38" s="144">
        <f t="shared" si="81"/>
        <v>1913201.3250000004</v>
      </c>
      <c r="X38" s="144">
        <f t="shared" si="81"/>
        <v>1913201.3250000004</v>
      </c>
      <c r="Y38" s="150">
        <f t="shared" si="82"/>
        <v>22958415.900000002</v>
      </c>
      <c r="Z38" s="144">
        <f t="shared" si="83"/>
        <v>1913201.3250000004</v>
      </c>
      <c r="AA38" s="144">
        <f aca="true" t="shared" si="95" ref="AA38:AK38">Z38</f>
        <v>1913201.3250000004</v>
      </c>
      <c r="AB38" s="144">
        <f t="shared" si="95"/>
        <v>1913201.3250000004</v>
      </c>
      <c r="AC38" s="144">
        <f t="shared" si="95"/>
        <v>1913201.3250000004</v>
      </c>
      <c r="AD38" s="144">
        <f t="shared" si="95"/>
        <v>1913201.3250000004</v>
      </c>
      <c r="AE38" s="144">
        <f t="shared" si="95"/>
        <v>1913201.3250000004</v>
      </c>
      <c r="AF38" s="144">
        <f t="shared" si="95"/>
        <v>1913201.3250000004</v>
      </c>
      <c r="AG38" s="144">
        <f t="shared" si="95"/>
        <v>1913201.3250000004</v>
      </c>
      <c r="AH38" s="144">
        <f t="shared" si="95"/>
        <v>1913201.3250000004</v>
      </c>
      <c r="AI38" s="144">
        <f t="shared" si="95"/>
        <v>1913201.3250000004</v>
      </c>
      <c r="AJ38" s="144">
        <f t="shared" si="95"/>
        <v>1913201.3250000004</v>
      </c>
      <c r="AK38" s="144">
        <f t="shared" si="95"/>
        <v>1913201.3250000004</v>
      </c>
      <c r="AL38" s="150">
        <f t="shared" si="85"/>
        <v>22958415.900000002</v>
      </c>
      <c r="AM38" s="144">
        <f t="shared" si="86"/>
        <v>3061122.120000001</v>
      </c>
      <c r="AN38" s="144">
        <f>AM38</f>
        <v>3061122.120000001</v>
      </c>
      <c r="AO38" s="144">
        <f t="shared" si="93"/>
        <v>3061122.120000001</v>
      </c>
      <c r="AP38" s="144">
        <f t="shared" si="93"/>
        <v>3061122.120000001</v>
      </c>
      <c r="AQ38" s="144">
        <f t="shared" si="93"/>
        <v>3061122.120000001</v>
      </c>
      <c r="AR38" s="144">
        <f t="shared" si="93"/>
        <v>3061122.120000001</v>
      </c>
      <c r="AS38" s="144">
        <f t="shared" si="93"/>
        <v>3061122.120000001</v>
      </c>
      <c r="AT38" s="144">
        <f t="shared" si="93"/>
        <v>3061122.120000001</v>
      </c>
      <c r="AU38" s="144">
        <f t="shared" si="93"/>
        <v>3061122.120000001</v>
      </c>
      <c r="AV38" s="144">
        <f t="shared" si="93"/>
        <v>3061122.120000001</v>
      </c>
      <c r="AW38" s="144">
        <f t="shared" si="93"/>
        <v>3061122.120000001</v>
      </c>
      <c r="AX38" s="144">
        <f t="shared" si="93"/>
        <v>3061122.120000001</v>
      </c>
      <c r="AY38" s="150">
        <f t="shared" si="88"/>
        <v>36733465.44000001</v>
      </c>
      <c r="AZ38" s="144">
        <f t="shared" si="89"/>
        <v>3061122.120000001</v>
      </c>
      <c r="BA38" s="144">
        <f aca="true" t="shared" si="96" ref="BA38:BK38">AZ38</f>
        <v>3061122.120000001</v>
      </c>
      <c r="BB38" s="144">
        <f t="shared" si="96"/>
        <v>3061122.120000001</v>
      </c>
      <c r="BC38" s="144">
        <f t="shared" si="96"/>
        <v>3061122.120000001</v>
      </c>
      <c r="BD38" s="144">
        <f t="shared" si="96"/>
        <v>3061122.120000001</v>
      </c>
      <c r="BE38" s="144">
        <f t="shared" si="96"/>
        <v>3061122.120000001</v>
      </c>
      <c r="BF38" s="144">
        <f t="shared" si="96"/>
        <v>3061122.120000001</v>
      </c>
      <c r="BG38" s="144">
        <f t="shared" si="96"/>
        <v>3061122.120000001</v>
      </c>
      <c r="BH38" s="144">
        <f t="shared" si="96"/>
        <v>3061122.120000001</v>
      </c>
      <c r="BI38" s="144">
        <f t="shared" si="96"/>
        <v>3061122.120000001</v>
      </c>
      <c r="BJ38" s="144">
        <f t="shared" si="96"/>
        <v>3061122.120000001</v>
      </c>
      <c r="BK38" s="144">
        <f t="shared" si="96"/>
        <v>3061122.120000001</v>
      </c>
      <c r="BL38" s="150">
        <f t="shared" si="91"/>
        <v>36733465.44000001</v>
      </c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29"/>
      <c r="DF38" s="129"/>
      <c r="DG38" s="129"/>
      <c r="DH38" s="129"/>
      <c r="DI38" s="129"/>
      <c r="DJ38" s="129"/>
      <c r="DK38" s="129"/>
      <c r="DL38" s="129"/>
      <c r="DM38" s="129"/>
      <c r="DN38" s="129"/>
      <c r="DO38" s="129"/>
      <c r="DP38" s="129"/>
      <c r="DQ38" s="129"/>
      <c r="DR38" s="129"/>
      <c r="DS38" s="129"/>
      <c r="DT38" s="129"/>
      <c r="DU38" s="129"/>
      <c r="DV38" s="129"/>
      <c r="DW38" s="129"/>
      <c r="DX38" s="129"/>
      <c r="DY38" s="129"/>
      <c r="DZ38" s="129"/>
      <c r="EA38" s="129"/>
      <c r="EB38" s="129"/>
      <c r="EC38" s="129"/>
      <c r="ED38" s="129"/>
      <c r="EE38" s="129"/>
      <c r="EF38" s="129"/>
      <c r="EG38" s="129"/>
      <c r="EH38" s="129"/>
      <c r="EI38" s="129"/>
      <c r="EJ38" s="129"/>
      <c r="EK38" s="129"/>
      <c r="EL38" s="129"/>
      <c r="EM38" s="129"/>
      <c r="EN38" s="129"/>
      <c r="EO38" s="129"/>
      <c r="EP38" s="129"/>
      <c r="EQ38" s="129"/>
      <c r="ER38" s="129"/>
      <c r="ES38" s="129"/>
      <c r="ET38" s="129"/>
      <c r="EU38" s="129"/>
      <c r="EV38" s="129"/>
      <c r="EW38" s="129"/>
      <c r="EX38" s="129"/>
      <c r="EY38" s="129"/>
      <c r="EZ38" s="129"/>
      <c r="FA38" s="129"/>
      <c r="FB38" s="129"/>
      <c r="FC38" s="129"/>
      <c r="FD38" s="129"/>
      <c r="FE38" s="129"/>
      <c r="FF38" s="129"/>
      <c r="FG38" s="129"/>
      <c r="FH38" s="129"/>
      <c r="FI38" s="129"/>
      <c r="FJ38" s="129"/>
      <c r="FK38" s="129"/>
      <c r="FL38" s="129"/>
      <c r="FM38" s="129"/>
      <c r="FN38" s="129"/>
      <c r="FO38" s="129"/>
      <c r="FP38" s="129"/>
      <c r="FQ38" s="129"/>
      <c r="FR38" s="129"/>
      <c r="FS38" s="129"/>
      <c r="FT38" s="129"/>
      <c r="FU38" s="129"/>
      <c r="FV38" s="129"/>
      <c r="FW38" s="129"/>
      <c r="FX38" s="129"/>
      <c r="FY38" s="129"/>
      <c r="FZ38" s="129"/>
      <c r="GA38" s="129"/>
      <c r="GB38" s="129"/>
      <c r="GC38" s="129"/>
      <c r="GD38" s="129"/>
      <c r="GE38" s="129"/>
      <c r="GF38" s="129"/>
      <c r="GG38" s="129"/>
      <c r="GH38" s="129"/>
      <c r="GI38" s="129"/>
      <c r="GJ38" s="129"/>
      <c r="GK38" s="129"/>
      <c r="GL38" s="129"/>
      <c r="GM38" s="129"/>
      <c r="GN38" s="129"/>
      <c r="GO38" s="129"/>
      <c r="GP38" s="129"/>
      <c r="GQ38" s="129"/>
      <c r="GR38" s="129"/>
      <c r="GS38" s="129"/>
      <c r="GT38" s="129"/>
      <c r="GU38" s="129"/>
      <c r="GV38" s="129"/>
      <c r="GW38" s="129"/>
      <c r="GX38" s="129"/>
      <c r="GY38" s="129"/>
      <c r="GZ38" s="129"/>
      <c r="HA38" s="129"/>
      <c r="HB38" s="129"/>
      <c r="HC38" s="129"/>
      <c r="HD38" s="129"/>
      <c r="HE38" s="129"/>
      <c r="HF38" s="129"/>
      <c r="HG38" s="129"/>
      <c r="HH38" s="129"/>
      <c r="HI38" s="129"/>
      <c r="HJ38" s="129"/>
      <c r="HK38" s="129"/>
      <c r="HL38" s="129"/>
      <c r="HM38" s="129"/>
      <c r="HN38" s="129"/>
      <c r="HO38" s="129"/>
      <c r="HP38" s="129"/>
      <c r="HQ38" s="129"/>
      <c r="HR38" s="129"/>
      <c r="HS38" s="129"/>
      <c r="HT38" s="129"/>
      <c r="HU38" s="129"/>
      <c r="HV38" s="129"/>
      <c r="HW38" s="129"/>
      <c r="HX38" s="129"/>
      <c r="HY38" s="129"/>
      <c r="HZ38" s="129"/>
      <c r="IA38" s="129"/>
      <c r="IB38" s="129"/>
      <c r="IC38" s="129"/>
      <c r="ID38" s="129"/>
      <c r="IE38" s="129"/>
      <c r="IF38" s="129"/>
      <c r="IG38" s="129"/>
      <c r="IH38" s="129"/>
      <c r="II38" s="129"/>
      <c r="IJ38" s="129"/>
      <c r="IK38" s="129"/>
      <c r="IL38" s="129"/>
      <c r="IM38" s="129"/>
      <c r="IN38" s="129"/>
      <c r="IO38" s="129"/>
      <c r="IP38" s="129"/>
      <c r="IQ38" s="129"/>
      <c r="IR38" s="129"/>
      <c r="IS38" s="129"/>
      <c r="IT38" s="129"/>
      <c r="IU38" s="129"/>
      <c r="IV38" s="129"/>
    </row>
    <row r="39" spans="1:256" s="156" customFormat="1" ht="14.25">
      <c r="A39" s="144" t="str">
        <f t="shared" si="76"/>
        <v>4.</v>
      </c>
      <c r="B39" s="144" t="str">
        <f t="shared" si="76"/>
        <v>АИ-92</v>
      </c>
      <c r="C39" s="144">
        <f>C27*Прейскурант!D15</f>
        <v>115524.675</v>
      </c>
      <c r="D39" s="144">
        <f>D27*Прейскурант!D15</f>
        <v>115524.675</v>
      </c>
      <c r="E39" s="144">
        <f>E27*Прейскурант!D15</f>
        <v>115524.675</v>
      </c>
      <c r="F39" s="144">
        <f>F27*Прейскурант!D15</f>
        <v>115524.675</v>
      </c>
      <c r="G39" s="144">
        <f>G27*Прейскурант!D15</f>
        <v>115524.675</v>
      </c>
      <c r="H39" s="144">
        <f>H27*Прейскурант!D15</f>
        <v>115524.675</v>
      </c>
      <c r="I39" s="144">
        <f>I27*Прейскурант!D15</f>
        <v>115524.675</v>
      </c>
      <c r="J39" s="153">
        <f t="shared" si="77"/>
        <v>3234690.9000000004</v>
      </c>
      <c r="K39" s="153">
        <f t="shared" si="78"/>
        <v>2587752.7200000007</v>
      </c>
      <c r="L39" s="153">
        <f t="shared" si="79"/>
        <v>1617345.4500000002</v>
      </c>
      <c r="M39" s="144">
        <f t="shared" si="80"/>
        <v>1617345.4500000002</v>
      </c>
      <c r="N39" s="144">
        <f t="shared" si="81"/>
        <v>1617345.4500000002</v>
      </c>
      <c r="O39" s="144">
        <f t="shared" si="81"/>
        <v>1617345.4500000002</v>
      </c>
      <c r="P39" s="144">
        <f t="shared" si="81"/>
        <v>1617345.4500000002</v>
      </c>
      <c r="Q39" s="144">
        <f t="shared" si="81"/>
        <v>1617345.4500000002</v>
      </c>
      <c r="R39" s="144">
        <f t="shared" si="81"/>
        <v>1617345.4500000002</v>
      </c>
      <c r="S39" s="144">
        <f t="shared" si="81"/>
        <v>1617345.4500000002</v>
      </c>
      <c r="T39" s="144">
        <f t="shared" si="81"/>
        <v>1617345.4500000002</v>
      </c>
      <c r="U39" s="144">
        <f t="shared" si="81"/>
        <v>1617345.4500000002</v>
      </c>
      <c r="V39" s="144">
        <f t="shared" si="81"/>
        <v>1617345.4500000002</v>
      </c>
      <c r="W39" s="144">
        <f t="shared" si="81"/>
        <v>1617345.4500000002</v>
      </c>
      <c r="X39" s="144">
        <f t="shared" si="81"/>
        <v>1617345.4500000002</v>
      </c>
      <c r="Y39" s="150">
        <f t="shared" si="82"/>
        <v>19408145.4</v>
      </c>
      <c r="Z39" s="144">
        <f t="shared" si="83"/>
        <v>1617345.4500000002</v>
      </c>
      <c r="AA39" s="144">
        <f aca="true" t="shared" si="97" ref="AA39:AK39">Z39</f>
        <v>1617345.4500000002</v>
      </c>
      <c r="AB39" s="144">
        <f t="shared" si="97"/>
        <v>1617345.4500000002</v>
      </c>
      <c r="AC39" s="144">
        <f t="shared" si="97"/>
        <v>1617345.4500000002</v>
      </c>
      <c r="AD39" s="144">
        <f t="shared" si="97"/>
        <v>1617345.4500000002</v>
      </c>
      <c r="AE39" s="144">
        <f t="shared" si="97"/>
        <v>1617345.4500000002</v>
      </c>
      <c r="AF39" s="144">
        <f t="shared" si="97"/>
        <v>1617345.4500000002</v>
      </c>
      <c r="AG39" s="144">
        <f t="shared" si="97"/>
        <v>1617345.4500000002</v>
      </c>
      <c r="AH39" s="144">
        <f t="shared" si="97"/>
        <v>1617345.4500000002</v>
      </c>
      <c r="AI39" s="144">
        <f t="shared" si="97"/>
        <v>1617345.4500000002</v>
      </c>
      <c r="AJ39" s="144">
        <f t="shared" si="97"/>
        <v>1617345.4500000002</v>
      </c>
      <c r="AK39" s="144">
        <f t="shared" si="97"/>
        <v>1617345.4500000002</v>
      </c>
      <c r="AL39" s="150">
        <f t="shared" si="85"/>
        <v>19408145.4</v>
      </c>
      <c r="AM39" s="144">
        <f t="shared" si="86"/>
        <v>2587752.7200000007</v>
      </c>
      <c r="AN39" s="144">
        <f>AM39</f>
        <v>2587752.7200000007</v>
      </c>
      <c r="AO39" s="144">
        <f t="shared" si="93"/>
        <v>2587752.7200000007</v>
      </c>
      <c r="AP39" s="144">
        <f t="shared" si="93"/>
        <v>2587752.7200000007</v>
      </c>
      <c r="AQ39" s="144">
        <f t="shared" si="93"/>
        <v>2587752.7200000007</v>
      </c>
      <c r="AR39" s="144">
        <f t="shared" si="93"/>
        <v>2587752.7200000007</v>
      </c>
      <c r="AS39" s="144">
        <f t="shared" si="93"/>
        <v>2587752.7200000007</v>
      </c>
      <c r="AT39" s="144">
        <f t="shared" si="93"/>
        <v>2587752.7200000007</v>
      </c>
      <c r="AU39" s="144">
        <f t="shared" si="93"/>
        <v>2587752.7200000007</v>
      </c>
      <c r="AV39" s="144">
        <f t="shared" si="93"/>
        <v>2587752.7200000007</v>
      </c>
      <c r="AW39" s="144">
        <f t="shared" si="93"/>
        <v>2587752.7200000007</v>
      </c>
      <c r="AX39" s="144">
        <f t="shared" si="93"/>
        <v>2587752.7200000007</v>
      </c>
      <c r="AY39" s="150">
        <f t="shared" si="88"/>
        <v>31053032.64</v>
      </c>
      <c r="AZ39" s="144">
        <f t="shared" si="89"/>
        <v>2587752.7200000007</v>
      </c>
      <c r="BA39" s="144">
        <f aca="true" t="shared" si="98" ref="BA39:BK39">AZ39</f>
        <v>2587752.7200000007</v>
      </c>
      <c r="BB39" s="144">
        <f t="shared" si="98"/>
        <v>2587752.7200000007</v>
      </c>
      <c r="BC39" s="144">
        <f t="shared" si="98"/>
        <v>2587752.7200000007</v>
      </c>
      <c r="BD39" s="144">
        <f t="shared" si="98"/>
        <v>2587752.7200000007</v>
      </c>
      <c r="BE39" s="144">
        <f t="shared" si="98"/>
        <v>2587752.7200000007</v>
      </c>
      <c r="BF39" s="144">
        <f t="shared" si="98"/>
        <v>2587752.7200000007</v>
      </c>
      <c r="BG39" s="144">
        <f t="shared" si="98"/>
        <v>2587752.7200000007</v>
      </c>
      <c r="BH39" s="144">
        <f t="shared" si="98"/>
        <v>2587752.7200000007</v>
      </c>
      <c r="BI39" s="144">
        <f t="shared" si="98"/>
        <v>2587752.7200000007</v>
      </c>
      <c r="BJ39" s="144">
        <f t="shared" si="98"/>
        <v>2587752.7200000007</v>
      </c>
      <c r="BK39" s="144">
        <f t="shared" si="98"/>
        <v>2587752.7200000007</v>
      </c>
      <c r="BL39" s="150">
        <f t="shared" si="91"/>
        <v>31053032.64</v>
      </c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29"/>
      <c r="DE39" s="129"/>
      <c r="DF39" s="129"/>
      <c r="DG39" s="129"/>
      <c r="DH39" s="129"/>
      <c r="DI39" s="129"/>
      <c r="DJ39" s="129"/>
      <c r="DK39" s="129"/>
      <c r="DL39" s="129"/>
      <c r="DM39" s="129"/>
      <c r="DN39" s="129"/>
      <c r="DO39" s="129"/>
      <c r="DP39" s="129"/>
      <c r="DQ39" s="129"/>
      <c r="DR39" s="129"/>
      <c r="DS39" s="129"/>
      <c r="DT39" s="129"/>
      <c r="DU39" s="129"/>
      <c r="DV39" s="129"/>
      <c r="DW39" s="129"/>
      <c r="DX39" s="129"/>
      <c r="DY39" s="129"/>
      <c r="DZ39" s="129"/>
      <c r="EA39" s="129"/>
      <c r="EB39" s="129"/>
      <c r="EC39" s="129"/>
      <c r="ED39" s="129"/>
      <c r="EE39" s="129"/>
      <c r="EF39" s="129"/>
      <c r="EG39" s="129"/>
      <c r="EH39" s="129"/>
      <c r="EI39" s="129"/>
      <c r="EJ39" s="129"/>
      <c r="EK39" s="129"/>
      <c r="EL39" s="129"/>
      <c r="EM39" s="129"/>
      <c r="EN39" s="129"/>
      <c r="EO39" s="129"/>
      <c r="EP39" s="129"/>
      <c r="EQ39" s="129"/>
      <c r="ER39" s="129"/>
      <c r="ES39" s="129"/>
      <c r="ET39" s="129"/>
      <c r="EU39" s="129"/>
      <c r="EV39" s="129"/>
      <c r="EW39" s="129"/>
      <c r="EX39" s="129"/>
      <c r="EY39" s="129"/>
      <c r="EZ39" s="129"/>
      <c r="FA39" s="129"/>
      <c r="FB39" s="129"/>
      <c r="FC39" s="129"/>
      <c r="FD39" s="129"/>
      <c r="FE39" s="129"/>
      <c r="FF39" s="129"/>
      <c r="FG39" s="129"/>
      <c r="FH39" s="129"/>
      <c r="FI39" s="129"/>
      <c r="FJ39" s="129"/>
      <c r="FK39" s="129"/>
      <c r="FL39" s="129"/>
      <c r="FM39" s="129"/>
      <c r="FN39" s="129"/>
      <c r="FO39" s="129"/>
      <c r="FP39" s="129"/>
      <c r="FQ39" s="129"/>
      <c r="FR39" s="129"/>
      <c r="FS39" s="129"/>
      <c r="FT39" s="129"/>
      <c r="FU39" s="129"/>
      <c r="FV39" s="129"/>
      <c r="FW39" s="129"/>
      <c r="FX39" s="129"/>
      <c r="FY39" s="129"/>
      <c r="FZ39" s="129"/>
      <c r="GA39" s="129"/>
      <c r="GB39" s="129"/>
      <c r="GC39" s="129"/>
      <c r="GD39" s="129"/>
      <c r="GE39" s="129"/>
      <c r="GF39" s="129"/>
      <c r="GG39" s="129"/>
      <c r="GH39" s="129"/>
      <c r="GI39" s="129"/>
      <c r="GJ39" s="129"/>
      <c r="GK39" s="129"/>
      <c r="GL39" s="129"/>
      <c r="GM39" s="129"/>
      <c r="GN39" s="129"/>
      <c r="GO39" s="129"/>
      <c r="GP39" s="129"/>
      <c r="GQ39" s="129"/>
      <c r="GR39" s="129"/>
      <c r="GS39" s="129"/>
      <c r="GT39" s="129"/>
      <c r="GU39" s="129"/>
      <c r="GV39" s="129"/>
      <c r="GW39" s="129"/>
      <c r="GX39" s="129"/>
      <c r="GY39" s="129"/>
      <c r="GZ39" s="129"/>
      <c r="HA39" s="129"/>
      <c r="HB39" s="129"/>
      <c r="HC39" s="129"/>
      <c r="HD39" s="129"/>
      <c r="HE39" s="129"/>
      <c r="HF39" s="129"/>
      <c r="HG39" s="129"/>
      <c r="HH39" s="129"/>
      <c r="HI39" s="129"/>
      <c r="HJ39" s="129"/>
      <c r="HK39" s="129"/>
      <c r="HL39" s="129"/>
      <c r="HM39" s="129"/>
      <c r="HN39" s="129"/>
      <c r="HO39" s="129"/>
      <c r="HP39" s="129"/>
      <c r="HQ39" s="129"/>
      <c r="HR39" s="129"/>
      <c r="HS39" s="129"/>
      <c r="HT39" s="129"/>
      <c r="HU39" s="129"/>
      <c r="HV39" s="129"/>
      <c r="HW39" s="129"/>
      <c r="HX39" s="129"/>
      <c r="HY39" s="129"/>
      <c r="HZ39" s="129"/>
      <c r="IA39" s="129"/>
      <c r="IB39" s="129"/>
      <c r="IC39" s="129"/>
      <c r="ID39" s="129"/>
      <c r="IE39" s="129"/>
      <c r="IF39" s="129"/>
      <c r="IG39" s="129"/>
      <c r="IH39" s="129"/>
      <c r="II39" s="129"/>
      <c r="IJ39" s="129"/>
      <c r="IK39" s="129"/>
      <c r="IL39" s="129"/>
      <c r="IM39" s="129"/>
      <c r="IN39" s="129"/>
      <c r="IO39" s="129"/>
      <c r="IP39" s="129"/>
      <c r="IQ39" s="129"/>
      <c r="IR39" s="129"/>
      <c r="IS39" s="129"/>
      <c r="IT39" s="129"/>
      <c r="IU39" s="129"/>
      <c r="IV39" s="129"/>
    </row>
    <row r="40" spans="1:256" s="156" customFormat="1" ht="14.25">
      <c r="A40" s="144" t="str">
        <f t="shared" si="76"/>
        <v>5.</v>
      </c>
      <c r="B40" s="144" t="str">
        <f t="shared" si="76"/>
        <v>ДТ</v>
      </c>
      <c r="C40" s="144">
        <f>C28*Прейскурант!D16</f>
        <v>811490.4000000001</v>
      </c>
      <c r="D40" s="144">
        <f>D28*Прейскурант!D16</f>
        <v>811490.4000000001</v>
      </c>
      <c r="E40" s="144">
        <f>E28*Прейскурант!D16</f>
        <v>811490.4000000001</v>
      </c>
      <c r="F40" s="144">
        <f>F28*Прейскурант!D16</f>
        <v>811490.4000000001</v>
      </c>
      <c r="G40" s="144">
        <f>G28*Прейскурант!D16</f>
        <v>811490.4000000001</v>
      </c>
      <c r="H40" s="144">
        <f>H28*Прейскурант!D16</f>
        <v>811490.4000000001</v>
      </c>
      <c r="I40" s="144">
        <f>I28*Прейскурант!D16</f>
        <v>811490.4000000001</v>
      </c>
      <c r="J40" s="153">
        <f t="shared" si="77"/>
        <v>22721731.200000007</v>
      </c>
      <c r="K40" s="153">
        <f t="shared" si="78"/>
        <v>18177384.960000005</v>
      </c>
      <c r="L40" s="153">
        <f t="shared" si="79"/>
        <v>11360865.600000003</v>
      </c>
      <c r="M40" s="144">
        <f t="shared" si="80"/>
        <v>11360865.600000003</v>
      </c>
      <c r="N40" s="144">
        <f t="shared" si="81"/>
        <v>11360865.600000003</v>
      </c>
      <c r="O40" s="144">
        <f t="shared" si="81"/>
        <v>11360865.600000003</v>
      </c>
      <c r="P40" s="144">
        <f t="shared" si="81"/>
        <v>11360865.600000003</v>
      </c>
      <c r="Q40" s="144">
        <f t="shared" si="81"/>
        <v>11360865.600000003</v>
      </c>
      <c r="R40" s="144">
        <f t="shared" si="81"/>
        <v>11360865.600000003</v>
      </c>
      <c r="S40" s="144">
        <f t="shared" si="81"/>
        <v>11360865.600000003</v>
      </c>
      <c r="T40" s="144">
        <f t="shared" si="81"/>
        <v>11360865.600000003</v>
      </c>
      <c r="U40" s="144">
        <f t="shared" si="81"/>
        <v>11360865.600000003</v>
      </c>
      <c r="V40" s="144">
        <f t="shared" si="81"/>
        <v>11360865.600000003</v>
      </c>
      <c r="W40" s="144">
        <f t="shared" si="81"/>
        <v>11360865.600000003</v>
      </c>
      <c r="X40" s="144">
        <f t="shared" si="81"/>
        <v>11360865.600000003</v>
      </c>
      <c r="Y40" s="150">
        <f t="shared" si="82"/>
        <v>136330387.20000008</v>
      </c>
      <c r="Z40" s="144">
        <f t="shared" si="83"/>
        <v>11360865.600000003</v>
      </c>
      <c r="AA40" s="144">
        <f aca="true" t="shared" si="99" ref="AA40:AK40">Z40</f>
        <v>11360865.600000003</v>
      </c>
      <c r="AB40" s="144">
        <f t="shared" si="99"/>
        <v>11360865.600000003</v>
      </c>
      <c r="AC40" s="144">
        <f t="shared" si="99"/>
        <v>11360865.600000003</v>
      </c>
      <c r="AD40" s="144">
        <f t="shared" si="99"/>
        <v>11360865.600000003</v>
      </c>
      <c r="AE40" s="144">
        <f t="shared" si="99"/>
        <v>11360865.600000003</v>
      </c>
      <c r="AF40" s="144">
        <f t="shared" si="99"/>
        <v>11360865.600000003</v>
      </c>
      <c r="AG40" s="144">
        <f t="shared" si="99"/>
        <v>11360865.600000003</v>
      </c>
      <c r="AH40" s="144">
        <f t="shared" si="99"/>
        <v>11360865.600000003</v>
      </c>
      <c r="AI40" s="144">
        <f t="shared" si="99"/>
        <v>11360865.600000003</v>
      </c>
      <c r="AJ40" s="144">
        <f t="shared" si="99"/>
        <v>11360865.600000003</v>
      </c>
      <c r="AK40" s="144">
        <f t="shared" si="99"/>
        <v>11360865.600000003</v>
      </c>
      <c r="AL40" s="150">
        <f t="shared" si="85"/>
        <v>136330387.20000008</v>
      </c>
      <c r="AM40" s="144">
        <f t="shared" si="86"/>
        <v>18177384.960000005</v>
      </c>
      <c r="AN40" s="144">
        <f>AM40</f>
        <v>18177384.960000005</v>
      </c>
      <c r="AO40" s="144">
        <f t="shared" si="93"/>
        <v>18177384.960000005</v>
      </c>
      <c r="AP40" s="144">
        <f t="shared" si="93"/>
        <v>18177384.960000005</v>
      </c>
      <c r="AQ40" s="144">
        <f t="shared" si="93"/>
        <v>18177384.960000005</v>
      </c>
      <c r="AR40" s="144">
        <f t="shared" si="93"/>
        <v>18177384.960000005</v>
      </c>
      <c r="AS40" s="144">
        <f t="shared" si="93"/>
        <v>18177384.960000005</v>
      </c>
      <c r="AT40" s="144">
        <f t="shared" si="93"/>
        <v>18177384.960000005</v>
      </c>
      <c r="AU40" s="144">
        <f t="shared" si="93"/>
        <v>18177384.960000005</v>
      </c>
      <c r="AV40" s="144">
        <f t="shared" si="93"/>
        <v>18177384.960000005</v>
      </c>
      <c r="AW40" s="144">
        <f t="shared" si="93"/>
        <v>18177384.960000005</v>
      </c>
      <c r="AX40" s="144">
        <f t="shared" si="93"/>
        <v>18177384.960000005</v>
      </c>
      <c r="AY40" s="150">
        <f t="shared" si="88"/>
        <v>218128619.52000007</v>
      </c>
      <c r="AZ40" s="144">
        <f t="shared" si="89"/>
        <v>18177384.960000005</v>
      </c>
      <c r="BA40" s="144">
        <f aca="true" t="shared" si="100" ref="BA40:BK40">AZ40</f>
        <v>18177384.960000005</v>
      </c>
      <c r="BB40" s="144">
        <f t="shared" si="100"/>
        <v>18177384.960000005</v>
      </c>
      <c r="BC40" s="144">
        <f t="shared" si="100"/>
        <v>18177384.960000005</v>
      </c>
      <c r="BD40" s="144">
        <f t="shared" si="100"/>
        <v>18177384.960000005</v>
      </c>
      <c r="BE40" s="144">
        <f t="shared" si="100"/>
        <v>18177384.960000005</v>
      </c>
      <c r="BF40" s="144">
        <f t="shared" si="100"/>
        <v>18177384.960000005</v>
      </c>
      <c r="BG40" s="144">
        <f t="shared" si="100"/>
        <v>18177384.960000005</v>
      </c>
      <c r="BH40" s="144">
        <f t="shared" si="100"/>
        <v>18177384.960000005</v>
      </c>
      <c r="BI40" s="144">
        <f t="shared" si="100"/>
        <v>18177384.960000005</v>
      </c>
      <c r="BJ40" s="144">
        <f t="shared" si="100"/>
        <v>18177384.960000005</v>
      </c>
      <c r="BK40" s="144">
        <f t="shared" si="100"/>
        <v>18177384.960000005</v>
      </c>
      <c r="BL40" s="150">
        <f t="shared" si="91"/>
        <v>218128619.52000007</v>
      </c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29"/>
      <c r="DF40" s="129"/>
      <c r="DG40" s="129"/>
      <c r="DH40" s="129"/>
      <c r="DI40" s="129"/>
      <c r="DJ40" s="129"/>
      <c r="DK40" s="129"/>
      <c r="DL40" s="129"/>
      <c r="DM40" s="129"/>
      <c r="DN40" s="129"/>
      <c r="DO40" s="129"/>
      <c r="DP40" s="129"/>
      <c r="DQ40" s="129"/>
      <c r="DR40" s="129"/>
      <c r="DS40" s="129"/>
      <c r="DT40" s="129"/>
      <c r="DU40" s="129"/>
      <c r="DV40" s="129"/>
      <c r="DW40" s="129"/>
      <c r="DX40" s="129"/>
      <c r="DY40" s="129"/>
      <c r="DZ40" s="129"/>
      <c r="EA40" s="129"/>
      <c r="EB40" s="129"/>
      <c r="EC40" s="129"/>
      <c r="ED40" s="129"/>
      <c r="EE40" s="129"/>
      <c r="EF40" s="129"/>
      <c r="EG40" s="129"/>
      <c r="EH40" s="129"/>
      <c r="EI40" s="129"/>
      <c r="EJ40" s="129"/>
      <c r="EK40" s="129"/>
      <c r="EL40" s="129"/>
      <c r="EM40" s="129"/>
      <c r="EN40" s="129"/>
      <c r="EO40" s="129"/>
      <c r="EP40" s="129"/>
      <c r="EQ40" s="129"/>
      <c r="ER40" s="129"/>
      <c r="ES40" s="129"/>
      <c r="ET40" s="129"/>
      <c r="EU40" s="129"/>
      <c r="EV40" s="129"/>
      <c r="EW40" s="129"/>
      <c r="EX40" s="129"/>
      <c r="EY40" s="129"/>
      <c r="EZ40" s="129"/>
      <c r="FA40" s="129"/>
      <c r="FB40" s="129"/>
      <c r="FC40" s="129"/>
      <c r="FD40" s="129"/>
      <c r="FE40" s="129"/>
      <c r="FF40" s="129"/>
      <c r="FG40" s="129"/>
      <c r="FH40" s="129"/>
      <c r="FI40" s="129"/>
      <c r="FJ40" s="129"/>
      <c r="FK40" s="129"/>
      <c r="FL40" s="129"/>
      <c r="FM40" s="129"/>
      <c r="FN40" s="129"/>
      <c r="FO40" s="129"/>
      <c r="FP40" s="129"/>
      <c r="FQ40" s="129"/>
      <c r="FR40" s="129"/>
      <c r="FS40" s="129"/>
      <c r="FT40" s="129"/>
      <c r="FU40" s="129"/>
      <c r="FV40" s="129"/>
      <c r="FW40" s="129"/>
      <c r="FX40" s="129"/>
      <c r="FY40" s="129"/>
      <c r="FZ40" s="129"/>
      <c r="GA40" s="129"/>
      <c r="GB40" s="129"/>
      <c r="GC40" s="129"/>
      <c r="GD40" s="129"/>
      <c r="GE40" s="129"/>
      <c r="GF40" s="129"/>
      <c r="GG40" s="129"/>
      <c r="GH40" s="129"/>
      <c r="GI40" s="129"/>
      <c r="GJ40" s="129"/>
      <c r="GK40" s="129"/>
      <c r="GL40" s="129"/>
      <c r="GM40" s="129"/>
      <c r="GN40" s="129"/>
      <c r="GO40" s="129"/>
      <c r="GP40" s="129"/>
      <c r="GQ40" s="129"/>
      <c r="GR40" s="129"/>
      <c r="GS40" s="129"/>
      <c r="GT40" s="129"/>
      <c r="GU40" s="129"/>
      <c r="GV40" s="129"/>
      <c r="GW40" s="129"/>
      <c r="GX40" s="129"/>
      <c r="GY40" s="129"/>
      <c r="GZ40" s="129"/>
      <c r="HA40" s="129"/>
      <c r="HB40" s="129"/>
      <c r="HC40" s="129"/>
      <c r="HD40" s="129"/>
      <c r="HE40" s="129"/>
      <c r="HF40" s="129"/>
      <c r="HG40" s="129"/>
      <c r="HH40" s="129"/>
      <c r="HI40" s="129"/>
      <c r="HJ40" s="129"/>
      <c r="HK40" s="129"/>
      <c r="HL40" s="129"/>
      <c r="HM40" s="129"/>
      <c r="HN40" s="129"/>
      <c r="HO40" s="129"/>
      <c r="HP40" s="129"/>
      <c r="HQ40" s="129"/>
      <c r="HR40" s="129"/>
      <c r="HS40" s="129"/>
      <c r="HT40" s="129"/>
      <c r="HU40" s="129"/>
      <c r="HV40" s="129"/>
      <c r="HW40" s="129"/>
      <c r="HX40" s="129"/>
      <c r="HY40" s="129"/>
      <c r="HZ40" s="129"/>
      <c r="IA40" s="129"/>
      <c r="IB40" s="129"/>
      <c r="IC40" s="129"/>
      <c r="ID40" s="129"/>
      <c r="IE40" s="129"/>
      <c r="IF40" s="129"/>
      <c r="IG40" s="129"/>
      <c r="IH40" s="129"/>
      <c r="II40" s="129"/>
      <c r="IJ40" s="129"/>
      <c r="IK40" s="129"/>
      <c r="IL40" s="129"/>
      <c r="IM40" s="129"/>
      <c r="IN40" s="129"/>
      <c r="IO40" s="129"/>
      <c r="IP40" s="129"/>
      <c r="IQ40" s="129"/>
      <c r="IR40" s="129"/>
      <c r="IS40" s="129"/>
      <c r="IT40" s="129"/>
      <c r="IU40" s="129"/>
      <c r="IV40" s="129"/>
    </row>
    <row r="41" spans="1:256" s="156" customFormat="1" ht="14.25">
      <c r="A41" s="144" t="str">
        <f>A30</f>
        <v>6.</v>
      </c>
      <c r="B41" s="134" t="str">
        <f>B30</f>
        <v>Магазин</v>
      </c>
      <c r="C41" s="134">
        <f>SUM(C36:C40)*0.25</f>
        <v>309263.311875</v>
      </c>
      <c r="D41" s="134">
        <f aca="true" t="shared" si="101" ref="D41:I41">SUM(D36:D40)*0.25</f>
        <v>309263.311875</v>
      </c>
      <c r="E41" s="134">
        <f t="shared" si="101"/>
        <v>309263.311875</v>
      </c>
      <c r="F41" s="134">
        <f t="shared" si="101"/>
        <v>309263.311875</v>
      </c>
      <c r="G41" s="134">
        <f t="shared" si="101"/>
        <v>309263.311875</v>
      </c>
      <c r="H41" s="134">
        <f t="shared" si="101"/>
        <v>309263.311875</v>
      </c>
      <c r="I41" s="134">
        <f t="shared" si="101"/>
        <v>309263.311875</v>
      </c>
      <c r="J41" s="36">
        <f t="shared" si="77"/>
        <v>8659372.732500002</v>
      </c>
      <c r="K41" s="36">
        <f t="shared" si="78"/>
        <v>6927498.186000002</v>
      </c>
      <c r="L41" s="36">
        <f t="shared" si="79"/>
        <v>4329686.366250001</v>
      </c>
      <c r="M41" s="134">
        <f t="shared" si="80"/>
        <v>4329686.366250001</v>
      </c>
      <c r="N41" s="134">
        <f t="shared" si="81"/>
        <v>4329686.366250001</v>
      </c>
      <c r="O41" s="134">
        <f t="shared" si="81"/>
        <v>4329686.366250001</v>
      </c>
      <c r="P41" s="134">
        <f t="shared" si="81"/>
        <v>4329686.366250001</v>
      </c>
      <c r="Q41" s="134">
        <f t="shared" si="81"/>
        <v>4329686.366250001</v>
      </c>
      <c r="R41" s="134">
        <f t="shared" si="81"/>
        <v>4329686.366250001</v>
      </c>
      <c r="S41" s="134">
        <f t="shared" si="81"/>
        <v>4329686.366250001</v>
      </c>
      <c r="T41" s="134">
        <f t="shared" si="81"/>
        <v>4329686.366250001</v>
      </c>
      <c r="U41" s="134">
        <f t="shared" si="81"/>
        <v>4329686.366250001</v>
      </c>
      <c r="V41" s="134">
        <f t="shared" si="81"/>
        <v>4329686.366250001</v>
      </c>
      <c r="W41" s="134">
        <f t="shared" si="81"/>
        <v>4329686.366250001</v>
      </c>
      <c r="X41" s="134">
        <f t="shared" si="81"/>
        <v>4329686.366250001</v>
      </c>
      <c r="Y41" s="152">
        <f t="shared" si="82"/>
        <v>51956236.39500001</v>
      </c>
      <c r="Z41" s="134">
        <f t="shared" si="83"/>
        <v>4329686.366250001</v>
      </c>
      <c r="AA41" s="134">
        <f aca="true" t="shared" si="102" ref="AA41:AK41">Z41</f>
        <v>4329686.366250001</v>
      </c>
      <c r="AB41" s="134">
        <f t="shared" si="102"/>
        <v>4329686.366250001</v>
      </c>
      <c r="AC41" s="134">
        <f t="shared" si="102"/>
        <v>4329686.366250001</v>
      </c>
      <c r="AD41" s="134">
        <f t="shared" si="102"/>
        <v>4329686.366250001</v>
      </c>
      <c r="AE41" s="134">
        <f t="shared" si="102"/>
        <v>4329686.366250001</v>
      </c>
      <c r="AF41" s="134">
        <f t="shared" si="102"/>
        <v>4329686.366250001</v>
      </c>
      <c r="AG41" s="134">
        <f t="shared" si="102"/>
        <v>4329686.366250001</v>
      </c>
      <c r="AH41" s="134">
        <f t="shared" si="102"/>
        <v>4329686.366250001</v>
      </c>
      <c r="AI41" s="134">
        <f t="shared" si="102"/>
        <v>4329686.366250001</v>
      </c>
      <c r="AJ41" s="134">
        <f t="shared" si="102"/>
        <v>4329686.366250001</v>
      </c>
      <c r="AK41" s="134">
        <f t="shared" si="102"/>
        <v>4329686.366250001</v>
      </c>
      <c r="AL41" s="152">
        <f t="shared" si="85"/>
        <v>51956236.39500001</v>
      </c>
      <c r="AM41" s="134">
        <f t="shared" si="86"/>
        <v>6927498.186000002</v>
      </c>
      <c r="AN41" s="134">
        <f>AM41</f>
        <v>6927498.186000002</v>
      </c>
      <c r="AO41" s="134">
        <f t="shared" si="93"/>
        <v>6927498.186000002</v>
      </c>
      <c r="AP41" s="134">
        <f t="shared" si="93"/>
        <v>6927498.186000002</v>
      </c>
      <c r="AQ41" s="134">
        <f t="shared" si="93"/>
        <v>6927498.186000002</v>
      </c>
      <c r="AR41" s="134">
        <f t="shared" si="93"/>
        <v>6927498.186000002</v>
      </c>
      <c r="AS41" s="134">
        <f t="shared" si="93"/>
        <v>6927498.186000002</v>
      </c>
      <c r="AT41" s="134">
        <f t="shared" si="93"/>
        <v>6927498.186000002</v>
      </c>
      <c r="AU41" s="134">
        <f t="shared" si="93"/>
        <v>6927498.186000002</v>
      </c>
      <c r="AV41" s="134">
        <f t="shared" si="93"/>
        <v>6927498.186000002</v>
      </c>
      <c r="AW41" s="134">
        <f t="shared" si="93"/>
        <v>6927498.186000002</v>
      </c>
      <c r="AX41" s="134">
        <f t="shared" si="93"/>
        <v>6927498.186000002</v>
      </c>
      <c r="AY41" s="152">
        <f t="shared" si="88"/>
        <v>83129978.23200004</v>
      </c>
      <c r="AZ41" s="134">
        <f t="shared" si="89"/>
        <v>6927498.186000002</v>
      </c>
      <c r="BA41" s="134">
        <f aca="true" t="shared" si="103" ref="BA41:BK41">AZ41</f>
        <v>6927498.186000002</v>
      </c>
      <c r="BB41" s="134">
        <f t="shared" si="103"/>
        <v>6927498.186000002</v>
      </c>
      <c r="BC41" s="134">
        <f t="shared" si="103"/>
        <v>6927498.186000002</v>
      </c>
      <c r="BD41" s="134">
        <f t="shared" si="103"/>
        <v>6927498.186000002</v>
      </c>
      <c r="BE41" s="134">
        <f t="shared" si="103"/>
        <v>6927498.186000002</v>
      </c>
      <c r="BF41" s="134">
        <f t="shared" si="103"/>
        <v>6927498.186000002</v>
      </c>
      <c r="BG41" s="134">
        <f t="shared" si="103"/>
        <v>6927498.186000002</v>
      </c>
      <c r="BH41" s="134">
        <f t="shared" si="103"/>
        <v>6927498.186000002</v>
      </c>
      <c r="BI41" s="134">
        <f t="shared" si="103"/>
        <v>6927498.186000002</v>
      </c>
      <c r="BJ41" s="134">
        <f t="shared" si="103"/>
        <v>6927498.186000002</v>
      </c>
      <c r="BK41" s="134">
        <f t="shared" si="103"/>
        <v>6927498.186000002</v>
      </c>
      <c r="BL41" s="152">
        <f t="shared" si="91"/>
        <v>83129978.23200004</v>
      </c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29"/>
      <c r="DE41" s="129"/>
      <c r="DF41" s="129"/>
      <c r="DG41" s="129"/>
      <c r="DH41" s="129"/>
      <c r="DI41" s="129"/>
      <c r="DJ41" s="129"/>
      <c r="DK41" s="129"/>
      <c r="DL41" s="129"/>
      <c r="DM41" s="129"/>
      <c r="DN41" s="129"/>
      <c r="DO41" s="129"/>
      <c r="DP41" s="129"/>
      <c r="DQ41" s="129"/>
      <c r="DR41" s="129"/>
      <c r="DS41" s="129"/>
      <c r="DT41" s="129"/>
      <c r="DU41" s="129"/>
      <c r="DV41" s="129"/>
      <c r="DW41" s="129"/>
      <c r="DX41" s="129"/>
      <c r="DY41" s="129"/>
      <c r="DZ41" s="129"/>
      <c r="EA41" s="129"/>
      <c r="EB41" s="129"/>
      <c r="EC41" s="129"/>
      <c r="ED41" s="129"/>
      <c r="EE41" s="129"/>
      <c r="EF41" s="129"/>
      <c r="EG41" s="129"/>
      <c r="EH41" s="129"/>
      <c r="EI41" s="129"/>
      <c r="EJ41" s="129"/>
      <c r="EK41" s="129"/>
      <c r="EL41" s="129"/>
      <c r="EM41" s="129"/>
      <c r="EN41" s="129"/>
      <c r="EO41" s="129"/>
      <c r="EP41" s="129"/>
      <c r="EQ41" s="129"/>
      <c r="ER41" s="129"/>
      <c r="ES41" s="129"/>
      <c r="ET41" s="129"/>
      <c r="EU41" s="129"/>
      <c r="EV41" s="129"/>
      <c r="EW41" s="129"/>
      <c r="EX41" s="129"/>
      <c r="EY41" s="129"/>
      <c r="EZ41" s="129"/>
      <c r="FA41" s="129"/>
      <c r="FB41" s="129"/>
      <c r="FC41" s="129"/>
      <c r="FD41" s="129"/>
      <c r="FE41" s="129"/>
      <c r="FF41" s="129"/>
      <c r="FG41" s="129"/>
      <c r="FH41" s="129"/>
      <c r="FI41" s="129"/>
      <c r="FJ41" s="129"/>
      <c r="FK41" s="129"/>
      <c r="FL41" s="129"/>
      <c r="FM41" s="129"/>
      <c r="FN41" s="129"/>
      <c r="FO41" s="129"/>
      <c r="FP41" s="129"/>
      <c r="FQ41" s="129"/>
      <c r="FR41" s="129"/>
      <c r="FS41" s="129"/>
      <c r="FT41" s="129"/>
      <c r="FU41" s="129"/>
      <c r="FV41" s="129"/>
      <c r="FW41" s="129"/>
      <c r="FX41" s="129"/>
      <c r="FY41" s="129"/>
      <c r="FZ41" s="129"/>
      <c r="GA41" s="129"/>
      <c r="GB41" s="129"/>
      <c r="GC41" s="129"/>
      <c r="GD41" s="129"/>
      <c r="GE41" s="129"/>
      <c r="GF41" s="129"/>
      <c r="GG41" s="129"/>
      <c r="GH41" s="129"/>
      <c r="GI41" s="129"/>
      <c r="GJ41" s="129"/>
      <c r="GK41" s="129"/>
      <c r="GL41" s="129"/>
      <c r="GM41" s="129"/>
      <c r="GN41" s="129"/>
      <c r="GO41" s="129"/>
      <c r="GP41" s="129"/>
      <c r="GQ41" s="129"/>
      <c r="GR41" s="129"/>
      <c r="GS41" s="129"/>
      <c r="GT41" s="129"/>
      <c r="GU41" s="129"/>
      <c r="GV41" s="129"/>
      <c r="GW41" s="129"/>
      <c r="GX41" s="129"/>
      <c r="GY41" s="129"/>
      <c r="GZ41" s="129"/>
      <c r="HA41" s="129"/>
      <c r="HB41" s="129"/>
      <c r="HC41" s="129"/>
      <c r="HD41" s="129"/>
      <c r="HE41" s="129"/>
      <c r="HF41" s="129"/>
      <c r="HG41" s="129"/>
      <c r="HH41" s="129"/>
      <c r="HI41" s="129"/>
      <c r="HJ41" s="129"/>
      <c r="HK41" s="129"/>
      <c r="HL41" s="129"/>
      <c r="HM41" s="129"/>
      <c r="HN41" s="129"/>
      <c r="HO41" s="129"/>
      <c r="HP41" s="129"/>
      <c r="HQ41" s="129"/>
      <c r="HR41" s="129"/>
      <c r="HS41" s="129"/>
      <c r="HT41" s="129"/>
      <c r="HU41" s="129"/>
      <c r="HV41" s="129"/>
      <c r="HW41" s="129"/>
      <c r="HX41" s="129"/>
      <c r="HY41" s="129"/>
      <c r="HZ41" s="129"/>
      <c r="IA41" s="129"/>
      <c r="IB41" s="129"/>
      <c r="IC41" s="129"/>
      <c r="ID41" s="129"/>
      <c r="IE41" s="129"/>
      <c r="IF41" s="129"/>
      <c r="IG41" s="129"/>
      <c r="IH41" s="129"/>
      <c r="II41" s="129"/>
      <c r="IJ41" s="129"/>
      <c r="IK41" s="129"/>
      <c r="IL41" s="129"/>
      <c r="IM41" s="129"/>
      <c r="IN41" s="129"/>
      <c r="IO41" s="129"/>
      <c r="IP41" s="129"/>
      <c r="IQ41" s="129"/>
      <c r="IR41" s="129"/>
      <c r="IS41" s="129"/>
      <c r="IT41" s="129"/>
      <c r="IU41" s="129"/>
      <c r="IV41" s="129"/>
    </row>
    <row r="42" spans="1:256" s="146" customFormat="1" ht="14.25">
      <c r="A42" s="154"/>
      <c r="B42" s="155" t="str">
        <f>B29</f>
        <v>Итого:</v>
      </c>
      <c r="C42" s="154">
        <f>C36+C37+C38+C39+C40+C41</f>
        <v>1546316.5593750002</v>
      </c>
      <c r="D42" s="154">
        <f aca="true" t="shared" si="104" ref="D42:BL42">D36+D37+D38+D39+D40+D41</f>
        <v>1546316.5593750002</v>
      </c>
      <c r="E42" s="154">
        <f t="shared" si="104"/>
        <v>1546316.5593750002</v>
      </c>
      <c r="F42" s="154">
        <f t="shared" si="104"/>
        <v>1546316.5593750002</v>
      </c>
      <c r="G42" s="154">
        <f t="shared" si="104"/>
        <v>1546316.5593750002</v>
      </c>
      <c r="H42" s="154">
        <f t="shared" si="104"/>
        <v>1546316.5593750002</v>
      </c>
      <c r="I42" s="154">
        <f t="shared" si="104"/>
        <v>1546316.5593750002</v>
      </c>
      <c r="J42" s="154">
        <f t="shared" si="104"/>
        <v>43296863.66250001</v>
      </c>
      <c r="K42" s="154">
        <f t="shared" si="104"/>
        <v>34637490.93000001</v>
      </c>
      <c r="L42" s="154">
        <f t="shared" si="104"/>
        <v>21648431.831250004</v>
      </c>
      <c r="M42" s="154">
        <f t="shared" si="104"/>
        <v>21648431.831250004</v>
      </c>
      <c r="N42" s="154">
        <f t="shared" si="104"/>
        <v>21648431.831250004</v>
      </c>
      <c r="O42" s="154">
        <f t="shared" si="104"/>
        <v>21648431.831250004</v>
      </c>
      <c r="P42" s="154">
        <f t="shared" si="104"/>
        <v>21648431.831250004</v>
      </c>
      <c r="Q42" s="154">
        <f t="shared" si="104"/>
        <v>21648431.831250004</v>
      </c>
      <c r="R42" s="154">
        <f t="shared" si="104"/>
        <v>21648431.831250004</v>
      </c>
      <c r="S42" s="154">
        <f t="shared" si="104"/>
        <v>21648431.831250004</v>
      </c>
      <c r="T42" s="154">
        <f t="shared" si="104"/>
        <v>21648431.831250004</v>
      </c>
      <c r="U42" s="154">
        <f t="shared" si="104"/>
        <v>21648431.831250004</v>
      </c>
      <c r="V42" s="154">
        <f t="shared" si="104"/>
        <v>21648431.831250004</v>
      </c>
      <c r="W42" s="154">
        <f t="shared" si="104"/>
        <v>21648431.831250004</v>
      </c>
      <c r="X42" s="154">
        <f t="shared" si="104"/>
        <v>21648431.831250004</v>
      </c>
      <c r="Y42" s="154">
        <f t="shared" si="104"/>
        <v>259781181.97500008</v>
      </c>
      <c r="Z42" s="154">
        <f t="shared" si="104"/>
        <v>21648431.831250004</v>
      </c>
      <c r="AA42" s="154">
        <f t="shared" si="104"/>
        <v>21648431.831250004</v>
      </c>
      <c r="AB42" s="154">
        <f t="shared" si="104"/>
        <v>21648431.831250004</v>
      </c>
      <c r="AC42" s="154">
        <f t="shared" si="104"/>
        <v>21648431.831250004</v>
      </c>
      <c r="AD42" s="154">
        <f t="shared" si="104"/>
        <v>21648431.831250004</v>
      </c>
      <c r="AE42" s="154">
        <f t="shared" si="104"/>
        <v>21648431.831250004</v>
      </c>
      <c r="AF42" s="154">
        <f t="shared" si="104"/>
        <v>21648431.831250004</v>
      </c>
      <c r="AG42" s="154">
        <f t="shared" si="104"/>
        <v>21648431.831250004</v>
      </c>
      <c r="AH42" s="154">
        <f t="shared" si="104"/>
        <v>21648431.831250004</v>
      </c>
      <c r="AI42" s="154">
        <f t="shared" si="104"/>
        <v>21648431.831250004</v>
      </c>
      <c r="AJ42" s="154">
        <f t="shared" si="104"/>
        <v>21648431.831250004</v>
      </c>
      <c r="AK42" s="154">
        <f t="shared" si="104"/>
        <v>21648431.831250004</v>
      </c>
      <c r="AL42" s="154">
        <f t="shared" si="104"/>
        <v>259781181.97500008</v>
      </c>
      <c r="AM42" s="154">
        <f t="shared" si="104"/>
        <v>34637490.93000001</v>
      </c>
      <c r="AN42" s="154">
        <f t="shared" si="104"/>
        <v>34637490.93000001</v>
      </c>
      <c r="AO42" s="154">
        <f t="shared" si="104"/>
        <v>34637490.93000001</v>
      </c>
      <c r="AP42" s="154">
        <f t="shared" si="104"/>
        <v>34637490.93000001</v>
      </c>
      <c r="AQ42" s="154">
        <f t="shared" si="104"/>
        <v>34637490.93000001</v>
      </c>
      <c r="AR42" s="154">
        <f t="shared" si="104"/>
        <v>34637490.93000001</v>
      </c>
      <c r="AS42" s="154">
        <f t="shared" si="104"/>
        <v>34637490.93000001</v>
      </c>
      <c r="AT42" s="154">
        <f t="shared" si="104"/>
        <v>34637490.93000001</v>
      </c>
      <c r="AU42" s="154">
        <f t="shared" si="104"/>
        <v>34637490.93000001</v>
      </c>
      <c r="AV42" s="154">
        <f t="shared" si="104"/>
        <v>34637490.93000001</v>
      </c>
      <c r="AW42" s="154">
        <f t="shared" si="104"/>
        <v>34637490.93000001</v>
      </c>
      <c r="AX42" s="154">
        <f t="shared" si="104"/>
        <v>34637490.93000001</v>
      </c>
      <c r="AY42" s="154">
        <f t="shared" si="104"/>
        <v>415649891.16000015</v>
      </c>
      <c r="AZ42" s="154">
        <f t="shared" si="104"/>
        <v>34637490.93000001</v>
      </c>
      <c r="BA42" s="154">
        <f t="shared" si="104"/>
        <v>34637490.93000001</v>
      </c>
      <c r="BB42" s="154">
        <f t="shared" si="104"/>
        <v>34637490.93000001</v>
      </c>
      <c r="BC42" s="154">
        <f t="shared" si="104"/>
        <v>34637490.93000001</v>
      </c>
      <c r="BD42" s="154">
        <f t="shared" si="104"/>
        <v>34637490.93000001</v>
      </c>
      <c r="BE42" s="154">
        <f t="shared" si="104"/>
        <v>34637490.93000001</v>
      </c>
      <c r="BF42" s="154">
        <f t="shared" si="104"/>
        <v>34637490.93000001</v>
      </c>
      <c r="BG42" s="154">
        <f t="shared" si="104"/>
        <v>34637490.93000001</v>
      </c>
      <c r="BH42" s="154">
        <f t="shared" si="104"/>
        <v>34637490.93000001</v>
      </c>
      <c r="BI42" s="154">
        <f t="shared" si="104"/>
        <v>34637490.93000001</v>
      </c>
      <c r="BJ42" s="154">
        <f t="shared" si="104"/>
        <v>34637490.93000001</v>
      </c>
      <c r="BK42" s="154">
        <f t="shared" si="104"/>
        <v>34637490.93000001</v>
      </c>
      <c r="BL42" s="154">
        <f t="shared" si="104"/>
        <v>415649891.16000015</v>
      </c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9"/>
      <c r="DL42" s="129"/>
      <c r="DM42" s="129"/>
      <c r="DN42" s="129"/>
      <c r="DO42" s="129"/>
      <c r="DP42" s="129"/>
      <c r="DQ42" s="129"/>
      <c r="DR42" s="129"/>
      <c r="DS42" s="129"/>
      <c r="DT42" s="129"/>
      <c r="DU42" s="129"/>
      <c r="DV42" s="129"/>
      <c r="DW42" s="129"/>
      <c r="DX42" s="129"/>
      <c r="DY42" s="129"/>
      <c r="DZ42" s="129"/>
      <c r="EA42" s="129"/>
      <c r="EB42" s="129"/>
      <c r="EC42" s="129"/>
      <c r="ED42" s="129"/>
      <c r="EE42" s="129"/>
      <c r="EF42" s="129"/>
      <c r="EG42" s="129"/>
      <c r="EH42" s="129"/>
      <c r="EI42" s="129"/>
      <c r="EJ42" s="129"/>
      <c r="EK42" s="129"/>
      <c r="EL42" s="129"/>
      <c r="EM42" s="129"/>
      <c r="EN42" s="129"/>
      <c r="EO42" s="129"/>
      <c r="EP42" s="129"/>
      <c r="EQ42" s="129"/>
      <c r="ER42" s="129"/>
      <c r="ES42" s="129"/>
      <c r="ET42" s="129"/>
      <c r="EU42" s="129"/>
      <c r="EV42" s="129"/>
      <c r="EW42" s="129"/>
      <c r="EX42" s="129"/>
      <c r="EY42" s="129"/>
      <c r="EZ42" s="129"/>
      <c r="FA42" s="129"/>
      <c r="FB42" s="129"/>
      <c r="FC42" s="129"/>
      <c r="FD42" s="129"/>
      <c r="FE42" s="129"/>
      <c r="FF42" s="129"/>
      <c r="FG42" s="129"/>
      <c r="FH42" s="129"/>
      <c r="FI42" s="129"/>
      <c r="FJ42" s="129"/>
      <c r="FK42" s="129"/>
      <c r="FL42" s="129"/>
      <c r="FM42" s="129"/>
      <c r="FN42" s="129"/>
      <c r="FO42" s="129"/>
      <c r="FP42" s="129"/>
      <c r="FQ42" s="129"/>
      <c r="FR42" s="129"/>
      <c r="FS42" s="129"/>
      <c r="FT42" s="129"/>
      <c r="FU42" s="129"/>
      <c r="FV42" s="129"/>
      <c r="FW42" s="129"/>
      <c r="FX42" s="129"/>
      <c r="FY42" s="129"/>
      <c r="FZ42" s="129"/>
      <c r="GA42" s="129"/>
      <c r="GB42" s="129"/>
      <c r="GC42" s="129"/>
      <c r="GD42" s="129"/>
      <c r="GE42" s="129"/>
      <c r="GF42" s="129"/>
      <c r="GG42" s="129"/>
      <c r="GH42" s="129"/>
      <c r="GI42" s="129"/>
      <c r="GJ42" s="129"/>
      <c r="GK42" s="129"/>
      <c r="GL42" s="129"/>
      <c r="GM42" s="129"/>
      <c r="GN42" s="129"/>
      <c r="GO42" s="129"/>
      <c r="GP42" s="129"/>
      <c r="GQ42" s="129"/>
      <c r="GR42" s="129"/>
      <c r="GS42" s="129"/>
      <c r="GT42" s="129"/>
      <c r="GU42" s="129"/>
      <c r="GV42" s="129"/>
      <c r="GW42" s="129"/>
      <c r="GX42" s="129"/>
      <c r="GY42" s="129"/>
      <c r="GZ42" s="129"/>
      <c r="HA42" s="129"/>
      <c r="HB42" s="129"/>
      <c r="HC42" s="129"/>
      <c r="HD42" s="129"/>
      <c r="HE42" s="129"/>
      <c r="HF42" s="129"/>
      <c r="HG42" s="129"/>
      <c r="HH42" s="129"/>
      <c r="HI42" s="129"/>
      <c r="HJ42" s="129"/>
      <c r="HK42" s="129"/>
      <c r="HL42" s="129"/>
      <c r="HM42" s="129"/>
      <c r="HN42" s="129"/>
      <c r="HO42" s="129"/>
      <c r="HP42" s="129"/>
      <c r="HQ42" s="129"/>
      <c r="HR42" s="129"/>
      <c r="HS42" s="129"/>
      <c r="HT42" s="129"/>
      <c r="HU42" s="129"/>
      <c r="HV42" s="129"/>
      <c r="HW42" s="129"/>
      <c r="HX42" s="129"/>
      <c r="HY42" s="129"/>
      <c r="HZ42" s="129"/>
      <c r="IA42" s="129"/>
      <c r="IB42" s="129"/>
      <c r="IC42" s="129"/>
      <c r="ID42" s="129"/>
      <c r="IE42" s="129"/>
      <c r="IF42" s="129"/>
      <c r="IG42" s="129"/>
      <c r="IH42" s="129"/>
      <c r="II42" s="129"/>
      <c r="IJ42" s="129"/>
      <c r="IK42" s="129"/>
      <c r="IL42" s="129"/>
      <c r="IM42" s="129"/>
      <c r="IN42" s="129"/>
      <c r="IO42" s="129"/>
      <c r="IP42" s="129"/>
      <c r="IQ42" s="129"/>
      <c r="IR42" s="129"/>
      <c r="IS42" s="129"/>
      <c r="IT42" s="129"/>
      <c r="IU42" s="129"/>
      <c r="IV42" s="129"/>
    </row>
    <row r="43" spans="9:256" s="146" customFormat="1" ht="14.25">
      <c r="I43" s="160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9"/>
      <c r="DL43" s="129"/>
      <c r="DM43" s="129"/>
      <c r="DN43" s="129"/>
      <c r="DO43" s="129"/>
      <c r="DP43" s="129"/>
      <c r="DQ43" s="129"/>
      <c r="DR43" s="129"/>
      <c r="DS43" s="129"/>
      <c r="DT43" s="129"/>
      <c r="DU43" s="129"/>
      <c r="DV43" s="129"/>
      <c r="DW43" s="129"/>
      <c r="DX43" s="129"/>
      <c r="DY43" s="129"/>
      <c r="DZ43" s="129"/>
      <c r="EA43" s="129"/>
      <c r="EB43" s="129"/>
      <c r="EC43" s="129"/>
      <c r="ED43" s="129"/>
      <c r="EE43" s="129"/>
      <c r="EF43" s="129"/>
      <c r="EG43" s="129"/>
      <c r="EH43" s="129"/>
      <c r="EI43" s="129"/>
      <c r="EJ43" s="129"/>
      <c r="EK43" s="129"/>
      <c r="EL43" s="129"/>
      <c r="EM43" s="129"/>
      <c r="EN43" s="129"/>
      <c r="EO43" s="129"/>
      <c r="EP43" s="129"/>
      <c r="EQ43" s="129"/>
      <c r="ER43" s="129"/>
      <c r="ES43" s="129"/>
      <c r="ET43" s="129"/>
      <c r="EU43" s="129"/>
      <c r="EV43" s="129"/>
      <c r="EW43" s="129"/>
      <c r="EX43" s="129"/>
      <c r="EY43" s="129"/>
      <c r="EZ43" s="129"/>
      <c r="FA43" s="129"/>
      <c r="FB43" s="129"/>
      <c r="FC43" s="129"/>
      <c r="FD43" s="129"/>
      <c r="FE43" s="129"/>
      <c r="FF43" s="129"/>
      <c r="FG43" s="129"/>
      <c r="FH43" s="129"/>
      <c r="FI43" s="129"/>
      <c r="FJ43" s="129"/>
      <c r="FK43" s="129"/>
      <c r="FL43" s="129"/>
      <c r="FM43" s="129"/>
      <c r="FN43" s="129"/>
      <c r="FO43" s="129"/>
      <c r="FP43" s="129"/>
      <c r="FQ43" s="129"/>
      <c r="FR43" s="129"/>
      <c r="FS43" s="129"/>
      <c r="FT43" s="129"/>
      <c r="FU43" s="129"/>
      <c r="FV43" s="129"/>
      <c r="FW43" s="129"/>
      <c r="FX43" s="129"/>
      <c r="FY43" s="129"/>
      <c r="FZ43" s="129"/>
      <c r="GA43" s="129"/>
      <c r="GB43" s="129"/>
      <c r="GC43" s="129"/>
      <c r="GD43" s="129"/>
      <c r="GE43" s="129"/>
      <c r="GF43" s="129"/>
      <c r="GG43" s="129"/>
      <c r="GH43" s="129"/>
      <c r="GI43" s="129"/>
      <c r="GJ43" s="129"/>
      <c r="GK43" s="129"/>
      <c r="GL43" s="129"/>
      <c r="GM43" s="129"/>
      <c r="GN43" s="129"/>
      <c r="GO43" s="129"/>
      <c r="GP43" s="129"/>
      <c r="GQ43" s="129"/>
      <c r="GR43" s="129"/>
      <c r="GS43" s="129"/>
      <c r="GT43" s="129"/>
      <c r="GU43" s="129"/>
      <c r="GV43" s="129"/>
      <c r="GW43" s="129"/>
      <c r="GX43" s="129"/>
      <c r="GY43" s="129"/>
      <c r="GZ43" s="129"/>
      <c r="HA43" s="129"/>
      <c r="HB43" s="129"/>
      <c r="HC43" s="129"/>
      <c r="HD43" s="129"/>
      <c r="HE43" s="129"/>
      <c r="HF43" s="129"/>
      <c r="HG43" s="129"/>
      <c r="HH43" s="129"/>
      <c r="HI43" s="129"/>
      <c r="HJ43" s="129"/>
      <c r="HK43" s="129"/>
      <c r="HL43" s="129"/>
      <c r="HM43" s="129"/>
      <c r="HN43" s="129"/>
      <c r="HO43" s="129"/>
      <c r="HP43" s="129"/>
      <c r="HQ43" s="129"/>
      <c r="HR43" s="129"/>
      <c r="HS43" s="129"/>
      <c r="HT43" s="129"/>
      <c r="HU43" s="129"/>
      <c r="HV43" s="129"/>
      <c r="HW43" s="129"/>
      <c r="HX43" s="129"/>
      <c r="HY43" s="129"/>
      <c r="HZ43" s="129"/>
      <c r="IA43" s="129"/>
      <c r="IB43" s="129"/>
      <c r="IC43" s="129"/>
      <c r="ID43" s="129"/>
      <c r="IE43" s="129"/>
      <c r="IF43" s="129"/>
      <c r="IG43" s="129"/>
      <c r="IH43" s="129"/>
      <c r="II43" s="129"/>
      <c r="IJ43" s="129"/>
      <c r="IK43" s="129"/>
      <c r="IL43" s="129"/>
      <c r="IM43" s="129"/>
      <c r="IN43" s="129"/>
      <c r="IO43" s="129"/>
      <c r="IP43" s="129"/>
      <c r="IQ43" s="129"/>
      <c r="IR43" s="129"/>
      <c r="IS43" s="129"/>
      <c r="IT43" s="129"/>
      <c r="IU43" s="129"/>
      <c r="IV43" s="129"/>
    </row>
    <row r="44" spans="1:256" s="146" customFormat="1" ht="27.75" customHeight="1">
      <c r="A44" s="372" t="s">
        <v>351</v>
      </c>
      <c r="B44" s="372"/>
      <c r="C44" s="372"/>
      <c r="D44" s="372"/>
      <c r="E44" s="372"/>
      <c r="F44" s="372"/>
      <c r="G44" s="372"/>
      <c r="H44" s="372"/>
      <c r="I44" s="372"/>
      <c r="J44" s="372"/>
      <c r="K44" s="374" t="s">
        <v>181</v>
      </c>
      <c r="L44" s="374"/>
      <c r="M44" s="159"/>
      <c r="N44" s="15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29"/>
      <c r="DF44" s="129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29"/>
      <c r="DS44" s="129"/>
      <c r="DT44" s="129"/>
      <c r="DU44" s="129"/>
      <c r="DV44" s="129"/>
      <c r="DW44" s="129"/>
      <c r="DX44" s="129"/>
      <c r="DY44" s="129"/>
      <c r="DZ44" s="129"/>
      <c r="EA44" s="129"/>
      <c r="EB44" s="129"/>
      <c r="EC44" s="129"/>
      <c r="ED44" s="129"/>
      <c r="EE44" s="129"/>
      <c r="EF44" s="129"/>
      <c r="EG44" s="129"/>
      <c r="EH44" s="129"/>
      <c r="EI44" s="129"/>
      <c r="EJ44" s="129"/>
      <c r="EK44" s="129"/>
      <c r="EL44" s="129"/>
      <c r="EM44" s="129"/>
      <c r="EN44" s="129"/>
      <c r="EO44" s="129"/>
      <c r="EP44" s="129"/>
      <c r="EQ44" s="129"/>
      <c r="ER44" s="129"/>
      <c r="ES44" s="129"/>
      <c r="ET44" s="129"/>
      <c r="EU44" s="129"/>
      <c r="EV44" s="129"/>
      <c r="EW44" s="129"/>
      <c r="EX44" s="129"/>
      <c r="EY44" s="129"/>
      <c r="EZ44" s="129"/>
      <c r="FA44" s="129"/>
      <c r="FB44" s="129"/>
      <c r="FC44" s="129"/>
      <c r="FD44" s="129"/>
      <c r="FE44" s="129"/>
      <c r="FF44" s="129"/>
      <c r="FG44" s="129"/>
      <c r="FH44" s="129"/>
      <c r="FI44" s="129"/>
      <c r="FJ44" s="129"/>
      <c r="FK44" s="129"/>
      <c r="FL44" s="129"/>
      <c r="FM44" s="129"/>
      <c r="FN44" s="129"/>
      <c r="FO44" s="129"/>
      <c r="FP44" s="129"/>
      <c r="FQ44" s="129"/>
      <c r="FR44" s="129"/>
      <c r="FS44" s="129"/>
      <c r="FT44" s="129"/>
      <c r="FU44" s="129"/>
      <c r="FV44" s="129"/>
      <c r="FW44" s="129"/>
      <c r="FX44" s="129"/>
      <c r="FY44" s="129"/>
      <c r="FZ44" s="129"/>
      <c r="GA44" s="129"/>
      <c r="GB44" s="129"/>
      <c r="GC44" s="129"/>
      <c r="GD44" s="129"/>
      <c r="GE44" s="129"/>
      <c r="GF44" s="129"/>
      <c r="GG44" s="129"/>
      <c r="GH44" s="129"/>
      <c r="GI44" s="129"/>
      <c r="GJ44" s="129"/>
      <c r="GK44" s="129"/>
      <c r="GL44" s="129"/>
      <c r="GM44" s="129"/>
      <c r="GN44" s="129"/>
      <c r="GO44" s="129"/>
      <c r="GP44" s="129"/>
      <c r="GQ44" s="129"/>
      <c r="GR44" s="129"/>
      <c r="GS44" s="129"/>
      <c r="GT44" s="129"/>
      <c r="GU44" s="129"/>
      <c r="GV44" s="129"/>
      <c r="GW44" s="129"/>
      <c r="GX44" s="129"/>
      <c r="GY44" s="129"/>
      <c r="GZ44" s="129"/>
      <c r="HA44" s="129"/>
      <c r="HB44" s="129"/>
      <c r="HC44" s="129"/>
      <c r="HD44" s="129"/>
      <c r="HE44" s="129"/>
      <c r="HF44" s="129"/>
      <c r="HG44" s="129"/>
      <c r="HH44" s="129"/>
      <c r="HI44" s="129"/>
      <c r="HJ44" s="129"/>
      <c r="HK44" s="129"/>
      <c r="HL44" s="129"/>
      <c r="HM44" s="129"/>
      <c r="HN44" s="129"/>
      <c r="HO44" s="129"/>
      <c r="HP44" s="129"/>
      <c r="HQ44" s="129"/>
      <c r="HR44" s="129"/>
      <c r="HS44" s="129"/>
      <c r="HT44" s="129"/>
      <c r="HU44" s="129"/>
      <c r="HV44" s="129"/>
      <c r="HW44" s="129"/>
      <c r="HX44" s="129"/>
      <c r="HY44" s="129"/>
      <c r="HZ44" s="129"/>
      <c r="IA44" s="129"/>
      <c r="IB44" s="129"/>
      <c r="IC44" s="129"/>
      <c r="ID44" s="129"/>
      <c r="IE44" s="129"/>
      <c r="IF44" s="129"/>
      <c r="IG44" s="129"/>
      <c r="IH44" s="129"/>
      <c r="II44" s="129"/>
      <c r="IJ44" s="129"/>
      <c r="IK44" s="129"/>
      <c r="IL44" s="129"/>
      <c r="IM44" s="129"/>
      <c r="IN44" s="129"/>
      <c r="IO44" s="129"/>
      <c r="IP44" s="129"/>
      <c r="IQ44" s="129"/>
      <c r="IR44" s="129"/>
      <c r="IS44" s="129"/>
      <c r="IT44" s="129"/>
      <c r="IU44" s="129"/>
      <c r="IV44" s="129"/>
    </row>
    <row r="45" spans="1:256" ht="15.75" customHeight="1">
      <c r="A45" s="369" t="s">
        <v>186</v>
      </c>
      <c r="B45" s="369" t="s">
        <v>187</v>
      </c>
      <c r="C45" s="363" t="s">
        <v>350</v>
      </c>
      <c r="D45" s="364"/>
      <c r="E45" s="364"/>
      <c r="F45" s="364"/>
      <c r="G45" s="364"/>
      <c r="H45" s="314">
        <v>0.4</v>
      </c>
      <c r="I45" s="312" t="s">
        <v>173</v>
      </c>
      <c r="J45" s="369" t="s">
        <v>215</v>
      </c>
      <c r="K45" s="371" t="s">
        <v>190</v>
      </c>
      <c r="L45" s="371" t="s">
        <v>191</v>
      </c>
      <c r="M45" s="369" t="s">
        <v>216</v>
      </c>
      <c r="N45" s="369"/>
      <c r="O45" s="369"/>
      <c r="P45" s="369"/>
      <c r="Q45" s="369"/>
      <c r="R45" s="369"/>
      <c r="S45" s="369"/>
      <c r="T45" s="369"/>
      <c r="U45" s="369"/>
      <c r="V45" s="369"/>
      <c r="W45" s="369"/>
      <c r="X45" s="369"/>
      <c r="Y45" s="369" t="s">
        <v>192</v>
      </c>
      <c r="Z45" s="369" t="s">
        <v>217</v>
      </c>
      <c r="AA45" s="369"/>
      <c r="AB45" s="369"/>
      <c r="AC45" s="369"/>
      <c r="AD45" s="369"/>
      <c r="AE45" s="369"/>
      <c r="AF45" s="369"/>
      <c r="AG45" s="369"/>
      <c r="AH45" s="369"/>
      <c r="AI45" s="369"/>
      <c r="AJ45" s="369"/>
      <c r="AK45" s="369"/>
      <c r="AL45" s="369" t="s">
        <v>192</v>
      </c>
      <c r="AM45" s="369" t="s">
        <v>218</v>
      </c>
      <c r="AN45" s="369"/>
      <c r="AO45" s="369"/>
      <c r="AP45" s="369"/>
      <c r="AQ45" s="369"/>
      <c r="AR45" s="369"/>
      <c r="AS45" s="369"/>
      <c r="AT45" s="369"/>
      <c r="AU45" s="369"/>
      <c r="AV45" s="369"/>
      <c r="AW45" s="369"/>
      <c r="AX45" s="369"/>
      <c r="AY45" s="369" t="s">
        <v>192</v>
      </c>
      <c r="AZ45" s="369" t="s">
        <v>219</v>
      </c>
      <c r="BA45" s="369"/>
      <c r="BB45" s="369"/>
      <c r="BC45" s="369"/>
      <c r="BD45" s="369"/>
      <c r="BE45" s="369"/>
      <c r="BF45" s="369"/>
      <c r="BG45" s="369"/>
      <c r="BH45" s="369"/>
      <c r="BI45" s="369"/>
      <c r="BJ45" s="369"/>
      <c r="BK45" s="369"/>
      <c r="BL45" s="369" t="s">
        <v>192</v>
      </c>
      <c r="IV45" s="129"/>
    </row>
    <row r="46" spans="1:256" ht="22.5" customHeight="1">
      <c r="A46" s="369"/>
      <c r="B46" s="369"/>
      <c r="C46" s="132" t="s">
        <v>193</v>
      </c>
      <c r="D46" s="151" t="s">
        <v>194</v>
      </c>
      <c r="E46" s="151" t="s">
        <v>195</v>
      </c>
      <c r="F46" s="151" t="s">
        <v>196</v>
      </c>
      <c r="G46" s="151" t="s">
        <v>197</v>
      </c>
      <c r="H46" s="151" t="s">
        <v>198</v>
      </c>
      <c r="I46" s="132" t="s">
        <v>199</v>
      </c>
      <c r="J46" s="369"/>
      <c r="K46" s="371"/>
      <c r="L46" s="371"/>
      <c r="M46" s="131" t="s">
        <v>109</v>
      </c>
      <c r="N46" s="131" t="s">
        <v>110</v>
      </c>
      <c r="O46" s="131" t="s">
        <v>111</v>
      </c>
      <c r="P46" s="131" t="s">
        <v>112</v>
      </c>
      <c r="Q46" s="131" t="s">
        <v>113</v>
      </c>
      <c r="R46" s="131" t="s">
        <v>114</v>
      </c>
      <c r="S46" s="131" t="s">
        <v>115</v>
      </c>
      <c r="T46" s="131" t="s">
        <v>116</v>
      </c>
      <c r="U46" s="131" t="s">
        <v>117</v>
      </c>
      <c r="V46" s="131" t="s">
        <v>118</v>
      </c>
      <c r="W46" s="131" t="s">
        <v>119</v>
      </c>
      <c r="X46" s="131" t="s">
        <v>120</v>
      </c>
      <c r="Y46" s="369"/>
      <c r="Z46" s="131" t="s">
        <v>109</v>
      </c>
      <c r="AA46" s="131" t="s">
        <v>110</v>
      </c>
      <c r="AB46" s="131" t="s">
        <v>111</v>
      </c>
      <c r="AC46" s="131" t="s">
        <v>112</v>
      </c>
      <c r="AD46" s="131" t="s">
        <v>113</v>
      </c>
      <c r="AE46" s="131" t="s">
        <v>114</v>
      </c>
      <c r="AF46" s="131" t="s">
        <v>115</v>
      </c>
      <c r="AG46" s="131" t="s">
        <v>116</v>
      </c>
      <c r="AH46" s="131" t="s">
        <v>117</v>
      </c>
      <c r="AI46" s="131" t="s">
        <v>118</v>
      </c>
      <c r="AJ46" s="131" t="s">
        <v>119</v>
      </c>
      <c r="AK46" s="131" t="s">
        <v>120</v>
      </c>
      <c r="AL46" s="369"/>
      <c r="AM46" s="131" t="s">
        <v>109</v>
      </c>
      <c r="AN46" s="131" t="s">
        <v>110</v>
      </c>
      <c r="AO46" s="131" t="s">
        <v>111</v>
      </c>
      <c r="AP46" s="131" t="s">
        <v>112</v>
      </c>
      <c r="AQ46" s="131" t="s">
        <v>113</v>
      </c>
      <c r="AR46" s="131" t="s">
        <v>114</v>
      </c>
      <c r="AS46" s="131" t="s">
        <v>115</v>
      </c>
      <c r="AT46" s="131" t="s">
        <v>116</v>
      </c>
      <c r="AU46" s="131" t="s">
        <v>117</v>
      </c>
      <c r="AV46" s="131" t="s">
        <v>118</v>
      </c>
      <c r="AW46" s="131" t="s">
        <v>119</v>
      </c>
      <c r="AX46" s="131" t="s">
        <v>120</v>
      </c>
      <c r="AY46" s="369"/>
      <c r="AZ46" s="131" t="s">
        <v>109</v>
      </c>
      <c r="BA46" s="131" t="s">
        <v>110</v>
      </c>
      <c r="BB46" s="131" t="s">
        <v>111</v>
      </c>
      <c r="BC46" s="131" t="s">
        <v>112</v>
      </c>
      <c r="BD46" s="131" t="s">
        <v>113</v>
      </c>
      <c r="BE46" s="131" t="s">
        <v>114</v>
      </c>
      <c r="BF46" s="131" t="s">
        <v>115</v>
      </c>
      <c r="BG46" s="131" t="s">
        <v>116</v>
      </c>
      <c r="BH46" s="131" t="s">
        <v>117</v>
      </c>
      <c r="BI46" s="131" t="s">
        <v>118</v>
      </c>
      <c r="BJ46" s="131" t="s">
        <v>119</v>
      </c>
      <c r="BK46" s="131" t="s">
        <v>120</v>
      </c>
      <c r="BL46" s="369"/>
      <c r="IV46" s="129"/>
    </row>
    <row r="47" spans="1:256" ht="14.25">
      <c r="A47" s="134" t="str">
        <f aca="true" t="shared" si="105" ref="A47:B52">A36</f>
        <v>1.</v>
      </c>
      <c r="B47" s="134" t="str">
        <f t="shared" si="105"/>
        <v>Пропан - бутановая смесь (СУГ)</v>
      </c>
      <c r="C47" s="134">
        <f>C24*Прейскурант!F12</f>
        <v>27801.060000000005</v>
      </c>
      <c r="D47" s="134">
        <f>D24*Прейскурант!F12</f>
        <v>27801.060000000005</v>
      </c>
      <c r="E47" s="134">
        <f>E24*Прейскурант!F12</f>
        <v>27801.060000000005</v>
      </c>
      <c r="F47" s="134">
        <f>F24*Прейскурант!F12</f>
        <v>27801.060000000005</v>
      </c>
      <c r="G47" s="134">
        <f>G24*Прейскурант!F12</f>
        <v>27801.060000000005</v>
      </c>
      <c r="H47" s="134">
        <f>H24*Прейскурант!F12</f>
        <v>27801.060000000005</v>
      </c>
      <c r="I47" s="134">
        <f>I24*Прейскурант!F12</f>
        <v>27801.060000000005</v>
      </c>
      <c r="J47" s="36">
        <f aca="true" t="shared" si="106" ref="J47:J52">SUM(C47:I47)*4</f>
        <v>778429.68</v>
      </c>
      <c r="K47" s="36">
        <f aca="true" t="shared" si="107" ref="K47:K52">J47*0.8</f>
        <v>622743.7440000001</v>
      </c>
      <c r="L47" s="36">
        <f aca="true" t="shared" si="108" ref="L47:L52">J47*0.5</f>
        <v>389214.84</v>
      </c>
      <c r="M47" s="134">
        <f aca="true" t="shared" si="109" ref="M47:M52">L47</f>
        <v>389214.84</v>
      </c>
      <c r="N47" s="134">
        <f aca="true" t="shared" si="110" ref="N47:X52">L47</f>
        <v>389214.84</v>
      </c>
      <c r="O47" s="134">
        <f t="shared" si="110"/>
        <v>389214.84</v>
      </c>
      <c r="P47" s="134">
        <f t="shared" si="110"/>
        <v>389214.84</v>
      </c>
      <c r="Q47" s="134">
        <f t="shared" si="110"/>
        <v>389214.84</v>
      </c>
      <c r="R47" s="134">
        <f t="shared" si="110"/>
        <v>389214.84</v>
      </c>
      <c r="S47" s="134">
        <f t="shared" si="110"/>
        <v>389214.84</v>
      </c>
      <c r="T47" s="134">
        <f t="shared" si="110"/>
        <v>389214.84</v>
      </c>
      <c r="U47" s="134">
        <f t="shared" si="110"/>
        <v>389214.84</v>
      </c>
      <c r="V47" s="134">
        <f t="shared" si="110"/>
        <v>389214.84</v>
      </c>
      <c r="W47" s="134">
        <f t="shared" si="110"/>
        <v>389214.84</v>
      </c>
      <c r="X47" s="134">
        <f t="shared" si="110"/>
        <v>389214.84</v>
      </c>
      <c r="Y47" s="152">
        <f aca="true" t="shared" si="111" ref="Y47:Y52">SUM(M47:X47)</f>
        <v>4670578.079999999</v>
      </c>
      <c r="Z47" s="134">
        <f aca="true" t="shared" si="112" ref="Z47:Z52">L47</f>
        <v>389214.84</v>
      </c>
      <c r="AA47" s="134">
        <f aca="true" t="shared" si="113" ref="AA47:AK47">Z47</f>
        <v>389214.84</v>
      </c>
      <c r="AB47" s="134">
        <f t="shared" si="113"/>
        <v>389214.84</v>
      </c>
      <c r="AC47" s="134">
        <f t="shared" si="113"/>
        <v>389214.84</v>
      </c>
      <c r="AD47" s="134">
        <f t="shared" si="113"/>
        <v>389214.84</v>
      </c>
      <c r="AE47" s="134">
        <f t="shared" si="113"/>
        <v>389214.84</v>
      </c>
      <c r="AF47" s="134">
        <f t="shared" si="113"/>
        <v>389214.84</v>
      </c>
      <c r="AG47" s="134">
        <f t="shared" si="113"/>
        <v>389214.84</v>
      </c>
      <c r="AH47" s="134">
        <f t="shared" si="113"/>
        <v>389214.84</v>
      </c>
      <c r="AI47" s="134">
        <f t="shared" si="113"/>
        <v>389214.84</v>
      </c>
      <c r="AJ47" s="134">
        <f t="shared" si="113"/>
        <v>389214.84</v>
      </c>
      <c r="AK47" s="134">
        <f t="shared" si="113"/>
        <v>389214.84</v>
      </c>
      <c r="AL47" s="152">
        <f aca="true" t="shared" si="114" ref="AL47:AL52">SUM(Z47:AK47)</f>
        <v>4670578.079999999</v>
      </c>
      <c r="AM47" s="134">
        <f aca="true" t="shared" si="115" ref="AM47:AM52">K47</f>
        <v>622743.7440000001</v>
      </c>
      <c r="AN47" s="134">
        <f aca="true" t="shared" si="116" ref="AN47:AN52">AM47</f>
        <v>622743.7440000001</v>
      </c>
      <c r="AO47" s="134">
        <f aca="true" t="shared" si="117" ref="AO47:AX52">AM47</f>
        <v>622743.7440000001</v>
      </c>
      <c r="AP47" s="134">
        <f t="shared" si="117"/>
        <v>622743.7440000001</v>
      </c>
      <c r="AQ47" s="134">
        <f t="shared" si="117"/>
        <v>622743.7440000001</v>
      </c>
      <c r="AR47" s="134">
        <f t="shared" si="117"/>
        <v>622743.7440000001</v>
      </c>
      <c r="AS47" s="134">
        <f t="shared" si="117"/>
        <v>622743.7440000001</v>
      </c>
      <c r="AT47" s="134">
        <f t="shared" si="117"/>
        <v>622743.7440000001</v>
      </c>
      <c r="AU47" s="134">
        <f t="shared" si="117"/>
        <v>622743.7440000001</v>
      </c>
      <c r="AV47" s="134">
        <f t="shared" si="117"/>
        <v>622743.7440000001</v>
      </c>
      <c r="AW47" s="134">
        <f t="shared" si="117"/>
        <v>622743.7440000001</v>
      </c>
      <c r="AX47" s="134">
        <f t="shared" si="117"/>
        <v>622743.7440000001</v>
      </c>
      <c r="AY47" s="152">
        <f aca="true" t="shared" si="118" ref="AY47:AY52">SUM(AM47:AX47)</f>
        <v>7472924.928</v>
      </c>
      <c r="AZ47" s="134">
        <f aca="true" t="shared" si="119" ref="AZ47:AZ52">K47</f>
        <v>622743.7440000001</v>
      </c>
      <c r="BA47" s="134">
        <f aca="true" t="shared" si="120" ref="BA47:BK47">AZ47</f>
        <v>622743.7440000001</v>
      </c>
      <c r="BB47" s="134">
        <f t="shared" si="120"/>
        <v>622743.7440000001</v>
      </c>
      <c r="BC47" s="134">
        <f t="shared" si="120"/>
        <v>622743.7440000001</v>
      </c>
      <c r="BD47" s="134">
        <f t="shared" si="120"/>
        <v>622743.7440000001</v>
      </c>
      <c r="BE47" s="134">
        <f t="shared" si="120"/>
        <v>622743.7440000001</v>
      </c>
      <c r="BF47" s="134">
        <f t="shared" si="120"/>
        <v>622743.7440000001</v>
      </c>
      <c r="BG47" s="134">
        <f t="shared" si="120"/>
        <v>622743.7440000001</v>
      </c>
      <c r="BH47" s="134">
        <f t="shared" si="120"/>
        <v>622743.7440000001</v>
      </c>
      <c r="BI47" s="134">
        <f t="shared" si="120"/>
        <v>622743.7440000001</v>
      </c>
      <c r="BJ47" s="134">
        <f t="shared" si="120"/>
        <v>622743.7440000001</v>
      </c>
      <c r="BK47" s="134">
        <f t="shared" si="120"/>
        <v>622743.7440000001</v>
      </c>
      <c r="BL47" s="152">
        <f aca="true" t="shared" si="121" ref="BL47:BL52">SUM(AZ47:BK47)</f>
        <v>7472924.928</v>
      </c>
      <c r="IV47" s="129"/>
    </row>
    <row r="48" spans="1:256" ht="14.25">
      <c r="A48" s="134" t="str">
        <f t="shared" si="105"/>
        <v>2.</v>
      </c>
      <c r="B48" s="144" t="str">
        <f t="shared" si="105"/>
        <v>АИ 98</v>
      </c>
      <c r="C48" s="313">
        <f>C25*Прейскурант!F13</f>
        <v>109889.32500000001</v>
      </c>
      <c r="D48" s="313">
        <f>D25*Прейскурант!F13</f>
        <v>109889.32500000001</v>
      </c>
      <c r="E48" s="313">
        <f>E25*Прейскурант!F13</f>
        <v>109889.32500000001</v>
      </c>
      <c r="F48" s="313">
        <f>F25*Прейскурант!F13</f>
        <v>109889.32500000001</v>
      </c>
      <c r="G48" s="313">
        <f>G25*Прейскурант!F13</f>
        <v>109889.32500000001</v>
      </c>
      <c r="H48" s="313">
        <f>H25*Прейскурант!F13</f>
        <v>109889.32500000001</v>
      </c>
      <c r="I48" s="313">
        <f>I25*Прейскурант!F13</f>
        <v>109889.32500000001</v>
      </c>
      <c r="J48" s="153">
        <f t="shared" si="106"/>
        <v>3076901.0999999996</v>
      </c>
      <c r="K48" s="153">
        <f t="shared" si="107"/>
        <v>2461520.88</v>
      </c>
      <c r="L48" s="153">
        <f t="shared" si="108"/>
        <v>1538450.5499999998</v>
      </c>
      <c r="M48" s="144">
        <f t="shared" si="109"/>
        <v>1538450.5499999998</v>
      </c>
      <c r="N48" s="144">
        <f t="shared" si="110"/>
        <v>1538450.5499999998</v>
      </c>
      <c r="O48" s="144">
        <f t="shared" si="110"/>
        <v>1538450.5499999998</v>
      </c>
      <c r="P48" s="144">
        <f t="shared" si="110"/>
        <v>1538450.5499999998</v>
      </c>
      <c r="Q48" s="144">
        <f t="shared" si="110"/>
        <v>1538450.5499999998</v>
      </c>
      <c r="R48" s="144">
        <f t="shared" si="110"/>
        <v>1538450.5499999998</v>
      </c>
      <c r="S48" s="144">
        <f t="shared" si="110"/>
        <v>1538450.5499999998</v>
      </c>
      <c r="T48" s="144">
        <f t="shared" si="110"/>
        <v>1538450.5499999998</v>
      </c>
      <c r="U48" s="144">
        <f t="shared" si="110"/>
        <v>1538450.5499999998</v>
      </c>
      <c r="V48" s="144">
        <f t="shared" si="110"/>
        <v>1538450.5499999998</v>
      </c>
      <c r="W48" s="144">
        <f t="shared" si="110"/>
        <v>1538450.5499999998</v>
      </c>
      <c r="X48" s="144">
        <f t="shared" si="110"/>
        <v>1538450.5499999998</v>
      </c>
      <c r="Y48" s="150">
        <f t="shared" si="111"/>
        <v>18461406.6</v>
      </c>
      <c r="Z48" s="144">
        <f t="shared" si="112"/>
        <v>1538450.5499999998</v>
      </c>
      <c r="AA48" s="144">
        <f aca="true" t="shared" si="122" ref="AA48:AK48">Z48</f>
        <v>1538450.5499999998</v>
      </c>
      <c r="AB48" s="144">
        <f t="shared" si="122"/>
        <v>1538450.5499999998</v>
      </c>
      <c r="AC48" s="144">
        <f t="shared" si="122"/>
        <v>1538450.5499999998</v>
      </c>
      <c r="AD48" s="144">
        <f t="shared" si="122"/>
        <v>1538450.5499999998</v>
      </c>
      <c r="AE48" s="144">
        <f t="shared" si="122"/>
        <v>1538450.5499999998</v>
      </c>
      <c r="AF48" s="144">
        <f t="shared" si="122"/>
        <v>1538450.5499999998</v>
      </c>
      <c r="AG48" s="144">
        <f t="shared" si="122"/>
        <v>1538450.5499999998</v>
      </c>
      <c r="AH48" s="144">
        <f t="shared" si="122"/>
        <v>1538450.5499999998</v>
      </c>
      <c r="AI48" s="144">
        <f t="shared" si="122"/>
        <v>1538450.5499999998</v>
      </c>
      <c r="AJ48" s="144">
        <f t="shared" si="122"/>
        <v>1538450.5499999998</v>
      </c>
      <c r="AK48" s="144">
        <f t="shared" si="122"/>
        <v>1538450.5499999998</v>
      </c>
      <c r="AL48" s="150">
        <f t="shared" si="114"/>
        <v>18461406.6</v>
      </c>
      <c r="AM48" s="144">
        <f t="shared" si="115"/>
        <v>2461520.88</v>
      </c>
      <c r="AN48" s="144">
        <f t="shared" si="116"/>
        <v>2461520.88</v>
      </c>
      <c r="AO48" s="144">
        <f t="shared" si="117"/>
        <v>2461520.88</v>
      </c>
      <c r="AP48" s="144">
        <f t="shared" si="117"/>
        <v>2461520.88</v>
      </c>
      <c r="AQ48" s="144">
        <f t="shared" si="117"/>
        <v>2461520.88</v>
      </c>
      <c r="AR48" s="144">
        <f t="shared" si="117"/>
        <v>2461520.88</v>
      </c>
      <c r="AS48" s="144">
        <f t="shared" si="117"/>
        <v>2461520.88</v>
      </c>
      <c r="AT48" s="144">
        <f t="shared" si="117"/>
        <v>2461520.88</v>
      </c>
      <c r="AU48" s="144">
        <f t="shared" si="117"/>
        <v>2461520.88</v>
      </c>
      <c r="AV48" s="144">
        <f t="shared" si="117"/>
        <v>2461520.88</v>
      </c>
      <c r="AW48" s="144">
        <f t="shared" si="117"/>
        <v>2461520.88</v>
      </c>
      <c r="AX48" s="144">
        <f t="shared" si="117"/>
        <v>2461520.88</v>
      </c>
      <c r="AY48" s="150">
        <f t="shared" si="118"/>
        <v>29538250.55999999</v>
      </c>
      <c r="AZ48" s="144">
        <f t="shared" si="119"/>
        <v>2461520.88</v>
      </c>
      <c r="BA48" s="144">
        <f aca="true" t="shared" si="123" ref="BA48:BK48">AZ48</f>
        <v>2461520.88</v>
      </c>
      <c r="BB48" s="144">
        <f t="shared" si="123"/>
        <v>2461520.88</v>
      </c>
      <c r="BC48" s="144">
        <f t="shared" si="123"/>
        <v>2461520.88</v>
      </c>
      <c r="BD48" s="144">
        <f t="shared" si="123"/>
        <v>2461520.88</v>
      </c>
      <c r="BE48" s="144">
        <f t="shared" si="123"/>
        <v>2461520.88</v>
      </c>
      <c r="BF48" s="144">
        <f t="shared" si="123"/>
        <v>2461520.88</v>
      </c>
      <c r="BG48" s="144">
        <f t="shared" si="123"/>
        <v>2461520.88</v>
      </c>
      <c r="BH48" s="144">
        <f t="shared" si="123"/>
        <v>2461520.88</v>
      </c>
      <c r="BI48" s="144">
        <f t="shared" si="123"/>
        <v>2461520.88</v>
      </c>
      <c r="BJ48" s="144">
        <f t="shared" si="123"/>
        <v>2461520.88</v>
      </c>
      <c r="BK48" s="144">
        <f t="shared" si="123"/>
        <v>2461520.88</v>
      </c>
      <c r="BL48" s="150">
        <f t="shared" si="121"/>
        <v>29538250.55999999</v>
      </c>
      <c r="IV48" s="129"/>
    </row>
    <row r="49" spans="1:256" ht="14.25">
      <c r="A49" s="144" t="str">
        <f t="shared" si="105"/>
        <v>3.</v>
      </c>
      <c r="B49" s="144" t="str">
        <f t="shared" si="105"/>
        <v>АИ 95</v>
      </c>
      <c r="C49" s="313">
        <f>C26*Прейскурант!F14</f>
        <v>95800.95000000001</v>
      </c>
      <c r="D49" s="313">
        <f>D26*Прейскурант!F14</f>
        <v>95800.95000000001</v>
      </c>
      <c r="E49" s="313">
        <f>E26*Прейскурант!F14</f>
        <v>95800.95000000001</v>
      </c>
      <c r="F49" s="313">
        <f>F26*Прейскурант!F14</f>
        <v>95800.95000000001</v>
      </c>
      <c r="G49" s="313">
        <f>G26*Прейскурант!F14</f>
        <v>95800.95000000001</v>
      </c>
      <c r="H49" s="313">
        <f>H26*Прейскурант!F14</f>
        <v>95800.95000000001</v>
      </c>
      <c r="I49" s="313">
        <f>I26*Прейскурант!F14</f>
        <v>95800.95000000001</v>
      </c>
      <c r="J49" s="153">
        <f t="shared" si="106"/>
        <v>2682426.6000000006</v>
      </c>
      <c r="K49" s="153">
        <f t="shared" si="107"/>
        <v>2145941.2800000007</v>
      </c>
      <c r="L49" s="153">
        <f t="shared" si="108"/>
        <v>1341213.3000000003</v>
      </c>
      <c r="M49" s="144">
        <f t="shared" si="109"/>
        <v>1341213.3000000003</v>
      </c>
      <c r="N49" s="144">
        <f t="shared" si="110"/>
        <v>1341213.3000000003</v>
      </c>
      <c r="O49" s="144">
        <f t="shared" si="110"/>
        <v>1341213.3000000003</v>
      </c>
      <c r="P49" s="144">
        <f t="shared" si="110"/>
        <v>1341213.3000000003</v>
      </c>
      <c r="Q49" s="144">
        <f t="shared" si="110"/>
        <v>1341213.3000000003</v>
      </c>
      <c r="R49" s="144">
        <f t="shared" si="110"/>
        <v>1341213.3000000003</v>
      </c>
      <c r="S49" s="144">
        <f t="shared" si="110"/>
        <v>1341213.3000000003</v>
      </c>
      <c r="T49" s="144">
        <f t="shared" si="110"/>
        <v>1341213.3000000003</v>
      </c>
      <c r="U49" s="144">
        <f t="shared" si="110"/>
        <v>1341213.3000000003</v>
      </c>
      <c r="V49" s="144">
        <f t="shared" si="110"/>
        <v>1341213.3000000003</v>
      </c>
      <c r="W49" s="144">
        <f t="shared" si="110"/>
        <v>1341213.3000000003</v>
      </c>
      <c r="X49" s="144">
        <f t="shared" si="110"/>
        <v>1341213.3000000003</v>
      </c>
      <c r="Y49" s="150">
        <f t="shared" si="111"/>
        <v>16094559.600000007</v>
      </c>
      <c r="Z49" s="144">
        <f t="shared" si="112"/>
        <v>1341213.3000000003</v>
      </c>
      <c r="AA49" s="144">
        <f aca="true" t="shared" si="124" ref="AA49:AK49">Z49</f>
        <v>1341213.3000000003</v>
      </c>
      <c r="AB49" s="144">
        <f t="shared" si="124"/>
        <v>1341213.3000000003</v>
      </c>
      <c r="AC49" s="144">
        <f t="shared" si="124"/>
        <v>1341213.3000000003</v>
      </c>
      <c r="AD49" s="144">
        <f t="shared" si="124"/>
        <v>1341213.3000000003</v>
      </c>
      <c r="AE49" s="144">
        <f t="shared" si="124"/>
        <v>1341213.3000000003</v>
      </c>
      <c r="AF49" s="144">
        <f t="shared" si="124"/>
        <v>1341213.3000000003</v>
      </c>
      <c r="AG49" s="144">
        <f t="shared" si="124"/>
        <v>1341213.3000000003</v>
      </c>
      <c r="AH49" s="144">
        <f t="shared" si="124"/>
        <v>1341213.3000000003</v>
      </c>
      <c r="AI49" s="144">
        <f t="shared" si="124"/>
        <v>1341213.3000000003</v>
      </c>
      <c r="AJ49" s="144">
        <f t="shared" si="124"/>
        <v>1341213.3000000003</v>
      </c>
      <c r="AK49" s="144">
        <f t="shared" si="124"/>
        <v>1341213.3000000003</v>
      </c>
      <c r="AL49" s="150">
        <f t="shared" si="114"/>
        <v>16094559.600000007</v>
      </c>
      <c r="AM49" s="144">
        <f t="shared" si="115"/>
        <v>2145941.2800000007</v>
      </c>
      <c r="AN49" s="144">
        <f t="shared" si="116"/>
        <v>2145941.2800000007</v>
      </c>
      <c r="AO49" s="144">
        <f t="shared" si="117"/>
        <v>2145941.2800000007</v>
      </c>
      <c r="AP49" s="144">
        <f t="shared" si="117"/>
        <v>2145941.2800000007</v>
      </c>
      <c r="AQ49" s="144">
        <f t="shared" si="117"/>
        <v>2145941.2800000007</v>
      </c>
      <c r="AR49" s="144">
        <f t="shared" si="117"/>
        <v>2145941.2800000007</v>
      </c>
      <c r="AS49" s="144">
        <f t="shared" si="117"/>
        <v>2145941.2800000007</v>
      </c>
      <c r="AT49" s="144">
        <f t="shared" si="117"/>
        <v>2145941.2800000007</v>
      </c>
      <c r="AU49" s="144">
        <f t="shared" si="117"/>
        <v>2145941.2800000007</v>
      </c>
      <c r="AV49" s="144">
        <f t="shared" si="117"/>
        <v>2145941.2800000007</v>
      </c>
      <c r="AW49" s="144">
        <f t="shared" si="117"/>
        <v>2145941.2800000007</v>
      </c>
      <c r="AX49" s="144">
        <f t="shared" si="117"/>
        <v>2145941.2800000007</v>
      </c>
      <c r="AY49" s="150">
        <f t="shared" si="118"/>
        <v>25751295.36000001</v>
      </c>
      <c r="AZ49" s="144">
        <f t="shared" si="119"/>
        <v>2145941.2800000007</v>
      </c>
      <c r="BA49" s="144">
        <f aca="true" t="shared" si="125" ref="BA49:BK49">AZ49</f>
        <v>2145941.2800000007</v>
      </c>
      <c r="BB49" s="144">
        <f t="shared" si="125"/>
        <v>2145941.2800000007</v>
      </c>
      <c r="BC49" s="144">
        <f t="shared" si="125"/>
        <v>2145941.2800000007</v>
      </c>
      <c r="BD49" s="144">
        <f t="shared" si="125"/>
        <v>2145941.2800000007</v>
      </c>
      <c r="BE49" s="144">
        <f t="shared" si="125"/>
        <v>2145941.2800000007</v>
      </c>
      <c r="BF49" s="144">
        <f t="shared" si="125"/>
        <v>2145941.2800000007</v>
      </c>
      <c r="BG49" s="144">
        <f t="shared" si="125"/>
        <v>2145941.2800000007</v>
      </c>
      <c r="BH49" s="144">
        <f t="shared" si="125"/>
        <v>2145941.2800000007</v>
      </c>
      <c r="BI49" s="144">
        <f t="shared" si="125"/>
        <v>2145941.2800000007</v>
      </c>
      <c r="BJ49" s="144">
        <f t="shared" si="125"/>
        <v>2145941.2800000007</v>
      </c>
      <c r="BK49" s="144">
        <f t="shared" si="125"/>
        <v>2145941.2800000007</v>
      </c>
      <c r="BL49" s="150">
        <f t="shared" si="121"/>
        <v>25751295.36000001</v>
      </c>
      <c r="IV49" s="129"/>
    </row>
    <row r="50" spans="1:256" ht="14.25">
      <c r="A50" s="144" t="str">
        <f t="shared" si="105"/>
        <v>4.</v>
      </c>
      <c r="B50" s="144" t="str">
        <f t="shared" si="105"/>
        <v>АИ-92</v>
      </c>
      <c r="C50" s="313">
        <f>C27*Прейскурант!F15</f>
        <v>90165.6</v>
      </c>
      <c r="D50" s="313">
        <f>D27*Прейскурант!F15</f>
        <v>90165.6</v>
      </c>
      <c r="E50" s="313">
        <f>E27*Прейскурант!F15</f>
        <v>90165.6</v>
      </c>
      <c r="F50" s="313">
        <f>F27*Прейскурант!F15</f>
        <v>90165.6</v>
      </c>
      <c r="G50" s="313">
        <f>G27*Прейскурант!F15</f>
        <v>90165.6</v>
      </c>
      <c r="H50" s="313">
        <f>H27*Прейскурант!F15</f>
        <v>90165.6</v>
      </c>
      <c r="I50" s="313">
        <f>I27*Прейскурант!F15</f>
        <v>90165.6</v>
      </c>
      <c r="J50" s="153">
        <f t="shared" si="106"/>
        <v>2524636.8</v>
      </c>
      <c r="K50" s="153">
        <f t="shared" si="107"/>
        <v>2019709.44</v>
      </c>
      <c r="L50" s="153">
        <f t="shared" si="108"/>
        <v>1262318.4</v>
      </c>
      <c r="M50" s="144">
        <f t="shared" si="109"/>
        <v>1262318.4</v>
      </c>
      <c r="N50" s="144">
        <f t="shared" si="110"/>
        <v>1262318.4</v>
      </c>
      <c r="O50" s="144">
        <f t="shared" si="110"/>
        <v>1262318.4</v>
      </c>
      <c r="P50" s="144">
        <f t="shared" si="110"/>
        <v>1262318.4</v>
      </c>
      <c r="Q50" s="144">
        <f t="shared" si="110"/>
        <v>1262318.4</v>
      </c>
      <c r="R50" s="144">
        <f t="shared" si="110"/>
        <v>1262318.4</v>
      </c>
      <c r="S50" s="144">
        <f t="shared" si="110"/>
        <v>1262318.4</v>
      </c>
      <c r="T50" s="144">
        <f t="shared" si="110"/>
        <v>1262318.4</v>
      </c>
      <c r="U50" s="144">
        <f t="shared" si="110"/>
        <v>1262318.4</v>
      </c>
      <c r="V50" s="144">
        <f t="shared" si="110"/>
        <v>1262318.4</v>
      </c>
      <c r="W50" s="144">
        <f t="shared" si="110"/>
        <v>1262318.4</v>
      </c>
      <c r="X50" s="144">
        <f t="shared" si="110"/>
        <v>1262318.4</v>
      </c>
      <c r="Y50" s="150">
        <f t="shared" si="111"/>
        <v>15147820.800000003</v>
      </c>
      <c r="Z50" s="144">
        <f t="shared" si="112"/>
        <v>1262318.4</v>
      </c>
      <c r="AA50" s="144">
        <f aca="true" t="shared" si="126" ref="AA50:AK50">Z50</f>
        <v>1262318.4</v>
      </c>
      <c r="AB50" s="144">
        <f t="shared" si="126"/>
        <v>1262318.4</v>
      </c>
      <c r="AC50" s="144">
        <f t="shared" si="126"/>
        <v>1262318.4</v>
      </c>
      <c r="AD50" s="144">
        <f t="shared" si="126"/>
        <v>1262318.4</v>
      </c>
      <c r="AE50" s="144">
        <f t="shared" si="126"/>
        <v>1262318.4</v>
      </c>
      <c r="AF50" s="144">
        <f t="shared" si="126"/>
        <v>1262318.4</v>
      </c>
      <c r="AG50" s="144">
        <f t="shared" si="126"/>
        <v>1262318.4</v>
      </c>
      <c r="AH50" s="144">
        <f t="shared" si="126"/>
        <v>1262318.4</v>
      </c>
      <c r="AI50" s="144">
        <f t="shared" si="126"/>
        <v>1262318.4</v>
      </c>
      <c r="AJ50" s="144">
        <f t="shared" si="126"/>
        <v>1262318.4</v>
      </c>
      <c r="AK50" s="144">
        <f t="shared" si="126"/>
        <v>1262318.4</v>
      </c>
      <c r="AL50" s="150">
        <f t="shared" si="114"/>
        <v>15147820.800000003</v>
      </c>
      <c r="AM50" s="144">
        <f t="shared" si="115"/>
        <v>2019709.44</v>
      </c>
      <c r="AN50" s="144">
        <f t="shared" si="116"/>
        <v>2019709.44</v>
      </c>
      <c r="AO50" s="144">
        <f t="shared" si="117"/>
        <v>2019709.44</v>
      </c>
      <c r="AP50" s="144">
        <f t="shared" si="117"/>
        <v>2019709.44</v>
      </c>
      <c r="AQ50" s="144">
        <f t="shared" si="117"/>
        <v>2019709.44</v>
      </c>
      <c r="AR50" s="144">
        <f t="shared" si="117"/>
        <v>2019709.44</v>
      </c>
      <c r="AS50" s="144">
        <f t="shared" si="117"/>
        <v>2019709.44</v>
      </c>
      <c r="AT50" s="144">
        <f t="shared" si="117"/>
        <v>2019709.44</v>
      </c>
      <c r="AU50" s="144">
        <f t="shared" si="117"/>
        <v>2019709.44</v>
      </c>
      <c r="AV50" s="144">
        <f t="shared" si="117"/>
        <v>2019709.44</v>
      </c>
      <c r="AW50" s="144">
        <f t="shared" si="117"/>
        <v>2019709.44</v>
      </c>
      <c r="AX50" s="144">
        <f t="shared" si="117"/>
        <v>2019709.44</v>
      </c>
      <c r="AY50" s="150">
        <f t="shared" si="118"/>
        <v>24236513.28</v>
      </c>
      <c r="AZ50" s="144">
        <f t="shared" si="119"/>
        <v>2019709.44</v>
      </c>
      <c r="BA50" s="144">
        <f aca="true" t="shared" si="127" ref="BA50:BK50">AZ50</f>
        <v>2019709.44</v>
      </c>
      <c r="BB50" s="144">
        <f t="shared" si="127"/>
        <v>2019709.44</v>
      </c>
      <c r="BC50" s="144">
        <f t="shared" si="127"/>
        <v>2019709.44</v>
      </c>
      <c r="BD50" s="144">
        <f t="shared" si="127"/>
        <v>2019709.44</v>
      </c>
      <c r="BE50" s="144">
        <f t="shared" si="127"/>
        <v>2019709.44</v>
      </c>
      <c r="BF50" s="144">
        <f t="shared" si="127"/>
        <v>2019709.44</v>
      </c>
      <c r="BG50" s="144">
        <f t="shared" si="127"/>
        <v>2019709.44</v>
      </c>
      <c r="BH50" s="144">
        <f t="shared" si="127"/>
        <v>2019709.44</v>
      </c>
      <c r="BI50" s="144">
        <f t="shared" si="127"/>
        <v>2019709.44</v>
      </c>
      <c r="BJ50" s="144">
        <f t="shared" si="127"/>
        <v>2019709.44</v>
      </c>
      <c r="BK50" s="144">
        <f t="shared" si="127"/>
        <v>2019709.44</v>
      </c>
      <c r="BL50" s="150">
        <f t="shared" si="121"/>
        <v>24236513.28</v>
      </c>
      <c r="IV50" s="129"/>
    </row>
    <row r="51" spans="1:256" ht="14.25">
      <c r="A51" s="144" t="str">
        <f t="shared" si="105"/>
        <v>5.</v>
      </c>
      <c r="B51" s="144" t="str">
        <f t="shared" si="105"/>
        <v>ДТ</v>
      </c>
      <c r="C51" s="313">
        <f>C28*Прейскурант!F16</f>
        <v>557899.6500000001</v>
      </c>
      <c r="D51" s="313">
        <f>D28*Прейскурант!F16</f>
        <v>557899.6500000001</v>
      </c>
      <c r="E51" s="313">
        <f>E28*Прейскурант!F16</f>
        <v>557899.6500000001</v>
      </c>
      <c r="F51" s="313">
        <f>F28*Прейскурант!F16</f>
        <v>557899.6500000001</v>
      </c>
      <c r="G51" s="313">
        <f>G28*Прейскурант!F16</f>
        <v>557899.6500000001</v>
      </c>
      <c r="H51" s="313">
        <f>H28*Прейскурант!F16</f>
        <v>557899.6500000001</v>
      </c>
      <c r="I51" s="313">
        <f>I28*Прейскурант!F16</f>
        <v>557899.6500000001</v>
      </c>
      <c r="J51" s="153">
        <f t="shared" si="106"/>
        <v>15621190.200000007</v>
      </c>
      <c r="K51" s="153">
        <f t="shared" si="107"/>
        <v>12496952.160000006</v>
      </c>
      <c r="L51" s="153">
        <f t="shared" si="108"/>
        <v>7810595.100000003</v>
      </c>
      <c r="M51" s="144">
        <f t="shared" si="109"/>
        <v>7810595.100000003</v>
      </c>
      <c r="N51" s="144">
        <f t="shared" si="110"/>
        <v>7810595.100000003</v>
      </c>
      <c r="O51" s="144">
        <f t="shared" si="110"/>
        <v>7810595.100000003</v>
      </c>
      <c r="P51" s="144">
        <f t="shared" si="110"/>
        <v>7810595.100000003</v>
      </c>
      <c r="Q51" s="144">
        <f t="shared" si="110"/>
        <v>7810595.100000003</v>
      </c>
      <c r="R51" s="144">
        <f t="shared" si="110"/>
        <v>7810595.100000003</v>
      </c>
      <c r="S51" s="144">
        <f t="shared" si="110"/>
        <v>7810595.100000003</v>
      </c>
      <c r="T51" s="144">
        <f t="shared" si="110"/>
        <v>7810595.100000003</v>
      </c>
      <c r="U51" s="144">
        <f t="shared" si="110"/>
        <v>7810595.100000003</v>
      </c>
      <c r="V51" s="144">
        <f t="shared" si="110"/>
        <v>7810595.100000003</v>
      </c>
      <c r="W51" s="144">
        <f t="shared" si="110"/>
        <v>7810595.100000003</v>
      </c>
      <c r="X51" s="144">
        <f t="shared" si="110"/>
        <v>7810595.100000003</v>
      </c>
      <c r="Y51" s="150">
        <f t="shared" si="111"/>
        <v>93727141.20000005</v>
      </c>
      <c r="Z51" s="144">
        <f t="shared" si="112"/>
        <v>7810595.100000003</v>
      </c>
      <c r="AA51" s="144">
        <f aca="true" t="shared" si="128" ref="AA51:AK51">Z51</f>
        <v>7810595.100000003</v>
      </c>
      <c r="AB51" s="144">
        <f t="shared" si="128"/>
        <v>7810595.100000003</v>
      </c>
      <c r="AC51" s="144">
        <f t="shared" si="128"/>
        <v>7810595.100000003</v>
      </c>
      <c r="AD51" s="144">
        <f t="shared" si="128"/>
        <v>7810595.100000003</v>
      </c>
      <c r="AE51" s="144">
        <f t="shared" si="128"/>
        <v>7810595.100000003</v>
      </c>
      <c r="AF51" s="144">
        <f t="shared" si="128"/>
        <v>7810595.100000003</v>
      </c>
      <c r="AG51" s="144">
        <f t="shared" si="128"/>
        <v>7810595.100000003</v>
      </c>
      <c r="AH51" s="144">
        <f t="shared" si="128"/>
        <v>7810595.100000003</v>
      </c>
      <c r="AI51" s="144">
        <f t="shared" si="128"/>
        <v>7810595.100000003</v>
      </c>
      <c r="AJ51" s="144">
        <f t="shared" si="128"/>
        <v>7810595.100000003</v>
      </c>
      <c r="AK51" s="144">
        <f t="shared" si="128"/>
        <v>7810595.100000003</v>
      </c>
      <c r="AL51" s="150">
        <f t="shared" si="114"/>
        <v>93727141.20000005</v>
      </c>
      <c r="AM51" s="144">
        <f t="shared" si="115"/>
        <v>12496952.160000006</v>
      </c>
      <c r="AN51" s="144">
        <f t="shared" si="116"/>
        <v>12496952.160000006</v>
      </c>
      <c r="AO51" s="144">
        <f t="shared" si="117"/>
        <v>12496952.160000006</v>
      </c>
      <c r="AP51" s="144">
        <f t="shared" si="117"/>
        <v>12496952.160000006</v>
      </c>
      <c r="AQ51" s="144">
        <f t="shared" si="117"/>
        <v>12496952.160000006</v>
      </c>
      <c r="AR51" s="144">
        <f t="shared" si="117"/>
        <v>12496952.160000006</v>
      </c>
      <c r="AS51" s="144">
        <f t="shared" si="117"/>
        <v>12496952.160000006</v>
      </c>
      <c r="AT51" s="144">
        <f t="shared" si="117"/>
        <v>12496952.160000006</v>
      </c>
      <c r="AU51" s="144">
        <f t="shared" si="117"/>
        <v>12496952.160000006</v>
      </c>
      <c r="AV51" s="144">
        <f t="shared" si="117"/>
        <v>12496952.160000006</v>
      </c>
      <c r="AW51" s="144">
        <f t="shared" si="117"/>
        <v>12496952.160000006</v>
      </c>
      <c r="AX51" s="144">
        <f t="shared" si="117"/>
        <v>12496952.160000006</v>
      </c>
      <c r="AY51" s="150">
        <f t="shared" si="118"/>
        <v>149963425.92000008</v>
      </c>
      <c r="AZ51" s="144">
        <f t="shared" si="119"/>
        <v>12496952.160000006</v>
      </c>
      <c r="BA51" s="144">
        <f aca="true" t="shared" si="129" ref="BA51:BK51">AZ51</f>
        <v>12496952.160000006</v>
      </c>
      <c r="BB51" s="144">
        <f t="shared" si="129"/>
        <v>12496952.160000006</v>
      </c>
      <c r="BC51" s="144">
        <f t="shared" si="129"/>
        <v>12496952.160000006</v>
      </c>
      <c r="BD51" s="144">
        <f t="shared" si="129"/>
        <v>12496952.160000006</v>
      </c>
      <c r="BE51" s="144">
        <f t="shared" si="129"/>
        <v>12496952.160000006</v>
      </c>
      <c r="BF51" s="144">
        <f t="shared" si="129"/>
        <v>12496952.160000006</v>
      </c>
      <c r="BG51" s="144">
        <f t="shared" si="129"/>
        <v>12496952.160000006</v>
      </c>
      <c r="BH51" s="144">
        <f t="shared" si="129"/>
        <v>12496952.160000006</v>
      </c>
      <c r="BI51" s="144">
        <f t="shared" si="129"/>
        <v>12496952.160000006</v>
      </c>
      <c r="BJ51" s="144">
        <f t="shared" si="129"/>
        <v>12496952.160000006</v>
      </c>
      <c r="BK51" s="144">
        <f t="shared" si="129"/>
        <v>12496952.160000006</v>
      </c>
      <c r="BL51" s="150">
        <f t="shared" si="121"/>
        <v>149963425.92000008</v>
      </c>
      <c r="IV51" s="129"/>
    </row>
    <row r="52" spans="1:256" ht="14.25">
      <c r="A52" s="144" t="str">
        <f t="shared" si="105"/>
        <v>6.</v>
      </c>
      <c r="B52" s="134" t="str">
        <f t="shared" si="105"/>
        <v>Магазин</v>
      </c>
      <c r="C52" s="134">
        <f>C41*H45</f>
        <v>123705.32475000001</v>
      </c>
      <c r="D52" s="134">
        <f>D41*H45</f>
        <v>123705.32475000001</v>
      </c>
      <c r="E52" s="134">
        <f>E41*H45</f>
        <v>123705.32475000001</v>
      </c>
      <c r="F52" s="134">
        <f>F41*H45</f>
        <v>123705.32475000001</v>
      </c>
      <c r="G52" s="134">
        <f>G41*H45</f>
        <v>123705.32475000001</v>
      </c>
      <c r="H52" s="134">
        <f>H41*H45</f>
        <v>123705.32475000001</v>
      </c>
      <c r="I52" s="134">
        <f>I41*H45</f>
        <v>123705.32475000001</v>
      </c>
      <c r="J52" s="134">
        <f t="shared" si="106"/>
        <v>3463749.0930000003</v>
      </c>
      <c r="K52" s="36">
        <f t="shared" si="107"/>
        <v>2770999.2744000005</v>
      </c>
      <c r="L52" s="36">
        <f t="shared" si="108"/>
        <v>1731874.5465000002</v>
      </c>
      <c r="M52" s="134">
        <f t="shared" si="109"/>
        <v>1731874.5465000002</v>
      </c>
      <c r="N52" s="134">
        <f t="shared" si="110"/>
        <v>1731874.5465000002</v>
      </c>
      <c r="O52" s="134">
        <f t="shared" si="110"/>
        <v>1731874.5465000002</v>
      </c>
      <c r="P52" s="134">
        <f t="shared" si="110"/>
        <v>1731874.5465000002</v>
      </c>
      <c r="Q52" s="134">
        <f t="shared" si="110"/>
        <v>1731874.5465000002</v>
      </c>
      <c r="R52" s="134">
        <f t="shared" si="110"/>
        <v>1731874.5465000002</v>
      </c>
      <c r="S52" s="134">
        <f t="shared" si="110"/>
        <v>1731874.5465000002</v>
      </c>
      <c r="T52" s="134">
        <f t="shared" si="110"/>
        <v>1731874.5465000002</v>
      </c>
      <c r="U52" s="134">
        <f t="shared" si="110"/>
        <v>1731874.5465000002</v>
      </c>
      <c r="V52" s="134">
        <f t="shared" si="110"/>
        <v>1731874.5465000002</v>
      </c>
      <c r="W52" s="134">
        <f t="shared" si="110"/>
        <v>1731874.5465000002</v>
      </c>
      <c r="X52" s="134">
        <f t="shared" si="110"/>
        <v>1731874.5465000002</v>
      </c>
      <c r="Y52" s="152">
        <f t="shared" si="111"/>
        <v>20782494.55800001</v>
      </c>
      <c r="Z52" s="134">
        <f t="shared" si="112"/>
        <v>1731874.5465000002</v>
      </c>
      <c r="AA52" s="134">
        <f aca="true" t="shared" si="130" ref="AA52:AK52">Z52</f>
        <v>1731874.5465000002</v>
      </c>
      <c r="AB52" s="134">
        <f t="shared" si="130"/>
        <v>1731874.5465000002</v>
      </c>
      <c r="AC52" s="134">
        <f t="shared" si="130"/>
        <v>1731874.5465000002</v>
      </c>
      <c r="AD52" s="134">
        <f t="shared" si="130"/>
        <v>1731874.5465000002</v>
      </c>
      <c r="AE52" s="134">
        <f t="shared" si="130"/>
        <v>1731874.5465000002</v>
      </c>
      <c r="AF52" s="134">
        <f t="shared" si="130"/>
        <v>1731874.5465000002</v>
      </c>
      <c r="AG52" s="134">
        <f t="shared" si="130"/>
        <v>1731874.5465000002</v>
      </c>
      <c r="AH52" s="134">
        <f t="shared" si="130"/>
        <v>1731874.5465000002</v>
      </c>
      <c r="AI52" s="134">
        <f t="shared" si="130"/>
        <v>1731874.5465000002</v>
      </c>
      <c r="AJ52" s="134">
        <f t="shared" si="130"/>
        <v>1731874.5465000002</v>
      </c>
      <c r="AK52" s="134">
        <f t="shared" si="130"/>
        <v>1731874.5465000002</v>
      </c>
      <c r="AL52" s="152">
        <f t="shared" si="114"/>
        <v>20782494.55800001</v>
      </c>
      <c r="AM52" s="134">
        <f t="shared" si="115"/>
        <v>2770999.2744000005</v>
      </c>
      <c r="AN52" s="134">
        <f t="shared" si="116"/>
        <v>2770999.2744000005</v>
      </c>
      <c r="AO52" s="134">
        <f t="shared" si="117"/>
        <v>2770999.2744000005</v>
      </c>
      <c r="AP52" s="134">
        <f t="shared" si="117"/>
        <v>2770999.2744000005</v>
      </c>
      <c r="AQ52" s="134">
        <f t="shared" si="117"/>
        <v>2770999.2744000005</v>
      </c>
      <c r="AR52" s="134">
        <f t="shared" si="117"/>
        <v>2770999.2744000005</v>
      </c>
      <c r="AS52" s="134">
        <f t="shared" si="117"/>
        <v>2770999.2744000005</v>
      </c>
      <c r="AT52" s="134">
        <f t="shared" si="117"/>
        <v>2770999.2744000005</v>
      </c>
      <c r="AU52" s="134">
        <f t="shared" si="117"/>
        <v>2770999.2744000005</v>
      </c>
      <c r="AV52" s="134">
        <f t="shared" si="117"/>
        <v>2770999.2744000005</v>
      </c>
      <c r="AW52" s="134">
        <f t="shared" si="117"/>
        <v>2770999.2744000005</v>
      </c>
      <c r="AX52" s="134">
        <f t="shared" si="117"/>
        <v>2770999.2744000005</v>
      </c>
      <c r="AY52" s="152">
        <f t="shared" si="118"/>
        <v>33251991.292799998</v>
      </c>
      <c r="AZ52" s="134">
        <f t="shared" si="119"/>
        <v>2770999.2744000005</v>
      </c>
      <c r="BA52" s="134">
        <f aca="true" t="shared" si="131" ref="BA52:BK52">AZ52</f>
        <v>2770999.2744000005</v>
      </c>
      <c r="BB52" s="134">
        <f t="shared" si="131"/>
        <v>2770999.2744000005</v>
      </c>
      <c r="BC52" s="134">
        <f t="shared" si="131"/>
        <v>2770999.2744000005</v>
      </c>
      <c r="BD52" s="134">
        <f t="shared" si="131"/>
        <v>2770999.2744000005</v>
      </c>
      <c r="BE52" s="134">
        <f t="shared" si="131"/>
        <v>2770999.2744000005</v>
      </c>
      <c r="BF52" s="134">
        <f t="shared" si="131"/>
        <v>2770999.2744000005</v>
      </c>
      <c r="BG52" s="134">
        <f t="shared" si="131"/>
        <v>2770999.2744000005</v>
      </c>
      <c r="BH52" s="134">
        <f t="shared" si="131"/>
        <v>2770999.2744000005</v>
      </c>
      <c r="BI52" s="134">
        <f t="shared" si="131"/>
        <v>2770999.2744000005</v>
      </c>
      <c r="BJ52" s="134">
        <f t="shared" si="131"/>
        <v>2770999.2744000005</v>
      </c>
      <c r="BK52" s="134">
        <f t="shared" si="131"/>
        <v>2770999.2744000005</v>
      </c>
      <c r="BL52" s="152">
        <f t="shared" si="121"/>
        <v>33251991.292799998</v>
      </c>
      <c r="IV52" s="129"/>
    </row>
    <row r="53" spans="1:256" ht="14.25">
      <c r="A53" s="162"/>
      <c r="B53" s="163" t="str">
        <f>B42</f>
        <v>Итого:</v>
      </c>
      <c r="C53" s="162">
        <f aca="true" t="shared" si="132" ref="C53:AH53">SUM(C47:C52)</f>
        <v>1005261.9097500002</v>
      </c>
      <c r="D53" s="162">
        <f t="shared" si="132"/>
        <v>1005261.9097500002</v>
      </c>
      <c r="E53" s="162">
        <f t="shared" si="132"/>
        <v>1005261.9097500002</v>
      </c>
      <c r="F53" s="162">
        <f t="shared" si="132"/>
        <v>1005261.9097500002</v>
      </c>
      <c r="G53" s="162">
        <f t="shared" si="132"/>
        <v>1005261.9097500002</v>
      </c>
      <c r="H53" s="162">
        <f t="shared" si="132"/>
        <v>1005261.9097500002</v>
      </c>
      <c r="I53" s="162">
        <f t="shared" si="132"/>
        <v>1005261.9097500002</v>
      </c>
      <c r="J53" s="162">
        <f t="shared" si="132"/>
        <v>28147333.473000005</v>
      </c>
      <c r="K53" s="162">
        <f t="shared" si="132"/>
        <v>22517866.778400008</v>
      </c>
      <c r="L53" s="162">
        <f t="shared" si="132"/>
        <v>14073666.736500002</v>
      </c>
      <c r="M53" s="162">
        <f t="shared" si="132"/>
        <v>14073666.736500002</v>
      </c>
      <c r="N53" s="162">
        <f t="shared" si="132"/>
        <v>14073666.736500002</v>
      </c>
      <c r="O53" s="162">
        <f t="shared" si="132"/>
        <v>14073666.736500002</v>
      </c>
      <c r="P53" s="162">
        <f t="shared" si="132"/>
        <v>14073666.736500002</v>
      </c>
      <c r="Q53" s="162">
        <f t="shared" si="132"/>
        <v>14073666.736500002</v>
      </c>
      <c r="R53" s="162">
        <f t="shared" si="132"/>
        <v>14073666.736500002</v>
      </c>
      <c r="S53" s="162">
        <f t="shared" si="132"/>
        <v>14073666.736500002</v>
      </c>
      <c r="T53" s="162">
        <f t="shared" si="132"/>
        <v>14073666.736500002</v>
      </c>
      <c r="U53" s="162">
        <f t="shared" si="132"/>
        <v>14073666.736500002</v>
      </c>
      <c r="V53" s="162">
        <f t="shared" si="132"/>
        <v>14073666.736500002</v>
      </c>
      <c r="W53" s="162">
        <f t="shared" si="132"/>
        <v>14073666.736500002</v>
      </c>
      <c r="X53" s="162">
        <f t="shared" si="132"/>
        <v>14073666.736500002</v>
      </c>
      <c r="Y53" s="162">
        <f t="shared" si="132"/>
        <v>168884000.83800006</v>
      </c>
      <c r="Z53" s="162">
        <f t="shared" si="132"/>
        <v>14073666.736500002</v>
      </c>
      <c r="AA53" s="162">
        <f t="shared" si="132"/>
        <v>14073666.736500002</v>
      </c>
      <c r="AB53" s="162">
        <f t="shared" si="132"/>
        <v>14073666.736500002</v>
      </c>
      <c r="AC53" s="162">
        <f t="shared" si="132"/>
        <v>14073666.736500002</v>
      </c>
      <c r="AD53" s="162">
        <f t="shared" si="132"/>
        <v>14073666.736500002</v>
      </c>
      <c r="AE53" s="162">
        <f t="shared" si="132"/>
        <v>14073666.736500002</v>
      </c>
      <c r="AF53" s="162">
        <f t="shared" si="132"/>
        <v>14073666.736500002</v>
      </c>
      <c r="AG53" s="162">
        <f t="shared" si="132"/>
        <v>14073666.736500002</v>
      </c>
      <c r="AH53" s="162">
        <f t="shared" si="132"/>
        <v>14073666.736500002</v>
      </c>
      <c r="AI53" s="162">
        <f aca="true" t="shared" si="133" ref="AI53:BL53">SUM(AI47:AI52)</f>
        <v>14073666.736500002</v>
      </c>
      <c r="AJ53" s="162">
        <f t="shared" si="133"/>
        <v>14073666.736500002</v>
      </c>
      <c r="AK53" s="162">
        <f t="shared" si="133"/>
        <v>14073666.736500002</v>
      </c>
      <c r="AL53" s="162">
        <f t="shared" si="133"/>
        <v>168884000.83800006</v>
      </c>
      <c r="AM53" s="162">
        <f t="shared" si="133"/>
        <v>22517866.778400008</v>
      </c>
      <c r="AN53" s="162">
        <f t="shared" si="133"/>
        <v>22517866.778400008</v>
      </c>
      <c r="AO53" s="162">
        <f t="shared" si="133"/>
        <v>22517866.778400008</v>
      </c>
      <c r="AP53" s="162">
        <f t="shared" si="133"/>
        <v>22517866.778400008</v>
      </c>
      <c r="AQ53" s="162">
        <f t="shared" si="133"/>
        <v>22517866.778400008</v>
      </c>
      <c r="AR53" s="162">
        <f t="shared" si="133"/>
        <v>22517866.778400008</v>
      </c>
      <c r="AS53" s="162">
        <f t="shared" si="133"/>
        <v>22517866.778400008</v>
      </c>
      <c r="AT53" s="162">
        <f t="shared" si="133"/>
        <v>22517866.778400008</v>
      </c>
      <c r="AU53" s="162">
        <f t="shared" si="133"/>
        <v>22517866.778400008</v>
      </c>
      <c r="AV53" s="162">
        <f t="shared" si="133"/>
        <v>22517866.778400008</v>
      </c>
      <c r="AW53" s="162">
        <f t="shared" si="133"/>
        <v>22517866.778400008</v>
      </c>
      <c r="AX53" s="162">
        <f t="shared" si="133"/>
        <v>22517866.778400008</v>
      </c>
      <c r="AY53" s="162">
        <f t="shared" si="133"/>
        <v>270214401.3408001</v>
      </c>
      <c r="AZ53" s="162">
        <f t="shared" si="133"/>
        <v>22517866.778400008</v>
      </c>
      <c r="BA53" s="162">
        <f t="shared" si="133"/>
        <v>22517866.778400008</v>
      </c>
      <c r="BB53" s="162">
        <f t="shared" si="133"/>
        <v>22517866.778400008</v>
      </c>
      <c r="BC53" s="162">
        <f t="shared" si="133"/>
        <v>22517866.778400008</v>
      </c>
      <c r="BD53" s="162">
        <f t="shared" si="133"/>
        <v>22517866.778400008</v>
      </c>
      <c r="BE53" s="162">
        <f t="shared" si="133"/>
        <v>22517866.778400008</v>
      </c>
      <c r="BF53" s="162">
        <f t="shared" si="133"/>
        <v>22517866.778400008</v>
      </c>
      <c r="BG53" s="162">
        <f t="shared" si="133"/>
        <v>22517866.778400008</v>
      </c>
      <c r="BH53" s="162">
        <f t="shared" si="133"/>
        <v>22517866.778400008</v>
      </c>
      <c r="BI53" s="162">
        <f t="shared" si="133"/>
        <v>22517866.778400008</v>
      </c>
      <c r="BJ53" s="162">
        <f t="shared" si="133"/>
        <v>22517866.778400008</v>
      </c>
      <c r="BK53" s="162">
        <f t="shared" si="133"/>
        <v>22517866.778400008</v>
      </c>
      <c r="BL53" s="162">
        <f t="shared" si="133"/>
        <v>270214401.3408001</v>
      </c>
      <c r="IV53" s="129"/>
    </row>
    <row r="54" spans="13:256" ht="14.25">
      <c r="M54" s="129"/>
      <c r="IV54" s="129"/>
    </row>
    <row r="55" spans="3:256" ht="24.75" customHeight="1">
      <c r="C55" s="360" t="s">
        <v>220</v>
      </c>
      <c r="D55" s="360"/>
      <c r="E55" s="360"/>
      <c r="K55" s="361" t="s">
        <v>181</v>
      </c>
      <c r="L55" s="361"/>
      <c r="M55" s="129"/>
      <c r="IV55" s="129"/>
    </row>
    <row r="56" spans="1:256" ht="15.75" customHeight="1">
      <c r="A56" s="369" t="s">
        <v>186</v>
      </c>
      <c r="B56" s="369" t="s">
        <v>187</v>
      </c>
      <c r="C56" s="373" t="s">
        <v>214</v>
      </c>
      <c r="D56" s="373"/>
      <c r="E56" s="373"/>
      <c r="F56" s="373"/>
      <c r="G56" s="373"/>
      <c r="H56" s="164">
        <v>5.6</v>
      </c>
      <c r="I56" s="158" t="s">
        <v>221</v>
      </c>
      <c r="J56" s="369" t="s">
        <v>215</v>
      </c>
      <c r="K56" s="371" t="s">
        <v>190</v>
      </c>
      <c r="L56" s="371" t="s">
        <v>191</v>
      </c>
      <c r="M56" s="369" t="s">
        <v>222</v>
      </c>
      <c r="N56" s="369"/>
      <c r="O56" s="369"/>
      <c r="P56" s="369"/>
      <c r="Q56" s="369"/>
      <c r="R56" s="369"/>
      <c r="S56" s="369"/>
      <c r="T56" s="369"/>
      <c r="U56" s="369"/>
      <c r="V56" s="369"/>
      <c r="W56" s="369"/>
      <c r="X56" s="369"/>
      <c r="Y56" s="369" t="s">
        <v>192</v>
      </c>
      <c r="Z56" s="369" t="s">
        <v>223</v>
      </c>
      <c r="AA56" s="369"/>
      <c r="AB56" s="369"/>
      <c r="AC56" s="369"/>
      <c r="AD56" s="369"/>
      <c r="AE56" s="369"/>
      <c r="AF56" s="369"/>
      <c r="AG56" s="369"/>
      <c r="AH56" s="369"/>
      <c r="AI56" s="369"/>
      <c r="AJ56" s="369"/>
      <c r="AK56" s="369"/>
      <c r="AL56" s="369" t="s">
        <v>192</v>
      </c>
      <c r="AM56" s="369" t="s">
        <v>224</v>
      </c>
      <c r="AN56" s="369"/>
      <c r="AO56" s="369"/>
      <c r="AP56" s="369"/>
      <c r="AQ56" s="369"/>
      <c r="AR56" s="369"/>
      <c r="AS56" s="369"/>
      <c r="AT56" s="369"/>
      <c r="AU56" s="369"/>
      <c r="AV56" s="369"/>
      <c r="AW56" s="369"/>
      <c r="AX56" s="369"/>
      <c r="AY56" s="369" t="s">
        <v>192</v>
      </c>
      <c r="AZ56" s="369" t="s">
        <v>225</v>
      </c>
      <c r="BA56" s="369"/>
      <c r="BB56" s="369"/>
      <c r="BC56" s="369"/>
      <c r="BD56" s="369"/>
      <c r="BE56" s="369"/>
      <c r="BF56" s="369"/>
      <c r="BG56" s="369"/>
      <c r="BH56" s="369"/>
      <c r="BI56" s="369"/>
      <c r="BJ56" s="369"/>
      <c r="BK56" s="369"/>
      <c r="BL56" s="369" t="s">
        <v>192</v>
      </c>
      <c r="IV56" s="129"/>
    </row>
    <row r="57" spans="1:256" ht="20.25" customHeight="1">
      <c r="A57" s="369"/>
      <c r="B57" s="369"/>
      <c r="C57" s="132" t="s">
        <v>193</v>
      </c>
      <c r="D57" s="151" t="s">
        <v>194</v>
      </c>
      <c r="E57" s="151" t="s">
        <v>195</v>
      </c>
      <c r="F57" s="151" t="s">
        <v>196</v>
      </c>
      <c r="G57" s="151" t="s">
        <v>197</v>
      </c>
      <c r="H57" s="151" t="s">
        <v>198</v>
      </c>
      <c r="I57" s="132" t="s">
        <v>199</v>
      </c>
      <c r="J57" s="369"/>
      <c r="K57" s="371"/>
      <c r="L57" s="371"/>
      <c r="M57" s="131" t="s">
        <v>109</v>
      </c>
      <c r="N57" s="131" t="s">
        <v>110</v>
      </c>
      <c r="O57" s="131" t="s">
        <v>111</v>
      </c>
      <c r="P57" s="131" t="s">
        <v>112</v>
      </c>
      <c r="Q57" s="131" t="s">
        <v>113</v>
      </c>
      <c r="R57" s="131" t="s">
        <v>114</v>
      </c>
      <c r="S57" s="131" t="s">
        <v>115</v>
      </c>
      <c r="T57" s="131" t="s">
        <v>116</v>
      </c>
      <c r="U57" s="131" t="s">
        <v>117</v>
      </c>
      <c r="V57" s="131" t="s">
        <v>118</v>
      </c>
      <c r="W57" s="131" t="s">
        <v>119</v>
      </c>
      <c r="X57" s="131" t="s">
        <v>120</v>
      </c>
      <c r="Y57" s="369"/>
      <c r="Z57" s="131" t="s">
        <v>109</v>
      </c>
      <c r="AA57" s="131" t="s">
        <v>110</v>
      </c>
      <c r="AB57" s="131" t="s">
        <v>111</v>
      </c>
      <c r="AC57" s="131" t="s">
        <v>112</v>
      </c>
      <c r="AD57" s="131" t="s">
        <v>113</v>
      </c>
      <c r="AE57" s="131" t="s">
        <v>114</v>
      </c>
      <c r="AF57" s="131" t="s">
        <v>115</v>
      </c>
      <c r="AG57" s="131" t="s">
        <v>116</v>
      </c>
      <c r="AH57" s="131" t="s">
        <v>117</v>
      </c>
      <c r="AI57" s="131" t="s">
        <v>118</v>
      </c>
      <c r="AJ57" s="131" t="s">
        <v>119</v>
      </c>
      <c r="AK57" s="131" t="s">
        <v>120</v>
      </c>
      <c r="AL57" s="369"/>
      <c r="AM57" s="131" t="s">
        <v>109</v>
      </c>
      <c r="AN57" s="131" t="s">
        <v>110</v>
      </c>
      <c r="AO57" s="131" t="s">
        <v>111</v>
      </c>
      <c r="AP57" s="131" t="s">
        <v>112</v>
      </c>
      <c r="AQ57" s="131" t="s">
        <v>113</v>
      </c>
      <c r="AR57" s="131" t="s">
        <v>114</v>
      </c>
      <c r="AS57" s="131" t="s">
        <v>115</v>
      </c>
      <c r="AT57" s="131" t="s">
        <v>116</v>
      </c>
      <c r="AU57" s="131" t="s">
        <v>117</v>
      </c>
      <c r="AV57" s="131" t="s">
        <v>118</v>
      </c>
      <c r="AW57" s="131" t="s">
        <v>119</v>
      </c>
      <c r="AX57" s="131" t="s">
        <v>120</v>
      </c>
      <c r="AY57" s="369"/>
      <c r="AZ57" s="131" t="s">
        <v>109</v>
      </c>
      <c r="BA57" s="131" t="s">
        <v>110</v>
      </c>
      <c r="BB57" s="131" t="s">
        <v>111</v>
      </c>
      <c r="BC57" s="131" t="s">
        <v>112</v>
      </c>
      <c r="BD57" s="131" t="s">
        <v>113</v>
      </c>
      <c r="BE57" s="131" t="s">
        <v>114</v>
      </c>
      <c r="BF57" s="131" t="s">
        <v>115</v>
      </c>
      <c r="BG57" s="131" t="s">
        <v>116</v>
      </c>
      <c r="BH57" s="131" t="s">
        <v>117</v>
      </c>
      <c r="BI57" s="131" t="s">
        <v>118</v>
      </c>
      <c r="BJ57" s="131" t="s">
        <v>119</v>
      </c>
      <c r="BK57" s="131" t="s">
        <v>120</v>
      </c>
      <c r="BL57" s="369"/>
      <c r="IV57" s="129"/>
    </row>
    <row r="58" spans="1:256" ht="14.25">
      <c r="A58" s="165" t="s">
        <v>226</v>
      </c>
      <c r="B58" s="166"/>
      <c r="C58" s="166"/>
      <c r="D58" s="166"/>
      <c r="E58" s="166"/>
      <c r="F58" s="166"/>
      <c r="G58" s="166"/>
      <c r="H58" s="166"/>
      <c r="I58" s="166"/>
      <c r="J58" s="33"/>
      <c r="K58" s="33"/>
      <c r="L58" s="33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7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7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7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7"/>
      <c r="IV58" s="129"/>
    </row>
    <row r="59" spans="1:256" ht="14.25">
      <c r="A59" s="168">
        <f>200</f>
        <v>200</v>
      </c>
      <c r="B59" s="154" t="s">
        <v>227</v>
      </c>
      <c r="C59" s="154">
        <f>A59*I9*H56</f>
        <v>26880</v>
      </c>
      <c r="D59" s="154">
        <f>A59*I9*H56</f>
        <v>26880</v>
      </c>
      <c r="E59" s="154">
        <f>A59*I9*H56</f>
        <v>26880</v>
      </c>
      <c r="F59" s="154">
        <f>A59*I9*H56</f>
        <v>26880</v>
      </c>
      <c r="G59" s="154">
        <f>A59*I9*H56</f>
        <v>26880</v>
      </c>
      <c r="H59" s="154">
        <f>A59*I9*H56</f>
        <v>26880</v>
      </c>
      <c r="I59" s="154">
        <f>A59*I9*H56</f>
        <v>26880</v>
      </c>
      <c r="J59" s="35">
        <f aca="true" t="shared" si="134" ref="J59:J65">SUM(C59:I59)*4</f>
        <v>752640</v>
      </c>
      <c r="K59" s="35">
        <f aca="true" t="shared" si="135" ref="K59:K65">J59*0.8</f>
        <v>602112</v>
      </c>
      <c r="L59" s="35">
        <f aca="true" t="shared" si="136" ref="L59:L65">J59*0.5</f>
        <v>376320</v>
      </c>
      <c r="M59" s="166">
        <f aca="true" t="shared" si="137" ref="M59:M65">L59</f>
        <v>376320</v>
      </c>
      <c r="N59" s="166">
        <f aca="true" t="shared" si="138" ref="N59:N65">L59</f>
        <v>376320</v>
      </c>
      <c r="O59" s="166">
        <f aca="true" t="shared" si="139" ref="O59:O65">M59</f>
        <v>376320</v>
      </c>
      <c r="P59" s="166">
        <f aca="true" t="shared" si="140" ref="P59:P65">N59</f>
        <v>376320</v>
      </c>
      <c r="Q59" s="166">
        <f aca="true" t="shared" si="141" ref="Q59:Q65">O59</f>
        <v>376320</v>
      </c>
      <c r="R59" s="166">
        <f aca="true" t="shared" si="142" ref="R59:R65">P59</f>
        <v>376320</v>
      </c>
      <c r="S59" s="166">
        <f aca="true" t="shared" si="143" ref="S59:S65">Q59</f>
        <v>376320</v>
      </c>
      <c r="T59" s="166">
        <f aca="true" t="shared" si="144" ref="T59:T65">R59</f>
        <v>376320</v>
      </c>
      <c r="U59" s="166">
        <f aca="true" t="shared" si="145" ref="U59:U65">S59</f>
        <v>376320</v>
      </c>
      <c r="V59" s="166">
        <f aca="true" t="shared" si="146" ref="V59:V65">T59</f>
        <v>376320</v>
      </c>
      <c r="W59" s="166">
        <f aca="true" t="shared" si="147" ref="W59:W65">U59</f>
        <v>376320</v>
      </c>
      <c r="X59" s="166">
        <f aca="true" t="shared" si="148" ref="X59:X65">V59</f>
        <v>376320</v>
      </c>
      <c r="Y59" s="169">
        <f aca="true" t="shared" si="149" ref="Y59:Y65">SUM(M59:X59)</f>
        <v>4515840</v>
      </c>
      <c r="Z59" s="154">
        <f aca="true" t="shared" si="150" ref="Z59:Z65">L59</f>
        <v>376320</v>
      </c>
      <c r="AA59" s="154">
        <f aca="true" t="shared" si="151" ref="AA59:AK59">Z59</f>
        <v>376320</v>
      </c>
      <c r="AB59" s="154">
        <f t="shared" si="151"/>
        <v>376320</v>
      </c>
      <c r="AC59" s="154">
        <f t="shared" si="151"/>
        <v>376320</v>
      </c>
      <c r="AD59" s="154">
        <f t="shared" si="151"/>
        <v>376320</v>
      </c>
      <c r="AE59" s="154">
        <f t="shared" si="151"/>
        <v>376320</v>
      </c>
      <c r="AF59" s="154">
        <f t="shared" si="151"/>
        <v>376320</v>
      </c>
      <c r="AG59" s="154">
        <f t="shared" si="151"/>
        <v>376320</v>
      </c>
      <c r="AH59" s="154">
        <f t="shared" si="151"/>
        <v>376320</v>
      </c>
      <c r="AI59" s="154">
        <f t="shared" si="151"/>
        <v>376320</v>
      </c>
      <c r="AJ59" s="154">
        <f t="shared" si="151"/>
        <v>376320</v>
      </c>
      <c r="AK59" s="154">
        <f t="shared" si="151"/>
        <v>376320</v>
      </c>
      <c r="AL59" s="169">
        <f aca="true" t="shared" si="152" ref="AL59:AL65">SUM(Z59:AK59)</f>
        <v>4515840</v>
      </c>
      <c r="AM59" s="154">
        <f aca="true" t="shared" si="153" ref="AM59:AM65">K59</f>
        <v>602112</v>
      </c>
      <c r="AN59" s="154">
        <f aca="true" t="shared" si="154" ref="AN59:AN65">AM59</f>
        <v>602112</v>
      </c>
      <c r="AO59" s="154">
        <f aca="true" t="shared" si="155" ref="AO59:AO65">AM59</f>
        <v>602112</v>
      </c>
      <c r="AP59" s="154">
        <f aca="true" t="shared" si="156" ref="AP59:AP65">AN59</f>
        <v>602112</v>
      </c>
      <c r="AQ59" s="154">
        <f aca="true" t="shared" si="157" ref="AQ59:AQ65">AO59</f>
        <v>602112</v>
      </c>
      <c r="AR59" s="154">
        <f aca="true" t="shared" si="158" ref="AR59:AR65">AP59</f>
        <v>602112</v>
      </c>
      <c r="AS59" s="154">
        <f aca="true" t="shared" si="159" ref="AS59:AS65">AQ59</f>
        <v>602112</v>
      </c>
      <c r="AT59" s="154">
        <f aca="true" t="shared" si="160" ref="AT59:AT65">AR59</f>
        <v>602112</v>
      </c>
      <c r="AU59" s="154">
        <f aca="true" t="shared" si="161" ref="AU59:AU65">AS59</f>
        <v>602112</v>
      </c>
      <c r="AV59" s="154">
        <f aca="true" t="shared" si="162" ref="AV59:AV65">AT59</f>
        <v>602112</v>
      </c>
      <c r="AW59" s="154">
        <f aca="true" t="shared" si="163" ref="AW59:AW65">AU59</f>
        <v>602112</v>
      </c>
      <c r="AX59" s="154">
        <f aca="true" t="shared" si="164" ref="AX59:AX65">AV59</f>
        <v>602112</v>
      </c>
      <c r="AY59" s="169">
        <f aca="true" t="shared" si="165" ref="AY59:AY65">SUM(AM59:AX59)</f>
        <v>7225344</v>
      </c>
      <c r="AZ59" s="154">
        <f aca="true" t="shared" si="166" ref="AZ59:AZ65">K59</f>
        <v>602112</v>
      </c>
      <c r="BA59" s="154">
        <f aca="true" t="shared" si="167" ref="BA59:BK59">AZ59</f>
        <v>602112</v>
      </c>
      <c r="BB59" s="154">
        <f t="shared" si="167"/>
        <v>602112</v>
      </c>
      <c r="BC59" s="154">
        <f t="shared" si="167"/>
        <v>602112</v>
      </c>
      <c r="BD59" s="154">
        <f t="shared" si="167"/>
        <v>602112</v>
      </c>
      <c r="BE59" s="154">
        <f t="shared" si="167"/>
        <v>602112</v>
      </c>
      <c r="BF59" s="154">
        <f t="shared" si="167"/>
        <v>602112</v>
      </c>
      <c r="BG59" s="154">
        <f t="shared" si="167"/>
        <v>602112</v>
      </c>
      <c r="BH59" s="154">
        <f t="shared" si="167"/>
        <v>602112</v>
      </c>
      <c r="BI59" s="154">
        <f t="shared" si="167"/>
        <v>602112</v>
      </c>
      <c r="BJ59" s="154">
        <f t="shared" si="167"/>
        <v>602112</v>
      </c>
      <c r="BK59" s="154">
        <f t="shared" si="167"/>
        <v>602112</v>
      </c>
      <c r="BL59" s="169">
        <f aca="true" t="shared" si="168" ref="BL59:BL65">SUM(AZ59:BK59)</f>
        <v>7225344</v>
      </c>
      <c r="IV59" s="129"/>
    </row>
    <row r="60" spans="1:256" s="156" customFormat="1" ht="14.25">
      <c r="A60" s="170"/>
      <c r="B60" s="144" t="str">
        <f>'Техника оборудование мебель'!B6</f>
        <v>Колонки газораздаточные</v>
      </c>
      <c r="C60" s="144">
        <f>A60*G2*H56</f>
        <v>0</v>
      </c>
      <c r="D60" s="144">
        <f>A60*G2*H56</f>
        <v>0</v>
      </c>
      <c r="E60" s="144">
        <f>A60*G2*H56</f>
        <v>0</v>
      </c>
      <c r="F60" s="144">
        <f>A60*G2*H56</f>
        <v>0</v>
      </c>
      <c r="G60" s="144">
        <f>A60*G2*H56</f>
        <v>0</v>
      </c>
      <c r="H60" s="144">
        <f>A60*G2*H56</f>
        <v>0</v>
      </c>
      <c r="I60" s="144">
        <f>A60*G2*H56</f>
        <v>0</v>
      </c>
      <c r="J60" s="153">
        <f t="shared" si="134"/>
        <v>0</v>
      </c>
      <c r="K60" s="153">
        <f t="shared" si="135"/>
        <v>0</v>
      </c>
      <c r="L60" s="153">
        <f t="shared" si="136"/>
        <v>0</v>
      </c>
      <c r="M60" s="154">
        <f t="shared" si="137"/>
        <v>0</v>
      </c>
      <c r="N60" s="154">
        <f t="shared" si="138"/>
        <v>0</v>
      </c>
      <c r="O60" s="154">
        <f t="shared" si="139"/>
        <v>0</v>
      </c>
      <c r="P60" s="154">
        <f t="shared" si="140"/>
        <v>0</v>
      </c>
      <c r="Q60" s="154">
        <f t="shared" si="141"/>
        <v>0</v>
      </c>
      <c r="R60" s="154">
        <f t="shared" si="142"/>
        <v>0</v>
      </c>
      <c r="S60" s="154">
        <f t="shared" si="143"/>
        <v>0</v>
      </c>
      <c r="T60" s="154">
        <f t="shared" si="144"/>
        <v>0</v>
      </c>
      <c r="U60" s="154">
        <f t="shared" si="145"/>
        <v>0</v>
      </c>
      <c r="V60" s="154">
        <f t="shared" si="146"/>
        <v>0</v>
      </c>
      <c r="W60" s="154">
        <f t="shared" si="147"/>
        <v>0</v>
      </c>
      <c r="X60" s="154">
        <f t="shared" si="148"/>
        <v>0</v>
      </c>
      <c r="Y60" s="150">
        <f t="shared" si="149"/>
        <v>0</v>
      </c>
      <c r="Z60" s="144">
        <f t="shared" si="150"/>
        <v>0</v>
      </c>
      <c r="AA60" s="144">
        <f aca="true" t="shared" si="169" ref="AA60:AK60">Z60</f>
        <v>0</v>
      </c>
      <c r="AB60" s="144">
        <f t="shared" si="169"/>
        <v>0</v>
      </c>
      <c r="AC60" s="144">
        <f t="shared" si="169"/>
        <v>0</v>
      </c>
      <c r="AD60" s="144">
        <f t="shared" si="169"/>
        <v>0</v>
      </c>
      <c r="AE60" s="144">
        <f t="shared" si="169"/>
        <v>0</v>
      </c>
      <c r="AF60" s="144">
        <f t="shared" si="169"/>
        <v>0</v>
      </c>
      <c r="AG60" s="144">
        <f t="shared" si="169"/>
        <v>0</v>
      </c>
      <c r="AH60" s="144">
        <f t="shared" si="169"/>
        <v>0</v>
      </c>
      <c r="AI60" s="144">
        <f t="shared" si="169"/>
        <v>0</v>
      </c>
      <c r="AJ60" s="144">
        <f t="shared" si="169"/>
        <v>0</v>
      </c>
      <c r="AK60" s="144">
        <f t="shared" si="169"/>
        <v>0</v>
      </c>
      <c r="AL60" s="150">
        <f t="shared" si="152"/>
        <v>0</v>
      </c>
      <c r="AM60" s="144">
        <f t="shared" si="153"/>
        <v>0</v>
      </c>
      <c r="AN60" s="144">
        <f t="shared" si="154"/>
        <v>0</v>
      </c>
      <c r="AO60" s="144">
        <f t="shared" si="155"/>
        <v>0</v>
      </c>
      <c r="AP60" s="144">
        <f t="shared" si="156"/>
        <v>0</v>
      </c>
      <c r="AQ60" s="144">
        <f t="shared" si="157"/>
        <v>0</v>
      </c>
      <c r="AR60" s="144">
        <f t="shared" si="158"/>
        <v>0</v>
      </c>
      <c r="AS60" s="144">
        <f t="shared" si="159"/>
        <v>0</v>
      </c>
      <c r="AT60" s="144">
        <f t="shared" si="160"/>
        <v>0</v>
      </c>
      <c r="AU60" s="144">
        <f t="shared" si="161"/>
        <v>0</v>
      </c>
      <c r="AV60" s="144">
        <f t="shared" si="162"/>
        <v>0</v>
      </c>
      <c r="AW60" s="144">
        <f t="shared" si="163"/>
        <v>0</v>
      </c>
      <c r="AX60" s="144">
        <f t="shared" si="164"/>
        <v>0</v>
      </c>
      <c r="AY60" s="150">
        <f t="shared" si="165"/>
        <v>0</v>
      </c>
      <c r="AZ60" s="144">
        <f t="shared" si="166"/>
        <v>0</v>
      </c>
      <c r="BA60" s="144">
        <f aca="true" t="shared" si="170" ref="BA60:BK60">AZ60</f>
        <v>0</v>
      </c>
      <c r="BB60" s="144">
        <f t="shared" si="170"/>
        <v>0</v>
      </c>
      <c r="BC60" s="144">
        <f t="shared" si="170"/>
        <v>0</v>
      </c>
      <c r="BD60" s="144">
        <f t="shared" si="170"/>
        <v>0</v>
      </c>
      <c r="BE60" s="144">
        <f t="shared" si="170"/>
        <v>0</v>
      </c>
      <c r="BF60" s="144">
        <f t="shared" si="170"/>
        <v>0</v>
      </c>
      <c r="BG60" s="144">
        <f t="shared" si="170"/>
        <v>0</v>
      </c>
      <c r="BH60" s="144">
        <f t="shared" si="170"/>
        <v>0</v>
      </c>
      <c r="BI60" s="144">
        <f t="shared" si="170"/>
        <v>0</v>
      </c>
      <c r="BJ60" s="144">
        <f t="shared" si="170"/>
        <v>0</v>
      </c>
      <c r="BK60" s="144">
        <f t="shared" si="170"/>
        <v>0</v>
      </c>
      <c r="BL60" s="150">
        <f t="shared" si="168"/>
        <v>0</v>
      </c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29"/>
      <c r="DF60" s="129"/>
      <c r="DG60" s="129"/>
      <c r="DH60" s="129"/>
      <c r="DI60" s="129"/>
      <c r="DJ60" s="129"/>
      <c r="DK60" s="129"/>
      <c r="DL60" s="129"/>
      <c r="DM60" s="129"/>
      <c r="DN60" s="129"/>
      <c r="DO60" s="129"/>
      <c r="DP60" s="129"/>
      <c r="DQ60" s="129"/>
      <c r="DR60" s="129"/>
      <c r="DS60" s="129"/>
      <c r="DT60" s="129"/>
      <c r="DU60" s="129"/>
      <c r="DV60" s="129"/>
      <c r="DW60" s="129"/>
      <c r="DX60" s="129"/>
      <c r="DY60" s="129"/>
      <c r="DZ60" s="129"/>
      <c r="EA60" s="129"/>
      <c r="EB60" s="129"/>
      <c r="EC60" s="129"/>
      <c r="ED60" s="129"/>
      <c r="EE60" s="129"/>
      <c r="EF60" s="129"/>
      <c r="EG60" s="129"/>
      <c r="EH60" s="129"/>
      <c r="EI60" s="129"/>
      <c r="EJ60" s="129"/>
      <c r="EK60" s="129"/>
      <c r="EL60" s="129"/>
      <c r="EM60" s="129"/>
      <c r="EN60" s="129"/>
      <c r="EO60" s="129"/>
      <c r="EP60" s="129"/>
      <c r="EQ60" s="129"/>
      <c r="ER60" s="129"/>
      <c r="ES60" s="129"/>
      <c r="ET60" s="129"/>
      <c r="EU60" s="129"/>
      <c r="EV60" s="129"/>
      <c r="EW60" s="129"/>
      <c r="EX60" s="129"/>
      <c r="EY60" s="129"/>
      <c r="EZ60" s="129"/>
      <c r="FA60" s="129"/>
      <c r="FB60" s="129"/>
      <c r="FC60" s="129"/>
      <c r="FD60" s="129"/>
      <c r="FE60" s="129"/>
      <c r="FF60" s="129"/>
      <c r="FG60" s="129"/>
      <c r="FH60" s="129"/>
      <c r="FI60" s="129"/>
      <c r="FJ60" s="129"/>
      <c r="FK60" s="129"/>
      <c r="FL60" s="129"/>
      <c r="FM60" s="129"/>
      <c r="FN60" s="129"/>
      <c r="FO60" s="129"/>
      <c r="FP60" s="129"/>
      <c r="FQ60" s="129"/>
      <c r="FR60" s="129"/>
      <c r="FS60" s="129"/>
      <c r="FT60" s="129"/>
      <c r="FU60" s="129"/>
      <c r="FV60" s="129"/>
      <c r="FW60" s="129"/>
      <c r="FX60" s="129"/>
      <c r="FY60" s="129"/>
      <c r="FZ60" s="129"/>
      <c r="GA60" s="129"/>
      <c r="GB60" s="129"/>
      <c r="GC60" s="129"/>
      <c r="GD60" s="129"/>
      <c r="GE60" s="129"/>
      <c r="GF60" s="129"/>
      <c r="GG60" s="129"/>
      <c r="GH60" s="129"/>
      <c r="GI60" s="129"/>
      <c r="GJ60" s="129"/>
      <c r="GK60" s="129"/>
      <c r="GL60" s="129"/>
      <c r="GM60" s="129"/>
      <c r="GN60" s="129"/>
      <c r="GO60" s="129"/>
      <c r="GP60" s="129"/>
      <c r="GQ60" s="129"/>
      <c r="GR60" s="129"/>
      <c r="GS60" s="129"/>
      <c r="GT60" s="129"/>
      <c r="GU60" s="129"/>
      <c r="GV60" s="129"/>
      <c r="GW60" s="129"/>
      <c r="GX60" s="129"/>
      <c r="GY60" s="129"/>
      <c r="GZ60" s="129"/>
      <c r="HA60" s="129"/>
      <c r="HB60" s="129"/>
      <c r="HC60" s="129"/>
      <c r="HD60" s="129"/>
      <c r="HE60" s="129"/>
      <c r="HF60" s="129"/>
      <c r="HG60" s="129"/>
      <c r="HH60" s="129"/>
      <c r="HI60" s="129"/>
      <c r="HJ60" s="129"/>
      <c r="HK60" s="129"/>
      <c r="HL60" s="129"/>
      <c r="HM60" s="129"/>
      <c r="HN60" s="129"/>
      <c r="HO60" s="129"/>
      <c r="HP60" s="129"/>
      <c r="HQ60" s="129"/>
      <c r="HR60" s="129"/>
      <c r="HS60" s="129"/>
      <c r="HT60" s="129"/>
      <c r="HU60" s="129"/>
      <c r="HV60" s="129"/>
      <c r="HW60" s="129"/>
      <c r="HX60" s="129"/>
      <c r="HY60" s="129"/>
      <c r="HZ60" s="129"/>
      <c r="IA60" s="129"/>
      <c r="IB60" s="129"/>
      <c r="IC60" s="129"/>
      <c r="ID60" s="129"/>
      <c r="IE60" s="129"/>
      <c r="IF60" s="129"/>
      <c r="IG60" s="129"/>
      <c r="IH60" s="129"/>
      <c r="II60" s="129"/>
      <c r="IJ60" s="129"/>
      <c r="IK60" s="129"/>
      <c r="IL60" s="129"/>
      <c r="IM60" s="129"/>
      <c r="IN60" s="129"/>
      <c r="IO60" s="129"/>
      <c r="IP60" s="129"/>
      <c r="IQ60" s="129"/>
      <c r="IR60" s="129"/>
      <c r="IS60" s="129"/>
      <c r="IT60" s="129"/>
      <c r="IU60" s="129"/>
      <c r="IV60" s="129"/>
    </row>
    <row r="61" spans="1:256" ht="14.25">
      <c r="A61" s="171"/>
      <c r="B61" s="154" t="str">
        <f>'Техника оборудование мебель'!B7</f>
        <v>Противопожарные стенды</v>
      </c>
      <c r="C61" s="144">
        <f>A61*G2*H56</f>
        <v>0</v>
      </c>
      <c r="D61" s="144">
        <f>A61*G2*H56</f>
        <v>0</v>
      </c>
      <c r="E61" s="144">
        <f>A61*G2*H56</f>
        <v>0</v>
      </c>
      <c r="F61" s="144">
        <f>A61*G2*H56</f>
        <v>0</v>
      </c>
      <c r="G61" s="144">
        <f>A61*G2*H56</f>
        <v>0</v>
      </c>
      <c r="H61" s="144">
        <f>A61*G2*H56</f>
        <v>0</v>
      </c>
      <c r="I61" s="144">
        <f>A61*G2*H56</f>
        <v>0</v>
      </c>
      <c r="J61" s="153">
        <f t="shared" si="134"/>
        <v>0</v>
      </c>
      <c r="K61" s="153">
        <f t="shared" si="135"/>
        <v>0</v>
      </c>
      <c r="L61" s="153">
        <f t="shared" si="136"/>
        <v>0</v>
      </c>
      <c r="M61" s="134">
        <f t="shared" si="137"/>
        <v>0</v>
      </c>
      <c r="N61" s="134">
        <f t="shared" si="138"/>
        <v>0</v>
      </c>
      <c r="O61" s="134">
        <f t="shared" si="139"/>
        <v>0</v>
      </c>
      <c r="P61" s="134">
        <f t="shared" si="140"/>
        <v>0</v>
      </c>
      <c r="Q61" s="134">
        <f t="shared" si="141"/>
        <v>0</v>
      </c>
      <c r="R61" s="134">
        <f t="shared" si="142"/>
        <v>0</v>
      </c>
      <c r="S61" s="134">
        <f t="shared" si="143"/>
        <v>0</v>
      </c>
      <c r="T61" s="134">
        <f t="shared" si="144"/>
        <v>0</v>
      </c>
      <c r="U61" s="134">
        <f t="shared" si="145"/>
        <v>0</v>
      </c>
      <c r="V61" s="134">
        <f t="shared" si="146"/>
        <v>0</v>
      </c>
      <c r="W61" s="134">
        <f t="shared" si="147"/>
        <v>0</v>
      </c>
      <c r="X61" s="134">
        <f t="shared" si="148"/>
        <v>0</v>
      </c>
      <c r="Y61" s="150">
        <f t="shared" si="149"/>
        <v>0</v>
      </c>
      <c r="Z61" s="144">
        <f t="shared" si="150"/>
        <v>0</v>
      </c>
      <c r="AA61" s="144">
        <f aca="true" t="shared" si="171" ref="AA61:AK61">Z61</f>
        <v>0</v>
      </c>
      <c r="AB61" s="144">
        <f t="shared" si="171"/>
        <v>0</v>
      </c>
      <c r="AC61" s="144">
        <f t="shared" si="171"/>
        <v>0</v>
      </c>
      <c r="AD61" s="144">
        <f t="shared" si="171"/>
        <v>0</v>
      </c>
      <c r="AE61" s="144">
        <f t="shared" si="171"/>
        <v>0</v>
      </c>
      <c r="AF61" s="144">
        <f t="shared" si="171"/>
        <v>0</v>
      </c>
      <c r="AG61" s="144">
        <f t="shared" si="171"/>
        <v>0</v>
      </c>
      <c r="AH61" s="144">
        <f t="shared" si="171"/>
        <v>0</v>
      </c>
      <c r="AI61" s="144">
        <f t="shared" si="171"/>
        <v>0</v>
      </c>
      <c r="AJ61" s="144">
        <f t="shared" si="171"/>
        <v>0</v>
      </c>
      <c r="AK61" s="144">
        <f t="shared" si="171"/>
        <v>0</v>
      </c>
      <c r="AL61" s="150">
        <f t="shared" si="152"/>
        <v>0</v>
      </c>
      <c r="AM61" s="144">
        <f t="shared" si="153"/>
        <v>0</v>
      </c>
      <c r="AN61" s="144">
        <f t="shared" si="154"/>
        <v>0</v>
      </c>
      <c r="AO61" s="144">
        <f t="shared" si="155"/>
        <v>0</v>
      </c>
      <c r="AP61" s="144">
        <f t="shared" si="156"/>
        <v>0</v>
      </c>
      <c r="AQ61" s="144">
        <f t="shared" si="157"/>
        <v>0</v>
      </c>
      <c r="AR61" s="144">
        <f t="shared" si="158"/>
        <v>0</v>
      </c>
      <c r="AS61" s="144">
        <f t="shared" si="159"/>
        <v>0</v>
      </c>
      <c r="AT61" s="144">
        <f t="shared" si="160"/>
        <v>0</v>
      </c>
      <c r="AU61" s="144">
        <f t="shared" si="161"/>
        <v>0</v>
      </c>
      <c r="AV61" s="144">
        <f t="shared" si="162"/>
        <v>0</v>
      </c>
      <c r="AW61" s="144">
        <f t="shared" si="163"/>
        <v>0</v>
      </c>
      <c r="AX61" s="144">
        <f t="shared" si="164"/>
        <v>0</v>
      </c>
      <c r="AY61" s="150">
        <f t="shared" si="165"/>
        <v>0</v>
      </c>
      <c r="AZ61" s="144">
        <f t="shared" si="166"/>
        <v>0</v>
      </c>
      <c r="BA61" s="144">
        <f aca="true" t="shared" si="172" ref="BA61:BK61">AZ61</f>
        <v>0</v>
      </c>
      <c r="BB61" s="144">
        <f t="shared" si="172"/>
        <v>0</v>
      </c>
      <c r="BC61" s="144">
        <f t="shared" si="172"/>
        <v>0</v>
      </c>
      <c r="BD61" s="144">
        <f t="shared" si="172"/>
        <v>0</v>
      </c>
      <c r="BE61" s="144">
        <f t="shared" si="172"/>
        <v>0</v>
      </c>
      <c r="BF61" s="144">
        <f t="shared" si="172"/>
        <v>0</v>
      </c>
      <c r="BG61" s="144">
        <f t="shared" si="172"/>
        <v>0</v>
      </c>
      <c r="BH61" s="144">
        <f t="shared" si="172"/>
        <v>0</v>
      </c>
      <c r="BI61" s="144">
        <f t="shared" si="172"/>
        <v>0</v>
      </c>
      <c r="BJ61" s="144">
        <f t="shared" si="172"/>
        <v>0</v>
      </c>
      <c r="BK61" s="144">
        <f t="shared" si="172"/>
        <v>0</v>
      </c>
      <c r="BL61" s="150">
        <f t="shared" si="168"/>
        <v>0</v>
      </c>
      <c r="IV61" s="129"/>
    </row>
    <row r="62" spans="1:256" ht="14.25">
      <c r="A62" s="171"/>
      <c r="B62" s="154" t="str">
        <f>'Техника оборудование мебель'!B8</f>
        <v>Цистерны для сжиженного газа ( с насосом)</v>
      </c>
      <c r="C62" s="144">
        <f>A62*G2*H56</f>
        <v>0</v>
      </c>
      <c r="D62" s="144">
        <f>A62*G2*H56</f>
        <v>0</v>
      </c>
      <c r="E62" s="144">
        <f>A62*G2*H56</f>
        <v>0</v>
      </c>
      <c r="F62" s="144">
        <f>A62*G2*H56</f>
        <v>0</v>
      </c>
      <c r="G62" s="144">
        <f>A62*G2*H56</f>
        <v>0</v>
      </c>
      <c r="H62" s="144">
        <f>A62*G2*H56</f>
        <v>0</v>
      </c>
      <c r="I62" s="144">
        <f>A62*G2*H56</f>
        <v>0</v>
      </c>
      <c r="J62" s="153">
        <f t="shared" si="134"/>
        <v>0</v>
      </c>
      <c r="K62" s="153">
        <f t="shared" si="135"/>
        <v>0</v>
      </c>
      <c r="L62" s="153">
        <f t="shared" si="136"/>
        <v>0</v>
      </c>
      <c r="M62" s="134">
        <f t="shared" si="137"/>
        <v>0</v>
      </c>
      <c r="N62" s="134">
        <f t="shared" si="138"/>
        <v>0</v>
      </c>
      <c r="O62" s="134">
        <f t="shared" si="139"/>
        <v>0</v>
      </c>
      <c r="P62" s="134">
        <f t="shared" si="140"/>
        <v>0</v>
      </c>
      <c r="Q62" s="134">
        <f t="shared" si="141"/>
        <v>0</v>
      </c>
      <c r="R62" s="134">
        <f t="shared" si="142"/>
        <v>0</v>
      </c>
      <c r="S62" s="134">
        <f t="shared" si="143"/>
        <v>0</v>
      </c>
      <c r="T62" s="134">
        <f t="shared" si="144"/>
        <v>0</v>
      </c>
      <c r="U62" s="134">
        <f t="shared" si="145"/>
        <v>0</v>
      </c>
      <c r="V62" s="134">
        <f t="shared" si="146"/>
        <v>0</v>
      </c>
      <c r="W62" s="134">
        <f t="shared" si="147"/>
        <v>0</v>
      </c>
      <c r="X62" s="134">
        <f t="shared" si="148"/>
        <v>0</v>
      </c>
      <c r="Y62" s="150">
        <f t="shared" si="149"/>
        <v>0</v>
      </c>
      <c r="Z62" s="144">
        <f t="shared" si="150"/>
        <v>0</v>
      </c>
      <c r="AA62" s="144">
        <f aca="true" t="shared" si="173" ref="AA62:AK62">Z62</f>
        <v>0</v>
      </c>
      <c r="AB62" s="144">
        <f t="shared" si="173"/>
        <v>0</v>
      </c>
      <c r="AC62" s="144">
        <f t="shared" si="173"/>
        <v>0</v>
      </c>
      <c r="AD62" s="144">
        <f t="shared" si="173"/>
        <v>0</v>
      </c>
      <c r="AE62" s="144">
        <f t="shared" si="173"/>
        <v>0</v>
      </c>
      <c r="AF62" s="144">
        <f t="shared" si="173"/>
        <v>0</v>
      </c>
      <c r="AG62" s="144">
        <f t="shared" si="173"/>
        <v>0</v>
      </c>
      <c r="AH62" s="144">
        <f t="shared" si="173"/>
        <v>0</v>
      </c>
      <c r="AI62" s="144">
        <f t="shared" si="173"/>
        <v>0</v>
      </c>
      <c r="AJ62" s="144">
        <f t="shared" si="173"/>
        <v>0</v>
      </c>
      <c r="AK62" s="144">
        <f t="shared" si="173"/>
        <v>0</v>
      </c>
      <c r="AL62" s="150">
        <f t="shared" si="152"/>
        <v>0</v>
      </c>
      <c r="AM62" s="144">
        <f t="shared" si="153"/>
        <v>0</v>
      </c>
      <c r="AN62" s="144">
        <f t="shared" si="154"/>
        <v>0</v>
      </c>
      <c r="AO62" s="144">
        <f t="shared" si="155"/>
        <v>0</v>
      </c>
      <c r="AP62" s="144">
        <f t="shared" si="156"/>
        <v>0</v>
      </c>
      <c r="AQ62" s="144">
        <f t="shared" si="157"/>
        <v>0</v>
      </c>
      <c r="AR62" s="144">
        <f t="shared" si="158"/>
        <v>0</v>
      </c>
      <c r="AS62" s="144">
        <f t="shared" si="159"/>
        <v>0</v>
      </c>
      <c r="AT62" s="144">
        <f t="shared" si="160"/>
        <v>0</v>
      </c>
      <c r="AU62" s="144">
        <f t="shared" si="161"/>
        <v>0</v>
      </c>
      <c r="AV62" s="144">
        <f t="shared" si="162"/>
        <v>0</v>
      </c>
      <c r="AW62" s="144">
        <f t="shared" si="163"/>
        <v>0</v>
      </c>
      <c r="AX62" s="144">
        <f t="shared" si="164"/>
        <v>0</v>
      </c>
      <c r="AY62" s="150">
        <f t="shared" si="165"/>
        <v>0</v>
      </c>
      <c r="AZ62" s="144">
        <f t="shared" si="166"/>
        <v>0</v>
      </c>
      <c r="BA62" s="144">
        <f aca="true" t="shared" si="174" ref="BA62:BK62">AZ62</f>
        <v>0</v>
      </c>
      <c r="BB62" s="144">
        <f t="shared" si="174"/>
        <v>0</v>
      </c>
      <c r="BC62" s="144">
        <f t="shared" si="174"/>
        <v>0</v>
      </c>
      <c r="BD62" s="144">
        <f t="shared" si="174"/>
        <v>0</v>
      </c>
      <c r="BE62" s="144">
        <f t="shared" si="174"/>
        <v>0</v>
      </c>
      <c r="BF62" s="144">
        <f t="shared" si="174"/>
        <v>0</v>
      </c>
      <c r="BG62" s="144">
        <f t="shared" si="174"/>
        <v>0</v>
      </c>
      <c r="BH62" s="144">
        <f t="shared" si="174"/>
        <v>0</v>
      </c>
      <c r="BI62" s="144">
        <f t="shared" si="174"/>
        <v>0</v>
      </c>
      <c r="BJ62" s="144">
        <f t="shared" si="174"/>
        <v>0</v>
      </c>
      <c r="BK62" s="144">
        <f t="shared" si="174"/>
        <v>0</v>
      </c>
      <c r="BL62" s="150">
        <f t="shared" si="168"/>
        <v>0</v>
      </c>
      <c r="IV62" s="129"/>
    </row>
    <row r="63" spans="1:256" ht="14.25">
      <c r="A63" s="171"/>
      <c r="B63" s="154" t="str">
        <f>'Техника оборудование мебель'!B10</f>
        <v>POS-терминал</v>
      </c>
      <c r="C63" s="144">
        <f>A63*G2*H56</f>
        <v>0</v>
      </c>
      <c r="D63" s="144">
        <f>A63*G2*H56</f>
        <v>0</v>
      </c>
      <c r="E63" s="144">
        <f>A63*G2*H56</f>
        <v>0</v>
      </c>
      <c r="F63" s="144">
        <f>A63*G2*H56</f>
        <v>0</v>
      </c>
      <c r="G63" s="144">
        <f>A63*G2*H56</f>
        <v>0</v>
      </c>
      <c r="H63" s="144">
        <f>A63*G2*H56</f>
        <v>0</v>
      </c>
      <c r="I63" s="144">
        <f>A63*G2*H56</f>
        <v>0</v>
      </c>
      <c r="J63" s="153">
        <f t="shared" si="134"/>
        <v>0</v>
      </c>
      <c r="K63" s="153">
        <f t="shared" si="135"/>
        <v>0</v>
      </c>
      <c r="L63" s="153">
        <f t="shared" si="136"/>
        <v>0</v>
      </c>
      <c r="M63" s="134">
        <f t="shared" si="137"/>
        <v>0</v>
      </c>
      <c r="N63" s="134">
        <f t="shared" si="138"/>
        <v>0</v>
      </c>
      <c r="O63" s="134">
        <f t="shared" si="139"/>
        <v>0</v>
      </c>
      <c r="P63" s="134">
        <f t="shared" si="140"/>
        <v>0</v>
      </c>
      <c r="Q63" s="134">
        <f t="shared" si="141"/>
        <v>0</v>
      </c>
      <c r="R63" s="134">
        <f t="shared" si="142"/>
        <v>0</v>
      </c>
      <c r="S63" s="134">
        <f t="shared" si="143"/>
        <v>0</v>
      </c>
      <c r="T63" s="134">
        <f t="shared" si="144"/>
        <v>0</v>
      </c>
      <c r="U63" s="134">
        <f t="shared" si="145"/>
        <v>0</v>
      </c>
      <c r="V63" s="134">
        <f t="shared" si="146"/>
        <v>0</v>
      </c>
      <c r="W63" s="134">
        <f t="shared" si="147"/>
        <v>0</v>
      </c>
      <c r="X63" s="134">
        <f t="shared" si="148"/>
        <v>0</v>
      </c>
      <c r="Y63" s="150">
        <f t="shared" si="149"/>
        <v>0</v>
      </c>
      <c r="Z63" s="144">
        <f t="shared" si="150"/>
        <v>0</v>
      </c>
      <c r="AA63" s="144">
        <f aca="true" t="shared" si="175" ref="AA63:AK63">Z63</f>
        <v>0</v>
      </c>
      <c r="AB63" s="144">
        <f t="shared" si="175"/>
        <v>0</v>
      </c>
      <c r="AC63" s="144">
        <f t="shared" si="175"/>
        <v>0</v>
      </c>
      <c r="AD63" s="144">
        <f t="shared" si="175"/>
        <v>0</v>
      </c>
      <c r="AE63" s="144">
        <f t="shared" si="175"/>
        <v>0</v>
      </c>
      <c r="AF63" s="144">
        <f t="shared" si="175"/>
        <v>0</v>
      </c>
      <c r="AG63" s="144">
        <f t="shared" si="175"/>
        <v>0</v>
      </c>
      <c r="AH63" s="144">
        <f t="shared" si="175"/>
        <v>0</v>
      </c>
      <c r="AI63" s="144">
        <f t="shared" si="175"/>
        <v>0</v>
      </c>
      <c r="AJ63" s="144">
        <f t="shared" si="175"/>
        <v>0</v>
      </c>
      <c r="AK63" s="144">
        <f t="shared" si="175"/>
        <v>0</v>
      </c>
      <c r="AL63" s="150">
        <f t="shared" si="152"/>
        <v>0</v>
      </c>
      <c r="AM63" s="144">
        <f t="shared" si="153"/>
        <v>0</v>
      </c>
      <c r="AN63" s="144">
        <f t="shared" si="154"/>
        <v>0</v>
      </c>
      <c r="AO63" s="144">
        <f t="shared" si="155"/>
        <v>0</v>
      </c>
      <c r="AP63" s="144">
        <f t="shared" si="156"/>
        <v>0</v>
      </c>
      <c r="AQ63" s="144">
        <f t="shared" si="157"/>
        <v>0</v>
      </c>
      <c r="AR63" s="144">
        <f t="shared" si="158"/>
        <v>0</v>
      </c>
      <c r="AS63" s="144">
        <f t="shared" si="159"/>
        <v>0</v>
      </c>
      <c r="AT63" s="144">
        <f t="shared" si="160"/>
        <v>0</v>
      </c>
      <c r="AU63" s="144">
        <f t="shared" si="161"/>
        <v>0</v>
      </c>
      <c r="AV63" s="144">
        <f t="shared" si="162"/>
        <v>0</v>
      </c>
      <c r="AW63" s="144">
        <f t="shared" si="163"/>
        <v>0</v>
      </c>
      <c r="AX63" s="144">
        <f t="shared" si="164"/>
        <v>0</v>
      </c>
      <c r="AY63" s="150">
        <f t="shared" si="165"/>
        <v>0</v>
      </c>
      <c r="AZ63" s="144">
        <f t="shared" si="166"/>
        <v>0</v>
      </c>
      <c r="BA63" s="144">
        <f aca="true" t="shared" si="176" ref="BA63:BK63">AZ63</f>
        <v>0</v>
      </c>
      <c r="BB63" s="144">
        <f t="shared" si="176"/>
        <v>0</v>
      </c>
      <c r="BC63" s="144">
        <f t="shared" si="176"/>
        <v>0</v>
      </c>
      <c r="BD63" s="144">
        <f t="shared" si="176"/>
        <v>0</v>
      </c>
      <c r="BE63" s="144">
        <f t="shared" si="176"/>
        <v>0</v>
      </c>
      <c r="BF63" s="144">
        <f t="shared" si="176"/>
        <v>0</v>
      </c>
      <c r="BG63" s="144">
        <f t="shared" si="176"/>
        <v>0</v>
      </c>
      <c r="BH63" s="144">
        <f t="shared" si="176"/>
        <v>0</v>
      </c>
      <c r="BI63" s="144">
        <f t="shared" si="176"/>
        <v>0</v>
      </c>
      <c r="BJ63" s="144">
        <f t="shared" si="176"/>
        <v>0</v>
      </c>
      <c r="BK63" s="144">
        <f t="shared" si="176"/>
        <v>0</v>
      </c>
      <c r="BL63" s="150">
        <f t="shared" si="168"/>
        <v>0</v>
      </c>
      <c r="IV63" s="129"/>
    </row>
    <row r="64" spans="1:256" ht="14.25">
      <c r="A64" s="171"/>
      <c r="B64" s="154" t="str">
        <f>'Техника оборудование мебель'!B13</f>
        <v>Фронтальный погрузчик</v>
      </c>
      <c r="C64" s="144">
        <f>A64*G6*H59</f>
        <v>0</v>
      </c>
      <c r="D64" s="144">
        <f>A64*G6*H59</f>
        <v>0</v>
      </c>
      <c r="E64" s="144">
        <f>A64*G6*H59</f>
        <v>0</v>
      </c>
      <c r="F64" s="144">
        <f>A64*G6*H59</f>
        <v>0</v>
      </c>
      <c r="G64" s="144">
        <f>A64*G6*H59</f>
        <v>0</v>
      </c>
      <c r="H64" s="144">
        <f>A64*G6*H59</f>
        <v>0</v>
      </c>
      <c r="I64" s="144">
        <f>A64*G6*H59</f>
        <v>0</v>
      </c>
      <c r="J64" s="153">
        <f t="shared" si="134"/>
        <v>0</v>
      </c>
      <c r="K64" s="153">
        <f t="shared" si="135"/>
        <v>0</v>
      </c>
      <c r="L64" s="153">
        <f t="shared" si="136"/>
        <v>0</v>
      </c>
      <c r="M64" s="134">
        <f t="shared" si="137"/>
        <v>0</v>
      </c>
      <c r="N64" s="134">
        <f t="shared" si="138"/>
        <v>0</v>
      </c>
      <c r="O64" s="134">
        <f t="shared" si="139"/>
        <v>0</v>
      </c>
      <c r="P64" s="134">
        <f t="shared" si="140"/>
        <v>0</v>
      </c>
      <c r="Q64" s="134">
        <f t="shared" si="141"/>
        <v>0</v>
      </c>
      <c r="R64" s="134">
        <f t="shared" si="142"/>
        <v>0</v>
      </c>
      <c r="S64" s="134">
        <f t="shared" si="143"/>
        <v>0</v>
      </c>
      <c r="T64" s="134">
        <f t="shared" si="144"/>
        <v>0</v>
      </c>
      <c r="U64" s="134">
        <f t="shared" si="145"/>
        <v>0</v>
      </c>
      <c r="V64" s="134">
        <f t="shared" si="146"/>
        <v>0</v>
      </c>
      <c r="W64" s="134">
        <f t="shared" si="147"/>
        <v>0</v>
      </c>
      <c r="X64" s="134">
        <f t="shared" si="148"/>
        <v>0</v>
      </c>
      <c r="Y64" s="150">
        <f t="shared" si="149"/>
        <v>0</v>
      </c>
      <c r="Z64" s="144">
        <f t="shared" si="150"/>
        <v>0</v>
      </c>
      <c r="AA64" s="144">
        <f aca="true" t="shared" si="177" ref="AA64:AK64">Z64</f>
        <v>0</v>
      </c>
      <c r="AB64" s="144">
        <f t="shared" si="177"/>
        <v>0</v>
      </c>
      <c r="AC64" s="144">
        <f t="shared" si="177"/>
        <v>0</v>
      </c>
      <c r="AD64" s="144">
        <f t="shared" si="177"/>
        <v>0</v>
      </c>
      <c r="AE64" s="144">
        <f t="shared" si="177"/>
        <v>0</v>
      </c>
      <c r="AF64" s="144">
        <f t="shared" si="177"/>
        <v>0</v>
      </c>
      <c r="AG64" s="144">
        <f t="shared" si="177"/>
        <v>0</v>
      </c>
      <c r="AH64" s="144">
        <f t="shared" si="177"/>
        <v>0</v>
      </c>
      <c r="AI64" s="144">
        <f t="shared" si="177"/>
        <v>0</v>
      </c>
      <c r="AJ64" s="144">
        <f t="shared" si="177"/>
        <v>0</v>
      </c>
      <c r="AK64" s="144">
        <f t="shared" si="177"/>
        <v>0</v>
      </c>
      <c r="AL64" s="150">
        <f t="shared" si="152"/>
        <v>0</v>
      </c>
      <c r="AM64" s="144">
        <f t="shared" si="153"/>
        <v>0</v>
      </c>
      <c r="AN64" s="144">
        <f t="shared" si="154"/>
        <v>0</v>
      </c>
      <c r="AO64" s="144">
        <f t="shared" si="155"/>
        <v>0</v>
      </c>
      <c r="AP64" s="144">
        <f t="shared" si="156"/>
        <v>0</v>
      </c>
      <c r="AQ64" s="144">
        <f t="shared" si="157"/>
        <v>0</v>
      </c>
      <c r="AR64" s="144">
        <f t="shared" si="158"/>
        <v>0</v>
      </c>
      <c r="AS64" s="144">
        <f t="shared" si="159"/>
        <v>0</v>
      </c>
      <c r="AT64" s="144">
        <f t="shared" si="160"/>
        <v>0</v>
      </c>
      <c r="AU64" s="144">
        <f t="shared" si="161"/>
        <v>0</v>
      </c>
      <c r="AV64" s="144">
        <f t="shared" si="162"/>
        <v>0</v>
      </c>
      <c r="AW64" s="144">
        <f t="shared" si="163"/>
        <v>0</v>
      </c>
      <c r="AX64" s="144">
        <f t="shared" si="164"/>
        <v>0</v>
      </c>
      <c r="AY64" s="150">
        <f t="shared" si="165"/>
        <v>0</v>
      </c>
      <c r="AZ64" s="144">
        <f t="shared" si="166"/>
        <v>0</v>
      </c>
      <c r="BA64" s="144">
        <f aca="true" t="shared" si="178" ref="BA64:BK64">AZ64</f>
        <v>0</v>
      </c>
      <c r="BB64" s="144">
        <f t="shared" si="178"/>
        <v>0</v>
      </c>
      <c r="BC64" s="144">
        <f t="shared" si="178"/>
        <v>0</v>
      </c>
      <c r="BD64" s="144">
        <f t="shared" si="178"/>
        <v>0</v>
      </c>
      <c r="BE64" s="144">
        <f t="shared" si="178"/>
        <v>0</v>
      </c>
      <c r="BF64" s="144">
        <f t="shared" si="178"/>
        <v>0</v>
      </c>
      <c r="BG64" s="144">
        <f t="shared" si="178"/>
        <v>0</v>
      </c>
      <c r="BH64" s="144">
        <f t="shared" si="178"/>
        <v>0</v>
      </c>
      <c r="BI64" s="144">
        <f t="shared" si="178"/>
        <v>0</v>
      </c>
      <c r="BJ64" s="144">
        <f t="shared" si="178"/>
        <v>0</v>
      </c>
      <c r="BK64" s="144">
        <f t="shared" si="178"/>
        <v>0</v>
      </c>
      <c r="BL64" s="150">
        <f t="shared" si="168"/>
        <v>0</v>
      </c>
      <c r="IV64" s="129"/>
    </row>
    <row r="65" spans="1:256" ht="14.25">
      <c r="A65" s="171"/>
      <c r="B65" s="154" t="str">
        <f>'Техника оборудование мебель'!B14</f>
        <v>Комплект для бесконтактной мойки</v>
      </c>
      <c r="C65" s="144">
        <f>A65*G2*H56</f>
        <v>0</v>
      </c>
      <c r="D65" s="144">
        <f>A65*G2*H56</f>
        <v>0</v>
      </c>
      <c r="E65" s="144">
        <f>A65*G2*H56</f>
        <v>0</v>
      </c>
      <c r="F65" s="144">
        <f>A65*G2*H56</f>
        <v>0</v>
      </c>
      <c r="G65" s="144">
        <f>A65*G2*H56</f>
        <v>0</v>
      </c>
      <c r="H65" s="144">
        <f>A65*G2*H56</f>
        <v>0</v>
      </c>
      <c r="I65" s="144">
        <f>A65*G2*H56</f>
        <v>0</v>
      </c>
      <c r="J65" s="153">
        <f t="shared" si="134"/>
        <v>0</v>
      </c>
      <c r="K65" s="153">
        <f t="shared" si="135"/>
        <v>0</v>
      </c>
      <c r="L65" s="153">
        <f t="shared" si="136"/>
        <v>0</v>
      </c>
      <c r="M65" s="134">
        <f t="shared" si="137"/>
        <v>0</v>
      </c>
      <c r="N65" s="134">
        <f t="shared" si="138"/>
        <v>0</v>
      </c>
      <c r="O65" s="134">
        <f t="shared" si="139"/>
        <v>0</v>
      </c>
      <c r="P65" s="134">
        <f t="shared" si="140"/>
        <v>0</v>
      </c>
      <c r="Q65" s="134">
        <f t="shared" si="141"/>
        <v>0</v>
      </c>
      <c r="R65" s="134">
        <f t="shared" si="142"/>
        <v>0</v>
      </c>
      <c r="S65" s="134">
        <f t="shared" si="143"/>
        <v>0</v>
      </c>
      <c r="T65" s="134">
        <f t="shared" si="144"/>
        <v>0</v>
      </c>
      <c r="U65" s="134">
        <f t="shared" si="145"/>
        <v>0</v>
      </c>
      <c r="V65" s="134">
        <f t="shared" si="146"/>
        <v>0</v>
      </c>
      <c r="W65" s="134">
        <f t="shared" si="147"/>
        <v>0</v>
      </c>
      <c r="X65" s="134">
        <f t="shared" si="148"/>
        <v>0</v>
      </c>
      <c r="Y65" s="150">
        <f t="shared" si="149"/>
        <v>0</v>
      </c>
      <c r="Z65" s="144">
        <f t="shared" si="150"/>
        <v>0</v>
      </c>
      <c r="AA65" s="144">
        <f aca="true" t="shared" si="179" ref="AA65:AK65">Z65</f>
        <v>0</v>
      </c>
      <c r="AB65" s="144">
        <f t="shared" si="179"/>
        <v>0</v>
      </c>
      <c r="AC65" s="144">
        <f t="shared" si="179"/>
        <v>0</v>
      </c>
      <c r="AD65" s="144">
        <f t="shared" si="179"/>
        <v>0</v>
      </c>
      <c r="AE65" s="144">
        <f t="shared" si="179"/>
        <v>0</v>
      </c>
      <c r="AF65" s="144">
        <f t="shared" si="179"/>
        <v>0</v>
      </c>
      <c r="AG65" s="144">
        <f t="shared" si="179"/>
        <v>0</v>
      </c>
      <c r="AH65" s="144">
        <f t="shared" si="179"/>
        <v>0</v>
      </c>
      <c r="AI65" s="144">
        <f t="shared" si="179"/>
        <v>0</v>
      </c>
      <c r="AJ65" s="144">
        <f t="shared" si="179"/>
        <v>0</v>
      </c>
      <c r="AK65" s="144">
        <f t="shared" si="179"/>
        <v>0</v>
      </c>
      <c r="AL65" s="150">
        <f t="shared" si="152"/>
        <v>0</v>
      </c>
      <c r="AM65" s="144">
        <f t="shared" si="153"/>
        <v>0</v>
      </c>
      <c r="AN65" s="144">
        <f t="shared" si="154"/>
        <v>0</v>
      </c>
      <c r="AO65" s="144">
        <f t="shared" si="155"/>
        <v>0</v>
      </c>
      <c r="AP65" s="144">
        <f t="shared" si="156"/>
        <v>0</v>
      </c>
      <c r="AQ65" s="144">
        <f t="shared" si="157"/>
        <v>0</v>
      </c>
      <c r="AR65" s="144">
        <f t="shared" si="158"/>
        <v>0</v>
      </c>
      <c r="AS65" s="144">
        <f t="shared" si="159"/>
        <v>0</v>
      </c>
      <c r="AT65" s="144">
        <f t="shared" si="160"/>
        <v>0</v>
      </c>
      <c r="AU65" s="144">
        <f t="shared" si="161"/>
        <v>0</v>
      </c>
      <c r="AV65" s="144">
        <f t="shared" si="162"/>
        <v>0</v>
      </c>
      <c r="AW65" s="144">
        <f t="shared" si="163"/>
        <v>0</v>
      </c>
      <c r="AX65" s="144">
        <f t="shared" si="164"/>
        <v>0</v>
      </c>
      <c r="AY65" s="150">
        <f t="shared" si="165"/>
        <v>0</v>
      </c>
      <c r="AZ65" s="144">
        <f t="shared" si="166"/>
        <v>0</v>
      </c>
      <c r="BA65" s="144">
        <f aca="true" t="shared" si="180" ref="BA65:BK65">AZ65</f>
        <v>0</v>
      </c>
      <c r="BB65" s="144">
        <f t="shared" si="180"/>
        <v>0</v>
      </c>
      <c r="BC65" s="144">
        <f t="shared" si="180"/>
        <v>0</v>
      </c>
      <c r="BD65" s="144">
        <f t="shared" si="180"/>
        <v>0</v>
      </c>
      <c r="BE65" s="144">
        <f t="shared" si="180"/>
        <v>0</v>
      </c>
      <c r="BF65" s="144">
        <f t="shared" si="180"/>
        <v>0</v>
      </c>
      <c r="BG65" s="144">
        <f t="shared" si="180"/>
        <v>0</v>
      </c>
      <c r="BH65" s="144">
        <f t="shared" si="180"/>
        <v>0</v>
      </c>
      <c r="BI65" s="144">
        <f t="shared" si="180"/>
        <v>0</v>
      </c>
      <c r="BJ65" s="144">
        <f t="shared" si="180"/>
        <v>0</v>
      </c>
      <c r="BK65" s="144">
        <f t="shared" si="180"/>
        <v>0</v>
      </c>
      <c r="BL65" s="150">
        <f t="shared" si="168"/>
        <v>0</v>
      </c>
      <c r="IV65" s="129"/>
    </row>
    <row r="66" spans="3:256" ht="14.25">
      <c r="C66" s="162">
        <f aca="true" t="shared" si="181" ref="C66:AH66">SUM(C58:C65)</f>
        <v>26880</v>
      </c>
      <c r="D66" s="162">
        <f t="shared" si="181"/>
        <v>26880</v>
      </c>
      <c r="E66" s="162">
        <f t="shared" si="181"/>
        <v>26880</v>
      </c>
      <c r="F66" s="162">
        <f t="shared" si="181"/>
        <v>26880</v>
      </c>
      <c r="G66" s="162">
        <f t="shared" si="181"/>
        <v>26880</v>
      </c>
      <c r="H66" s="162">
        <f t="shared" si="181"/>
        <v>26880</v>
      </c>
      <c r="I66" s="162">
        <f t="shared" si="181"/>
        <v>26880</v>
      </c>
      <c r="J66" s="162">
        <f t="shared" si="181"/>
        <v>752640</v>
      </c>
      <c r="K66" s="162">
        <f t="shared" si="181"/>
        <v>602112</v>
      </c>
      <c r="L66" s="162">
        <f t="shared" si="181"/>
        <v>376320</v>
      </c>
      <c r="M66" s="162">
        <f t="shared" si="181"/>
        <v>376320</v>
      </c>
      <c r="N66" s="162">
        <f t="shared" si="181"/>
        <v>376320</v>
      </c>
      <c r="O66" s="162">
        <f t="shared" si="181"/>
        <v>376320</v>
      </c>
      <c r="P66" s="162">
        <f t="shared" si="181"/>
        <v>376320</v>
      </c>
      <c r="Q66" s="162">
        <f t="shared" si="181"/>
        <v>376320</v>
      </c>
      <c r="R66" s="162">
        <f t="shared" si="181"/>
        <v>376320</v>
      </c>
      <c r="S66" s="162">
        <f t="shared" si="181"/>
        <v>376320</v>
      </c>
      <c r="T66" s="162">
        <f t="shared" si="181"/>
        <v>376320</v>
      </c>
      <c r="U66" s="162">
        <f t="shared" si="181"/>
        <v>376320</v>
      </c>
      <c r="V66" s="162">
        <f t="shared" si="181"/>
        <v>376320</v>
      </c>
      <c r="W66" s="162">
        <f t="shared" si="181"/>
        <v>376320</v>
      </c>
      <c r="X66" s="162">
        <f t="shared" si="181"/>
        <v>376320</v>
      </c>
      <c r="Y66" s="162">
        <f t="shared" si="181"/>
        <v>4515840</v>
      </c>
      <c r="Z66" s="162">
        <f t="shared" si="181"/>
        <v>376320</v>
      </c>
      <c r="AA66" s="162">
        <f t="shared" si="181"/>
        <v>376320</v>
      </c>
      <c r="AB66" s="162">
        <f t="shared" si="181"/>
        <v>376320</v>
      </c>
      <c r="AC66" s="162">
        <f t="shared" si="181"/>
        <v>376320</v>
      </c>
      <c r="AD66" s="162">
        <f t="shared" si="181"/>
        <v>376320</v>
      </c>
      <c r="AE66" s="162">
        <f t="shared" si="181"/>
        <v>376320</v>
      </c>
      <c r="AF66" s="162">
        <f t="shared" si="181"/>
        <v>376320</v>
      </c>
      <c r="AG66" s="162">
        <f t="shared" si="181"/>
        <v>376320</v>
      </c>
      <c r="AH66" s="162">
        <f t="shared" si="181"/>
        <v>376320</v>
      </c>
      <c r="AI66" s="162">
        <f aca="true" t="shared" si="182" ref="AI66:BL66">SUM(AI58:AI65)</f>
        <v>376320</v>
      </c>
      <c r="AJ66" s="162">
        <f t="shared" si="182"/>
        <v>376320</v>
      </c>
      <c r="AK66" s="162">
        <f t="shared" si="182"/>
        <v>376320</v>
      </c>
      <c r="AL66" s="162">
        <f t="shared" si="182"/>
        <v>4515840</v>
      </c>
      <c r="AM66" s="162">
        <f t="shared" si="182"/>
        <v>602112</v>
      </c>
      <c r="AN66" s="162">
        <f t="shared" si="182"/>
        <v>602112</v>
      </c>
      <c r="AO66" s="162">
        <f t="shared" si="182"/>
        <v>602112</v>
      </c>
      <c r="AP66" s="162">
        <f t="shared" si="182"/>
        <v>602112</v>
      </c>
      <c r="AQ66" s="162">
        <f t="shared" si="182"/>
        <v>602112</v>
      </c>
      <c r="AR66" s="162">
        <f t="shared" si="182"/>
        <v>602112</v>
      </c>
      <c r="AS66" s="162">
        <f t="shared" si="182"/>
        <v>602112</v>
      </c>
      <c r="AT66" s="162">
        <f t="shared" si="182"/>
        <v>602112</v>
      </c>
      <c r="AU66" s="162">
        <f t="shared" si="182"/>
        <v>602112</v>
      </c>
      <c r="AV66" s="162">
        <f t="shared" si="182"/>
        <v>602112</v>
      </c>
      <c r="AW66" s="162">
        <f t="shared" si="182"/>
        <v>602112</v>
      </c>
      <c r="AX66" s="162">
        <f t="shared" si="182"/>
        <v>602112</v>
      </c>
      <c r="AY66" s="162">
        <f t="shared" si="182"/>
        <v>7225344</v>
      </c>
      <c r="AZ66" s="162">
        <f t="shared" si="182"/>
        <v>602112</v>
      </c>
      <c r="BA66" s="162">
        <f t="shared" si="182"/>
        <v>602112</v>
      </c>
      <c r="BB66" s="162">
        <f t="shared" si="182"/>
        <v>602112</v>
      </c>
      <c r="BC66" s="162">
        <f t="shared" si="182"/>
        <v>602112</v>
      </c>
      <c r="BD66" s="162">
        <f t="shared" si="182"/>
        <v>602112</v>
      </c>
      <c r="BE66" s="162">
        <f t="shared" si="182"/>
        <v>602112</v>
      </c>
      <c r="BF66" s="162">
        <f t="shared" si="182"/>
        <v>602112</v>
      </c>
      <c r="BG66" s="162">
        <f t="shared" si="182"/>
        <v>602112</v>
      </c>
      <c r="BH66" s="162">
        <f t="shared" si="182"/>
        <v>602112</v>
      </c>
      <c r="BI66" s="162">
        <f t="shared" si="182"/>
        <v>602112</v>
      </c>
      <c r="BJ66" s="162">
        <f t="shared" si="182"/>
        <v>602112</v>
      </c>
      <c r="BK66" s="162">
        <f t="shared" si="182"/>
        <v>602112</v>
      </c>
      <c r="BL66" s="162">
        <f t="shared" si="182"/>
        <v>7225344</v>
      </c>
      <c r="IV66" s="129"/>
    </row>
    <row r="67" ht="14.25">
      <c r="IV67" s="129"/>
    </row>
    <row r="68" spans="3:256" ht="14.25">
      <c r="C68" s="172"/>
      <c r="IV68" s="129"/>
    </row>
    <row r="69" ht="14.25">
      <c r="IV69" s="129"/>
    </row>
    <row r="70" ht="14.25">
      <c r="IV70" s="129"/>
    </row>
    <row r="71" ht="14.25">
      <c r="IV71" s="129"/>
    </row>
    <row r="72" ht="14.25">
      <c r="IV72" s="129"/>
    </row>
    <row r="73" ht="14.25">
      <c r="IV73" s="129"/>
    </row>
    <row r="74" ht="14.25">
      <c r="IV74" s="129"/>
    </row>
    <row r="75" ht="14.25">
      <c r="IV75" s="129"/>
    </row>
    <row r="76" ht="14.25">
      <c r="IV76" s="129"/>
    </row>
    <row r="77" ht="14.25">
      <c r="IV77" s="129"/>
    </row>
    <row r="78" ht="14.25">
      <c r="IV78" s="129"/>
    </row>
    <row r="79" ht="14.25">
      <c r="IV79" s="129"/>
    </row>
    <row r="80" ht="14.25">
      <c r="IV80" s="129"/>
    </row>
    <row r="81" ht="14.25">
      <c r="IV81" s="129"/>
    </row>
    <row r="82" ht="14.25">
      <c r="IV82" s="129"/>
    </row>
    <row r="83" ht="14.25">
      <c r="IV83" s="129"/>
    </row>
    <row r="84" ht="14.25">
      <c r="IV84" s="129"/>
    </row>
    <row r="85" ht="14.25">
      <c r="IV85" s="129"/>
    </row>
    <row r="86" ht="14.25">
      <c r="IV86" s="129"/>
    </row>
    <row r="87" ht="14.25">
      <c r="IV87" s="129"/>
    </row>
    <row r="88" ht="14.25">
      <c r="IV88" s="129"/>
    </row>
    <row r="89" ht="14.25">
      <c r="IV89" s="129"/>
    </row>
    <row r="90" ht="14.25">
      <c r="IV90" s="129"/>
    </row>
    <row r="91" ht="14.25">
      <c r="IV91" s="129"/>
    </row>
    <row r="92" ht="14.25">
      <c r="IV92" s="129"/>
    </row>
    <row r="93" ht="14.25">
      <c r="IV93" s="129"/>
    </row>
    <row r="94" ht="14.25">
      <c r="IV94" s="129"/>
    </row>
    <row r="95" ht="14.25">
      <c r="IV95" s="129"/>
    </row>
    <row r="96" ht="14.25">
      <c r="IV96" s="129"/>
    </row>
    <row r="97" ht="14.25">
      <c r="IV97" s="129"/>
    </row>
    <row r="98" ht="14.25">
      <c r="IV98" s="129"/>
    </row>
    <row r="99" ht="14.25">
      <c r="IV99" s="129"/>
    </row>
    <row r="100" ht="14.25">
      <c r="IV100" s="129"/>
    </row>
    <row r="101" ht="14.25">
      <c r="IV101" s="129"/>
    </row>
    <row r="102" ht="14.25">
      <c r="IV102" s="129"/>
    </row>
    <row r="103" ht="14.25">
      <c r="IV103" s="129"/>
    </row>
    <row r="104" ht="14.25">
      <c r="IV104" s="129"/>
    </row>
    <row r="105" ht="14.25">
      <c r="IV105" s="129"/>
    </row>
    <row r="106" ht="14.25">
      <c r="IV106" s="129"/>
    </row>
    <row r="107" ht="14.25">
      <c r="IV107" s="129"/>
    </row>
    <row r="108" ht="14.25">
      <c r="IV108" s="129"/>
    </row>
    <row r="109" ht="14.25">
      <c r="IV109" s="129"/>
    </row>
    <row r="110" ht="14.25">
      <c r="IV110" s="129"/>
    </row>
    <row r="111" ht="14.25">
      <c r="IV111" s="129"/>
    </row>
    <row r="112" ht="14.25">
      <c r="IV112" s="129"/>
    </row>
    <row r="113" ht="14.25">
      <c r="IV113" s="129"/>
    </row>
    <row r="114" ht="14.25">
      <c r="IV114" s="129"/>
    </row>
    <row r="115" ht="14.25">
      <c r="IV115" s="129"/>
    </row>
    <row r="116" ht="14.25">
      <c r="IV116" s="129"/>
    </row>
    <row r="117" ht="14.25">
      <c r="IV117" s="129"/>
    </row>
    <row r="118" ht="14.25">
      <c r="IV118" s="129"/>
    </row>
    <row r="119" ht="14.25">
      <c r="IV119" s="129"/>
    </row>
    <row r="120" ht="14.25">
      <c r="IV120" s="129"/>
    </row>
    <row r="121" ht="14.25">
      <c r="IV121" s="129"/>
    </row>
    <row r="122" ht="14.25">
      <c r="IV122" s="129"/>
    </row>
    <row r="123" ht="14.25">
      <c r="IV123" s="129"/>
    </row>
    <row r="124" ht="14.25">
      <c r="IV124" s="129"/>
    </row>
    <row r="125" ht="14.25">
      <c r="IV125" s="129"/>
    </row>
    <row r="126" ht="14.25">
      <c r="IV126" s="129"/>
    </row>
    <row r="127" ht="14.25">
      <c r="IV127" s="129"/>
    </row>
    <row r="128" ht="14.25">
      <c r="IV128" s="129"/>
    </row>
    <row r="129" ht="14.25">
      <c r="IV129" s="129"/>
    </row>
    <row r="130" ht="14.25">
      <c r="IV130" s="129"/>
    </row>
    <row r="131" ht="14.25">
      <c r="IV131" s="129"/>
    </row>
    <row r="132" ht="14.25">
      <c r="IV132" s="129"/>
    </row>
    <row r="133" ht="14.25">
      <c r="IV133" s="129"/>
    </row>
    <row r="134" ht="14.25">
      <c r="IV134" s="129"/>
    </row>
    <row r="135" ht="14.25">
      <c r="IV135" s="129"/>
    </row>
    <row r="136" ht="14.25">
      <c r="IV136" s="129"/>
    </row>
    <row r="137" ht="14.25">
      <c r="IV137" s="129"/>
    </row>
    <row r="138" ht="14.25">
      <c r="IV138" s="129"/>
    </row>
    <row r="139" ht="14.25">
      <c r="IV139" s="129"/>
    </row>
    <row r="140" ht="14.25">
      <c r="IV140" s="129"/>
    </row>
    <row r="141" ht="14.25">
      <c r="IV141" s="129"/>
    </row>
    <row r="142" ht="14.25">
      <c r="IV142" s="129"/>
    </row>
    <row r="143" ht="14.25">
      <c r="IV143" s="129"/>
    </row>
    <row r="144" ht="14.25">
      <c r="IV144" s="129"/>
    </row>
    <row r="145" ht="14.25">
      <c r="IV145" s="129"/>
    </row>
    <row r="146" ht="14.25">
      <c r="IV146" s="129"/>
    </row>
    <row r="147" ht="14.25">
      <c r="IV147" s="129"/>
    </row>
    <row r="148" ht="14.25">
      <c r="IV148" s="129"/>
    </row>
    <row r="149" ht="14.25">
      <c r="IV149" s="129"/>
    </row>
    <row r="150" ht="14.25">
      <c r="IV150" s="129"/>
    </row>
    <row r="151" ht="14.25">
      <c r="IV151" s="129"/>
    </row>
    <row r="152" ht="14.25">
      <c r="IV152" s="129"/>
    </row>
    <row r="153" ht="14.25">
      <c r="IV153" s="129"/>
    </row>
    <row r="154" ht="14.25">
      <c r="IV154" s="129"/>
    </row>
    <row r="155" ht="14.25">
      <c r="IV155" s="129"/>
    </row>
    <row r="156" ht="14.25">
      <c r="IV156" s="129"/>
    </row>
    <row r="157" ht="14.25">
      <c r="IV157" s="129"/>
    </row>
    <row r="158" ht="14.25">
      <c r="IV158" s="129"/>
    </row>
    <row r="159" ht="14.25">
      <c r="IV159" s="129"/>
    </row>
    <row r="160" ht="14.25">
      <c r="IV160" s="129"/>
    </row>
    <row r="161" ht="14.25">
      <c r="IV161" s="129"/>
    </row>
    <row r="162" ht="14.25">
      <c r="IV162" s="129"/>
    </row>
    <row r="163" ht="14.25">
      <c r="IV163" s="129"/>
    </row>
    <row r="164" ht="14.25">
      <c r="IV164" s="129"/>
    </row>
    <row r="165" ht="14.25">
      <c r="IV165" s="129"/>
    </row>
    <row r="166" ht="14.25">
      <c r="IV166" s="129"/>
    </row>
    <row r="167" ht="14.25">
      <c r="IV167" s="129"/>
    </row>
    <row r="168" ht="14.25">
      <c r="IV168" s="129"/>
    </row>
    <row r="169" ht="14.25">
      <c r="IV169" s="129"/>
    </row>
    <row r="170" ht="14.25">
      <c r="IV170" s="129"/>
    </row>
    <row r="171" ht="14.25">
      <c r="IV171" s="129"/>
    </row>
    <row r="172" ht="14.25">
      <c r="IV172" s="129"/>
    </row>
    <row r="173" ht="14.25">
      <c r="IV173" s="129"/>
    </row>
    <row r="174" ht="14.25">
      <c r="IV174" s="129"/>
    </row>
    <row r="175" ht="14.25">
      <c r="IV175" s="129"/>
    </row>
    <row r="176" ht="14.25">
      <c r="IV176" s="129"/>
    </row>
    <row r="177" ht="14.25">
      <c r="IV177" s="129"/>
    </row>
    <row r="178" ht="14.25">
      <c r="IV178" s="129"/>
    </row>
    <row r="179" ht="14.25">
      <c r="IV179" s="129"/>
    </row>
    <row r="180" ht="14.25">
      <c r="IV180" s="129"/>
    </row>
    <row r="181" ht="14.25">
      <c r="IV181" s="129"/>
    </row>
    <row r="182" ht="14.25">
      <c r="IV182" s="129"/>
    </row>
    <row r="183" ht="14.25">
      <c r="IV183" s="129"/>
    </row>
    <row r="184" ht="14.25">
      <c r="IV184" s="129"/>
    </row>
    <row r="185" ht="14.25">
      <c r="IV185" s="129"/>
    </row>
    <row r="186" ht="14.25">
      <c r="IV186" s="129"/>
    </row>
    <row r="187" ht="14.25">
      <c r="IV187" s="129"/>
    </row>
    <row r="188" ht="14.25">
      <c r="IV188" s="129"/>
    </row>
    <row r="189" ht="14.25">
      <c r="IV189" s="129"/>
    </row>
    <row r="190" ht="14.25">
      <c r="IV190" s="129"/>
    </row>
    <row r="191" ht="14.25">
      <c r="IV191" s="129"/>
    </row>
    <row r="192" ht="14.25">
      <c r="IV192" s="129"/>
    </row>
    <row r="193" ht="14.25">
      <c r="IV193" s="129"/>
    </row>
    <row r="194" ht="14.25">
      <c r="IV194" s="129"/>
    </row>
    <row r="195" ht="14.25">
      <c r="IV195" s="129"/>
    </row>
    <row r="196" ht="14.25">
      <c r="IV196" s="129"/>
    </row>
    <row r="197" ht="14.25">
      <c r="IV197" s="129"/>
    </row>
    <row r="198" ht="14.25">
      <c r="IV198" s="129"/>
    </row>
    <row r="199" ht="14.25">
      <c r="IV199" s="129"/>
    </row>
    <row r="200" ht="14.25">
      <c r="IV200" s="129"/>
    </row>
    <row r="201" ht="14.25">
      <c r="IV201" s="129"/>
    </row>
    <row r="202" ht="14.25">
      <c r="IV202" s="129"/>
    </row>
    <row r="203" ht="14.25">
      <c r="IV203" s="129"/>
    </row>
    <row r="204" ht="14.25">
      <c r="IV204" s="129"/>
    </row>
    <row r="205" ht="14.25">
      <c r="IV205" s="129"/>
    </row>
    <row r="206" ht="14.25">
      <c r="IV206" s="129"/>
    </row>
    <row r="207" ht="14.25">
      <c r="IV207" s="129"/>
    </row>
    <row r="208" ht="14.25">
      <c r="IV208" s="129"/>
    </row>
    <row r="209" ht="14.25">
      <c r="IV209" s="129"/>
    </row>
    <row r="210" ht="14.25">
      <c r="IV210" s="129"/>
    </row>
    <row r="211" ht="14.25">
      <c r="IV211" s="129"/>
    </row>
    <row r="212" ht="14.25">
      <c r="IV212" s="129"/>
    </row>
    <row r="213" ht="14.25">
      <c r="IV213" s="129"/>
    </row>
    <row r="214" ht="14.25">
      <c r="IV214" s="129"/>
    </row>
    <row r="215" ht="14.25">
      <c r="IV215" s="129"/>
    </row>
    <row r="216" ht="14.25">
      <c r="IV216" s="129"/>
    </row>
    <row r="217" ht="14.25">
      <c r="IV217" s="129"/>
    </row>
    <row r="218" ht="14.25">
      <c r="IV218" s="129"/>
    </row>
    <row r="219" ht="14.25">
      <c r="IV219" s="129"/>
    </row>
    <row r="220" ht="14.25">
      <c r="IV220" s="129"/>
    </row>
    <row r="221" ht="14.25">
      <c r="IV221" s="129"/>
    </row>
    <row r="222" ht="14.25">
      <c r="IV222" s="129"/>
    </row>
    <row r="223" ht="14.25">
      <c r="IV223" s="129"/>
    </row>
    <row r="224" ht="14.25">
      <c r="IV224" s="129"/>
    </row>
    <row r="225" ht="14.25">
      <c r="IV225" s="129"/>
    </row>
    <row r="226" ht="14.25">
      <c r="IV226" s="129"/>
    </row>
    <row r="227" ht="14.25">
      <c r="IV227" s="129"/>
    </row>
    <row r="228" ht="14.25">
      <c r="IV228" s="129"/>
    </row>
    <row r="229" ht="14.25">
      <c r="IV229" s="129"/>
    </row>
    <row r="230" ht="14.25">
      <c r="IV230" s="129"/>
    </row>
    <row r="231" ht="14.25">
      <c r="IV231" s="129"/>
    </row>
    <row r="232" ht="14.25">
      <c r="IV232" s="129"/>
    </row>
    <row r="233" ht="14.25">
      <c r="IV233" s="129"/>
    </row>
    <row r="234" ht="14.25">
      <c r="IV234" s="129"/>
    </row>
    <row r="235" ht="14.25">
      <c r="IV235" s="129"/>
    </row>
    <row r="236" ht="14.25">
      <c r="IV236" s="129"/>
    </row>
    <row r="237" ht="14.25">
      <c r="IV237" s="129"/>
    </row>
    <row r="238" ht="14.25">
      <c r="IV238" s="129"/>
    </row>
    <row r="239" ht="14.25">
      <c r="IV239" s="129"/>
    </row>
    <row r="240" ht="14.25">
      <c r="IV240" s="129"/>
    </row>
    <row r="241" ht="14.25">
      <c r="IV241" s="129"/>
    </row>
    <row r="242" ht="14.25">
      <c r="IV242" s="129"/>
    </row>
    <row r="243" ht="14.25">
      <c r="IV243" s="129"/>
    </row>
    <row r="244" ht="14.25">
      <c r="IV244" s="129"/>
    </row>
    <row r="245" ht="14.25">
      <c r="IV245" s="129"/>
    </row>
    <row r="246" ht="14.25">
      <c r="IV246" s="129"/>
    </row>
    <row r="247" ht="14.25">
      <c r="IV247" s="129"/>
    </row>
    <row r="248" ht="14.25">
      <c r="IV248" s="129"/>
    </row>
    <row r="249" ht="14.25">
      <c r="IV249" s="129"/>
    </row>
    <row r="250" ht="14.25">
      <c r="IV250" s="129"/>
    </row>
    <row r="251" ht="14.25">
      <c r="IV251" s="129"/>
    </row>
    <row r="252" ht="14.25">
      <c r="IV252" s="129"/>
    </row>
    <row r="253" ht="14.25">
      <c r="IV253" s="129"/>
    </row>
    <row r="254" ht="14.25">
      <c r="IV254" s="129"/>
    </row>
    <row r="255" ht="14.25">
      <c r="IV255" s="129"/>
    </row>
    <row r="256" ht="14.25">
      <c r="IV256" s="129"/>
    </row>
    <row r="257" ht="14.25">
      <c r="IV257" s="129"/>
    </row>
    <row r="258" ht="14.25">
      <c r="IV258" s="129"/>
    </row>
    <row r="259" ht="14.25">
      <c r="IV259" s="129"/>
    </row>
    <row r="260" ht="14.25">
      <c r="IV260" s="129"/>
    </row>
    <row r="261" ht="14.25">
      <c r="IV261" s="129"/>
    </row>
    <row r="262" ht="14.25">
      <c r="IV262" s="129"/>
    </row>
    <row r="263" ht="14.25">
      <c r="IV263" s="129"/>
    </row>
    <row r="264" ht="14.25">
      <c r="IV264" s="129"/>
    </row>
    <row r="265" ht="14.25">
      <c r="IV265" s="129"/>
    </row>
    <row r="266" ht="14.25">
      <c r="IV266" s="129"/>
    </row>
    <row r="267" ht="14.25">
      <c r="IV267" s="129"/>
    </row>
    <row r="268" ht="14.25">
      <c r="IV268" s="129"/>
    </row>
    <row r="269" ht="14.25">
      <c r="IV269" s="129"/>
    </row>
    <row r="270" ht="14.25">
      <c r="IV270" s="129"/>
    </row>
    <row r="271" ht="14.25">
      <c r="IV271" s="129"/>
    </row>
    <row r="272" ht="14.25">
      <c r="IV272" s="129"/>
    </row>
    <row r="273" ht="14.25">
      <c r="IV273" s="129"/>
    </row>
    <row r="274" ht="14.25">
      <c r="IV274" s="129"/>
    </row>
    <row r="275" ht="14.25">
      <c r="IV275" s="129"/>
    </row>
    <row r="276" ht="14.25">
      <c r="IV276" s="129"/>
    </row>
    <row r="277" ht="14.25">
      <c r="IV277" s="129"/>
    </row>
    <row r="278" ht="14.25">
      <c r="IV278" s="129"/>
    </row>
    <row r="279" ht="14.25">
      <c r="IV279" s="129"/>
    </row>
    <row r="280" ht="14.25">
      <c r="IV280" s="129"/>
    </row>
    <row r="281" ht="14.25">
      <c r="IV281" s="129"/>
    </row>
    <row r="282" ht="14.25">
      <c r="IV282" s="129"/>
    </row>
    <row r="283" ht="14.25">
      <c r="IV283" s="129"/>
    </row>
    <row r="284" ht="14.25">
      <c r="IV284" s="129"/>
    </row>
    <row r="285" ht="14.25">
      <c r="IV285" s="129"/>
    </row>
    <row r="286" ht="14.25">
      <c r="IV286" s="129"/>
    </row>
    <row r="287" ht="14.25">
      <c r="IV287" s="129"/>
    </row>
    <row r="288" ht="14.25">
      <c r="IV288" s="129"/>
    </row>
    <row r="289" ht="14.25">
      <c r="IV289" s="129"/>
    </row>
    <row r="290" ht="14.25">
      <c r="IV290" s="129"/>
    </row>
    <row r="291" ht="14.25">
      <c r="IV291" s="129"/>
    </row>
    <row r="292" ht="14.25">
      <c r="IV292" s="129"/>
    </row>
    <row r="293" ht="14.25">
      <c r="IV293" s="129"/>
    </row>
    <row r="294" ht="14.25">
      <c r="IV294" s="129"/>
    </row>
    <row r="295" ht="14.25">
      <c r="IV295" s="129"/>
    </row>
    <row r="296" ht="14.25">
      <c r="IV296" s="129"/>
    </row>
    <row r="297" ht="14.25">
      <c r="IV297" s="129"/>
    </row>
    <row r="298" ht="14.25">
      <c r="IV298" s="129"/>
    </row>
    <row r="299" ht="14.25">
      <c r="IV299" s="129"/>
    </row>
    <row r="300" ht="14.25">
      <c r="IV300" s="129"/>
    </row>
    <row r="301" ht="14.25">
      <c r="IV301" s="129"/>
    </row>
    <row r="302" ht="14.25">
      <c r="IV302" s="129"/>
    </row>
    <row r="303" ht="14.25">
      <c r="IV303" s="129"/>
    </row>
    <row r="304" ht="14.25">
      <c r="IV304" s="129"/>
    </row>
    <row r="305" ht="14.25">
      <c r="IV305" s="129"/>
    </row>
    <row r="306" ht="14.25">
      <c r="IV306" s="129"/>
    </row>
    <row r="307" ht="14.25">
      <c r="IV307" s="129"/>
    </row>
    <row r="308" ht="14.25">
      <c r="IV308" s="129"/>
    </row>
    <row r="309" ht="14.25">
      <c r="IV309" s="129"/>
    </row>
    <row r="310" ht="14.25">
      <c r="IV310" s="129"/>
    </row>
    <row r="311" ht="14.25">
      <c r="IV311" s="129"/>
    </row>
    <row r="312" ht="14.25">
      <c r="IV312" s="129"/>
    </row>
    <row r="313" ht="14.25">
      <c r="IV313" s="129"/>
    </row>
    <row r="314" ht="14.25">
      <c r="IV314" s="129"/>
    </row>
    <row r="315" ht="14.25">
      <c r="IV315" s="129"/>
    </row>
    <row r="316" ht="14.25">
      <c r="IV316" s="129"/>
    </row>
    <row r="317" ht="14.25">
      <c r="IV317" s="129"/>
    </row>
    <row r="318" ht="14.25">
      <c r="IV318" s="129"/>
    </row>
    <row r="319" ht="14.25">
      <c r="IV319" s="129"/>
    </row>
    <row r="320" ht="14.25">
      <c r="IV320" s="129"/>
    </row>
    <row r="321" ht="14.25">
      <c r="IV321" s="129"/>
    </row>
    <row r="322" ht="14.25">
      <c r="IV322" s="129"/>
    </row>
    <row r="323" ht="14.25">
      <c r="IV323" s="129"/>
    </row>
    <row r="324" ht="14.25">
      <c r="IV324" s="129"/>
    </row>
    <row r="325" ht="14.25">
      <c r="IV325" s="129"/>
    </row>
    <row r="326" ht="14.25">
      <c r="IV326" s="129"/>
    </row>
    <row r="327" ht="14.25">
      <c r="IV327" s="129"/>
    </row>
    <row r="328" ht="14.25">
      <c r="IV328" s="129"/>
    </row>
    <row r="329" ht="14.25">
      <c r="IV329" s="129"/>
    </row>
    <row r="330" ht="14.25">
      <c r="IV330" s="129"/>
    </row>
    <row r="331" ht="14.25">
      <c r="IV331" s="129"/>
    </row>
    <row r="332" ht="14.25">
      <c r="IV332" s="129"/>
    </row>
    <row r="333" ht="14.25">
      <c r="IV333" s="129"/>
    </row>
    <row r="334" ht="14.25">
      <c r="IV334" s="129"/>
    </row>
    <row r="335" ht="14.25">
      <c r="IV335" s="129"/>
    </row>
    <row r="336" ht="14.25">
      <c r="IV336" s="129"/>
    </row>
    <row r="337" ht="14.25">
      <c r="IV337" s="129"/>
    </row>
    <row r="338" ht="14.25">
      <c r="IV338" s="129"/>
    </row>
    <row r="339" ht="14.25">
      <c r="IV339" s="129"/>
    </row>
    <row r="340" ht="14.25">
      <c r="IV340" s="129"/>
    </row>
    <row r="341" ht="14.25">
      <c r="IV341" s="129"/>
    </row>
    <row r="342" ht="14.25">
      <c r="IV342" s="129"/>
    </row>
    <row r="343" ht="14.25">
      <c r="IV343" s="129"/>
    </row>
    <row r="344" ht="14.25">
      <c r="IV344" s="129"/>
    </row>
    <row r="345" ht="14.25">
      <c r="IV345" s="129"/>
    </row>
    <row r="346" ht="14.25">
      <c r="IV346" s="129"/>
    </row>
    <row r="347" ht="14.25">
      <c r="IV347" s="129"/>
    </row>
    <row r="348" ht="14.25">
      <c r="IV348" s="129"/>
    </row>
    <row r="349" ht="14.25">
      <c r="IV349" s="129"/>
    </row>
    <row r="350" ht="14.25">
      <c r="IV350" s="129"/>
    </row>
    <row r="351" ht="14.25">
      <c r="IV351" s="129"/>
    </row>
    <row r="352" ht="14.25">
      <c r="IV352" s="129"/>
    </row>
    <row r="353" ht="14.25">
      <c r="IV353" s="129"/>
    </row>
    <row r="354" ht="14.25">
      <c r="IV354" s="129"/>
    </row>
    <row r="355" ht="14.25">
      <c r="IV355" s="129"/>
    </row>
    <row r="356" ht="14.25">
      <c r="IV356" s="129"/>
    </row>
    <row r="357" ht="14.25">
      <c r="IV357" s="129"/>
    </row>
    <row r="358" ht="14.25">
      <c r="IV358" s="129"/>
    </row>
    <row r="359" ht="14.25">
      <c r="IV359" s="129"/>
    </row>
    <row r="360" ht="14.25">
      <c r="IV360" s="129"/>
    </row>
    <row r="361" ht="14.25">
      <c r="IV361" s="129"/>
    </row>
    <row r="362" ht="14.25">
      <c r="IV362" s="129"/>
    </row>
    <row r="363" ht="14.25">
      <c r="IV363" s="129"/>
    </row>
    <row r="364" ht="14.25">
      <c r="IV364" s="129"/>
    </row>
    <row r="365" ht="14.25">
      <c r="IV365" s="129"/>
    </row>
    <row r="366" ht="14.25">
      <c r="IV366" s="129"/>
    </row>
    <row r="367" ht="14.25">
      <c r="IV367" s="129"/>
    </row>
    <row r="368" ht="14.25">
      <c r="IV368" s="129"/>
    </row>
    <row r="369" ht="14.25">
      <c r="IV369" s="129"/>
    </row>
    <row r="370" ht="14.25">
      <c r="IV370" s="129"/>
    </row>
    <row r="371" ht="14.25">
      <c r="IV371" s="129"/>
    </row>
    <row r="372" ht="14.25">
      <c r="IV372" s="129"/>
    </row>
    <row r="373" ht="14.25">
      <c r="IV373" s="129"/>
    </row>
    <row r="374" ht="14.25">
      <c r="IV374" s="129"/>
    </row>
    <row r="375" ht="14.25">
      <c r="IV375" s="129"/>
    </row>
    <row r="376" ht="14.25">
      <c r="IV376" s="129"/>
    </row>
    <row r="377" ht="14.25">
      <c r="IV377" s="129"/>
    </row>
    <row r="378" ht="14.25">
      <c r="IV378" s="129"/>
    </row>
    <row r="379" ht="14.25">
      <c r="IV379" s="129"/>
    </row>
    <row r="380" ht="14.25">
      <c r="IV380" s="129"/>
    </row>
    <row r="381" ht="14.25">
      <c r="IV381" s="129"/>
    </row>
    <row r="382" ht="14.25">
      <c r="IV382" s="129"/>
    </row>
    <row r="383" ht="14.25">
      <c r="IV383" s="129"/>
    </row>
    <row r="384" ht="14.25">
      <c r="IV384" s="129"/>
    </row>
    <row r="385" ht="14.25">
      <c r="IV385" s="129"/>
    </row>
    <row r="386" ht="14.25">
      <c r="IV386" s="129"/>
    </row>
    <row r="387" ht="14.25">
      <c r="IV387" s="129"/>
    </row>
    <row r="388" ht="14.25">
      <c r="IV388" s="129"/>
    </row>
    <row r="389" ht="14.25">
      <c r="IV389" s="129"/>
    </row>
    <row r="390" ht="14.25">
      <c r="IV390" s="129"/>
    </row>
    <row r="391" ht="14.25">
      <c r="IV391" s="129"/>
    </row>
    <row r="392" ht="14.25">
      <c r="IV392" s="129"/>
    </row>
    <row r="393" ht="14.25">
      <c r="IV393" s="129"/>
    </row>
    <row r="394" ht="14.25">
      <c r="IV394" s="129"/>
    </row>
    <row r="395" ht="14.25">
      <c r="IV395" s="129"/>
    </row>
    <row r="396" ht="14.25">
      <c r="IV396" s="129"/>
    </row>
    <row r="397" ht="14.25">
      <c r="IV397" s="129"/>
    </row>
    <row r="398" ht="14.25">
      <c r="IV398" s="129"/>
    </row>
    <row r="399" ht="14.25">
      <c r="IV399" s="129"/>
    </row>
    <row r="400" ht="14.25">
      <c r="IV400" s="129"/>
    </row>
    <row r="401" ht="14.25">
      <c r="IV401" s="129"/>
    </row>
    <row r="402" ht="14.25">
      <c r="IV402" s="129"/>
    </row>
    <row r="403" ht="14.25">
      <c r="IV403" s="129"/>
    </row>
    <row r="404" ht="14.25">
      <c r="IV404" s="129"/>
    </row>
    <row r="405" ht="14.25">
      <c r="IV405" s="129"/>
    </row>
    <row r="406" ht="14.25">
      <c r="IV406" s="129"/>
    </row>
    <row r="407" ht="14.25">
      <c r="IV407" s="129"/>
    </row>
    <row r="408" ht="14.25">
      <c r="IV408" s="129"/>
    </row>
    <row r="409" ht="14.25">
      <c r="IV409" s="129"/>
    </row>
    <row r="410" ht="14.25">
      <c r="IV410" s="129"/>
    </row>
    <row r="411" ht="14.25">
      <c r="IV411" s="129"/>
    </row>
    <row r="412" ht="14.25">
      <c r="IV412" s="129"/>
    </row>
    <row r="413" ht="14.25">
      <c r="IV413" s="129"/>
    </row>
    <row r="414" ht="14.25">
      <c r="IV414" s="129"/>
    </row>
    <row r="415" ht="14.25">
      <c r="IV415" s="129"/>
    </row>
    <row r="416" ht="14.25">
      <c r="IV416" s="129"/>
    </row>
    <row r="417" ht="14.25">
      <c r="IV417" s="129"/>
    </row>
    <row r="418" ht="14.25">
      <c r="IV418" s="129"/>
    </row>
    <row r="419" ht="14.25">
      <c r="IV419" s="129"/>
    </row>
    <row r="420" ht="14.25">
      <c r="IV420" s="129"/>
    </row>
    <row r="421" ht="14.25">
      <c r="IV421" s="129"/>
    </row>
    <row r="422" ht="14.25">
      <c r="IV422" s="129"/>
    </row>
    <row r="423" ht="14.25">
      <c r="IV423" s="129"/>
    </row>
    <row r="424" ht="14.25">
      <c r="IV424" s="129"/>
    </row>
    <row r="425" ht="14.25">
      <c r="IV425" s="129"/>
    </row>
    <row r="426" ht="14.25">
      <c r="IV426" s="129"/>
    </row>
    <row r="427" ht="14.25">
      <c r="IV427" s="129"/>
    </row>
    <row r="428" ht="14.25">
      <c r="IV428" s="129"/>
    </row>
    <row r="429" ht="14.25">
      <c r="IV429" s="129"/>
    </row>
    <row r="430" ht="14.25">
      <c r="IV430" s="129"/>
    </row>
    <row r="431" ht="14.25">
      <c r="IV431" s="129"/>
    </row>
    <row r="432" ht="14.25">
      <c r="IV432" s="129"/>
    </row>
    <row r="433" ht="14.25">
      <c r="IV433" s="129"/>
    </row>
    <row r="434" ht="14.25">
      <c r="IV434" s="129"/>
    </row>
    <row r="435" ht="14.25">
      <c r="IV435" s="129"/>
    </row>
    <row r="436" ht="14.25">
      <c r="IV436" s="129"/>
    </row>
    <row r="437" ht="14.25">
      <c r="IV437" s="129"/>
    </row>
    <row r="438" ht="14.25">
      <c r="IV438" s="129"/>
    </row>
    <row r="439" ht="14.25">
      <c r="IV439" s="129"/>
    </row>
    <row r="440" ht="14.25">
      <c r="IV440" s="129"/>
    </row>
    <row r="441" ht="14.25">
      <c r="IV441" s="129"/>
    </row>
    <row r="442" ht="14.25">
      <c r="IV442" s="129"/>
    </row>
    <row r="443" ht="14.25">
      <c r="IV443" s="129"/>
    </row>
    <row r="444" ht="14.25">
      <c r="IV444" s="129"/>
    </row>
    <row r="445" ht="14.25">
      <c r="IV445" s="129"/>
    </row>
    <row r="446" ht="14.25">
      <c r="IV446" s="129"/>
    </row>
    <row r="447" ht="14.25">
      <c r="IV447" s="129"/>
    </row>
    <row r="448" ht="14.25">
      <c r="IV448" s="129"/>
    </row>
    <row r="449" ht="14.25">
      <c r="IV449" s="129"/>
    </row>
    <row r="450" ht="14.25">
      <c r="IV450" s="129"/>
    </row>
    <row r="451" ht="14.25">
      <c r="IV451" s="129"/>
    </row>
    <row r="452" ht="14.25">
      <c r="IV452" s="129"/>
    </row>
    <row r="453" ht="14.25">
      <c r="IV453" s="129"/>
    </row>
    <row r="454" ht="14.25">
      <c r="IV454" s="129"/>
    </row>
    <row r="455" ht="14.25">
      <c r="IV455" s="129"/>
    </row>
    <row r="456" ht="14.25">
      <c r="IV456" s="129"/>
    </row>
    <row r="457" ht="14.25">
      <c r="IV457" s="129"/>
    </row>
    <row r="458" ht="14.25">
      <c r="IV458" s="129"/>
    </row>
    <row r="459" ht="14.25">
      <c r="IV459" s="129"/>
    </row>
    <row r="460" ht="14.25">
      <c r="IV460" s="129"/>
    </row>
    <row r="461" ht="14.25">
      <c r="IV461" s="129"/>
    </row>
    <row r="462" ht="14.25">
      <c r="IV462" s="129"/>
    </row>
  </sheetData>
  <sheetProtection/>
  <mergeCells count="83">
    <mergeCell ref="BL56:BL57"/>
    <mergeCell ref="M56:X56"/>
    <mergeCell ref="Y56:Y57"/>
    <mergeCell ref="Z56:AK56"/>
    <mergeCell ref="AL56:AL57"/>
    <mergeCell ref="AM56:AX56"/>
    <mergeCell ref="AY56:AY57"/>
    <mergeCell ref="BL45:BL46"/>
    <mergeCell ref="C55:E55"/>
    <mergeCell ref="K55:L55"/>
    <mergeCell ref="A56:A57"/>
    <mergeCell ref="B56:B57"/>
    <mergeCell ref="C56:G56"/>
    <mergeCell ref="J56:J57"/>
    <mergeCell ref="K56:K57"/>
    <mergeCell ref="L56:L57"/>
    <mergeCell ref="AZ56:BK56"/>
    <mergeCell ref="Y45:Y46"/>
    <mergeCell ref="Z45:AK45"/>
    <mergeCell ref="AL45:AL46"/>
    <mergeCell ref="AM45:AX45"/>
    <mergeCell ref="AY45:AY46"/>
    <mergeCell ref="AZ45:BK45"/>
    <mergeCell ref="AZ34:BK34"/>
    <mergeCell ref="BL34:BL35"/>
    <mergeCell ref="A44:J44"/>
    <mergeCell ref="K44:L44"/>
    <mergeCell ref="A45:A46"/>
    <mergeCell ref="B45:B46"/>
    <mergeCell ref="J45:J46"/>
    <mergeCell ref="K45:K46"/>
    <mergeCell ref="L45:L46"/>
    <mergeCell ref="M45:X45"/>
    <mergeCell ref="M34:X34"/>
    <mergeCell ref="Y34:Y35"/>
    <mergeCell ref="Z34:AK34"/>
    <mergeCell ref="AL34:AL35"/>
    <mergeCell ref="AM34:AX34"/>
    <mergeCell ref="AY34:AY35"/>
    <mergeCell ref="A33:J33"/>
    <mergeCell ref="K33:L33"/>
    <mergeCell ref="A34:A35"/>
    <mergeCell ref="B34:B35"/>
    <mergeCell ref="C34:I34"/>
    <mergeCell ref="J34:J35"/>
    <mergeCell ref="K34:K35"/>
    <mergeCell ref="L34:L35"/>
    <mergeCell ref="A22:A23"/>
    <mergeCell ref="B22:B23"/>
    <mergeCell ref="C22:I22"/>
    <mergeCell ref="J22:J23"/>
    <mergeCell ref="K22:K23"/>
    <mergeCell ref="L22:L23"/>
    <mergeCell ref="A21:J21"/>
    <mergeCell ref="K21:L21"/>
    <mergeCell ref="M21:X21"/>
    <mergeCell ref="Z21:AK21"/>
    <mergeCell ref="AM21:AX21"/>
    <mergeCell ref="AZ21:BK21"/>
    <mergeCell ref="AM9:AX9"/>
    <mergeCell ref="AZ9:BK9"/>
    <mergeCell ref="A10:A11"/>
    <mergeCell ref="B10:B11"/>
    <mergeCell ref="C10:I10"/>
    <mergeCell ref="J10:J11"/>
    <mergeCell ref="K10:K11"/>
    <mergeCell ref="L10:L11"/>
    <mergeCell ref="G5:G7"/>
    <mergeCell ref="D8:E8"/>
    <mergeCell ref="A9:H9"/>
    <mergeCell ref="K9:L9"/>
    <mergeCell ref="M9:X9"/>
    <mergeCell ref="Z9:AK9"/>
    <mergeCell ref="A1:B1"/>
    <mergeCell ref="D1:F1"/>
    <mergeCell ref="S1:T1"/>
    <mergeCell ref="C45:G45"/>
    <mergeCell ref="D2:F2"/>
    <mergeCell ref="D3:F3"/>
    <mergeCell ref="D4:F4"/>
    <mergeCell ref="D5:D7"/>
    <mergeCell ref="E5:E7"/>
    <mergeCell ref="F5:F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zoomScale="75" zoomScaleNormal="75" zoomScalePageLayoutView="0" workbookViewId="0" topLeftCell="A1">
      <selection activeCell="A1" sqref="A1:E15"/>
    </sheetView>
  </sheetViews>
  <sheetFormatPr defaultColWidth="9.421875" defaultRowHeight="15"/>
  <cols>
    <col min="1" max="1" width="4.7109375" style="173" customWidth="1"/>
    <col min="2" max="2" width="42.7109375" style="174" customWidth="1"/>
    <col min="3" max="3" width="9.421875" style="174" customWidth="1"/>
    <col min="4" max="4" width="17.00390625" style="174" customWidth="1"/>
    <col min="5" max="5" width="20.7109375" style="174" customWidth="1"/>
    <col min="6" max="16384" width="9.421875" style="174" customWidth="1"/>
  </cols>
  <sheetData>
    <row r="1" spans="1:5" ht="12.75" customHeight="1">
      <c r="A1" s="375" t="s">
        <v>228</v>
      </c>
      <c r="B1" s="375"/>
      <c r="C1" s="375"/>
      <c r="D1" s="375"/>
      <c r="E1" s="375"/>
    </row>
    <row r="2" spans="3:5" ht="13.5">
      <c r="C2" s="174" t="s">
        <v>229</v>
      </c>
      <c r="D2" s="174">
        <v>69</v>
      </c>
      <c r="E2" s="174" t="s">
        <v>59</v>
      </c>
    </row>
    <row r="3" spans="1:7" ht="27">
      <c r="A3" s="175" t="s">
        <v>186</v>
      </c>
      <c r="B3" s="4" t="s">
        <v>230</v>
      </c>
      <c r="C3" s="176" t="s">
        <v>231</v>
      </c>
      <c r="D3" s="4" t="s">
        <v>232</v>
      </c>
      <c r="E3" s="4" t="s">
        <v>233</v>
      </c>
      <c r="G3"/>
    </row>
    <row r="4" spans="1:5" ht="12.75" customHeight="1">
      <c r="A4" s="175" t="s">
        <v>102</v>
      </c>
      <c r="B4" s="376" t="s">
        <v>234</v>
      </c>
      <c r="C4" s="376"/>
      <c r="D4" s="376"/>
      <c r="E4" s="377"/>
    </row>
    <row r="5" spans="1:5" ht="14.25">
      <c r="A5" s="175" t="s">
        <v>235</v>
      </c>
      <c r="B5" s="316" t="s">
        <v>364</v>
      </c>
      <c r="C5" s="177">
        <v>4</v>
      </c>
      <c r="D5" s="281">
        <v>600000</v>
      </c>
      <c r="E5" s="286">
        <f aca="true" t="shared" si="0" ref="E5:E14">C5*D5</f>
        <v>2400000</v>
      </c>
    </row>
    <row r="6" spans="1:5" ht="14.25">
      <c r="A6" s="175" t="s">
        <v>236</v>
      </c>
      <c r="B6" s="178" t="s">
        <v>237</v>
      </c>
      <c r="C6" s="177"/>
      <c r="D6" s="281"/>
      <c r="E6" s="286">
        <f t="shared" si="0"/>
        <v>0</v>
      </c>
    </row>
    <row r="7" spans="1:8" ht="14.25">
      <c r="A7" s="175" t="s">
        <v>238</v>
      </c>
      <c r="B7" s="179" t="s">
        <v>239</v>
      </c>
      <c r="C7" s="177"/>
      <c r="D7" s="281"/>
      <c r="E7" s="286">
        <f t="shared" si="0"/>
        <v>0</v>
      </c>
      <c r="G7"/>
      <c r="H7"/>
    </row>
    <row r="8" spans="1:5" s="180" customFormat="1" ht="14.25">
      <c r="A8" s="175" t="s">
        <v>240</v>
      </c>
      <c r="B8" s="179" t="s">
        <v>358</v>
      </c>
      <c r="C8" s="177">
        <v>1</v>
      </c>
      <c r="D8" s="281">
        <f>88000*D2</f>
        <v>6072000</v>
      </c>
      <c r="E8" s="286">
        <f t="shared" si="0"/>
        <v>6072000</v>
      </c>
    </row>
    <row r="9" spans="1:5" s="180" customFormat="1" ht="14.25">
      <c r="A9" s="175" t="s">
        <v>241</v>
      </c>
      <c r="B9" s="179" t="s">
        <v>363</v>
      </c>
      <c r="C9" s="177">
        <v>1</v>
      </c>
      <c r="D9" s="281">
        <v>25500</v>
      </c>
      <c r="E9" s="286">
        <f t="shared" si="0"/>
        <v>25500</v>
      </c>
    </row>
    <row r="10" spans="1:9" ht="13.5" customHeight="1">
      <c r="A10" s="175" t="s">
        <v>244</v>
      </c>
      <c r="B10" s="177" t="s">
        <v>242</v>
      </c>
      <c r="C10" s="177">
        <v>2</v>
      </c>
      <c r="D10" s="281"/>
      <c r="E10" s="286">
        <f t="shared" si="0"/>
        <v>0</v>
      </c>
      <c r="F10" s="378" t="s">
        <v>243</v>
      </c>
      <c r="G10" s="378"/>
      <c r="H10" s="378"/>
      <c r="I10" s="378"/>
    </row>
    <row r="11" spans="1:5" ht="14.25">
      <c r="A11" s="175" t="s">
        <v>246</v>
      </c>
      <c r="B11" s="182" t="s">
        <v>245</v>
      </c>
      <c r="C11" s="182">
        <v>1</v>
      </c>
      <c r="D11" s="282">
        <v>100000</v>
      </c>
      <c r="E11" s="287">
        <f t="shared" si="0"/>
        <v>100000</v>
      </c>
    </row>
    <row r="12" spans="1:5" ht="14.25">
      <c r="A12" s="175" t="s">
        <v>248</v>
      </c>
      <c r="B12" s="183" t="s">
        <v>247</v>
      </c>
      <c r="C12" s="183">
        <v>3</v>
      </c>
      <c r="D12" s="283">
        <v>45000</v>
      </c>
      <c r="E12" s="286">
        <f t="shared" si="0"/>
        <v>135000</v>
      </c>
    </row>
    <row r="13" spans="1:5" ht="15">
      <c r="A13" s="175" t="s">
        <v>250</v>
      </c>
      <c r="B13" s="184" t="s">
        <v>249</v>
      </c>
      <c r="C13" s="177">
        <v>1</v>
      </c>
      <c r="D13" s="284">
        <v>1500000</v>
      </c>
      <c r="E13" s="286">
        <f t="shared" si="0"/>
        <v>1500000</v>
      </c>
    </row>
    <row r="14" spans="1:5" ht="14.25">
      <c r="A14" s="175" t="s">
        <v>294</v>
      </c>
      <c r="B14" s="177" t="s">
        <v>251</v>
      </c>
      <c r="C14" s="177">
        <v>1</v>
      </c>
      <c r="D14" s="284">
        <v>3200</v>
      </c>
      <c r="E14" s="286">
        <f t="shared" si="0"/>
        <v>3200</v>
      </c>
    </row>
    <row r="15" spans="1:5" ht="13.5">
      <c r="A15" s="175"/>
      <c r="B15" s="185" t="s">
        <v>252</v>
      </c>
      <c r="C15" s="176"/>
      <c r="D15" s="186"/>
      <c r="E15" s="285">
        <f>SUM(E5:E14)</f>
        <v>10235700</v>
      </c>
    </row>
    <row r="16" spans="1:5" ht="13.5">
      <c r="A16" s="187"/>
      <c r="B16" s="181"/>
      <c r="C16" s="181"/>
      <c r="D16" s="181"/>
      <c r="E16" s="188"/>
    </row>
    <row r="17" spans="1:5" ht="12.75" customHeight="1">
      <c r="A17" s="379" t="s">
        <v>253</v>
      </c>
      <c r="B17" s="379"/>
      <c r="C17" s="379"/>
      <c r="D17" s="379"/>
      <c r="E17" s="379"/>
    </row>
    <row r="18" spans="1:5" ht="13.5">
      <c r="A18" s="175" t="s">
        <v>102</v>
      </c>
      <c r="B18" s="189" t="s">
        <v>254</v>
      </c>
      <c r="C18" s="189"/>
      <c r="D18" s="189"/>
      <c r="E18" s="190">
        <f>E5+E6+E7+E8+E9+E10+E12+E13+E14</f>
        <v>10135700</v>
      </c>
    </row>
    <row r="19" spans="1:5" ht="13.5">
      <c r="A19" s="175" t="s">
        <v>104</v>
      </c>
      <c r="B19" s="191" t="s">
        <v>245</v>
      </c>
      <c r="C19" s="191"/>
      <c r="D19" s="191"/>
      <c r="E19" s="191">
        <f>E11</f>
        <v>100000</v>
      </c>
    </row>
    <row r="20" spans="1:5" ht="13.5">
      <c r="A20" s="175" t="s">
        <v>105</v>
      </c>
      <c r="B20" s="192" t="s">
        <v>255</v>
      </c>
      <c r="C20" s="192"/>
      <c r="D20" s="192"/>
      <c r="E20" s="192">
        <v>0</v>
      </c>
    </row>
    <row r="21" spans="1:6" ht="14.25">
      <c r="A21" s="175"/>
      <c r="B21" s="185" t="s">
        <v>256</v>
      </c>
      <c r="C21" s="176"/>
      <c r="D21" s="176"/>
      <c r="E21" s="176">
        <f>SUM(E18:E20)</f>
        <v>10235700</v>
      </c>
      <c r="F21"/>
    </row>
    <row r="24" spans="1:2" ht="12.75" customHeight="1">
      <c r="A24" s="380"/>
      <c r="B24" s="380"/>
    </row>
  </sheetData>
  <sheetProtection/>
  <mergeCells count="5">
    <mergeCell ref="A1:E1"/>
    <mergeCell ref="B4:E4"/>
    <mergeCell ref="F10:I10"/>
    <mergeCell ref="A17:E17"/>
    <mergeCell ref="A24:B24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пк</cp:lastModifiedBy>
  <dcterms:modified xsi:type="dcterms:W3CDTF">2019-02-27T14:29:48Z</dcterms:modified>
  <cp:category/>
  <cp:version/>
  <cp:contentType/>
  <cp:contentStatus/>
</cp:coreProperties>
</file>