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ml.chartshapes+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defaultThemeVersion="124226"/>
  <bookViews>
    <workbookView xWindow="0" yWindow="0" windowWidth="20490" windowHeight="7545" tabRatio="864"/>
  </bookViews>
  <sheets>
    <sheet name="СВОД" sheetId="30" r:id="rId1"/>
    <sheet name="Входящие данные" sheetId="1" r:id="rId2"/>
    <sheet name="Инвестиции на орг-цию бизнеса" sheetId="5" r:id="rId3"/>
    <sheet name="Ежемесячные затраты - средние" sheetId="6" r:id="rId4"/>
    <sheet name="Оплата оборудования" sheetId="10" r:id="rId5"/>
    <sheet name="Этапы запуска проекта" sheetId="28" r:id="rId6"/>
    <sheet name="План по выручке" sheetId="24" r:id="rId7"/>
    <sheet name="Продажи" sheetId="3" r:id="rId8"/>
    <sheet name="Прибыль_окупаемость" sheetId="4" r:id="rId9"/>
    <sheet name="Прайс" sheetId="20" r:id="rId10"/>
    <sheet name="Допущения в финансовой модели" sheetId="31" r:id="rId11"/>
    <sheet name="Глосарй" sheetId="27" r:id="rId12"/>
    <sheet name="Data 2" sheetId="33" state="hidden" r:id="rId13"/>
    <sheet name="Data 1" sheetId="23" state="hidden" r:id="rId14"/>
  </sheets>
  <definedNames>
    <definedName name="_xlnm.Print_Area" localSheetId="1">'Входящие данные'!$A$1:$F$21</definedName>
    <definedName name="_xlnm.Print_Area" localSheetId="11">Глосарй!$A$1:$K$23</definedName>
    <definedName name="_xlnm.Print_Area" localSheetId="10">'Допущения в финансовой модели'!$A$1:$H$28</definedName>
    <definedName name="_xlnm.Print_Area" localSheetId="3">'Ежемесячные затраты - средние'!$A$1:$F$33</definedName>
    <definedName name="_xlnm.Print_Area" localSheetId="2">'Инвестиции на орг-цию бизнеса'!$A$1:$F$81</definedName>
    <definedName name="_xlnm.Print_Area" localSheetId="4">'Оплата оборудования'!$A$1:$AT$30</definedName>
    <definedName name="_xlnm.Print_Area" localSheetId="9">Прайс!$A$1:$I$48</definedName>
    <definedName name="_xlnm.Print_Area" localSheetId="7">Продажи!$A$1:$BN$19</definedName>
    <definedName name="_xlnm.Print_Area" localSheetId="0">СВОД!$A$1:$F$23</definedName>
    <definedName name="_xlnm.Print_Area" localSheetId="5">'Этапы запуска проекта'!$A$1:$C$39</definedName>
  </definedNames>
  <calcPr calcId="124519"/>
</workbook>
</file>

<file path=xl/calcChain.xml><?xml version="1.0" encoding="utf-8"?>
<calcChain xmlns="http://schemas.openxmlformats.org/spreadsheetml/2006/main">
  <c r="E12" i="4"/>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AD24" l="1"/>
  <c r="V24"/>
  <c r="N24"/>
  <c r="AC24"/>
  <c r="U24"/>
  <c r="AJ24"/>
  <c r="AB24"/>
  <c r="T24"/>
  <c r="AI24"/>
  <c r="AA24"/>
  <c r="S24"/>
  <c r="AH24"/>
  <c r="Z24"/>
  <c r="R24"/>
  <c r="AG24"/>
  <c r="Y24"/>
  <c r="Q24"/>
  <c r="AF24"/>
  <c r="X24"/>
  <c r="P24"/>
  <c r="AE24"/>
  <c r="W24"/>
  <c r="O24"/>
  <c r="G42" i="20"/>
  <c r="F44" s="1"/>
  <c r="G36"/>
  <c r="G35" s="1"/>
  <c r="G5"/>
  <c r="G10" s="1"/>
  <c r="F31" i="10"/>
  <c r="E32"/>
  <c r="F46" i="20"/>
  <c r="E17" i="31"/>
  <c r="C7"/>
  <c r="C8" s="1"/>
  <c r="C9" s="1"/>
  <c r="C10" s="1"/>
  <c r="C11" s="1"/>
  <c r="C12" s="1"/>
  <c r="C13" s="1"/>
  <c r="C14" s="1"/>
  <c r="C15" s="1"/>
  <c r="C16" s="1"/>
  <c r="C17" s="1"/>
  <c r="C18" s="1"/>
  <c r="C19" s="1"/>
  <c r="C20" s="1"/>
  <c r="C21" s="1"/>
  <c r="C22" s="1"/>
  <c r="C23" s="1"/>
  <c r="C24" s="1"/>
  <c r="C25" s="1"/>
  <c r="C26" s="1"/>
  <c r="F37" i="20" l="1"/>
  <c r="F43"/>
  <c r="F45"/>
  <c r="G18"/>
  <c r="G17" s="1"/>
  <c r="F19" s="1"/>
  <c r="G12"/>
  <c r="G11" s="1"/>
  <c r="G29"/>
  <c r="G21" s="1"/>
  <c r="F29" s="1"/>
  <c r="G7"/>
  <c r="F10" s="1"/>
  <c r="F36"/>
  <c r="F42"/>
  <c r="F40"/>
  <c r="F41"/>
  <c r="F39"/>
  <c r="F38"/>
  <c r="F32" i="10"/>
  <c r="E11" s="1"/>
  <c r="D6" i="28"/>
  <c r="E6" s="1"/>
  <c r="F18" i="20" l="1"/>
  <c r="F20"/>
  <c r="F15"/>
  <c r="F13"/>
  <c r="F16"/>
  <c r="F14"/>
  <c r="F12"/>
  <c r="F24"/>
  <c r="F22"/>
  <c r="F32"/>
  <c r="F23"/>
  <c r="F30"/>
  <c r="F25"/>
  <c r="F33"/>
  <c r="F26"/>
  <c r="F34"/>
  <c r="F28"/>
  <c r="F31"/>
  <c r="F27"/>
  <c r="F11"/>
  <c r="F8"/>
  <c r="F17"/>
  <c r="F35"/>
  <c r="F9"/>
  <c r="F7"/>
  <c r="F21"/>
  <c r="N20" i="10"/>
  <c r="H20"/>
  <c r="Q20"/>
  <c r="J24" i="4" s="1"/>
  <c r="O20" i="10"/>
  <c r="H24" i="4" s="1"/>
  <c r="I18" i="10"/>
  <c r="P20"/>
  <c r="I24" i="4" s="1"/>
  <c r="I21" i="10"/>
  <c r="J20"/>
  <c r="R20"/>
  <c r="K24" i="4" s="1"/>
  <c r="K20" i="10"/>
  <c r="S20"/>
  <c r="L24" i="4" s="1"/>
  <c r="L20" i="10"/>
  <c r="T20"/>
  <c r="M24" i="4" s="1"/>
  <c r="M20" i="10"/>
  <c r="I20"/>
  <c r="E5" i="28"/>
  <c r="E7"/>
  <c r="D14" i="6"/>
  <c r="E16" i="31"/>
  <c r="F5" i="28" l="1"/>
  <c r="E4"/>
  <c r="E3" s="1"/>
  <c r="E2" s="1"/>
  <c r="E12" i="31"/>
  <c r="E11"/>
  <c r="E9"/>
  <c r="E8"/>
  <c r="E7"/>
  <c r="E6"/>
  <c r="E26"/>
  <c r="E25"/>
  <c r="L18" i="23"/>
  <c r="M19" s="1"/>
  <c r="F4" i="28" l="1"/>
  <c r="F3"/>
  <c r="D13" i="30"/>
  <c r="D12"/>
  <c r="J3" i="23" l="1"/>
  <c r="J4" s="1"/>
  <c r="J5" s="1"/>
  <c r="J6" s="1"/>
  <c r="J7" s="1"/>
  <c r="J8" s="1"/>
  <c r="J9" s="1"/>
  <c r="J10" s="1"/>
  <c r="J11" s="1"/>
  <c r="J12" s="1"/>
  <c r="J13" s="1"/>
  <c r="J14" s="1"/>
  <c r="J15" s="1"/>
  <c r="E12" i="1" l="1"/>
  <c r="K19" i="10" l="1"/>
  <c r="J19"/>
  <c r="L19"/>
  <c r="I19"/>
  <c r="M19"/>
  <c r="N19"/>
  <c r="G24" i="4" s="1"/>
  <c r="H16" i="10"/>
  <c r="H19"/>
  <c r="D65" i="5"/>
  <c r="H31" i="24" l="1"/>
  <c r="H30"/>
  <c r="H28"/>
  <c r="H27"/>
  <c r="H26"/>
  <c r="H25"/>
  <c r="H24"/>
  <c r="E23" i="4"/>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D23"/>
  <c r="D25" i="6" l="1"/>
  <c r="E17" i="4" l="1"/>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D18"/>
  <c r="D17"/>
  <c r="D19" i="6"/>
  <c r="D12"/>
  <c r="D18" i="5" l="1"/>
  <c r="B4" l="1"/>
  <c r="B4" i="10" s="1"/>
  <c r="B4" i="6" s="1"/>
  <c r="B4" i="3" s="1"/>
  <c r="B4" i="4" l="1"/>
  <c r="B4" i="20" s="1"/>
  <c r="B4" i="24" s="1"/>
  <c r="L31"/>
  <c r="L30"/>
  <c r="L28"/>
  <c r="L27"/>
  <c r="L26"/>
  <c r="L25"/>
  <c r="L24"/>
  <c r="D31"/>
  <c r="D30"/>
  <c r="D25"/>
  <c r="D26"/>
  <c r="D27"/>
  <c r="D28"/>
  <c r="D24"/>
  <c r="B4" i="27" l="1"/>
  <c r="B4" i="31"/>
  <c r="C11" i="24"/>
  <c r="CV56" l="1"/>
  <c r="CR56"/>
  <c r="CN56"/>
  <c r="CJ56"/>
  <c r="CF56"/>
  <c r="CB56"/>
  <c r="BX56"/>
  <c r="BT56"/>
  <c r="BP56"/>
  <c r="BL56"/>
  <c r="BH56"/>
  <c r="BD56"/>
  <c r="AZ56"/>
  <c r="AV56"/>
  <c r="AR56"/>
  <c r="AN56"/>
  <c r="AJ56"/>
  <c r="AF56"/>
  <c r="AB56"/>
  <c r="X56"/>
  <c r="T56"/>
  <c r="P56"/>
  <c r="L56"/>
  <c r="H56"/>
  <c r="CV55"/>
  <c r="CR55"/>
  <c r="CN55"/>
  <c r="CJ55"/>
  <c r="CF55"/>
  <c r="CB55"/>
  <c r="BX55"/>
  <c r="BT55"/>
  <c r="BP55"/>
  <c r="BL55"/>
  <c r="BH55"/>
  <c r="BD55"/>
  <c r="AZ55"/>
  <c r="AV55"/>
  <c r="AR55"/>
  <c r="AN55"/>
  <c r="AJ55"/>
  <c r="AF55"/>
  <c r="AB55"/>
  <c r="X55"/>
  <c r="T55"/>
  <c r="P55"/>
  <c r="L55"/>
  <c r="H55"/>
  <c r="CV54"/>
  <c r="CR54"/>
  <c r="CN54"/>
  <c r="CJ54"/>
  <c r="CF54"/>
  <c r="CB54"/>
  <c r="BX54"/>
  <c r="BT54"/>
  <c r="BP54"/>
  <c r="BL54"/>
  <c r="BH54"/>
  <c r="BD54"/>
  <c r="AZ54"/>
  <c r="AV54"/>
  <c r="AR54"/>
  <c r="AN54"/>
  <c r="AJ54"/>
  <c r="AF54"/>
  <c r="AB54"/>
  <c r="X54"/>
  <c r="T54"/>
  <c r="P54"/>
  <c r="L54"/>
  <c r="H54"/>
  <c r="CV53"/>
  <c r="CR53"/>
  <c r="CN53"/>
  <c r="CJ53"/>
  <c r="CF53"/>
  <c r="CF52" s="1"/>
  <c r="CB53"/>
  <c r="BX53"/>
  <c r="BT53"/>
  <c r="BP53"/>
  <c r="BP52" s="1"/>
  <c r="BL53"/>
  <c r="BH53"/>
  <c r="BD53"/>
  <c r="AZ53"/>
  <c r="AZ52" s="1"/>
  <c r="AV53"/>
  <c r="AR53"/>
  <c r="AN53"/>
  <c r="AJ53"/>
  <c r="AJ52" s="1"/>
  <c r="AF53"/>
  <c r="AB53"/>
  <c r="X53"/>
  <c r="T53"/>
  <c r="T52" s="1"/>
  <c r="P53"/>
  <c r="L53"/>
  <c r="H53"/>
  <c r="CV52"/>
  <c r="CV51"/>
  <c r="CR51"/>
  <c r="CN51"/>
  <c r="CJ51"/>
  <c r="CF51"/>
  <c r="CB51"/>
  <c r="BX51"/>
  <c r="BT51"/>
  <c r="BP51"/>
  <c r="BL51"/>
  <c r="BH51"/>
  <c r="BD51"/>
  <c r="AZ51"/>
  <c r="AV51"/>
  <c r="AR51"/>
  <c r="AN51"/>
  <c r="AJ51"/>
  <c r="AF51"/>
  <c r="AB51"/>
  <c r="X51"/>
  <c r="T51"/>
  <c r="P51"/>
  <c r="L51"/>
  <c r="H51"/>
  <c r="CV50"/>
  <c r="CR50"/>
  <c r="CN50"/>
  <c r="CJ50"/>
  <c r="CF50"/>
  <c r="CB50"/>
  <c r="BX50"/>
  <c r="BT50"/>
  <c r="BP50"/>
  <c r="BL50"/>
  <c r="BH50"/>
  <c r="BD50"/>
  <c r="AZ50"/>
  <c r="AV50"/>
  <c r="AR50"/>
  <c r="AN50"/>
  <c r="AJ50"/>
  <c r="AF50"/>
  <c r="AB50"/>
  <c r="X50"/>
  <c r="T50"/>
  <c r="P50"/>
  <c r="L50"/>
  <c r="H50"/>
  <c r="CV49"/>
  <c r="CR49"/>
  <c r="CN49"/>
  <c r="CJ49"/>
  <c r="CF49"/>
  <c r="CB49"/>
  <c r="BX49"/>
  <c r="BT49"/>
  <c r="BP49"/>
  <c r="BL49"/>
  <c r="BH49"/>
  <c r="BD49"/>
  <c r="AZ49"/>
  <c r="AV49"/>
  <c r="AR49"/>
  <c r="AN49"/>
  <c r="AJ49"/>
  <c r="AF49"/>
  <c r="AB49"/>
  <c r="X49"/>
  <c r="T49"/>
  <c r="P49"/>
  <c r="L49"/>
  <c r="H49"/>
  <c r="CV48"/>
  <c r="CR48"/>
  <c r="CN48"/>
  <c r="CJ48"/>
  <c r="CF48"/>
  <c r="CB48"/>
  <c r="BX48"/>
  <c r="BT48"/>
  <c r="BP48"/>
  <c r="BL48"/>
  <c r="BH48"/>
  <c r="BD48"/>
  <c r="AZ48"/>
  <c r="AV48"/>
  <c r="AR48"/>
  <c r="AN48"/>
  <c r="AJ48"/>
  <c r="AF48"/>
  <c r="AB48"/>
  <c r="X48"/>
  <c r="T48"/>
  <c r="P48"/>
  <c r="L48"/>
  <c r="H48"/>
  <c r="H47" s="1"/>
  <c r="CV47"/>
  <c r="CV45"/>
  <c r="CR45"/>
  <c r="CN45"/>
  <c r="CJ45"/>
  <c r="CF45"/>
  <c r="CB45"/>
  <c r="BX45"/>
  <c r="BT45"/>
  <c r="BP45"/>
  <c r="BL45"/>
  <c r="BH45"/>
  <c r="BD45"/>
  <c r="AZ45"/>
  <c r="AV45"/>
  <c r="AR45"/>
  <c r="AN45"/>
  <c r="AJ45"/>
  <c r="AF45"/>
  <c r="AB45"/>
  <c r="X45"/>
  <c r="T45"/>
  <c r="P45"/>
  <c r="L45"/>
  <c r="H45"/>
  <c r="CV44"/>
  <c r="CR44"/>
  <c r="CN44"/>
  <c r="CJ44"/>
  <c r="CF44"/>
  <c r="CB44"/>
  <c r="BX44"/>
  <c r="BT44"/>
  <c r="BP44"/>
  <c r="BL44"/>
  <c r="BH44"/>
  <c r="BD44"/>
  <c r="AZ44"/>
  <c r="AV44"/>
  <c r="AR44"/>
  <c r="AN44"/>
  <c r="AJ44"/>
  <c r="AF44"/>
  <c r="AB44"/>
  <c r="X44"/>
  <c r="T44"/>
  <c r="P44"/>
  <c r="L44"/>
  <c r="H44"/>
  <c r="CV43"/>
  <c r="CR43"/>
  <c r="CN43"/>
  <c r="CJ43"/>
  <c r="CF43"/>
  <c r="CB43"/>
  <c r="BX43"/>
  <c r="BT43"/>
  <c r="BP43"/>
  <c r="BL43"/>
  <c r="BH43"/>
  <c r="BD43"/>
  <c r="AZ43"/>
  <c r="AV43"/>
  <c r="AR43"/>
  <c r="AN43"/>
  <c r="AJ43"/>
  <c r="AF43"/>
  <c r="AB43"/>
  <c r="X43"/>
  <c r="T43"/>
  <c r="P43"/>
  <c r="L43"/>
  <c r="H43"/>
  <c r="CV42"/>
  <c r="CR42"/>
  <c r="CN42"/>
  <c r="CJ42"/>
  <c r="CF42"/>
  <c r="CB42"/>
  <c r="BX42"/>
  <c r="BT42"/>
  <c r="BP42"/>
  <c r="BL42"/>
  <c r="BH42"/>
  <c r="BD42"/>
  <c r="AZ42"/>
  <c r="AV42"/>
  <c r="AR42"/>
  <c r="AN42"/>
  <c r="AJ42"/>
  <c r="AF42"/>
  <c r="AB42"/>
  <c r="X42"/>
  <c r="T42"/>
  <c r="P42"/>
  <c r="L42"/>
  <c r="H42"/>
  <c r="CV41"/>
  <c r="CR41"/>
  <c r="CN41"/>
  <c r="CJ41"/>
  <c r="CF41"/>
  <c r="CB41"/>
  <c r="BX41"/>
  <c r="BT41"/>
  <c r="BP41"/>
  <c r="BL41"/>
  <c r="BH41"/>
  <c r="BD41"/>
  <c r="AZ41"/>
  <c r="AV41"/>
  <c r="AR41"/>
  <c r="AN41"/>
  <c r="AJ41"/>
  <c r="AF41"/>
  <c r="AB41"/>
  <c r="X41"/>
  <c r="T41"/>
  <c r="P41"/>
  <c r="L41"/>
  <c r="H41"/>
  <c r="CV40"/>
  <c r="CR40"/>
  <c r="CN40"/>
  <c r="CJ40"/>
  <c r="CF40"/>
  <c r="CB40"/>
  <c r="BX40"/>
  <c r="BT40"/>
  <c r="BP40"/>
  <c r="BL40"/>
  <c r="BH40"/>
  <c r="BD40"/>
  <c r="AZ40"/>
  <c r="AV40"/>
  <c r="AR40"/>
  <c r="AN40"/>
  <c r="AJ40"/>
  <c r="AF40"/>
  <c r="AB40"/>
  <c r="X40"/>
  <c r="T40"/>
  <c r="P40"/>
  <c r="L40"/>
  <c r="H40"/>
  <c r="CV39"/>
  <c r="CR39"/>
  <c r="CN39"/>
  <c r="CJ39"/>
  <c r="CF39"/>
  <c r="CB39"/>
  <c r="BX39"/>
  <c r="BT39"/>
  <c r="BP39"/>
  <c r="BL39"/>
  <c r="BH39"/>
  <c r="BD39"/>
  <c r="AZ39"/>
  <c r="AV39"/>
  <c r="AR39"/>
  <c r="AN39"/>
  <c r="AJ39"/>
  <c r="AF39"/>
  <c r="AB39"/>
  <c r="X39"/>
  <c r="T39"/>
  <c r="P39"/>
  <c r="L39"/>
  <c r="H39"/>
  <c r="CV38"/>
  <c r="CR38"/>
  <c r="CN38"/>
  <c r="CJ38"/>
  <c r="CF38"/>
  <c r="CB38"/>
  <c r="BX38"/>
  <c r="BT38"/>
  <c r="BP38"/>
  <c r="BL38"/>
  <c r="BH38"/>
  <c r="BD38"/>
  <c r="AZ38"/>
  <c r="AV38"/>
  <c r="AR38"/>
  <c r="AN38"/>
  <c r="AJ38"/>
  <c r="AF38"/>
  <c r="AB38"/>
  <c r="X38"/>
  <c r="T38"/>
  <c r="P38"/>
  <c r="L38"/>
  <c r="H38"/>
  <c r="CV37"/>
  <c r="CR37"/>
  <c r="CN37"/>
  <c r="CJ37"/>
  <c r="CF37"/>
  <c r="CB37"/>
  <c r="BX37"/>
  <c r="BT37"/>
  <c r="BP37"/>
  <c r="BL37"/>
  <c r="BH37"/>
  <c r="BD37"/>
  <c r="AZ37"/>
  <c r="AV37"/>
  <c r="AR37"/>
  <c r="AN37"/>
  <c r="AJ37"/>
  <c r="AF37"/>
  <c r="AB37"/>
  <c r="X37"/>
  <c r="T37"/>
  <c r="P37"/>
  <c r="L37"/>
  <c r="H37"/>
  <c r="CV36"/>
  <c r="CR36"/>
  <c r="CN36"/>
  <c r="CJ36"/>
  <c r="CF36"/>
  <c r="CB36"/>
  <c r="BX36"/>
  <c r="BT36"/>
  <c r="BP36"/>
  <c r="BL36"/>
  <c r="BH36"/>
  <c r="BD36"/>
  <c r="AZ36"/>
  <c r="AV36"/>
  <c r="AR36"/>
  <c r="AN36"/>
  <c r="AJ36"/>
  <c r="AF36"/>
  <c r="AB36"/>
  <c r="X36"/>
  <c r="T36"/>
  <c r="P36"/>
  <c r="L36"/>
  <c r="H36"/>
  <c r="CV35"/>
  <c r="CR35"/>
  <c r="CN35"/>
  <c r="CJ35"/>
  <c r="CF35"/>
  <c r="CB35"/>
  <c r="BX35"/>
  <c r="BT35"/>
  <c r="BP35"/>
  <c r="BL35"/>
  <c r="BH35"/>
  <c r="BD35"/>
  <c r="AZ35"/>
  <c r="AV35"/>
  <c r="AR35"/>
  <c r="AN35"/>
  <c r="AJ35"/>
  <c r="AF35"/>
  <c r="AB35"/>
  <c r="X35"/>
  <c r="T35"/>
  <c r="P35"/>
  <c r="L35"/>
  <c r="H35"/>
  <c r="CV34"/>
  <c r="CR34"/>
  <c r="CN34"/>
  <c r="CJ34"/>
  <c r="CF34"/>
  <c r="CB34"/>
  <c r="BX34"/>
  <c r="BT34"/>
  <c r="BP34"/>
  <c r="BL34"/>
  <c r="BH34"/>
  <c r="BD34"/>
  <c r="AZ34"/>
  <c r="AV34"/>
  <c r="AR34"/>
  <c r="AN34"/>
  <c r="AJ34"/>
  <c r="AF34"/>
  <c r="AB34"/>
  <c r="X34"/>
  <c r="T34"/>
  <c r="P34"/>
  <c r="L34"/>
  <c r="H34"/>
  <c r="CV32"/>
  <c r="CR32"/>
  <c r="CN32"/>
  <c r="CJ32"/>
  <c r="CF32"/>
  <c r="CB32"/>
  <c r="BX32"/>
  <c r="BT32"/>
  <c r="BP32"/>
  <c r="BL32"/>
  <c r="BH32"/>
  <c r="BD32"/>
  <c r="AZ32"/>
  <c r="AV32"/>
  <c r="AR32"/>
  <c r="AN32"/>
  <c r="AJ32"/>
  <c r="AF32"/>
  <c r="AB32"/>
  <c r="X32"/>
  <c r="T32"/>
  <c r="P32"/>
  <c r="L32"/>
  <c r="L29" s="1"/>
  <c r="H32"/>
  <c r="H29" s="1"/>
  <c r="CV31"/>
  <c r="CR31"/>
  <c r="CN31"/>
  <c r="CJ31"/>
  <c r="CF31"/>
  <c r="CB31"/>
  <c r="BX31"/>
  <c r="BT31"/>
  <c r="BP31"/>
  <c r="BL31"/>
  <c r="BH31"/>
  <c r="BD31"/>
  <c r="AZ31"/>
  <c r="AV31"/>
  <c r="AR31"/>
  <c r="AN31"/>
  <c r="AJ31"/>
  <c r="AF31"/>
  <c r="AB31"/>
  <c r="X31"/>
  <c r="T31"/>
  <c r="P31"/>
  <c r="CV30"/>
  <c r="CR30"/>
  <c r="CN30"/>
  <c r="CJ30"/>
  <c r="CF30"/>
  <c r="CB30"/>
  <c r="BX30"/>
  <c r="BT30"/>
  <c r="BP30"/>
  <c r="BL30"/>
  <c r="BH30"/>
  <c r="BD30"/>
  <c r="AZ30"/>
  <c r="AV30"/>
  <c r="AR30"/>
  <c r="AN30"/>
  <c r="AJ30"/>
  <c r="AF30"/>
  <c r="AB30"/>
  <c r="X30"/>
  <c r="T30"/>
  <c r="P30"/>
  <c r="CV28"/>
  <c r="CR28"/>
  <c r="CN28"/>
  <c r="CJ28"/>
  <c r="CF28"/>
  <c r="CB28"/>
  <c r="BX28"/>
  <c r="BT28"/>
  <c r="BP28"/>
  <c r="BL28"/>
  <c r="BH28"/>
  <c r="BD28"/>
  <c r="AZ28"/>
  <c r="AV28"/>
  <c r="AR28"/>
  <c r="AN28"/>
  <c r="AJ28"/>
  <c r="AF28"/>
  <c r="AB28"/>
  <c r="X28"/>
  <c r="T28"/>
  <c r="P28"/>
  <c r="CV27"/>
  <c r="CR27"/>
  <c r="CN27"/>
  <c r="CJ27"/>
  <c r="CF27"/>
  <c r="CB27"/>
  <c r="BX27"/>
  <c r="BT27"/>
  <c r="BP27"/>
  <c r="BL27"/>
  <c r="BH27"/>
  <c r="BD27"/>
  <c r="AZ27"/>
  <c r="AV27"/>
  <c r="AR27"/>
  <c r="AN27"/>
  <c r="AJ27"/>
  <c r="AF27"/>
  <c r="AB27"/>
  <c r="X27"/>
  <c r="T27"/>
  <c r="P27"/>
  <c r="CV26"/>
  <c r="CR26"/>
  <c r="CN26"/>
  <c r="CJ26"/>
  <c r="CF26"/>
  <c r="CB26"/>
  <c r="BX26"/>
  <c r="BT26"/>
  <c r="BP26"/>
  <c r="BL26"/>
  <c r="BH26"/>
  <c r="BD26"/>
  <c r="AZ26"/>
  <c r="AV26"/>
  <c r="AR26"/>
  <c r="AN26"/>
  <c r="AJ26"/>
  <c r="AF26"/>
  <c r="AB26"/>
  <c r="X26"/>
  <c r="T26"/>
  <c r="P26"/>
  <c r="CV25"/>
  <c r="CR25"/>
  <c r="CN25"/>
  <c r="CJ25"/>
  <c r="CF25"/>
  <c r="CB25"/>
  <c r="BX25"/>
  <c r="BT25"/>
  <c r="BP25"/>
  <c r="BL25"/>
  <c r="BH25"/>
  <c r="BD25"/>
  <c r="AZ25"/>
  <c r="AV25"/>
  <c r="AR25"/>
  <c r="AN25"/>
  <c r="AJ25"/>
  <c r="AF25"/>
  <c r="AB25"/>
  <c r="X25"/>
  <c r="T25"/>
  <c r="P25"/>
  <c r="CV24"/>
  <c r="CR24"/>
  <c r="CN24"/>
  <c r="CJ24"/>
  <c r="CF24"/>
  <c r="CB24"/>
  <c r="BX24"/>
  <c r="BT24"/>
  <c r="BP24"/>
  <c r="BL24"/>
  <c r="BH24"/>
  <c r="BD24"/>
  <c r="AZ24"/>
  <c r="AV24"/>
  <c r="AR24"/>
  <c r="AN24"/>
  <c r="AJ24"/>
  <c r="AF24"/>
  <c r="AB24"/>
  <c r="X24"/>
  <c r="T24"/>
  <c r="P24"/>
  <c r="CV22"/>
  <c r="CR22"/>
  <c r="CN22"/>
  <c r="CJ22"/>
  <c r="CF22"/>
  <c r="CB22"/>
  <c r="BX22"/>
  <c r="BT22"/>
  <c r="BP22"/>
  <c r="BL22"/>
  <c r="BH22"/>
  <c r="BD22"/>
  <c r="AZ22"/>
  <c r="AV22"/>
  <c r="AR22"/>
  <c r="AN22"/>
  <c r="AJ22"/>
  <c r="AF22"/>
  <c r="AB22"/>
  <c r="X22"/>
  <c r="T22"/>
  <c r="P22"/>
  <c r="L22"/>
  <c r="H22"/>
  <c r="CV21"/>
  <c r="CR21"/>
  <c r="CN21"/>
  <c r="CJ21"/>
  <c r="CF21"/>
  <c r="CB21"/>
  <c r="BX21"/>
  <c r="BT21"/>
  <c r="BP21"/>
  <c r="BL21"/>
  <c r="BH21"/>
  <c r="BD21"/>
  <c r="AZ21"/>
  <c r="AV21"/>
  <c r="AR21"/>
  <c r="AN21"/>
  <c r="AJ21"/>
  <c r="AF21"/>
  <c r="AB21"/>
  <c r="X21"/>
  <c r="T21"/>
  <c r="P21"/>
  <c r="L21"/>
  <c r="H21"/>
  <c r="CV20"/>
  <c r="CR20"/>
  <c r="CN20"/>
  <c r="CJ20"/>
  <c r="CF20"/>
  <c r="CB20"/>
  <c r="BX20"/>
  <c r="BT20"/>
  <c r="BP20"/>
  <c r="BL20"/>
  <c r="BH20"/>
  <c r="BD20"/>
  <c r="AZ20"/>
  <c r="AV20"/>
  <c r="AR20"/>
  <c r="AN20"/>
  <c r="AJ20"/>
  <c r="AF20"/>
  <c r="AB20"/>
  <c r="X20"/>
  <c r="T20"/>
  <c r="P20"/>
  <c r="L20"/>
  <c r="H20"/>
  <c r="H19" s="1"/>
  <c r="H16"/>
  <c r="L16" s="1"/>
  <c r="P16" s="1"/>
  <c r="T16" s="1"/>
  <c r="X16" s="1"/>
  <c r="AB16" s="1"/>
  <c r="AF16" s="1"/>
  <c r="AJ16" s="1"/>
  <c r="AN16" s="1"/>
  <c r="AR16" s="1"/>
  <c r="AV16" s="1"/>
  <c r="AZ16" s="1"/>
  <c r="BD16" s="1"/>
  <c r="BH16" s="1"/>
  <c r="BL16" s="1"/>
  <c r="BP16" s="1"/>
  <c r="BT16" s="1"/>
  <c r="BX16" s="1"/>
  <c r="CB16" s="1"/>
  <c r="CF16" s="1"/>
  <c r="CJ16" s="1"/>
  <c r="CN16" s="1"/>
  <c r="CR16" s="1"/>
  <c r="CV16" s="1"/>
  <c r="C9" i="20"/>
  <c r="C10" s="1"/>
  <c r="C12" s="1"/>
  <c r="C13" s="1"/>
  <c r="C14" s="1"/>
  <c r="C15" s="1"/>
  <c r="C16" s="1"/>
  <c r="C18" s="1"/>
  <c r="C19" s="1"/>
  <c r="C20" s="1"/>
  <c r="C22" s="1"/>
  <c r="C23" s="1"/>
  <c r="C24" s="1"/>
  <c r="C25" s="1"/>
  <c r="C26" s="1"/>
  <c r="C27" s="1"/>
  <c r="C28" s="1"/>
  <c r="C29" s="1"/>
  <c r="C30" s="1"/>
  <c r="C31" s="1"/>
  <c r="C32" s="1"/>
  <c r="C33" s="1"/>
  <c r="C34" s="1"/>
  <c r="D56" i="24"/>
  <c r="D55"/>
  <c r="D54"/>
  <c r="D53"/>
  <c r="D51"/>
  <c r="D50"/>
  <c r="D49"/>
  <c r="D48"/>
  <c r="D45"/>
  <c r="D44"/>
  <c r="D43"/>
  <c r="D42"/>
  <c r="D41"/>
  <c r="D40"/>
  <c r="D39"/>
  <c r="D38"/>
  <c r="D37"/>
  <c r="D36"/>
  <c r="D35"/>
  <c r="D34"/>
  <c r="D32"/>
  <c r="D22"/>
  <c r="D21"/>
  <c r="D20"/>
  <c r="C37" i="20" l="1"/>
  <c r="C38" s="1"/>
  <c r="C39" s="1"/>
  <c r="C40" s="1"/>
  <c r="C41" s="1"/>
  <c r="C43" s="1"/>
  <c r="C44" s="1"/>
  <c r="C45" s="1"/>
  <c r="C46" s="1"/>
  <c r="T29" i="24"/>
  <c r="AJ29"/>
  <c r="AZ29"/>
  <c r="BP29"/>
  <c r="CV29"/>
  <c r="T23"/>
  <c r="AZ23"/>
  <c r="CF23"/>
  <c r="X29"/>
  <c r="AN29"/>
  <c r="BD29"/>
  <c r="BT29"/>
  <c r="CJ29"/>
  <c r="AB29"/>
  <c r="AR29"/>
  <c r="BH29"/>
  <c r="CN29"/>
  <c r="P29"/>
  <c r="AF29"/>
  <c r="AV29"/>
  <c r="BL29"/>
  <c r="CB29"/>
  <c r="CR29"/>
  <c r="AF52"/>
  <c r="CR52"/>
  <c r="X47"/>
  <c r="AN47"/>
  <c r="BD47"/>
  <c r="BT47"/>
  <c r="CJ47"/>
  <c r="CV46"/>
  <c r="P52"/>
  <c r="CB52"/>
  <c r="AB52"/>
  <c r="BH52"/>
  <c r="BX52"/>
  <c r="CN52"/>
  <c r="BX29"/>
  <c r="X23"/>
  <c r="AN23"/>
  <c r="BD23"/>
  <c r="BT23"/>
  <c r="CJ23"/>
  <c r="H23"/>
  <c r="AV52"/>
  <c r="X19"/>
  <c r="BD19"/>
  <c r="CJ19"/>
  <c r="T18"/>
  <c r="CF33"/>
  <c r="P47"/>
  <c r="CR47"/>
  <c r="CF18"/>
  <c r="BL52"/>
  <c r="AN19"/>
  <c r="BT19"/>
  <c r="T33"/>
  <c r="AZ33"/>
  <c r="AF47"/>
  <c r="AV47"/>
  <c r="BL47"/>
  <c r="CB47"/>
  <c r="BL18"/>
  <c r="L19"/>
  <c r="AR19"/>
  <c r="BX19"/>
  <c r="AB19"/>
  <c r="BH19"/>
  <c r="CN19"/>
  <c r="CF29"/>
  <c r="AJ33"/>
  <c r="BP33"/>
  <c r="CV33"/>
  <c r="AJ23"/>
  <c r="BP23"/>
  <c r="CV23"/>
  <c r="X33"/>
  <c r="AN33"/>
  <c r="BD33"/>
  <c r="BT33"/>
  <c r="CJ33"/>
  <c r="H33"/>
  <c r="AF33"/>
  <c r="BL33"/>
  <c r="CR33"/>
  <c r="AR18"/>
  <c r="P33"/>
  <c r="AV33"/>
  <c r="CB33"/>
  <c r="CN18"/>
  <c r="AZ18"/>
  <c r="P19"/>
  <c r="AF19"/>
  <c r="AV19"/>
  <c r="BL19"/>
  <c r="CB19"/>
  <c r="CR19"/>
  <c r="L23"/>
  <c r="AB23"/>
  <c r="AR23"/>
  <c r="BH23"/>
  <c r="BX23"/>
  <c r="CN23"/>
  <c r="L33"/>
  <c r="AB33"/>
  <c r="AR33"/>
  <c r="BH33"/>
  <c r="BX33"/>
  <c r="CN33"/>
  <c r="L47"/>
  <c r="AB47"/>
  <c r="AR47"/>
  <c r="BH47"/>
  <c r="BX47"/>
  <c r="CN47"/>
  <c r="AB18"/>
  <c r="T19"/>
  <c r="AJ19"/>
  <c r="AZ19"/>
  <c r="BP19"/>
  <c r="CF19"/>
  <c r="CV19"/>
  <c r="P23"/>
  <c r="AF23"/>
  <c r="AV23"/>
  <c r="BL23"/>
  <c r="CB23"/>
  <c r="CR23"/>
  <c r="L52"/>
  <c r="AR52"/>
  <c r="D18"/>
  <c r="L18"/>
  <c r="BH18"/>
  <c r="BX18"/>
  <c r="T47"/>
  <c r="T46" s="1"/>
  <c r="AJ47"/>
  <c r="AJ46" s="1"/>
  <c r="AZ47"/>
  <c r="AZ46" s="1"/>
  <c r="BP47"/>
  <c r="BP46" s="1"/>
  <c r="CF47"/>
  <c r="CF46" s="1"/>
  <c r="AV18"/>
  <c r="BP18"/>
  <c r="AF18"/>
  <c r="CR18"/>
  <c r="P18"/>
  <c r="AJ18"/>
  <c r="CB18"/>
  <c r="CV18"/>
  <c r="H18"/>
  <c r="X18"/>
  <c r="AN18"/>
  <c r="BD18"/>
  <c r="BT18"/>
  <c r="CJ18"/>
  <c r="H52"/>
  <c r="H46" s="1"/>
  <c r="X52"/>
  <c r="AN52"/>
  <c r="BD52"/>
  <c r="BT52"/>
  <c r="CJ52"/>
  <c r="C12"/>
  <c r="BX46" l="1"/>
  <c r="BD46"/>
  <c r="AF46"/>
  <c r="BT46"/>
  <c r="P46"/>
  <c r="CB46"/>
  <c r="CN46"/>
  <c r="X46"/>
  <c r="BL46"/>
  <c r="AN46"/>
  <c r="L46"/>
  <c r="BH46"/>
  <c r="CJ46"/>
  <c r="AB46"/>
  <c r="AV46"/>
  <c r="CR46"/>
  <c r="AR46"/>
  <c r="D33"/>
  <c r="D52"/>
  <c r="D47"/>
  <c r="D46" l="1"/>
  <c r="D19"/>
  <c r="K15" l="1"/>
  <c r="O15" s="1"/>
  <c r="S15" s="1"/>
  <c r="W15" s="1"/>
  <c r="AA15" s="1"/>
  <c r="AE15" s="1"/>
  <c r="AI15" s="1"/>
  <c r="AM15" s="1"/>
  <c r="AQ15" s="1"/>
  <c r="AU15" s="1"/>
  <c r="AY15" s="1"/>
  <c r="BC15" s="1"/>
  <c r="BG15" s="1"/>
  <c r="BK15" s="1"/>
  <c r="BO15" s="1"/>
  <c r="BS15" s="1"/>
  <c r="BW15" s="1"/>
  <c r="CA15" s="1"/>
  <c r="CE15" s="1"/>
  <c r="CI15" s="1"/>
  <c r="CM15" s="1"/>
  <c r="CQ15" s="1"/>
  <c r="CU15" s="1"/>
  <c r="CY15" s="1"/>
  <c r="J15"/>
  <c r="N15" s="1"/>
  <c r="R15" s="1"/>
  <c r="V15" s="1"/>
  <c r="Z15" s="1"/>
  <c r="AD15" s="1"/>
  <c r="AH15" s="1"/>
  <c r="AL15" s="1"/>
  <c r="AP15" s="1"/>
  <c r="AT15" s="1"/>
  <c r="AX15" s="1"/>
  <c r="BB15" s="1"/>
  <c r="BF15" s="1"/>
  <c r="BJ15" s="1"/>
  <c r="BN15" s="1"/>
  <c r="BR15" s="1"/>
  <c r="BV15" s="1"/>
  <c r="BZ15" s="1"/>
  <c r="CD15" s="1"/>
  <c r="CH15" s="1"/>
  <c r="CL15" s="1"/>
  <c r="CP15" s="1"/>
  <c r="CT15" s="1"/>
  <c r="CX15" s="1"/>
  <c r="I15"/>
  <c r="M15" s="1"/>
  <c r="Q15" s="1"/>
  <c r="U15" s="1"/>
  <c r="Y15" s="1"/>
  <c r="AC15" s="1"/>
  <c r="AG15" s="1"/>
  <c r="AK15" s="1"/>
  <c r="AO15" s="1"/>
  <c r="AS15" s="1"/>
  <c r="AW15" s="1"/>
  <c r="BA15" s="1"/>
  <c r="BE15" s="1"/>
  <c r="BI15" s="1"/>
  <c r="BM15" s="1"/>
  <c r="BQ15" s="1"/>
  <c r="BU15" s="1"/>
  <c r="BY15" s="1"/>
  <c r="CC15" s="1"/>
  <c r="CG15" s="1"/>
  <c r="CK15" s="1"/>
  <c r="CO15" s="1"/>
  <c r="CS15" s="1"/>
  <c r="CW15" s="1"/>
  <c r="H15"/>
  <c r="L15" s="1"/>
  <c r="P15" s="1"/>
  <c r="T15" s="1"/>
  <c r="X15" s="1"/>
  <c r="AB15" s="1"/>
  <c r="AF15" s="1"/>
  <c r="AJ15" s="1"/>
  <c r="AN15" s="1"/>
  <c r="AR15" s="1"/>
  <c r="AV15" s="1"/>
  <c r="AZ15" s="1"/>
  <c r="BD15" s="1"/>
  <c r="BH15" s="1"/>
  <c r="BL15" s="1"/>
  <c r="BP15" s="1"/>
  <c r="BT15" s="1"/>
  <c r="BX15" s="1"/>
  <c r="CB15" s="1"/>
  <c r="CF15" s="1"/>
  <c r="CJ15" s="1"/>
  <c r="CN15" s="1"/>
  <c r="CR15" s="1"/>
  <c r="CV15" s="1"/>
  <c r="C17"/>
  <c r="D17" s="1"/>
  <c r="E5" i="23"/>
  <c r="G1"/>
  <c r="D27" i="10"/>
  <c r="D26"/>
  <c r="D25"/>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D72" i="5"/>
  <c r="D50"/>
  <c r="D12"/>
  <c r="E6" i="23" l="1"/>
  <c r="E7" s="1"/>
  <c r="E8" s="1"/>
  <c r="E9" s="1"/>
  <c r="E10" s="1"/>
  <c r="E11" s="1"/>
  <c r="E12" s="1"/>
  <c r="E13" s="1"/>
  <c r="E14" s="1"/>
  <c r="E15" s="1"/>
  <c r="E16" s="1"/>
  <c r="E17" s="1"/>
  <c r="F6" i="28"/>
  <c r="E17" i="24"/>
  <c r="G17"/>
  <c r="H17" s="1"/>
  <c r="D58"/>
  <c r="E15" i="3" s="1"/>
  <c r="D11" i="4" s="1"/>
  <c r="D23" i="24"/>
  <c r="D29"/>
  <c r="AA26" i="10"/>
  <c r="D64" i="5"/>
  <c r="M25" i="10"/>
  <c r="AK26"/>
  <c r="S21"/>
  <c r="D28"/>
  <c r="P21"/>
  <c r="H18"/>
  <c r="AD26"/>
  <c r="F2" i="28" l="1"/>
  <c r="F7"/>
  <c r="F17" i="24"/>
  <c r="F20" s="1"/>
  <c r="F16"/>
  <c r="K17"/>
  <c r="L17" s="1"/>
  <c r="I17"/>
  <c r="J16" s="1"/>
  <c r="K25" i="10"/>
  <c r="H26"/>
  <c r="T21"/>
  <c r="N26"/>
  <c r="AL25"/>
  <c r="X26"/>
  <c r="H25"/>
  <c r="X25"/>
  <c r="R26"/>
  <c r="J21"/>
  <c r="L25"/>
  <c r="M21"/>
  <c r="Y26"/>
  <c r="O26"/>
  <c r="I25"/>
  <c r="L26"/>
  <c r="W26"/>
  <c r="V26"/>
  <c r="T25"/>
  <c r="AF25"/>
  <c r="K18"/>
  <c r="J31" s="1"/>
  <c r="Y25"/>
  <c r="M26"/>
  <c r="M27" s="1"/>
  <c r="Q17" s="1"/>
  <c r="Q26"/>
  <c r="M18"/>
  <c r="E24" i="4" s="1"/>
  <c r="AE25" i="10"/>
  <c r="J18"/>
  <c r="AB25"/>
  <c r="P25"/>
  <c r="U26"/>
  <c r="N21"/>
  <c r="AC25"/>
  <c r="AB26"/>
  <c r="AJ25"/>
  <c r="AN26"/>
  <c r="N18"/>
  <c r="F24" i="4" s="1"/>
  <c r="AL26" i="10"/>
  <c r="W25"/>
  <c r="I26"/>
  <c r="AD25"/>
  <c r="AD27" s="1"/>
  <c r="AH17" s="1"/>
  <c r="L18"/>
  <c r="J25"/>
  <c r="AM25"/>
  <c r="AC26"/>
  <c r="G25"/>
  <c r="AI25"/>
  <c r="AG26"/>
  <c r="V25"/>
  <c r="E26"/>
  <c r="Z26"/>
  <c r="R21"/>
  <c r="Q25"/>
  <c r="AG25"/>
  <c r="P26"/>
  <c r="AF26"/>
  <c r="AN25"/>
  <c r="S25"/>
  <c r="Q21"/>
  <c r="L21"/>
  <c r="O25"/>
  <c r="I16"/>
  <c r="K21"/>
  <c r="R25"/>
  <c r="G26"/>
  <c r="AI26"/>
  <c r="H21"/>
  <c r="N25"/>
  <c r="K26"/>
  <c r="K27" s="1"/>
  <c r="O17" s="1"/>
  <c r="AM26"/>
  <c r="AA25"/>
  <c r="AA27" s="1"/>
  <c r="AE17" s="1"/>
  <c r="J26"/>
  <c r="AE26"/>
  <c r="E25"/>
  <c r="E28" s="1"/>
  <c r="U25"/>
  <c r="AK25"/>
  <c r="AK27" s="1"/>
  <c r="AO17" s="1"/>
  <c r="T26"/>
  <c r="AJ26"/>
  <c r="Z25"/>
  <c r="O21"/>
  <c r="S26"/>
  <c r="H17"/>
  <c r="AH25"/>
  <c r="AH26"/>
  <c r="F26"/>
  <c r="F25"/>
  <c r="D24" i="4" l="1"/>
  <c r="K31" i="10"/>
  <c r="AN27"/>
  <c r="O17" i="24"/>
  <c r="P17" s="1"/>
  <c r="M17"/>
  <c r="AL27" i="10"/>
  <c r="AP17" s="1"/>
  <c r="J17" i="24"/>
  <c r="E50"/>
  <c r="G50" s="1"/>
  <c r="E36"/>
  <c r="G36" s="1"/>
  <c r="E40"/>
  <c r="G40" s="1"/>
  <c r="E44"/>
  <c r="G44" s="1"/>
  <c r="E32"/>
  <c r="E27"/>
  <c r="E22"/>
  <c r="G22" s="1"/>
  <c r="E56"/>
  <c r="G56" s="1"/>
  <c r="E35"/>
  <c r="G35" s="1"/>
  <c r="E51"/>
  <c r="G51" s="1"/>
  <c r="E37"/>
  <c r="G37" s="1"/>
  <c r="E41"/>
  <c r="G41" s="1"/>
  <c r="E45"/>
  <c r="G45" s="1"/>
  <c r="E30"/>
  <c r="E28"/>
  <c r="E20"/>
  <c r="E53"/>
  <c r="G53" s="1"/>
  <c r="E49"/>
  <c r="G49" s="1"/>
  <c r="E39"/>
  <c r="G39" s="1"/>
  <c r="E43"/>
  <c r="G43" s="1"/>
  <c r="E31"/>
  <c r="E26"/>
  <c r="E21"/>
  <c r="G21" s="1"/>
  <c r="E55"/>
  <c r="G55" s="1"/>
  <c r="E48"/>
  <c r="E38"/>
  <c r="G38" s="1"/>
  <c r="E42"/>
  <c r="G42" s="1"/>
  <c r="E34"/>
  <c r="E25"/>
  <c r="E24"/>
  <c r="E54"/>
  <c r="G54" s="1"/>
  <c r="F32"/>
  <c r="F56"/>
  <c r="F49"/>
  <c r="F51"/>
  <c r="F35"/>
  <c r="F21"/>
  <c r="F42"/>
  <c r="F38"/>
  <c r="F48"/>
  <c r="F22"/>
  <c r="F41"/>
  <c r="F45"/>
  <c r="F44"/>
  <c r="F43"/>
  <c r="F40"/>
  <c r="F25"/>
  <c r="F53"/>
  <c r="F34"/>
  <c r="F50"/>
  <c r="F39"/>
  <c r="F36"/>
  <c r="F54"/>
  <c r="F55"/>
  <c r="F31"/>
  <c r="F37"/>
  <c r="F24"/>
  <c r="F28"/>
  <c r="F27"/>
  <c r="F26"/>
  <c r="F30"/>
  <c r="E58"/>
  <c r="F15" i="3" s="1"/>
  <c r="E11" i="4" s="1"/>
  <c r="X27" i="10"/>
  <c r="AB17" s="1"/>
  <c r="Q27"/>
  <c r="U17" s="1"/>
  <c r="H27"/>
  <c r="L17" s="1"/>
  <c r="U27"/>
  <c r="Y17" s="1"/>
  <c r="AF27"/>
  <c r="AJ17" s="1"/>
  <c r="AC27"/>
  <c r="AG17" s="1"/>
  <c r="Y27"/>
  <c r="AC17" s="1"/>
  <c r="N27"/>
  <c r="R17" s="1"/>
  <c r="R27"/>
  <c r="V17" s="1"/>
  <c r="P27"/>
  <c r="T17" s="1"/>
  <c r="W27"/>
  <c r="AA17" s="1"/>
  <c r="L27"/>
  <c r="P17" s="1"/>
  <c r="V27"/>
  <c r="Z17" s="1"/>
  <c r="F58" i="24"/>
  <c r="G15" i="3" s="1"/>
  <c r="F11" i="4" s="1"/>
  <c r="AG27" i="10"/>
  <c r="AK17" s="1"/>
  <c r="O27"/>
  <c r="S17" s="1"/>
  <c r="Z27"/>
  <c r="AD17" s="1"/>
  <c r="I27"/>
  <c r="M17" s="1"/>
  <c r="AJ27"/>
  <c r="AN17" s="1"/>
  <c r="T27"/>
  <c r="X17" s="1"/>
  <c r="G27"/>
  <c r="K17" s="1"/>
  <c r="E27"/>
  <c r="I17" s="1"/>
  <c r="AE27"/>
  <c r="AI17" s="1"/>
  <c r="AB27"/>
  <c r="AF17" s="1"/>
  <c r="S27"/>
  <c r="W17" s="1"/>
  <c r="AI27"/>
  <c r="AM17" s="1"/>
  <c r="AM27"/>
  <c r="AQ17" s="1"/>
  <c r="J27"/>
  <c r="N17" s="1"/>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F27"/>
  <c r="J17" s="1"/>
  <c r="AH27"/>
  <c r="AL17" s="1"/>
  <c r="D14" i="30" l="1"/>
  <c r="N17" i="24"/>
  <c r="N16"/>
  <c r="S17"/>
  <c r="T17" s="1"/>
  <c r="Q17"/>
  <c r="D29" i="6"/>
  <c r="E47" i="24"/>
  <c r="E33"/>
  <c r="G48"/>
  <c r="G47" s="1"/>
  <c r="G52"/>
  <c r="J42"/>
  <c r="J27"/>
  <c r="J30"/>
  <c r="J35"/>
  <c r="J37"/>
  <c r="J44"/>
  <c r="J22"/>
  <c r="J34"/>
  <c r="J50"/>
  <c r="J45"/>
  <c r="J49"/>
  <c r="J31"/>
  <c r="J28"/>
  <c r="J43"/>
  <c r="J21"/>
  <c r="J51"/>
  <c r="J25"/>
  <c r="J41"/>
  <c r="J53"/>
  <c r="J38"/>
  <c r="J20"/>
  <c r="J26"/>
  <c r="J32"/>
  <c r="J56"/>
  <c r="J40"/>
  <c r="J48"/>
  <c r="J55"/>
  <c r="J39"/>
  <c r="J24"/>
  <c r="J54"/>
  <c r="J36"/>
  <c r="E23"/>
  <c r="E29"/>
  <c r="G20"/>
  <c r="E19"/>
  <c r="G34"/>
  <c r="G33" s="1"/>
  <c r="I48"/>
  <c r="I56"/>
  <c r="K56" s="1"/>
  <c r="I51"/>
  <c r="K51" s="1"/>
  <c r="I54"/>
  <c r="K54" s="1"/>
  <c r="I44"/>
  <c r="K44" s="1"/>
  <c r="I22"/>
  <c r="K22" s="1"/>
  <c r="I36"/>
  <c r="K36" s="1"/>
  <c r="I25"/>
  <c r="K25" s="1"/>
  <c r="I40"/>
  <c r="K40" s="1"/>
  <c r="I21"/>
  <c r="K21" s="1"/>
  <c r="I35"/>
  <c r="K35" s="1"/>
  <c r="I20"/>
  <c r="I49"/>
  <c r="K49" s="1"/>
  <c r="I38"/>
  <c r="K38" s="1"/>
  <c r="I41"/>
  <c r="K41" s="1"/>
  <c r="I43"/>
  <c r="K43" s="1"/>
  <c r="I34"/>
  <c r="I30"/>
  <c r="I32"/>
  <c r="K32" s="1"/>
  <c r="I50"/>
  <c r="K50" s="1"/>
  <c r="I42"/>
  <c r="K42" s="1"/>
  <c r="I24"/>
  <c r="I39"/>
  <c r="K39" s="1"/>
  <c r="I31"/>
  <c r="K31" s="1"/>
  <c r="I53"/>
  <c r="I26"/>
  <c r="K26" s="1"/>
  <c r="I45"/>
  <c r="K45" s="1"/>
  <c r="I28"/>
  <c r="K28" s="1"/>
  <c r="I55"/>
  <c r="K55" s="1"/>
  <c r="I27"/>
  <c r="K27" s="1"/>
  <c r="I37"/>
  <c r="K37" s="1"/>
  <c r="E52"/>
  <c r="F19"/>
  <c r="F52"/>
  <c r="F47"/>
  <c r="F33"/>
  <c r="G58"/>
  <c r="H15" i="3" s="1"/>
  <c r="G11" i="4" s="1"/>
  <c r="R16" i="24" l="1"/>
  <c r="R17"/>
  <c r="U17"/>
  <c r="W17"/>
  <c r="X17" s="1"/>
  <c r="E46"/>
  <c r="E18" s="1"/>
  <c r="G46"/>
  <c r="J19"/>
  <c r="N56"/>
  <c r="N50"/>
  <c r="N32"/>
  <c r="N44"/>
  <c r="N40"/>
  <c r="N35"/>
  <c r="N27"/>
  <c r="N22"/>
  <c r="N55"/>
  <c r="N53"/>
  <c r="N31"/>
  <c r="N43"/>
  <c r="N36"/>
  <c r="N38"/>
  <c r="N26"/>
  <c r="N37"/>
  <c r="N51"/>
  <c r="N48"/>
  <c r="N41"/>
  <c r="N28"/>
  <c r="N54"/>
  <c r="N49"/>
  <c r="N30"/>
  <c r="N29" s="1"/>
  <c r="N42"/>
  <c r="N20"/>
  <c r="N34"/>
  <c r="N25"/>
  <c r="N21"/>
  <c r="N45"/>
  <c r="N39"/>
  <c r="N24"/>
  <c r="J33"/>
  <c r="J52"/>
  <c r="J29"/>
  <c r="I19"/>
  <c r="K20"/>
  <c r="K19" s="1"/>
  <c r="K24"/>
  <c r="K23" s="1"/>
  <c r="I23"/>
  <c r="I29"/>
  <c r="K30"/>
  <c r="K29" s="1"/>
  <c r="J47"/>
  <c r="K53"/>
  <c r="K52" s="1"/>
  <c r="I52"/>
  <c r="K34"/>
  <c r="K33" s="1"/>
  <c r="I33"/>
  <c r="K48"/>
  <c r="K47" s="1"/>
  <c r="I47"/>
  <c r="M55"/>
  <c r="O55" s="1"/>
  <c r="M49"/>
  <c r="O49" s="1"/>
  <c r="M41"/>
  <c r="O41" s="1"/>
  <c r="M43"/>
  <c r="O43" s="1"/>
  <c r="M36"/>
  <c r="O36" s="1"/>
  <c r="M35"/>
  <c r="O35" s="1"/>
  <c r="M28"/>
  <c r="O28" s="1"/>
  <c r="M24"/>
  <c r="M38"/>
  <c r="O38" s="1"/>
  <c r="M45"/>
  <c r="O45" s="1"/>
  <c r="M30"/>
  <c r="M21"/>
  <c r="O21" s="1"/>
  <c r="M39"/>
  <c r="O39" s="1"/>
  <c r="M54"/>
  <c r="O54" s="1"/>
  <c r="M51"/>
  <c r="O51" s="1"/>
  <c r="M44"/>
  <c r="O44" s="1"/>
  <c r="M32"/>
  <c r="O32" s="1"/>
  <c r="M31"/>
  <c r="O31" s="1"/>
  <c r="M42"/>
  <c r="O42" s="1"/>
  <c r="M22"/>
  <c r="O22" s="1"/>
  <c r="M27"/>
  <c r="O27" s="1"/>
  <c r="M20"/>
  <c r="M25"/>
  <c r="O25" s="1"/>
  <c r="M56"/>
  <c r="O56" s="1"/>
  <c r="M26"/>
  <c r="O26" s="1"/>
  <c r="M53"/>
  <c r="M48"/>
  <c r="M40"/>
  <c r="O40" s="1"/>
  <c r="M37"/>
  <c r="O37" s="1"/>
  <c r="M50"/>
  <c r="O50" s="1"/>
  <c r="M34"/>
  <c r="J23"/>
  <c r="F46"/>
  <c r="H58"/>
  <c r="I15" i="3" s="1"/>
  <c r="H11" i="4" s="1"/>
  <c r="AA17" i="24" l="1"/>
  <c r="AB17" s="1"/>
  <c r="Y17"/>
  <c r="V17"/>
  <c r="V16"/>
  <c r="I46"/>
  <c r="I18" s="1"/>
  <c r="K46"/>
  <c r="K18" s="1"/>
  <c r="E59" s="1"/>
  <c r="J46"/>
  <c r="J18" s="1"/>
  <c r="R51"/>
  <c r="R54"/>
  <c r="R30"/>
  <c r="R42"/>
  <c r="R37"/>
  <c r="R39"/>
  <c r="R26"/>
  <c r="R34"/>
  <c r="R50"/>
  <c r="R48"/>
  <c r="R45"/>
  <c r="R41"/>
  <c r="R21"/>
  <c r="R35"/>
  <c r="R25"/>
  <c r="R22"/>
  <c r="R56"/>
  <c r="R49"/>
  <c r="R31"/>
  <c r="R43"/>
  <c r="R55"/>
  <c r="R20"/>
  <c r="R27"/>
  <c r="R38"/>
  <c r="R53"/>
  <c r="R32"/>
  <c r="R44"/>
  <c r="R40"/>
  <c r="R36"/>
  <c r="R28"/>
  <c r="R24"/>
  <c r="M23"/>
  <c r="O24"/>
  <c r="O23" s="1"/>
  <c r="Q56"/>
  <c r="S56" s="1"/>
  <c r="Q54"/>
  <c r="S54" s="1"/>
  <c r="Q44"/>
  <c r="S44" s="1"/>
  <c r="Q31"/>
  <c r="S31" s="1"/>
  <c r="Q22"/>
  <c r="S22" s="1"/>
  <c r="Q30"/>
  <c r="Q35"/>
  <c r="S35" s="1"/>
  <c r="Q25"/>
  <c r="S25" s="1"/>
  <c r="Q26"/>
  <c r="S26" s="1"/>
  <c r="Q45"/>
  <c r="S45" s="1"/>
  <c r="Q36"/>
  <c r="S36" s="1"/>
  <c r="Q55"/>
  <c r="S55" s="1"/>
  <c r="Q49"/>
  <c r="S49" s="1"/>
  <c r="Q48"/>
  <c r="Q40"/>
  <c r="S40" s="1"/>
  <c r="Q37"/>
  <c r="S37" s="1"/>
  <c r="Q20"/>
  <c r="Q24"/>
  <c r="S24" s="1"/>
  <c r="Q41"/>
  <c r="S41" s="1"/>
  <c r="Q34"/>
  <c r="Q39"/>
  <c r="S39" s="1"/>
  <c r="Q53"/>
  <c r="Q50"/>
  <c r="S50" s="1"/>
  <c r="Q42"/>
  <c r="S42" s="1"/>
  <c r="Q38"/>
  <c r="S38" s="1"/>
  <c r="Q21"/>
  <c r="S21" s="1"/>
  <c r="Q43"/>
  <c r="S43" s="1"/>
  <c r="Q32"/>
  <c r="S32" s="1"/>
  <c r="Q28"/>
  <c r="S28" s="1"/>
  <c r="Q51"/>
  <c r="S51" s="1"/>
  <c r="Q27"/>
  <c r="S27" s="1"/>
  <c r="N23"/>
  <c r="M33"/>
  <c r="O34"/>
  <c r="O33" s="1"/>
  <c r="O48"/>
  <c r="O47" s="1"/>
  <c r="M47"/>
  <c r="M29"/>
  <c r="O30"/>
  <c r="O29" s="1"/>
  <c r="N33"/>
  <c r="N47"/>
  <c r="N52"/>
  <c r="O53"/>
  <c r="O52" s="1"/>
  <c r="M52"/>
  <c r="O20"/>
  <c r="O19" s="1"/>
  <c r="M19"/>
  <c r="N19"/>
  <c r="I58"/>
  <c r="J15" i="3" s="1"/>
  <c r="I11" i="4" s="1"/>
  <c r="Z17" i="24" l="1"/>
  <c r="Z16"/>
  <c r="AC17"/>
  <c r="AE17"/>
  <c r="AF17" s="1"/>
  <c r="O46"/>
  <c r="O18" s="1"/>
  <c r="F59" s="1"/>
  <c r="N46"/>
  <c r="N18" s="1"/>
  <c r="R52"/>
  <c r="R23"/>
  <c r="S48"/>
  <c r="S47" s="1"/>
  <c r="Q47"/>
  <c r="Q29"/>
  <c r="S30"/>
  <c r="S29" s="1"/>
  <c r="R33"/>
  <c r="Q19"/>
  <c r="S20"/>
  <c r="S19" s="1"/>
  <c r="R29"/>
  <c r="Q52"/>
  <c r="S53"/>
  <c r="S52" s="1"/>
  <c r="Q23"/>
  <c r="S23"/>
  <c r="M46"/>
  <c r="M18" s="1"/>
  <c r="Q33"/>
  <c r="S34"/>
  <c r="S33" s="1"/>
  <c r="R19"/>
  <c r="R47"/>
  <c r="V56"/>
  <c r="V54"/>
  <c r="V32"/>
  <c r="V44"/>
  <c r="V40"/>
  <c r="V37"/>
  <c r="V27"/>
  <c r="V20"/>
  <c r="V41"/>
  <c r="V24"/>
  <c r="V55"/>
  <c r="V53"/>
  <c r="V31"/>
  <c r="V43"/>
  <c r="V38"/>
  <c r="V21"/>
  <c r="V26"/>
  <c r="V39"/>
  <c r="V50"/>
  <c r="V45"/>
  <c r="V28"/>
  <c r="V51"/>
  <c r="V49"/>
  <c r="V30"/>
  <c r="V42"/>
  <c r="V34"/>
  <c r="V36"/>
  <c r="V25"/>
  <c r="V35"/>
  <c r="V48"/>
  <c r="V22"/>
  <c r="U50"/>
  <c r="W50" s="1"/>
  <c r="U45"/>
  <c r="W45" s="1"/>
  <c r="U43"/>
  <c r="W43" s="1"/>
  <c r="U39"/>
  <c r="W39" s="1"/>
  <c r="U40"/>
  <c r="W40" s="1"/>
  <c r="U37"/>
  <c r="W37" s="1"/>
  <c r="U28"/>
  <c r="W28" s="1"/>
  <c r="U38"/>
  <c r="W38" s="1"/>
  <c r="U27"/>
  <c r="W27" s="1"/>
  <c r="U54"/>
  <c r="W54" s="1"/>
  <c r="U56"/>
  <c r="W56" s="1"/>
  <c r="U53"/>
  <c r="U44"/>
  <c r="W44" s="1"/>
  <c r="U42"/>
  <c r="W42" s="1"/>
  <c r="U35"/>
  <c r="W35" s="1"/>
  <c r="U21"/>
  <c r="W21" s="1"/>
  <c r="U25"/>
  <c r="W25" s="1"/>
  <c r="U26"/>
  <c r="W26" s="1"/>
  <c r="U31"/>
  <c r="W31" s="1"/>
  <c r="U41"/>
  <c r="W41" s="1"/>
  <c r="U36"/>
  <c r="W36" s="1"/>
  <c r="U22"/>
  <c r="W22" s="1"/>
  <c r="U24"/>
  <c r="U55"/>
  <c r="W55" s="1"/>
  <c r="U51"/>
  <c r="W51" s="1"/>
  <c r="U49"/>
  <c r="W49" s="1"/>
  <c r="U32"/>
  <c r="W32" s="1"/>
  <c r="U30"/>
  <c r="U34"/>
  <c r="U48"/>
  <c r="U20"/>
  <c r="J58"/>
  <c r="K15" i="3" s="1"/>
  <c r="J11" i="4" s="1"/>
  <c r="AI17" i="24" l="1"/>
  <c r="AJ17" s="1"/>
  <c r="AG17"/>
  <c r="AD16"/>
  <c r="AD17"/>
  <c r="R46"/>
  <c r="R18" s="1"/>
  <c r="V47"/>
  <c r="V29"/>
  <c r="V33"/>
  <c r="V23"/>
  <c r="S46"/>
  <c r="S18" s="1"/>
  <c r="G59" s="1"/>
  <c r="W20"/>
  <c r="W19" s="1"/>
  <c r="U19"/>
  <c r="W24"/>
  <c r="W23" s="1"/>
  <c r="U23"/>
  <c r="U47"/>
  <c r="W48"/>
  <c r="W47" s="1"/>
  <c r="Y55"/>
  <c r="AA55" s="1"/>
  <c r="Y49"/>
  <c r="AA49" s="1"/>
  <c r="Y48"/>
  <c r="Y42"/>
  <c r="AA42" s="1"/>
  <c r="Y37"/>
  <c r="AA37" s="1"/>
  <c r="Y38"/>
  <c r="AA38" s="1"/>
  <c r="Y25"/>
  <c r="AA25" s="1"/>
  <c r="Y28"/>
  <c r="AA28" s="1"/>
  <c r="Y30"/>
  <c r="Y27"/>
  <c r="AA27" s="1"/>
  <c r="Y54"/>
  <c r="AA54" s="1"/>
  <c r="Y45"/>
  <c r="AA45" s="1"/>
  <c r="Y32"/>
  <c r="AA32" s="1"/>
  <c r="Y36"/>
  <c r="AA36" s="1"/>
  <c r="Y41"/>
  <c r="AA41" s="1"/>
  <c r="Y34"/>
  <c r="Y21"/>
  <c r="AA21" s="1"/>
  <c r="Y24"/>
  <c r="Y53"/>
  <c r="Y43"/>
  <c r="AA43" s="1"/>
  <c r="Y35"/>
  <c r="AA35" s="1"/>
  <c r="Y26"/>
  <c r="AA26" s="1"/>
  <c r="Y51"/>
  <c r="AA51" s="1"/>
  <c r="Y44"/>
  <c r="AA44" s="1"/>
  <c r="Y40"/>
  <c r="AA40" s="1"/>
  <c r="Y20"/>
  <c r="Y39"/>
  <c r="AA39" s="1"/>
  <c r="Y22"/>
  <c r="AA22" s="1"/>
  <c r="Y31"/>
  <c r="AA31" s="1"/>
  <c r="Y56"/>
  <c r="AA56" s="1"/>
  <c r="Y50"/>
  <c r="AA50" s="1"/>
  <c r="U33"/>
  <c r="W34"/>
  <c r="W33" s="1"/>
  <c r="V52"/>
  <c r="V19"/>
  <c r="Z50"/>
  <c r="Z48"/>
  <c r="Z45"/>
  <c r="Z41"/>
  <c r="Z36"/>
  <c r="Z37"/>
  <c r="Z25"/>
  <c r="Z51"/>
  <c r="Z54"/>
  <c r="Z30"/>
  <c r="Z35"/>
  <c r="Z22"/>
  <c r="Z26"/>
  <c r="Z20"/>
  <c r="Z56"/>
  <c r="Z53"/>
  <c r="Z32"/>
  <c r="Z44"/>
  <c r="Z40"/>
  <c r="Z38"/>
  <c r="Z28"/>
  <c r="Z24"/>
  <c r="Z42"/>
  <c r="Z55"/>
  <c r="Z49"/>
  <c r="Z31"/>
  <c r="Z43"/>
  <c r="Z39"/>
  <c r="Z34"/>
  <c r="Z27"/>
  <c r="Z21"/>
  <c r="Q46"/>
  <c r="Q18" s="1"/>
  <c r="W30"/>
  <c r="W29" s="1"/>
  <c r="U29"/>
  <c r="U52"/>
  <c r="W53"/>
  <c r="W52" s="1"/>
  <c r="G17" i="3"/>
  <c r="F14" i="4" s="1"/>
  <c r="F60" i="24"/>
  <c r="K58"/>
  <c r="L15" i="3" s="1"/>
  <c r="K11" i="4" s="1"/>
  <c r="V46" i="24" l="1"/>
  <c r="V18" s="1"/>
  <c r="AH16"/>
  <c r="AH17"/>
  <c r="AK17"/>
  <c r="AM17"/>
  <c r="AN17" s="1"/>
  <c r="H17" i="3"/>
  <c r="G14" i="4" s="1"/>
  <c r="G25" s="1"/>
  <c r="F25"/>
  <c r="F20"/>
  <c r="F19"/>
  <c r="Z19" i="24"/>
  <c r="Z47"/>
  <c r="Z23"/>
  <c r="Z29"/>
  <c r="AA24"/>
  <c r="AA23" s="1"/>
  <c r="Y23"/>
  <c r="Z33"/>
  <c r="Y29"/>
  <c r="AA30"/>
  <c r="AA29" s="1"/>
  <c r="AA20"/>
  <c r="AA19" s="1"/>
  <c r="Y19"/>
  <c r="AD55"/>
  <c r="AD53"/>
  <c r="AD31"/>
  <c r="AD43"/>
  <c r="AD36"/>
  <c r="AD35"/>
  <c r="AD27"/>
  <c r="AD22"/>
  <c r="AD54"/>
  <c r="AD49"/>
  <c r="AD30"/>
  <c r="AD42"/>
  <c r="AD20"/>
  <c r="AD38"/>
  <c r="AD26"/>
  <c r="AD21"/>
  <c r="AD51"/>
  <c r="AD48"/>
  <c r="AD45"/>
  <c r="AD41"/>
  <c r="AD37"/>
  <c r="AD34"/>
  <c r="AD25"/>
  <c r="AD56"/>
  <c r="AD50"/>
  <c r="AD32"/>
  <c r="AD44"/>
  <c r="AD40"/>
  <c r="AD39"/>
  <c r="AD28"/>
  <c r="AD24"/>
  <c r="Z52"/>
  <c r="AA34"/>
  <c r="AA33" s="1"/>
  <c r="Y33"/>
  <c r="W46"/>
  <c r="W18" s="1"/>
  <c r="H59" s="1"/>
  <c r="AC50"/>
  <c r="AE50" s="1"/>
  <c r="AC55"/>
  <c r="AE55" s="1"/>
  <c r="AC40"/>
  <c r="AE40" s="1"/>
  <c r="AC37"/>
  <c r="AE37" s="1"/>
  <c r="AC42"/>
  <c r="AE42" s="1"/>
  <c r="AC35"/>
  <c r="AE35" s="1"/>
  <c r="AC24"/>
  <c r="AC48"/>
  <c r="AC25"/>
  <c r="AE25" s="1"/>
  <c r="AC56"/>
  <c r="AE56" s="1"/>
  <c r="AC51"/>
  <c r="AE51" s="1"/>
  <c r="AC45"/>
  <c r="AE45" s="1"/>
  <c r="AC30"/>
  <c r="AC21"/>
  <c r="AE21" s="1"/>
  <c r="AC36"/>
  <c r="AE36" s="1"/>
  <c r="AC28"/>
  <c r="AE28" s="1"/>
  <c r="AC34"/>
  <c r="AC41"/>
  <c r="AE41" s="1"/>
  <c r="AC31"/>
  <c r="AE31" s="1"/>
  <c r="AC38"/>
  <c r="AE38" s="1"/>
  <c r="AC26"/>
  <c r="AE26" s="1"/>
  <c r="AC54"/>
  <c r="AE54" s="1"/>
  <c r="AC49"/>
  <c r="AE49" s="1"/>
  <c r="AC44"/>
  <c r="AE44" s="1"/>
  <c r="AC43"/>
  <c r="AE43" s="1"/>
  <c r="AC20"/>
  <c r="AC32"/>
  <c r="AE32" s="1"/>
  <c r="AC22"/>
  <c r="AE22" s="1"/>
  <c r="AC27"/>
  <c r="AE27" s="1"/>
  <c r="AC53"/>
  <c r="AC39"/>
  <c r="AE39" s="1"/>
  <c r="AA53"/>
  <c r="AA52" s="1"/>
  <c r="Y52"/>
  <c r="AA48"/>
  <c r="AA47" s="1"/>
  <c r="Y47"/>
  <c r="U46"/>
  <c r="U18" s="1"/>
  <c r="F61"/>
  <c r="G16" i="3" s="1"/>
  <c r="G60" i="24"/>
  <c r="G61" s="1"/>
  <c r="H16" i="3" s="1"/>
  <c r="L58" i="24"/>
  <c r="M15" i="3" s="1"/>
  <c r="L11" i="4" s="1"/>
  <c r="G20" l="1"/>
  <c r="AO17" i="24"/>
  <c r="AQ17"/>
  <c r="AR17" s="1"/>
  <c r="AL17"/>
  <c r="AL16"/>
  <c r="G19" i="4"/>
  <c r="I17" i="3"/>
  <c r="H14" i="4" s="1"/>
  <c r="H26" s="1"/>
  <c r="Z46" i="24"/>
  <c r="Z18" s="1"/>
  <c r="AD19"/>
  <c r="Y46"/>
  <c r="Y18" s="1"/>
  <c r="AE48"/>
  <c r="AE47" s="1"/>
  <c r="AC47"/>
  <c r="AE34"/>
  <c r="AE33" s="1"/>
  <c r="AC33"/>
  <c r="AE30"/>
  <c r="AE29" s="1"/>
  <c r="AC29"/>
  <c r="AA46"/>
  <c r="AA18" s="1"/>
  <c r="I59" s="1"/>
  <c r="AE24"/>
  <c r="AE23" s="1"/>
  <c r="AC23"/>
  <c r="AD23"/>
  <c r="AD29"/>
  <c r="AH54"/>
  <c r="AH53"/>
  <c r="AH32"/>
  <c r="AH44"/>
  <c r="AH40"/>
  <c r="AH38"/>
  <c r="AH28"/>
  <c r="AH24"/>
  <c r="AH20"/>
  <c r="AH51"/>
  <c r="AH49"/>
  <c r="AH31"/>
  <c r="AH43"/>
  <c r="AH37"/>
  <c r="AH36"/>
  <c r="AH27"/>
  <c r="AH34"/>
  <c r="AH48"/>
  <c r="AH25"/>
  <c r="AH50"/>
  <c r="AH55"/>
  <c r="AH30"/>
  <c r="AH42"/>
  <c r="AH21"/>
  <c r="AH39"/>
  <c r="AH26"/>
  <c r="AH22"/>
  <c r="AH56"/>
  <c r="AH45"/>
  <c r="AH41"/>
  <c r="AH35"/>
  <c r="AE53"/>
  <c r="AE52" s="1"/>
  <c r="AC52"/>
  <c r="AC19"/>
  <c r="AE20"/>
  <c r="AE19" s="1"/>
  <c r="AD33"/>
  <c r="AD47"/>
  <c r="AD52"/>
  <c r="AG55"/>
  <c r="AI55" s="1"/>
  <c r="AG49"/>
  <c r="AI49" s="1"/>
  <c r="AG42"/>
  <c r="AI42" s="1"/>
  <c r="AG32"/>
  <c r="AI32" s="1"/>
  <c r="AG31"/>
  <c r="AI31" s="1"/>
  <c r="AG43"/>
  <c r="AI43" s="1"/>
  <c r="AG24"/>
  <c r="AG28"/>
  <c r="AI28" s="1"/>
  <c r="AG48"/>
  <c r="AG53"/>
  <c r="AG45"/>
  <c r="AI45" s="1"/>
  <c r="AG50"/>
  <c r="AI50" s="1"/>
  <c r="AG30"/>
  <c r="AG22"/>
  <c r="AI22" s="1"/>
  <c r="AG37"/>
  <c r="AI37" s="1"/>
  <c r="AG27"/>
  <c r="AI27" s="1"/>
  <c r="AG26"/>
  <c r="AI26" s="1"/>
  <c r="AG51"/>
  <c r="AI51" s="1"/>
  <c r="AG40"/>
  <c r="AI40" s="1"/>
  <c r="AG20"/>
  <c r="AG35"/>
  <c r="AI35" s="1"/>
  <c r="AG54"/>
  <c r="AI54" s="1"/>
  <c r="AG44"/>
  <c r="AI44" s="1"/>
  <c r="AG41"/>
  <c r="AI41" s="1"/>
  <c r="AG38"/>
  <c r="AI38" s="1"/>
  <c r="AG21"/>
  <c r="AI21" s="1"/>
  <c r="AG36"/>
  <c r="AI36" s="1"/>
  <c r="AG25"/>
  <c r="AI25" s="1"/>
  <c r="AG56"/>
  <c r="AI56" s="1"/>
  <c r="AG34"/>
  <c r="AG39"/>
  <c r="AI39" s="1"/>
  <c r="M58"/>
  <c r="N15" i="3" s="1"/>
  <c r="M11" i="4" s="1"/>
  <c r="H60" i="24"/>
  <c r="H61" s="1"/>
  <c r="I16" i="3" s="1"/>
  <c r="H19" i="4" l="1"/>
  <c r="H25"/>
  <c r="AU17" i="24"/>
  <c r="AV17" s="1"/>
  <c r="AS17"/>
  <c r="AP17"/>
  <c r="AP16"/>
  <c r="H20" i="4"/>
  <c r="J17" i="3"/>
  <c r="I14" i="4" s="1"/>
  <c r="I26" s="1"/>
  <c r="AD46" i="24"/>
  <c r="AD18" s="1"/>
  <c r="AG29"/>
  <c r="AI30"/>
  <c r="AI29" s="1"/>
  <c r="AG47"/>
  <c r="AI48"/>
  <c r="AI47" s="1"/>
  <c r="AH29"/>
  <c r="AH47"/>
  <c r="AH52"/>
  <c r="AC46"/>
  <c r="AC18" s="1"/>
  <c r="AG19"/>
  <c r="AI20"/>
  <c r="AI19" s="1"/>
  <c r="AK55"/>
  <c r="AM55" s="1"/>
  <c r="AK51"/>
  <c r="AM51" s="1"/>
  <c r="AK49"/>
  <c r="AM49" s="1"/>
  <c r="AK41"/>
  <c r="AM41" s="1"/>
  <c r="AK40"/>
  <c r="AM40" s="1"/>
  <c r="AK37"/>
  <c r="AM37" s="1"/>
  <c r="AK24"/>
  <c r="AK30"/>
  <c r="AK54"/>
  <c r="AM54" s="1"/>
  <c r="AK48"/>
  <c r="AK31"/>
  <c r="AM31" s="1"/>
  <c r="AK39"/>
  <c r="AM39" s="1"/>
  <c r="AK38"/>
  <c r="AM38" s="1"/>
  <c r="AK32"/>
  <c r="AM32" s="1"/>
  <c r="AK25"/>
  <c r="AM25" s="1"/>
  <c r="AK27"/>
  <c r="AM27" s="1"/>
  <c r="AK53"/>
  <c r="AK42"/>
  <c r="AM42" s="1"/>
  <c r="AK26"/>
  <c r="AM26" s="1"/>
  <c r="AK20"/>
  <c r="AK50"/>
  <c r="AM50" s="1"/>
  <c r="AK45"/>
  <c r="AM45" s="1"/>
  <c r="AK43"/>
  <c r="AM43" s="1"/>
  <c r="AK35"/>
  <c r="AM35" s="1"/>
  <c r="AK34"/>
  <c r="AK21"/>
  <c r="AM21" s="1"/>
  <c r="AK28"/>
  <c r="AM28" s="1"/>
  <c r="AK56"/>
  <c r="AM56" s="1"/>
  <c r="AK44"/>
  <c r="AM44" s="1"/>
  <c r="AK22"/>
  <c r="AM22" s="1"/>
  <c r="AK36"/>
  <c r="AM36" s="1"/>
  <c r="AH33"/>
  <c r="AH19"/>
  <c r="AE46"/>
  <c r="AE18" s="1"/>
  <c r="J59" s="1"/>
  <c r="AG33"/>
  <c r="AI34"/>
  <c r="AI33" s="1"/>
  <c r="AG52"/>
  <c r="AI53"/>
  <c r="AI52" s="1"/>
  <c r="AI24"/>
  <c r="AI23" s="1"/>
  <c r="AG23"/>
  <c r="AL56"/>
  <c r="AL53"/>
  <c r="AL32"/>
  <c r="AL44"/>
  <c r="AL40"/>
  <c r="AL39"/>
  <c r="AL28"/>
  <c r="AL24"/>
  <c r="AL55"/>
  <c r="AL49"/>
  <c r="AL31"/>
  <c r="AL43"/>
  <c r="AL38"/>
  <c r="AL37"/>
  <c r="AL27"/>
  <c r="AL20"/>
  <c r="AL51"/>
  <c r="AL54"/>
  <c r="AL30"/>
  <c r="AL29" s="1"/>
  <c r="AL42"/>
  <c r="AL34"/>
  <c r="AL21"/>
  <c r="AL26"/>
  <c r="AL35"/>
  <c r="AL50"/>
  <c r="AL48"/>
  <c r="AL45"/>
  <c r="AL41"/>
  <c r="AL22"/>
  <c r="AL36"/>
  <c r="AL25"/>
  <c r="AH23"/>
  <c r="N58"/>
  <c r="O15" i="3" s="1"/>
  <c r="N11" i="4" s="1"/>
  <c r="I60" i="24"/>
  <c r="I61" s="1"/>
  <c r="J16" i="3" s="1"/>
  <c r="I25" i="4" l="1"/>
  <c r="AT16" i="24"/>
  <c r="AT17"/>
  <c r="AY17"/>
  <c r="AZ17" s="1"/>
  <c r="AW17"/>
  <c r="I19" i="4"/>
  <c r="I20"/>
  <c r="K17" i="3"/>
  <c r="J14" i="4" s="1"/>
  <c r="J20" s="1"/>
  <c r="AL47" i="24"/>
  <c r="AH46"/>
  <c r="AH18" s="1"/>
  <c r="AL52"/>
  <c r="AM48"/>
  <c r="AM47" s="1"/>
  <c r="AK47"/>
  <c r="AK33"/>
  <c r="AM34"/>
  <c r="AM33" s="1"/>
  <c r="AM53"/>
  <c r="AM52" s="1"/>
  <c r="AK52"/>
  <c r="AL19"/>
  <c r="AL23"/>
  <c r="AM20"/>
  <c r="AM19" s="1"/>
  <c r="AK19"/>
  <c r="AM30"/>
  <c r="AM29" s="1"/>
  <c r="AK29"/>
  <c r="AI46"/>
  <c r="AI18" s="1"/>
  <c r="K59" s="1"/>
  <c r="AO56"/>
  <c r="AQ56" s="1"/>
  <c r="AO53"/>
  <c r="AO44"/>
  <c r="AQ44" s="1"/>
  <c r="AO43"/>
  <c r="AQ43" s="1"/>
  <c r="AO20"/>
  <c r="AO37"/>
  <c r="AQ37" s="1"/>
  <c r="AO41"/>
  <c r="AQ41" s="1"/>
  <c r="AO26"/>
  <c r="AQ26" s="1"/>
  <c r="AO45"/>
  <c r="AQ45" s="1"/>
  <c r="AO36"/>
  <c r="AQ36" s="1"/>
  <c r="AO55"/>
  <c r="AQ55" s="1"/>
  <c r="AO49"/>
  <c r="AQ49" s="1"/>
  <c r="AO48"/>
  <c r="AO42"/>
  <c r="AQ42" s="1"/>
  <c r="AO39"/>
  <c r="AQ39" s="1"/>
  <c r="AO38"/>
  <c r="AQ38" s="1"/>
  <c r="AO27"/>
  <c r="AQ27" s="1"/>
  <c r="AO24"/>
  <c r="AO51"/>
  <c r="AQ51" s="1"/>
  <c r="AO54"/>
  <c r="AQ54" s="1"/>
  <c r="AO50"/>
  <c r="AQ50" s="1"/>
  <c r="AO32"/>
  <c r="AQ32" s="1"/>
  <c r="AO31"/>
  <c r="AQ31" s="1"/>
  <c r="AO35"/>
  <c r="AQ35" s="1"/>
  <c r="AO34"/>
  <c r="AO25"/>
  <c r="AQ25" s="1"/>
  <c r="AO28"/>
  <c r="AQ28" s="1"/>
  <c r="AO40"/>
  <c r="AQ40" s="1"/>
  <c r="AO30"/>
  <c r="AO22"/>
  <c r="AQ22" s="1"/>
  <c r="AO21"/>
  <c r="AQ21" s="1"/>
  <c r="AL33"/>
  <c r="AK23"/>
  <c r="AM24"/>
  <c r="AM23" s="1"/>
  <c r="AG46"/>
  <c r="AG18" s="1"/>
  <c r="AP51"/>
  <c r="AP54"/>
  <c r="AP30"/>
  <c r="AP42"/>
  <c r="AP35"/>
  <c r="AP22"/>
  <c r="AP26"/>
  <c r="AP20"/>
  <c r="AP50"/>
  <c r="AP48"/>
  <c r="AP45"/>
  <c r="AP41"/>
  <c r="AP36"/>
  <c r="AP37"/>
  <c r="AP25"/>
  <c r="AP55"/>
  <c r="AP49"/>
  <c r="AP31"/>
  <c r="AP43"/>
  <c r="AP39"/>
  <c r="AP34"/>
  <c r="AP27"/>
  <c r="AP21"/>
  <c r="AP56"/>
  <c r="AP53"/>
  <c r="AP32"/>
  <c r="AP44"/>
  <c r="AP40"/>
  <c r="AP38"/>
  <c r="AP28"/>
  <c r="AP24"/>
  <c r="J60"/>
  <c r="J61" s="1"/>
  <c r="K16" i="3" s="1"/>
  <c r="O58" i="24"/>
  <c r="P15" i="3" s="1"/>
  <c r="O11" i="4" s="1"/>
  <c r="F23" i="24"/>
  <c r="G32"/>
  <c r="AX17" l="1"/>
  <c r="AX16"/>
  <c r="BC17"/>
  <c r="BD17" s="1"/>
  <c r="BA17"/>
  <c r="J26" i="4"/>
  <c r="J25"/>
  <c r="L17" i="3"/>
  <c r="K14" i="4" s="1"/>
  <c r="K20" s="1"/>
  <c r="J19"/>
  <c r="AL46" i="24"/>
  <c r="AL18" s="1"/>
  <c r="AP47"/>
  <c r="AK46"/>
  <c r="AK18" s="1"/>
  <c r="AO52"/>
  <c r="AQ53"/>
  <c r="AQ52" s="1"/>
  <c r="AT55"/>
  <c r="AT53"/>
  <c r="AT31"/>
  <c r="AT43"/>
  <c r="AT36"/>
  <c r="AT35"/>
  <c r="AT27"/>
  <c r="AT22"/>
  <c r="AT54"/>
  <c r="AT49"/>
  <c r="AT30"/>
  <c r="AT42"/>
  <c r="AT20"/>
  <c r="AT38"/>
  <c r="AT26"/>
  <c r="AT21"/>
  <c r="AT51"/>
  <c r="AT48"/>
  <c r="AT45"/>
  <c r="AT41"/>
  <c r="AT34"/>
  <c r="AT25"/>
  <c r="AT37"/>
  <c r="AT56"/>
  <c r="AT50"/>
  <c r="AT32"/>
  <c r="AT44"/>
  <c r="AT40"/>
  <c r="AT39"/>
  <c r="AT28"/>
  <c r="AT24"/>
  <c r="AP52"/>
  <c r="AP33"/>
  <c r="AO29"/>
  <c r="AQ30"/>
  <c r="AQ29" s="1"/>
  <c r="AQ34"/>
  <c r="AQ33" s="1"/>
  <c r="AO33"/>
  <c r="AO47"/>
  <c r="AQ48"/>
  <c r="AQ47" s="1"/>
  <c r="AO19"/>
  <c r="AQ20"/>
  <c r="AQ19" s="1"/>
  <c r="AQ24"/>
  <c r="AQ23" s="1"/>
  <c r="AO23"/>
  <c r="AP19"/>
  <c r="AM46"/>
  <c r="AM18" s="1"/>
  <c r="L59" s="1"/>
  <c r="AP23"/>
  <c r="AP29"/>
  <c r="AS50"/>
  <c r="AU50" s="1"/>
  <c r="AS48"/>
  <c r="AS40"/>
  <c r="AU40" s="1"/>
  <c r="AS37"/>
  <c r="AU37" s="1"/>
  <c r="AS38"/>
  <c r="AU38" s="1"/>
  <c r="AS34"/>
  <c r="AS24"/>
  <c r="AS22"/>
  <c r="AU22" s="1"/>
  <c r="AS31"/>
  <c r="AU31" s="1"/>
  <c r="AS53"/>
  <c r="AS20"/>
  <c r="AS42"/>
  <c r="AU42" s="1"/>
  <c r="AS55"/>
  <c r="AU55" s="1"/>
  <c r="AS51"/>
  <c r="AU51" s="1"/>
  <c r="AS45"/>
  <c r="AU45" s="1"/>
  <c r="AS30"/>
  <c r="AS21"/>
  <c r="AU21" s="1"/>
  <c r="AS39"/>
  <c r="AU39" s="1"/>
  <c r="AS28"/>
  <c r="AU28" s="1"/>
  <c r="AS25"/>
  <c r="AU25" s="1"/>
  <c r="AS36"/>
  <c r="AU36" s="1"/>
  <c r="AS49"/>
  <c r="AU49" s="1"/>
  <c r="AS27"/>
  <c r="AU27" s="1"/>
  <c r="AS56"/>
  <c r="AU56" s="1"/>
  <c r="AS54"/>
  <c r="AU54" s="1"/>
  <c r="AS44"/>
  <c r="AU44" s="1"/>
  <c r="AS43"/>
  <c r="AU43" s="1"/>
  <c r="AS35"/>
  <c r="AU35" s="1"/>
  <c r="AS41"/>
  <c r="AU41" s="1"/>
  <c r="AS32"/>
  <c r="AU32" s="1"/>
  <c r="AS26"/>
  <c r="AU26" s="1"/>
  <c r="F29"/>
  <c r="F18" s="1"/>
  <c r="K60"/>
  <c r="K61" s="1"/>
  <c r="L16" i="3" s="1"/>
  <c r="P58" i="24"/>
  <c r="Q15" i="3" s="1"/>
  <c r="G27" i="24"/>
  <c r="G25"/>
  <c r="G28"/>
  <c r="G26"/>
  <c r="G24"/>
  <c r="G31"/>
  <c r="BB16" l="1"/>
  <c r="BB17"/>
  <c r="BG17"/>
  <c r="BH17" s="1"/>
  <c r="BE17"/>
  <c r="K19" i="4"/>
  <c r="K26"/>
  <c r="K25"/>
  <c r="M17" i="3"/>
  <c r="L14" i="4" s="1"/>
  <c r="L20" s="1"/>
  <c r="AP46" i="24"/>
  <c r="AP18" s="1"/>
  <c r="AQ46"/>
  <c r="AO46"/>
  <c r="AO18" s="1"/>
  <c r="AT47"/>
  <c r="AU30"/>
  <c r="AU29" s="1"/>
  <c r="AS29"/>
  <c r="AW53"/>
  <c r="AW45"/>
  <c r="AY45" s="1"/>
  <c r="AW41"/>
  <c r="AY41" s="1"/>
  <c r="AW38"/>
  <c r="AY38" s="1"/>
  <c r="AW37"/>
  <c r="AY37" s="1"/>
  <c r="AW20"/>
  <c r="AW27"/>
  <c r="AY27" s="1"/>
  <c r="AW32"/>
  <c r="AY32" s="1"/>
  <c r="AW25"/>
  <c r="AY25" s="1"/>
  <c r="AW40"/>
  <c r="AY40" s="1"/>
  <c r="AW26"/>
  <c r="AY26" s="1"/>
  <c r="AW54"/>
  <c r="AY54" s="1"/>
  <c r="AW28"/>
  <c r="AY28" s="1"/>
  <c r="AW56"/>
  <c r="AY56" s="1"/>
  <c r="AW51"/>
  <c r="AY51" s="1"/>
  <c r="AW44"/>
  <c r="AY44" s="1"/>
  <c r="AW31"/>
  <c r="AY31" s="1"/>
  <c r="AW34"/>
  <c r="AW43"/>
  <c r="AY43" s="1"/>
  <c r="AW22"/>
  <c r="AY22" s="1"/>
  <c r="AW39"/>
  <c r="AY39" s="1"/>
  <c r="AW42"/>
  <c r="AY42" s="1"/>
  <c r="AW30"/>
  <c r="AW21"/>
  <c r="AY21" s="1"/>
  <c r="AW24"/>
  <c r="AW55"/>
  <c r="AY55" s="1"/>
  <c r="AW49"/>
  <c r="AY49" s="1"/>
  <c r="AW48"/>
  <c r="AW35"/>
  <c r="AY35" s="1"/>
  <c r="AW50"/>
  <c r="AY50" s="1"/>
  <c r="AW36"/>
  <c r="AY36" s="1"/>
  <c r="AT33"/>
  <c r="AT19"/>
  <c r="AT52"/>
  <c r="AU20"/>
  <c r="AU19" s="1"/>
  <c r="AS19"/>
  <c r="AS23"/>
  <c r="AU24"/>
  <c r="AU23" s="1"/>
  <c r="AX51"/>
  <c r="AX49"/>
  <c r="AX31"/>
  <c r="AX43"/>
  <c r="AX37"/>
  <c r="AX20"/>
  <c r="AX27"/>
  <c r="AX22"/>
  <c r="AX48"/>
  <c r="AX30"/>
  <c r="AX42"/>
  <c r="AX21"/>
  <c r="AX26"/>
  <c r="AX34"/>
  <c r="AX50"/>
  <c r="AX39"/>
  <c r="AX56"/>
  <c r="AX53"/>
  <c r="AX32"/>
  <c r="AX44"/>
  <c r="AX40"/>
  <c r="AX36"/>
  <c r="AX28"/>
  <c r="AX24"/>
  <c r="AX55"/>
  <c r="AX54"/>
  <c r="AX45"/>
  <c r="AX41"/>
  <c r="AX38"/>
  <c r="AX35"/>
  <c r="AX25"/>
  <c r="AU53"/>
  <c r="AU52" s="1"/>
  <c r="AS52"/>
  <c r="AU34"/>
  <c r="AU33" s="1"/>
  <c r="AS33"/>
  <c r="AS47"/>
  <c r="AU48"/>
  <c r="AU47" s="1"/>
  <c r="AQ18"/>
  <c r="M59" s="1"/>
  <c r="AT23"/>
  <c r="AT29"/>
  <c r="G30"/>
  <c r="Q58"/>
  <c r="R15" i="3" s="1"/>
  <c r="P11" i="4"/>
  <c r="AC15" i="3"/>
  <c r="L60" i="24"/>
  <c r="L61" s="1"/>
  <c r="M16" i="3" s="1"/>
  <c r="BF16" i="24" l="1"/>
  <c r="BF17"/>
  <c r="BK17"/>
  <c r="BL17" s="1"/>
  <c r="BI17"/>
  <c r="L26" i="4"/>
  <c r="L19"/>
  <c r="L25"/>
  <c r="N17" i="3"/>
  <c r="M14" i="4" s="1"/>
  <c r="M19" s="1"/>
  <c r="AT46" i="24"/>
  <c r="AS46"/>
  <c r="AX47"/>
  <c r="BA50"/>
  <c r="BC50" s="1"/>
  <c r="BA45"/>
  <c r="BC45" s="1"/>
  <c r="BA43"/>
  <c r="BC43" s="1"/>
  <c r="BA39"/>
  <c r="BC39" s="1"/>
  <c r="BA38"/>
  <c r="BC38" s="1"/>
  <c r="BA36"/>
  <c r="BC36" s="1"/>
  <c r="BA28"/>
  <c r="BC28" s="1"/>
  <c r="BA31"/>
  <c r="BC31" s="1"/>
  <c r="BA41"/>
  <c r="BC41" s="1"/>
  <c r="BA40"/>
  <c r="BC40" s="1"/>
  <c r="BA25"/>
  <c r="BC25" s="1"/>
  <c r="BA56"/>
  <c r="BC56" s="1"/>
  <c r="BA53"/>
  <c r="BA44"/>
  <c r="BC44" s="1"/>
  <c r="BA42"/>
  <c r="BC42" s="1"/>
  <c r="BA35"/>
  <c r="BC35" s="1"/>
  <c r="BA34"/>
  <c r="BA26"/>
  <c r="BC26" s="1"/>
  <c r="BA20"/>
  <c r="BA32"/>
  <c r="BC32" s="1"/>
  <c r="BA24"/>
  <c r="BA27"/>
  <c r="BC27" s="1"/>
  <c r="BA48"/>
  <c r="BA55"/>
  <c r="BC55" s="1"/>
  <c r="BA51"/>
  <c r="BC51" s="1"/>
  <c r="BA49"/>
  <c r="BC49" s="1"/>
  <c r="BA22"/>
  <c r="BC22" s="1"/>
  <c r="BA37"/>
  <c r="BC37" s="1"/>
  <c r="BA54"/>
  <c r="BC54" s="1"/>
  <c r="BA21"/>
  <c r="BC21" s="1"/>
  <c r="BA30"/>
  <c r="BB51"/>
  <c r="BB48"/>
  <c r="BB45"/>
  <c r="BB41"/>
  <c r="BB22"/>
  <c r="BB36"/>
  <c r="BB25"/>
  <c r="BB56"/>
  <c r="BB50"/>
  <c r="BB32"/>
  <c r="BB44"/>
  <c r="BB40"/>
  <c r="BB21"/>
  <c r="BB28"/>
  <c r="BB24"/>
  <c r="BB55"/>
  <c r="BB53"/>
  <c r="BB31"/>
  <c r="BB43"/>
  <c r="BB38"/>
  <c r="BB39"/>
  <c r="BB27"/>
  <c r="BB20"/>
  <c r="BB54"/>
  <c r="BB49"/>
  <c r="BB30"/>
  <c r="BB42"/>
  <c r="BB34"/>
  <c r="BB37"/>
  <c r="BB26"/>
  <c r="BB35"/>
  <c r="AX23"/>
  <c r="AU46"/>
  <c r="AU18" s="1"/>
  <c r="N59" s="1"/>
  <c r="AY30"/>
  <c r="AY29" s="1"/>
  <c r="AW29"/>
  <c r="AW47"/>
  <c r="AY48"/>
  <c r="AY47" s="1"/>
  <c r="AY34"/>
  <c r="AY33" s="1"/>
  <c r="AW33"/>
  <c r="AY20"/>
  <c r="AY19" s="1"/>
  <c r="AW19"/>
  <c r="AX52"/>
  <c r="AX33"/>
  <c r="AX29"/>
  <c r="AX19"/>
  <c r="AS18"/>
  <c r="AT18"/>
  <c r="AY24"/>
  <c r="AY23" s="1"/>
  <c r="AW23"/>
  <c r="AW52"/>
  <c r="AY53"/>
  <c r="AY52" s="1"/>
  <c r="G29"/>
  <c r="G23"/>
  <c r="G19"/>
  <c r="Q11" i="4"/>
  <c r="AD15" i="3"/>
  <c r="AO15"/>
  <c r="AB11" i="4"/>
  <c r="M60" i="24"/>
  <c r="M61" s="1"/>
  <c r="N16" i="3" s="1"/>
  <c r="R58" i="24"/>
  <c r="S15" i="3" s="1"/>
  <c r="BJ17" i="24" l="1"/>
  <c r="BJ16"/>
  <c r="BO17"/>
  <c r="BP17" s="1"/>
  <c r="BM17"/>
  <c r="M20" i="4"/>
  <c r="M25"/>
  <c r="M26"/>
  <c r="BB29" i="24"/>
  <c r="O17" i="3"/>
  <c r="AX46" i="24"/>
  <c r="AX18" s="1"/>
  <c r="BB47"/>
  <c r="BB19"/>
  <c r="BB23"/>
  <c r="AW46"/>
  <c r="AW18" s="1"/>
  <c r="BB33"/>
  <c r="BF56"/>
  <c r="BF50"/>
  <c r="BF32"/>
  <c r="BF44"/>
  <c r="BF40"/>
  <c r="BF38"/>
  <c r="BF27"/>
  <c r="BF21"/>
  <c r="BF41"/>
  <c r="BF55"/>
  <c r="BF49"/>
  <c r="BF31"/>
  <c r="BF43"/>
  <c r="BF35"/>
  <c r="BF34"/>
  <c r="BF26"/>
  <c r="BF36"/>
  <c r="BF51"/>
  <c r="BF53"/>
  <c r="BF45"/>
  <c r="BF39"/>
  <c r="BF28"/>
  <c r="BF24"/>
  <c r="BF54"/>
  <c r="BF48"/>
  <c r="BF30"/>
  <c r="BF42"/>
  <c r="BF22"/>
  <c r="BF37"/>
  <c r="BF25"/>
  <c r="BF20"/>
  <c r="BC24"/>
  <c r="BC23" s="1"/>
  <c r="BA23"/>
  <c r="BC34"/>
  <c r="BC33" s="1"/>
  <c r="BA33"/>
  <c r="BA52"/>
  <c r="BC53"/>
  <c r="BC52" s="1"/>
  <c r="BE54"/>
  <c r="BG54" s="1"/>
  <c r="BE48"/>
  <c r="BE32"/>
  <c r="BG32" s="1"/>
  <c r="BE42"/>
  <c r="BG42" s="1"/>
  <c r="BE30"/>
  <c r="BE34"/>
  <c r="BE25"/>
  <c r="BG25" s="1"/>
  <c r="BE24"/>
  <c r="BE50"/>
  <c r="BG50" s="1"/>
  <c r="BE26"/>
  <c r="BG26" s="1"/>
  <c r="BE53"/>
  <c r="BE45"/>
  <c r="BG45" s="1"/>
  <c r="BE40"/>
  <c r="BG40" s="1"/>
  <c r="BE36"/>
  <c r="BG36" s="1"/>
  <c r="BE41"/>
  <c r="BG41" s="1"/>
  <c r="BE22"/>
  <c r="BG22" s="1"/>
  <c r="BE21"/>
  <c r="BG21" s="1"/>
  <c r="BE55"/>
  <c r="BG55" s="1"/>
  <c r="BE31"/>
  <c r="BG31" s="1"/>
  <c r="BE27"/>
  <c r="BG27" s="1"/>
  <c r="BE56"/>
  <c r="BG56" s="1"/>
  <c r="BE51"/>
  <c r="BG51" s="1"/>
  <c r="BE44"/>
  <c r="BG44" s="1"/>
  <c r="BE39"/>
  <c r="BG39" s="1"/>
  <c r="BE20"/>
  <c r="BE35"/>
  <c r="BG35" s="1"/>
  <c r="BE37"/>
  <c r="BG37" s="1"/>
  <c r="BE28"/>
  <c r="BG28" s="1"/>
  <c r="BE49"/>
  <c r="BG49" s="1"/>
  <c r="BE43"/>
  <c r="BG43" s="1"/>
  <c r="BE38"/>
  <c r="BG38" s="1"/>
  <c r="AY46"/>
  <c r="AY18" s="1"/>
  <c r="O59" s="1"/>
  <c r="BB52"/>
  <c r="BA29"/>
  <c r="BC30"/>
  <c r="BC29" s="1"/>
  <c r="BA47"/>
  <c r="BC48"/>
  <c r="BC47" s="1"/>
  <c r="BC46" s="1"/>
  <c r="BA19"/>
  <c r="BC20"/>
  <c r="BC19" s="1"/>
  <c r="G18"/>
  <c r="N14" i="4"/>
  <c r="R11"/>
  <c r="AE15" i="3"/>
  <c r="AP15"/>
  <c r="AC11" i="4"/>
  <c r="S58" i="24"/>
  <c r="T15" i="3" s="1"/>
  <c r="N60" i="24"/>
  <c r="N61" s="1"/>
  <c r="O16" i="3" s="1"/>
  <c r="AN11" i="4"/>
  <c r="BA15" i="3"/>
  <c r="AZ11" i="4" s="1"/>
  <c r="D60" i="24"/>
  <c r="BN16" l="1"/>
  <c r="BN17"/>
  <c r="BS17"/>
  <c r="BT17" s="1"/>
  <c r="BQ17"/>
  <c r="P17" i="3"/>
  <c r="O14" i="4" s="1"/>
  <c r="O19" s="1"/>
  <c r="BB46" i="24"/>
  <c r="BB18" s="1"/>
  <c r="D59"/>
  <c r="E17" i="3" s="1"/>
  <c r="D14" i="4" s="1"/>
  <c r="N20"/>
  <c r="N19"/>
  <c r="N26"/>
  <c r="N25"/>
  <c r="BK16"/>
  <c r="BF47" i="24"/>
  <c r="BE52"/>
  <c r="BG53"/>
  <c r="BG52" s="1"/>
  <c r="BJ55"/>
  <c r="BJ50"/>
  <c r="BJ31"/>
  <c r="BJ43"/>
  <c r="BJ36"/>
  <c r="BJ38"/>
  <c r="BJ26"/>
  <c r="BJ37"/>
  <c r="BJ54"/>
  <c r="BJ49"/>
  <c r="BJ30"/>
  <c r="BJ20"/>
  <c r="BJ34"/>
  <c r="BJ25"/>
  <c r="BJ21"/>
  <c r="BJ42"/>
  <c r="BJ45"/>
  <c r="BJ28"/>
  <c r="BJ56"/>
  <c r="BJ51"/>
  <c r="BJ44"/>
  <c r="BJ40"/>
  <c r="BJ39"/>
  <c r="BJ22"/>
  <c r="BJ53"/>
  <c r="BJ48"/>
  <c r="BJ41"/>
  <c r="BJ35"/>
  <c r="BJ24"/>
  <c r="BJ32"/>
  <c r="BJ27"/>
  <c r="BG34"/>
  <c r="BG33" s="1"/>
  <c r="BE33"/>
  <c r="BG48"/>
  <c r="BG47" s="1"/>
  <c r="BE47"/>
  <c r="BF19"/>
  <c r="BF23"/>
  <c r="BF52"/>
  <c r="BF33"/>
  <c r="BI54"/>
  <c r="BK54" s="1"/>
  <c r="BI48"/>
  <c r="BI39"/>
  <c r="BK39" s="1"/>
  <c r="BI31"/>
  <c r="BK31" s="1"/>
  <c r="BI42"/>
  <c r="BK42" s="1"/>
  <c r="BI28"/>
  <c r="BK28" s="1"/>
  <c r="BI24"/>
  <c r="BI44"/>
  <c r="BK44" s="1"/>
  <c r="BI27"/>
  <c r="BK27" s="1"/>
  <c r="BI49"/>
  <c r="BK49" s="1"/>
  <c r="BI20"/>
  <c r="BI38"/>
  <c r="BK38" s="1"/>
  <c r="BI56"/>
  <c r="BK56" s="1"/>
  <c r="BI50"/>
  <c r="BK50" s="1"/>
  <c r="BI45"/>
  <c r="BK45" s="1"/>
  <c r="BI40"/>
  <c r="BK40" s="1"/>
  <c r="BI37"/>
  <c r="BK37" s="1"/>
  <c r="BI36"/>
  <c r="BK36" s="1"/>
  <c r="BI25"/>
  <c r="BK25" s="1"/>
  <c r="BI34"/>
  <c r="BI30"/>
  <c r="BI32"/>
  <c r="BK32" s="1"/>
  <c r="BI41"/>
  <c r="BK41" s="1"/>
  <c r="BI43"/>
  <c r="BK43" s="1"/>
  <c r="BI22"/>
  <c r="BK22" s="1"/>
  <c r="BI55"/>
  <c r="BK55" s="1"/>
  <c r="BI51"/>
  <c r="BK51" s="1"/>
  <c r="BI21"/>
  <c r="BK21" s="1"/>
  <c r="BI35"/>
  <c r="BK35" s="1"/>
  <c r="BI53"/>
  <c r="BI26"/>
  <c r="BK26" s="1"/>
  <c r="BA46"/>
  <c r="BA18" s="1"/>
  <c r="BE19"/>
  <c r="BG20"/>
  <c r="BG19" s="1"/>
  <c r="BG30"/>
  <c r="BG29" s="1"/>
  <c r="BE29"/>
  <c r="BF29"/>
  <c r="BC18"/>
  <c r="P59" s="1"/>
  <c r="Q17" i="3" s="1"/>
  <c r="BE23" i="24"/>
  <c r="BG24"/>
  <c r="BG23" s="1"/>
  <c r="E60"/>
  <c r="BG16" i="4"/>
  <c r="S16"/>
  <c r="AM16"/>
  <c r="AF15" i="3"/>
  <c r="S11" i="4"/>
  <c r="BB15" i="3"/>
  <c r="BA11" i="4" s="1"/>
  <c r="AO11"/>
  <c r="T58" i="24"/>
  <c r="U15" i="3" s="1"/>
  <c r="AQ15"/>
  <c r="AD11" i="4"/>
  <c r="O60" i="24"/>
  <c r="O61" s="1"/>
  <c r="P16" i="3" s="1"/>
  <c r="D16" i="4"/>
  <c r="X16"/>
  <c r="AR16"/>
  <c r="E16"/>
  <c r="I16"/>
  <c r="AC16"/>
  <c r="AW16"/>
  <c r="J16"/>
  <c r="N16"/>
  <c r="AH16"/>
  <c r="BB16"/>
  <c r="O16"/>
  <c r="T16"/>
  <c r="Y16"/>
  <c r="AD16"/>
  <c r="AI16"/>
  <c r="AN16"/>
  <c r="AS16"/>
  <c r="AX16"/>
  <c r="BC16"/>
  <c r="BH16"/>
  <c r="F16"/>
  <c r="K16"/>
  <c r="P16"/>
  <c r="U16"/>
  <c r="Z16"/>
  <c r="AE16"/>
  <c r="AJ16"/>
  <c r="AO16"/>
  <c r="AT16"/>
  <c r="AY16"/>
  <c r="BD16"/>
  <c r="BI16"/>
  <c r="G16"/>
  <c r="L16"/>
  <c r="Q16"/>
  <c r="V16"/>
  <c r="AA16"/>
  <c r="AF16"/>
  <c r="AK16"/>
  <c r="AP16"/>
  <c r="AU16"/>
  <c r="AZ16"/>
  <c r="BE16"/>
  <c r="BJ16"/>
  <c r="H16"/>
  <c r="M16"/>
  <c r="R16"/>
  <c r="W16"/>
  <c r="AB16"/>
  <c r="AG16"/>
  <c r="AL16"/>
  <c r="AQ16"/>
  <c r="AV16"/>
  <c r="BA16"/>
  <c r="BF16"/>
  <c r="O25" l="1"/>
  <c r="BR16" i="24"/>
  <c r="BR17"/>
  <c r="BW17"/>
  <c r="BX17" s="1"/>
  <c r="BU17"/>
  <c r="O20" i="4"/>
  <c r="O26"/>
  <c r="BG46" i="24"/>
  <c r="BG18" s="1"/>
  <c r="Q59" s="1"/>
  <c r="D61"/>
  <c r="E16" i="3" s="1"/>
  <c r="D19" i="4"/>
  <c r="D25"/>
  <c r="D20"/>
  <c r="BE46" i="24"/>
  <c r="BE18" s="1"/>
  <c r="BF46"/>
  <c r="BJ52"/>
  <c r="BJ47"/>
  <c r="BI52"/>
  <c r="BK53"/>
  <c r="BK52" s="1"/>
  <c r="BK48"/>
  <c r="BK47" s="1"/>
  <c r="BI47"/>
  <c r="BM54"/>
  <c r="BO54" s="1"/>
  <c r="BM45"/>
  <c r="BO45" s="1"/>
  <c r="BM42"/>
  <c r="BO42" s="1"/>
  <c r="BM32"/>
  <c r="BO32" s="1"/>
  <c r="BM22"/>
  <c r="BO22" s="1"/>
  <c r="BM35"/>
  <c r="BO35" s="1"/>
  <c r="BM26"/>
  <c r="BO26" s="1"/>
  <c r="BM28"/>
  <c r="BO28" s="1"/>
  <c r="BM27"/>
  <c r="BO27" s="1"/>
  <c r="BM51"/>
  <c r="BO51" s="1"/>
  <c r="BM38"/>
  <c r="BO38" s="1"/>
  <c r="BM55"/>
  <c r="BO55" s="1"/>
  <c r="BM21"/>
  <c r="BO21" s="1"/>
  <c r="BM20"/>
  <c r="BM53"/>
  <c r="BM44"/>
  <c r="BO44" s="1"/>
  <c r="BM39"/>
  <c r="BO39" s="1"/>
  <c r="BM30"/>
  <c r="BM43"/>
  <c r="BO43" s="1"/>
  <c r="BM36"/>
  <c r="BO36" s="1"/>
  <c r="BM48"/>
  <c r="BM41"/>
  <c r="BO41" s="1"/>
  <c r="BM31"/>
  <c r="BO31" s="1"/>
  <c r="BM25"/>
  <c r="BO25" s="1"/>
  <c r="BM50"/>
  <c r="BO50" s="1"/>
  <c r="BM34"/>
  <c r="BM24"/>
  <c r="BM56"/>
  <c r="BO56" s="1"/>
  <c r="BM37"/>
  <c r="BO37" s="1"/>
  <c r="BM49"/>
  <c r="BO49" s="1"/>
  <c r="BM40"/>
  <c r="BO40" s="1"/>
  <c r="BJ23"/>
  <c r="BJ33"/>
  <c r="BK24"/>
  <c r="BK23" s="1"/>
  <c r="BI23"/>
  <c r="BF18"/>
  <c r="BI29"/>
  <c r="BK30"/>
  <c r="BK29" s="1"/>
  <c r="BN56"/>
  <c r="BN54"/>
  <c r="BN45"/>
  <c r="BN41"/>
  <c r="BN20"/>
  <c r="BN28"/>
  <c r="BN24"/>
  <c r="BN39"/>
  <c r="BN51"/>
  <c r="BN48"/>
  <c r="BN43"/>
  <c r="BN36"/>
  <c r="BN34"/>
  <c r="BN50"/>
  <c r="BN53"/>
  <c r="BN30"/>
  <c r="BN21"/>
  <c r="BN35"/>
  <c r="BN22"/>
  <c r="BN55"/>
  <c r="BN49"/>
  <c r="BN32"/>
  <c r="BN44"/>
  <c r="BN40"/>
  <c r="BN27"/>
  <c r="BN38"/>
  <c r="BN31"/>
  <c r="BN37"/>
  <c r="BN26"/>
  <c r="BN42"/>
  <c r="BN25"/>
  <c r="BJ19"/>
  <c r="BK20"/>
  <c r="BK19" s="1"/>
  <c r="BI19"/>
  <c r="BK34"/>
  <c r="BK33" s="1"/>
  <c r="BI33"/>
  <c r="BJ29"/>
  <c r="P60"/>
  <c r="P61" s="1"/>
  <c r="Q16" i="3" s="1"/>
  <c r="AC16" s="1"/>
  <c r="AO16" s="1"/>
  <c r="BA16" s="1"/>
  <c r="U58" i="24"/>
  <c r="V15" i="3" s="1"/>
  <c r="T11" i="4"/>
  <c r="AG15" i="3"/>
  <c r="P14" i="4"/>
  <c r="AC17" i="3"/>
  <c r="AE11" i="4"/>
  <c r="AR15" i="3"/>
  <c r="AP11" i="4"/>
  <c r="BC15" i="3"/>
  <c r="BB11" i="4" s="1"/>
  <c r="BV17" i="24" l="1"/>
  <c r="BV16"/>
  <c r="CA17"/>
  <c r="CB17" s="1"/>
  <c r="BY17"/>
  <c r="R17" i="3"/>
  <c r="Q14" i="4" s="1"/>
  <c r="P20"/>
  <c r="P19"/>
  <c r="P26"/>
  <c r="P25"/>
  <c r="BJ46" i="24"/>
  <c r="BJ18" s="1"/>
  <c r="BK46"/>
  <c r="BN52"/>
  <c r="BI46"/>
  <c r="BI18" s="1"/>
  <c r="BQ54"/>
  <c r="BS54" s="1"/>
  <c r="BQ45"/>
  <c r="BS45" s="1"/>
  <c r="BQ53"/>
  <c r="BQ41"/>
  <c r="BS41" s="1"/>
  <c r="BQ38"/>
  <c r="BS38" s="1"/>
  <c r="BQ37"/>
  <c r="BS37" s="1"/>
  <c r="BQ24"/>
  <c r="BQ27"/>
  <c r="BS27" s="1"/>
  <c r="BQ48"/>
  <c r="BQ40"/>
  <c r="BS40" s="1"/>
  <c r="BQ50"/>
  <c r="BS50" s="1"/>
  <c r="BQ44"/>
  <c r="BS44" s="1"/>
  <c r="BQ43"/>
  <c r="BS43" s="1"/>
  <c r="BQ35"/>
  <c r="BS35" s="1"/>
  <c r="BQ34"/>
  <c r="BQ21"/>
  <c r="BS21" s="1"/>
  <c r="BQ20"/>
  <c r="BQ49"/>
  <c r="BS49" s="1"/>
  <c r="BQ22"/>
  <c r="BS22" s="1"/>
  <c r="BQ30"/>
  <c r="BQ55"/>
  <c r="BS55" s="1"/>
  <c r="BQ25"/>
  <c r="BS25" s="1"/>
  <c r="BQ56"/>
  <c r="BS56" s="1"/>
  <c r="BQ51"/>
  <c r="BS51" s="1"/>
  <c r="BQ39"/>
  <c r="BS39" s="1"/>
  <c r="BQ32"/>
  <c r="BS32" s="1"/>
  <c r="BQ28"/>
  <c r="BS28" s="1"/>
  <c r="BQ31"/>
  <c r="BS31" s="1"/>
  <c r="BQ42"/>
  <c r="BS42" s="1"/>
  <c r="BQ36"/>
  <c r="BS36" s="1"/>
  <c r="BQ26"/>
  <c r="BS26" s="1"/>
  <c r="BN23"/>
  <c r="BN47"/>
  <c r="BO24"/>
  <c r="BO23" s="1"/>
  <c r="BM23"/>
  <c r="BM52"/>
  <c r="BO53"/>
  <c r="BO52" s="1"/>
  <c r="BK18"/>
  <c r="R59" s="1"/>
  <c r="BN33"/>
  <c r="BN19"/>
  <c r="BO34"/>
  <c r="BO33" s="1"/>
  <c r="BM33"/>
  <c r="BM29"/>
  <c r="BO30"/>
  <c r="BO29" s="1"/>
  <c r="BM19"/>
  <c r="BO20"/>
  <c r="BO19" s="1"/>
  <c r="BR54"/>
  <c r="BR48"/>
  <c r="BR31"/>
  <c r="BR42"/>
  <c r="BR34"/>
  <c r="BR37"/>
  <c r="BR27"/>
  <c r="BR20"/>
  <c r="BR49"/>
  <c r="BR43"/>
  <c r="BR39"/>
  <c r="BR24"/>
  <c r="BR51"/>
  <c r="BR53"/>
  <c r="BR30"/>
  <c r="BR41"/>
  <c r="BR22"/>
  <c r="BR35"/>
  <c r="BR26"/>
  <c r="BR55"/>
  <c r="BR32"/>
  <c r="BR38"/>
  <c r="BR28"/>
  <c r="BR56"/>
  <c r="BR50"/>
  <c r="BR45"/>
  <c r="BR44"/>
  <c r="BR40"/>
  <c r="BR21"/>
  <c r="BR36"/>
  <c r="BR25"/>
  <c r="BN29"/>
  <c r="BM47"/>
  <c r="BO48"/>
  <c r="BO47" s="1"/>
  <c r="F17" i="3"/>
  <c r="E14" i="4" s="1"/>
  <c r="E61" i="24"/>
  <c r="F16" i="3" s="1"/>
  <c r="AO17"/>
  <c r="AB14" i="4"/>
  <c r="V58" i="24"/>
  <c r="W15" i="3" s="1"/>
  <c r="AQ11" i="4"/>
  <c r="BD15" i="3"/>
  <c r="BC11" i="4" s="1"/>
  <c r="AS15" i="3"/>
  <c r="AF11" i="4"/>
  <c r="Q60" i="24"/>
  <c r="Q61" s="1"/>
  <c r="R16" i="3" s="1"/>
  <c r="AD16" s="1"/>
  <c r="AP16" s="1"/>
  <c r="BB16" s="1"/>
  <c r="U11" i="4"/>
  <c r="AH15" i="3"/>
  <c r="AD17" l="1"/>
  <c r="BZ16" i="24"/>
  <c r="BZ17"/>
  <c r="BZ13"/>
  <c r="CE17"/>
  <c r="CF17" s="1"/>
  <c r="CC17"/>
  <c r="Q20" i="4"/>
  <c r="Q19"/>
  <c r="E25"/>
  <c r="E20"/>
  <c r="E19"/>
  <c r="AB20"/>
  <c r="AB19"/>
  <c r="Q26"/>
  <c r="Q25"/>
  <c r="AB26"/>
  <c r="AB25"/>
  <c r="BN46" i="24"/>
  <c r="BN18" s="1"/>
  <c r="BM46"/>
  <c r="BM18" s="1"/>
  <c r="BR52"/>
  <c r="BR47"/>
  <c r="BR29"/>
  <c r="BO46"/>
  <c r="BO18" s="1"/>
  <c r="S59" s="1"/>
  <c r="BR19"/>
  <c r="BS24"/>
  <c r="BS23" s="1"/>
  <c r="BQ23"/>
  <c r="BU54"/>
  <c r="BW54" s="1"/>
  <c r="BU48"/>
  <c r="BU32"/>
  <c r="BW32" s="1"/>
  <c r="BU42"/>
  <c r="BW42" s="1"/>
  <c r="BU35"/>
  <c r="BW35" s="1"/>
  <c r="BU34"/>
  <c r="BU25"/>
  <c r="BW25" s="1"/>
  <c r="BU26"/>
  <c r="BW26" s="1"/>
  <c r="BU44"/>
  <c r="BW44" s="1"/>
  <c r="BU43"/>
  <c r="BW43" s="1"/>
  <c r="BU38"/>
  <c r="BW38" s="1"/>
  <c r="BU53"/>
  <c r="BU45"/>
  <c r="BW45" s="1"/>
  <c r="BU40"/>
  <c r="BW40" s="1"/>
  <c r="BU31"/>
  <c r="BW31" s="1"/>
  <c r="BU30"/>
  <c r="BU22"/>
  <c r="BW22" s="1"/>
  <c r="BU24"/>
  <c r="BU50"/>
  <c r="BW50" s="1"/>
  <c r="BU41"/>
  <c r="BW41" s="1"/>
  <c r="BU21"/>
  <c r="BW21" s="1"/>
  <c r="BU49"/>
  <c r="BW49" s="1"/>
  <c r="BU56"/>
  <c r="BW56" s="1"/>
  <c r="BU51"/>
  <c r="BW51" s="1"/>
  <c r="BU39"/>
  <c r="BW39" s="1"/>
  <c r="BU36"/>
  <c r="BW36" s="1"/>
  <c r="BU37"/>
  <c r="BW37" s="1"/>
  <c r="BU55"/>
  <c r="BW55" s="1"/>
  <c r="BU20"/>
  <c r="BU27"/>
  <c r="BW27" s="1"/>
  <c r="BU28"/>
  <c r="BW28" s="1"/>
  <c r="BV56"/>
  <c r="BV50"/>
  <c r="BV45"/>
  <c r="BV44"/>
  <c r="BV40"/>
  <c r="BV39"/>
  <c r="BV28"/>
  <c r="BV24"/>
  <c r="BV55"/>
  <c r="BV53"/>
  <c r="BV32"/>
  <c r="BV43"/>
  <c r="BV35"/>
  <c r="BV38"/>
  <c r="BV27"/>
  <c r="BV21"/>
  <c r="BV54"/>
  <c r="BV49"/>
  <c r="BV31"/>
  <c r="BV42"/>
  <c r="BV22"/>
  <c r="BV34"/>
  <c r="BV26"/>
  <c r="BV20"/>
  <c r="BV51"/>
  <c r="BV48"/>
  <c r="BV30"/>
  <c r="BV41"/>
  <c r="BV36"/>
  <c r="BV37"/>
  <c r="BV25"/>
  <c r="BR33"/>
  <c r="BQ19"/>
  <c r="BS20"/>
  <c r="BS19" s="1"/>
  <c r="BQ47"/>
  <c r="BS48"/>
  <c r="BS47" s="1"/>
  <c r="BS34"/>
  <c r="BS33" s="1"/>
  <c r="BQ33"/>
  <c r="BS53"/>
  <c r="BS52" s="1"/>
  <c r="BQ52"/>
  <c r="BR23"/>
  <c r="BQ29"/>
  <c r="BS30"/>
  <c r="BS29" s="1"/>
  <c r="S17" i="3"/>
  <c r="R14" i="4" s="1"/>
  <c r="R60" i="24"/>
  <c r="R61" s="1"/>
  <c r="S16" i="3" s="1"/>
  <c r="AE16" s="1"/>
  <c r="AQ16" s="1"/>
  <c r="BC16" s="1"/>
  <c r="AI15"/>
  <c r="V11" i="4"/>
  <c r="AR11"/>
  <c r="BE15" i="3"/>
  <c r="BD11" i="4" s="1"/>
  <c r="AC14"/>
  <c r="AP17" i="3"/>
  <c r="W58" i="24"/>
  <c r="X15" i="3" s="1"/>
  <c r="AT15"/>
  <c r="AG11" i="4"/>
  <c r="BA17" i="3"/>
  <c r="AZ14" i="4" s="1"/>
  <c r="AN14"/>
  <c r="BV29" i="24" l="1"/>
  <c r="CD17"/>
  <c r="CD16"/>
  <c r="CI17"/>
  <c r="CJ17" s="1"/>
  <c r="CG17"/>
  <c r="T17" i="3"/>
  <c r="AF17" s="1"/>
  <c r="AR17" s="1"/>
  <c r="AN20" i="4"/>
  <c r="AN19"/>
  <c r="AZ20"/>
  <c r="AZ19"/>
  <c r="AC20"/>
  <c r="AC19"/>
  <c r="R20"/>
  <c r="R19"/>
  <c r="AC26"/>
  <c r="AC25"/>
  <c r="R26"/>
  <c r="R25"/>
  <c r="AN26"/>
  <c r="AN25"/>
  <c r="AZ26"/>
  <c r="AZ25"/>
  <c r="BR46" i="24"/>
  <c r="BR18" s="1"/>
  <c r="BV19"/>
  <c r="BV23"/>
  <c r="BQ46"/>
  <c r="BQ18" s="1"/>
  <c r="BW34"/>
  <c r="BW33" s="1"/>
  <c r="BU33"/>
  <c r="BS46"/>
  <c r="BS18" s="1"/>
  <c r="T59" s="1"/>
  <c r="BY50"/>
  <c r="CA50" s="1"/>
  <c r="BY48"/>
  <c r="BY39"/>
  <c r="CA39" s="1"/>
  <c r="BY32"/>
  <c r="CA32" s="1"/>
  <c r="BY36"/>
  <c r="CA36" s="1"/>
  <c r="BY42"/>
  <c r="CA42" s="1"/>
  <c r="BY24"/>
  <c r="BY44"/>
  <c r="CA44" s="1"/>
  <c r="BY40"/>
  <c r="CA40" s="1"/>
  <c r="BY31"/>
  <c r="CA31" s="1"/>
  <c r="BY22"/>
  <c r="CA22" s="1"/>
  <c r="BY49"/>
  <c r="CA49" s="1"/>
  <c r="BY35"/>
  <c r="CA35" s="1"/>
  <c r="BY55"/>
  <c r="CA55" s="1"/>
  <c r="BY54"/>
  <c r="CA54" s="1"/>
  <c r="BY37"/>
  <c r="CA37" s="1"/>
  <c r="BY34"/>
  <c r="BY41"/>
  <c r="CA41" s="1"/>
  <c r="BY43"/>
  <c r="CA43" s="1"/>
  <c r="BY38"/>
  <c r="CA38" s="1"/>
  <c r="BY25"/>
  <c r="CA25" s="1"/>
  <c r="BY56"/>
  <c r="CA56" s="1"/>
  <c r="BY51"/>
  <c r="CA51" s="1"/>
  <c r="BY45"/>
  <c r="CA45" s="1"/>
  <c r="BY30"/>
  <c r="BY21"/>
  <c r="CA21" s="1"/>
  <c r="BY20"/>
  <c r="BY28"/>
  <c r="CA28" s="1"/>
  <c r="BY27"/>
  <c r="CA27" s="1"/>
  <c r="BY53"/>
  <c r="BY26"/>
  <c r="CA26" s="1"/>
  <c r="BV47"/>
  <c r="BV33"/>
  <c r="BV52"/>
  <c r="BU29"/>
  <c r="BW30"/>
  <c r="BW29" s="1"/>
  <c r="BW53"/>
  <c r="BW52" s="1"/>
  <c r="BU52"/>
  <c r="BU23"/>
  <c r="BW24"/>
  <c r="BW23" s="1"/>
  <c r="BU47"/>
  <c r="BW48"/>
  <c r="BW47" s="1"/>
  <c r="BW20"/>
  <c r="BW19" s="1"/>
  <c r="BU19"/>
  <c r="BZ56"/>
  <c r="BZ51"/>
  <c r="BZ45"/>
  <c r="BZ44"/>
  <c r="BZ40"/>
  <c r="BZ35"/>
  <c r="BZ28"/>
  <c r="BZ24"/>
  <c r="BZ53"/>
  <c r="BZ30"/>
  <c r="BZ39"/>
  <c r="BZ25"/>
  <c r="BZ55"/>
  <c r="BZ50"/>
  <c r="BZ32"/>
  <c r="BZ43"/>
  <c r="BZ36"/>
  <c r="BZ37"/>
  <c r="BZ27"/>
  <c r="BZ22"/>
  <c r="BZ54"/>
  <c r="BZ49"/>
  <c r="BZ31"/>
  <c r="BZ42"/>
  <c r="BZ20"/>
  <c r="BZ38"/>
  <c r="BZ26"/>
  <c r="BZ21"/>
  <c r="BZ48"/>
  <c r="BZ41"/>
  <c r="BZ34"/>
  <c r="AE17" i="3"/>
  <c r="AQ17" s="1"/>
  <c r="S60" i="24"/>
  <c r="S61" s="1"/>
  <c r="T16" i="3" s="1"/>
  <c r="AF16" s="1"/>
  <c r="AR16" s="1"/>
  <c r="BD16" s="1"/>
  <c r="AO14" i="4"/>
  <c r="BB17" i="3"/>
  <c r="BA14" i="4" s="1"/>
  <c r="W11"/>
  <c r="AJ15" i="3"/>
  <c r="BF15"/>
  <c r="BE11" i="4" s="1"/>
  <c r="AS11"/>
  <c r="X58" i="24"/>
  <c r="Y15" i="3" s="1"/>
  <c r="AH11" i="4"/>
  <c r="AU15" i="3"/>
  <c r="AE14" i="4"/>
  <c r="S14" l="1"/>
  <c r="S19" s="1"/>
  <c r="CH16" i="24"/>
  <c r="CH17"/>
  <c r="CM17"/>
  <c r="CN17" s="1"/>
  <c r="CK17"/>
  <c r="U17" i="3"/>
  <c r="T14" i="4" s="1"/>
  <c r="BW46" i="24"/>
  <c r="BW18" s="1"/>
  <c r="U59" s="1"/>
  <c r="BU46"/>
  <c r="BU18" s="1"/>
  <c r="BA20" i="4"/>
  <c r="BA19"/>
  <c r="AO20"/>
  <c r="AO19"/>
  <c r="AE19"/>
  <c r="AE20"/>
  <c r="BA26"/>
  <c r="BA25"/>
  <c r="AO26"/>
  <c r="AO25"/>
  <c r="AE26"/>
  <c r="AE25"/>
  <c r="BZ47" i="24"/>
  <c r="BY23"/>
  <c r="CA24"/>
  <c r="CA23" s="1"/>
  <c r="BZ33"/>
  <c r="CA48"/>
  <c r="CA47" s="1"/>
  <c r="BY47"/>
  <c r="BY52"/>
  <c r="CA53"/>
  <c r="CA52" s="1"/>
  <c r="BZ29"/>
  <c r="CA30"/>
  <c r="CA29" s="1"/>
  <c r="BY29"/>
  <c r="BY33"/>
  <c r="CA34"/>
  <c r="CA33" s="1"/>
  <c r="CC54"/>
  <c r="CE54" s="1"/>
  <c r="CC45"/>
  <c r="CE45" s="1"/>
  <c r="CC42"/>
  <c r="CE42" s="1"/>
  <c r="CC40"/>
  <c r="CE40" s="1"/>
  <c r="CC22"/>
  <c r="CE22" s="1"/>
  <c r="CC36"/>
  <c r="CE36" s="1"/>
  <c r="CC27"/>
  <c r="CE27" s="1"/>
  <c r="CC24"/>
  <c r="CC39"/>
  <c r="CE39" s="1"/>
  <c r="CC30"/>
  <c r="CC44"/>
  <c r="CE44" s="1"/>
  <c r="CC35"/>
  <c r="CE35" s="1"/>
  <c r="CC43"/>
  <c r="CE43" s="1"/>
  <c r="CC49"/>
  <c r="CE49" s="1"/>
  <c r="CC31"/>
  <c r="CE31" s="1"/>
  <c r="CC37"/>
  <c r="CE37" s="1"/>
  <c r="CC53"/>
  <c r="CC50"/>
  <c r="CE50" s="1"/>
  <c r="CC21"/>
  <c r="CE21" s="1"/>
  <c r="CC20"/>
  <c r="CC26"/>
  <c r="CE26" s="1"/>
  <c r="CC41"/>
  <c r="CE41" s="1"/>
  <c r="CC38"/>
  <c r="CE38" s="1"/>
  <c r="CC32"/>
  <c r="CE32" s="1"/>
  <c r="CC55"/>
  <c r="CE55" s="1"/>
  <c r="CC34"/>
  <c r="CC25"/>
  <c r="CE25" s="1"/>
  <c r="CC56"/>
  <c r="CE56" s="1"/>
  <c r="CC51"/>
  <c r="CE51" s="1"/>
  <c r="CC48"/>
  <c r="CC28"/>
  <c r="CE28" s="1"/>
  <c r="BZ23"/>
  <c r="BY19"/>
  <c r="CA20"/>
  <c r="CA19" s="1"/>
  <c r="BZ19"/>
  <c r="BZ52"/>
  <c r="BV46"/>
  <c r="BV18" s="1"/>
  <c r="CD56"/>
  <c r="CD49"/>
  <c r="CD32"/>
  <c r="CD43"/>
  <c r="CD53"/>
  <c r="CD39"/>
  <c r="CD28"/>
  <c r="CD24"/>
  <c r="CD51"/>
  <c r="CD48"/>
  <c r="CD31"/>
  <c r="CD42"/>
  <c r="CD37"/>
  <c r="CD36"/>
  <c r="CD27"/>
  <c r="CD34"/>
  <c r="CD55"/>
  <c r="CD45"/>
  <c r="CD44"/>
  <c r="CD40"/>
  <c r="CD38"/>
  <c r="CD35"/>
  <c r="CD25"/>
  <c r="CD50"/>
  <c r="CD54"/>
  <c r="CD30"/>
  <c r="CD41"/>
  <c r="CD21"/>
  <c r="CD20"/>
  <c r="CD26"/>
  <c r="CD22"/>
  <c r="AD14" i="4"/>
  <c r="T60" i="24"/>
  <c r="T61" s="1"/>
  <c r="U16" i="3" s="1"/>
  <c r="AG16" s="1"/>
  <c r="AS16" s="1"/>
  <c r="BE16" s="1"/>
  <c r="BG15"/>
  <c r="BF11" i="4" s="1"/>
  <c r="AT11"/>
  <c r="X11"/>
  <c r="AK15" i="3"/>
  <c r="AI11" i="4"/>
  <c r="AV15" i="3"/>
  <c r="Y58" i="24"/>
  <c r="Z15" i="3" s="1"/>
  <c r="BC17"/>
  <c r="BB14" i="4" s="1"/>
  <c r="AP14"/>
  <c r="BD17" i="3"/>
  <c r="BC14" i="4" s="1"/>
  <c r="AQ14"/>
  <c r="AG17" i="3" l="1"/>
  <c r="S25" i="4"/>
  <c r="S20"/>
  <c r="S26"/>
  <c r="CL16" i="24"/>
  <c r="CL17"/>
  <c r="CQ17"/>
  <c r="CR17" s="1"/>
  <c r="CO17"/>
  <c r="BC19" i="4"/>
  <c r="BC20"/>
  <c r="BB20"/>
  <c r="BB19"/>
  <c r="AP20"/>
  <c r="AP19"/>
  <c r="AD20"/>
  <c r="AD19"/>
  <c r="T20"/>
  <c r="T19"/>
  <c r="AQ19"/>
  <c r="AQ20"/>
  <c r="AD26"/>
  <c r="AD25"/>
  <c r="AP26"/>
  <c r="AP25"/>
  <c r="T26"/>
  <c r="T25"/>
  <c r="AQ26"/>
  <c r="AQ25"/>
  <c r="BC26"/>
  <c r="BC25"/>
  <c r="BB26"/>
  <c r="BB25"/>
  <c r="BZ46" i="24"/>
  <c r="BZ18" s="1"/>
  <c r="CA46"/>
  <c r="CA18" s="1"/>
  <c r="V59" s="1"/>
  <c r="CD29"/>
  <c r="CD19"/>
  <c r="BY46"/>
  <c r="BY18" s="1"/>
  <c r="CE53"/>
  <c r="CE52" s="1"/>
  <c r="CC52"/>
  <c r="CD33"/>
  <c r="CD23"/>
  <c r="CC19"/>
  <c r="CE20"/>
  <c r="CE19" s="1"/>
  <c r="CC23"/>
  <c r="CE24"/>
  <c r="CE23" s="1"/>
  <c r="CH55"/>
  <c r="CH49"/>
  <c r="CH32"/>
  <c r="CH43"/>
  <c r="CH39"/>
  <c r="CH21"/>
  <c r="CH28"/>
  <c r="CH24"/>
  <c r="CH56"/>
  <c r="CH50"/>
  <c r="CH45"/>
  <c r="CH44"/>
  <c r="CH40"/>
  <c r="CH22"/>
  <c r="CH36"/>
  <c r="CH25"/>
  <c r="CH54"/>
  <c r="CH53"/>
  <c r="CH31"/>
  <c r="CH42"/>
  <c r="CH38"/>
  <c r="CH37"/>
  <c r="CH27"/>
  <c r="CH20"/>
  <c r="CH51"/>
  <c r="CH48"/>
  <c r="CH30"/>
  <c r="CH41"/>
  <c r="CH34"/>
  <c r="CH35"/>
  <c r="CH26"/>
  <c r="CG56"/>
  <c r="CI56" s="1"/>
  <c r="CG53"/>
  <c r="CG44"/>
  <c r="CI44" s="1"/>
  <c r="CG39"/>
  <c r="CI39" s="1"/>
  <c r="CG35"/>
  <c r="CI35" s="1"/>
  <c r="CG34"/>
  <c r="CG26"/>
  <c r="CI26" s="1"/>
  <c r="CG30"/>
  <c r="CG51"/>
  <c r="CI51" s="1"/>
  <c r="CG42"/>
  <c r="CI42" s="1"/>
  <c r="CG24"/>
  <c r="CG27"/>
  <c r="CI27" s="1"/>
  <c r="CG20"/>
  <c r="CG45"/>
  <c r="CI45" s="1"/>
  <c r="CG41"/>
  <c r="CI41" s="1"/>
  <c r="CG21"/>
  <c r="CI21" s="1"/>
  <c r="CG28"/>
  <c r="CI28" s="1"/>
  <c r="CG55"/>
  <c r="CI55" s="1"/>
  <c r="CG49"/>
  <c r="CI49" s="1"/>
  <c r="CG22"/>
  <c r="CI22" s="1"/>
  <c r="CG36"/>
  <c r="CI36" s="1"/>
  <c r="CG43"/>
  <c r="CI43" s="1"/>
  <c r="CG38"/>
  <c r="CI38" s="1"/>
  <c r="CG54"/>
  <c r="CI54" s="1"/>
  <c r="CG48"/>
  <c r="CG31"/>
  <c r="CI31" s="1"/>
  <c r="CG32"/>
  <c r="CI32" s="1"/>
  <c r="CG40"/>
  <c r="CI40" s="1"/>
  <c r="CG37"/>
  <c r="CI37" s="1"/>
  <c r="CG25"/>
  <c r="CI25" s="1"/>
  <c r="CG50"/>
  <c r="CI50" s="1"/>
  <c r="CD52"/>
  <c r="CD47"/>
  <c r="CC47"/>
  <c r="CE48"/>
  <c r="CE47" s="1"/>
  <c r="CC33"/>
  <c r="CE34"/>
  <c r="CE33" s="1"/>
  <c r="CE30"/>
  <c r="CE29" s="1"/>
  <c r="CC29"/>
  <c r="U60"/>
  <c r="U61" s="1"/>
  <c r="V16" i="3" s="1"/>
  <c r="AH16" s="1"/>
  <c r="AT16" s="1"/>
  <c r="BF16" s="1"/>
  <c r="AW15"/>
  <c r="AJ11" i="4"/>
  <c r="Z58" i="24"/>
  <c r="AA15" i="3" s="1"/>
  <c r="BH15"/>
  <c r="BG11" i="4" s="1"/>
  <c r="AU11"/>
  <c r="V17" i="3"/>
  <c r="AF14" i="4"/>
  <c r="AS17" i="3"/>
  <c r="AL15"/>
  <c r="Y11" i="4"/>
  <c r="CP16" i="24" l="1"/>
  <c r="CP17"/>
  <c r="CU17"/>
  <c r="CV17" s="1"/>
  <c r="CS17"/>
  <c r="W17" i="3"/>
  <c r="V14" i="4" s="1"/>
  <c r="CH29" i="24"/>
  <c r="AF20" i="4"/>
  <c r="AF19"/>
  <c r="AF26"/>
  <c r="AF25"/>
  <c r="CC46" i="24"/>
  <c r="CC18" s="1"/>
  <c r="CH19"/>
  <c r="CE46"/>
  <c r="CE18" s="1"/>
  <c r="W59" s="1"/>
  <c r="CI48"/>
  <c r="CI47" s="1"/>
  <c r="CG47"/>
  <c r="CG29"/>
  <c r="CI30"/>
  <c r="CI29" s="1"/>
  <c r="CK56"/>
  <c r="CM56" s="1"/>
  <c r="CK51"/>
  <c r="CM51" s="1"/>
  <c r="CK44"/>
  <c r="CM44" s="1"/>
  <c r="CK43"/>
  <c r="CM43" s="1"/>
  <c r="CK20"/>
  <c r="CK35"/>
  <c r="CM35" s="1"/>
  <c r="CK27"/>
  <c r="CM27" s="1"/>
  <c r="CK31"/>
  <c r="CM31" s="1"/>
  <c r="CK39"/>
  <c r="CM39" s="1"/>
  <c r="CK38"/>
  <c r="CM38" s="1"/>
  <c r="CK42"/>
  <c r="CM42" s="1"/>
  <c r="CK34"/>
  <c r="CK45"/>
  <c r="CM45" s="1"/>
  <c r="CK40"/>
  <c r="CM40" s="1"/>
  <c r="CK41"/>
  <c r="CM41" s="1"/>
  <c r="CK24"/>
  <c r="CK55"/>
  <c r="CM55" s="1"/>
  <c r="CK49"/>
  <c r="CM49" s="1"/>
  <c r="CK50"/>
  <c r="CM50" s="1"/>
  <c r="CK30"/>
  <c r="CK26"/>
  <c r="CM26" s="1"/>
  <c r="CK28"/>
  <c r="CM28" s="1"/>
  <c r="CK32"/>
  <c r="CM32" s="1"/>
  <c r="CK37"/>
  <c r="CM37" s="1"/>
  <c r="CK25"/>
  <c r="CM25" s="1"/>
  <c r="CK53"/>
  <c r="CK22"/>
  <c r="CM22" s="1"/>
  <c r="CK54"/>
  <c r="CM54" s="1"/>
  <c r="CK48"/>
  <c r="CK21"/>
  <c r="CM21" s="1"/>
  <c r="CK36"/>
  <c r="CM36" s="1"/>
  <c r="CH47"/>
  <c r="CH52"/>
  <c r="CI20"/>
  <c r="CI19" s="1"/>
  <c r="CG19"/>
  <c r="CI24"/>
  <c r="CI23" s="1"/>
  <c r="CG23"/>
  <c r="CL55"/>
  <c r="CL49"/>
  <c r="CL32"/>
  <c r="CL43"/>
  <c r="CL39"/>
  <c r="CL38"/>
  <c r="CL27"/>
  <c r="CL21"/>
  <c r="CL54"/>
  <c r="CL48"/>
  <c r="CL31"/>
  <c r="CL42"/>
  <c r="CL35"/>
  <c r="CL26"/>
  <c r="CL20"/>
  <c r="CL51"/>
  <c r="CL53"/>
  <c r="CL30"/>
  <c r="CL41"/>
  <c r="CL22"/>
  <c r="CL37"/>
  <c r="CL25"/>
  <c r="CL34"/>
  <c r="CL36"/>
  <c r="CL56"/>
  <c r="CL50"/>
  <c r="CL45"/>
  <c r="CL44"/>
  <c r="CL40"/>
  <c r="CL28"/>
  <c r="CL24"/>
  <c r="CH33"/>
  <c r="CD46"/>
  <c r="CD18" s="1"/>
  <c r="CI34"/>
  <c r="CI33" s="1"/>
  <c r="CG33"/>
  <c r="CI53"/>
  <c r="CI52" s="1"/>
  <c r="CG52"/>
  <c r="CH23"/>
  <c r="V60"/>
  <c r="V61" s="1"/>
  <c r="W16" i="3" s="1"/>
  <c r="AI16" s="1"/>
  <c r="AU16" s="1"/>
  <c r="BG16" s="1"/>
  <c r="AR14" i="4"/>
  <c r="BE17" i="3"/>
  <c r="BD14" i="4" s="1"/>
  <c r="U14"/>
  <c r="AH17" i="3"/>
  <c r="AM15"/>
  <c r="Z11" i="4"/>
  <c r="AV11"/>
  <c r="BI15" i="3"/>
  <c r="BH11" i="4" s="1"/>
  <c r="AK11"/>
  <c r="AX15" i="3"/>
  <c r="AI17" l="1"/>
  <c r="AU17" s="1"/>
  <c r="CT17" i="24"/>
  <c r="CT16"/>
  <c r="CY17"/>
  <c r="CW17"/>
  <c r="AR20" i="4"/>
  <c r="AR19"/>
  <c r="U20"/>
  <c r="U19"/>
  <c r="V20"/>
  <c r="V19"/>
  <c r="BD20"/>
  <c r="BD19"/>
  <c r="V26"/>
  <c r="V25"/>
  <c r="BD26"/>
  <c r="BD25"/>
  <c r="AR26"/>
  <c r="AR25"/>
  <c r="U26"/>
  <c r="U25"/>
  <c r="CL29" i="24"/>
  <c r="CL19"/>
  <c r="CO56"/>
  <c r="CQ56" s="1"/>
  <c r="CO50"/>
  <c r="CQ50" s="1"/>
  <c r="CO45"/>
  <c r="CQ45" s="1"/>
  <c r="CO49"/>
  <c r="CQ49" s="1"/>
  <c r="CO37"/>
  <c r="CQ37" s="1"/>
  <c r="CO36"/>
  <c r="CQ36" s="1"/>
  <c r="CO22"/>
  <c r="CQ22" s="1"/>
  <c r="CO25"/>
  <c r="CQ25" s="1"/>
  <c r="CO48"/>
  <c r="CO40"/>
  <c r="CQ40" s="1"/>
  <c r="CO20"/>
  <c r="CO38"/>
  <c r="CQ38" s="1"/>
  <c r="CO44"/>
  <c r="CQ44" s="1"/>
  <c r="CO30"/>
  <c r="CO42"/>
  <c r="CQ42" s="1"/>
  <c r="CO24"/>
  <c r="CO55"/>
  <c r="CQ55" s="1"/>
  <c r="CO51"/>
  <c r="CQ51" s="1"/>
  <c r="CO41"/>
  <c r="CQ41" s="1"/>
  <c r="CO43"/>
  <c r="CQ43" s="1"/>
  <c r="CO21"/>
  <c r="CQ21" s="1"/>
  <c r="CO32"/>
  <c r="CQ32" s="1"/>
  <c r="CO28"/>
  <c r="CQ28" s="1"/>
  <c r="CO34"/>
  <c r="CO53"/>
  <c r="CO39"/>
  <c r="CQ39" s="1"/>
  <c r="CO26"/>
  <c r="CQ26" s="1"/>
  <c r="CO27"/>
  <c r="CQ27" s="1"/>
  <c r="CO54"/>
  <c r="CQ54" s="1"/>
  <c r="CO31"/>
  <c r="CQ31" s="1"/>
  <c r="CO35"/>
  <c r="CQ35" s="1"/>
  <c r="CH46"/>
  <c r="CH18" s="1"/>
  <c r="CM30"/>
  <c r="CM29" s="1"/>
  <c r="CK29"/>
  <c r="CK23"/>
  <c r="CM24"/>
  <c r="CM23" s="1"/>
  <c r="CK33"/>
  <c r="CM34"/>
  <c r="CM33" s="1"/>
  <c r="CG46"/>
  <c r="CG18" s="1"/>
  <c r="CM48"/>
  <c r="CM47" s="1"/>
  <c r="CK47"/>
  <c r="CM20"/>
  <c r="CM19" s="1"/>
  <c r="CK19"/>
  <c r="CL23"/>
  <c r="CL33"/>
  <c r="CI46"/>
  <c r="CI18" s="1"/>
  <c r="X59" s="1"/>
  <c r="CL52"/>
  <c r="CL47"/>
  <c r="CK52"/>
  <c r="CM53"/>
  <c r="CM52" s="1"/>
  <c r="CP56"/>
  <c r="CP51"/>
  <c r="CP45"/>
  <c r="CP44"/>
  <c r="CP40"/>
  <c r="CP35"/>
  <c r="CP28"/>
  <c r="CP24"/>
  <c r="CP55"/>
  <c r="CP50"/>
  <c r="CP32"/>
  <c r="CP43"/>
  <c r="CP39"/>
  <c r="CP37"/>
  <c r="CP27"/>
  <c r="CP22"/>
  <c r="CP54"/>
  <c r="CP49"/>
  <c r="CP31"/>
  <c r="CP42"/>
  <c r="CP36"/>
  <c r="CP38"/>
  <c r="CP26"/>
  <c r="CP21"/>
  <c r="CP53"/>
  <c r="CP48"/>
  <c r="CP30"/>
  <c r="CP41"/>
  <c r="CP20"/>
  <c r="CP34"/>
  <c r="CP25"/>
  <c r="AA58"/>
  <c r="AB15" i="3" s="1"/>
  <c r="AA11" i="4" s="1"/>
  <c r="AT17" i="3"/>
  <c r="AG14" i="4"/>
  <c r="BJ15" i="3"/>
  <c r="BI11" i="4" s="1"/>
  <c r="AW11"/>
  <c r="AL11"/>
  <c r="AY15" i="3"/>
  <c r="W60" i="24"/>
  <c r="W61" s="1"/>
  <c r="X16" i="3" s="1"/>
  <c r="AJ16" s="1"/>
  <c r="AV16" s="1"/>
  <c r="BH16" s="1"/>
  <c r="X17"/>
  <c r="AH14" i="4"/>
  <c r="CP47" i="24" l="1"/>
  <c r="CX16"/>
  <c r="CX17"/>
  <c r="Y17" i="3"/>
  <c r="AK17" s="1"/>
  <c r="CP29" i="24"/>
  <c r="AH20" i="4"/>
  <c r="AH19"/>
  <c r="AG20"/>
  <c r="AG19"/>
  <c r="AH26"/>
  <c r="AH25"/>
  <c r="AG26"/>
  <c r="AG25"/>
  <c r="CP52" i="24"/>
  <c r="CP19"/>
  <c r="CP23"/>
  <c r="CK46"/>
  <c r="CK18" s="1"/>
  <c r="CM46"/>
  <c r="CM18" s="1"/>
  <c r="Y59" s="1"/>
  <c r="Z17" i="3" s="1"/>
  <c r="CT55" i="24"/>
  <c r="CT56"/>
  <c r="CT54"/>
  <c r="CT44"/>
  <c r="CT40"/>
  <c r="CT20"/>
  <c r="CT28"/>
  <c r="CT24"/>
  <c r="CT51"/>
  <c r="CT48"/>
  <c r="CT32"/>
  <c r="CT43"/>
  <c r="CT39"/>
  <c r="CT38"/>
  <c r="CT27"/>
  <c r="CT34"/>
  <c r="CT50"/>
  <c r="CT53"/>
  <c r="CT31"/>
  <c r="CT42"/>
  <c r="CT37"/>
  <c r="CT36"/>
  <c r="CT26"/>
  <c r="CT22"/>
  <c r="CT49"/>
  <c r="CT45"/>
  <c r="CT30"/>
  <c r="CT41"/>
  <c r="CT21"/>
  <c r="CT35"/>
  <c r="CT25"/>
  <c r="CO19"/>
  <c r="CQ20"/>
  <c r="CQ19" s="1"/>
  <c r="CL46"/>
  <c r="CL18" s="1"/>
  <c r="CQ34"/>
  <c r="CQ33" s="1"/>
  <c r="CO33"/>
  <c r="CO23"/>
  <c r="CQ24"/>
  <c r="CQ23" s="1"/>
  <c r="CP33"/>
  <c r="CS56"/>
  <c r="CU56" s="1"/>
  <c r="CS53"/>
  <c r="CS48"/>
  <c r="CS32"/>
  <c r="CU32" s="1"/>
  <c r="CS34"/>
  <c r="CS37"/>
  <c r="CU37" s="1"/>
  <c r="CS39"/>
  <c r="CU39" s="1"/>
  <c r="CS28"/>
  <c r="CU28" s="1"/>
  <c r="CS50"/>
  <c r="CU50" s="1"/>
  <c r="CS44"/>
  <c r="CU44" s="1"/>
  <c r="CS40"/>
  <c r="CU40" s="1"/>
  <c r="CS38"/>
  <c r="CU38" s="1"/>
  <c r="CS27"/>
  <c r="CU27" s="1"/>
  <c r="CS55"/>
  <c r="CU55" s="1"/>
  <c r="CS51"/>
  <c r="CU51" s="1"/>
  <c r="CS42"/>
  <c r="CU42" s="1"/>
  <c r="CS30"/>
  <c r="CS31"/>
  <c r="CU31" s="1"/>
  <c r="CS21"/>
  <c r="CU21" s="1"/>
  <c r="CS35"/>
  <c r="CU35" s="1"/>
  <c r="CS26"/>
  <c r="CU26" s="1"/>
  <c r="CS54"/>
  <c r="CU54" s="1"/>
  <c r="CS45"/>
  <c r="CU45" s="1"/>
  <c r="CS41"/>
  <c r="CU41" s="1"/>
  <c r="CS22"/>
  <c r="CU22" s="1"/>
  <c r="CS36"/>
  <c r="CU36" s="1"/>
  <c r="CS25"/>
  <c r="CU25" s="1"/>
  <c r="CS24"/>
  <c r="CS49"/>
  <c r="CU49" s="1"/>
  <c r="CS43"/>
  <c r="CU43" s="1"/>
  <c r="CS20"/>
  <c r="CO29"/>
  <c r="CQ30"/>
  <c r="CQ29" s="1"/>
  <c r="CQ53"/>
  <c r="CQ52" s="1"/>
  <c r="CO52"/>
  <c r="CQ48"/>
  <c r="CQ47" s="1"/>
  <c r="CO47"/>
  <c r="AN15" i="3"/>
  <c r="AM11" i="4" s="1"/>
  <c r="X60" i="24"/>
  <c r="X61" s="1"/>
  <c r="Y16" i="3" s="1"/>
  <c r="AK16" s="1"/>
  <c r="AW16" s="1"/>
  <c r="BI16" s="1"/>
  <c r="BG17"/>
  <c r="BF14" i="4" s="1"/>
  <c r="AT14"/>
  <c r="AS14"/>
  <c r="BF17" i="3"/>
  <c r="BE14" i="4" s="1"/>
  <c r="AJ17" i="3"/>
  <c r="W14" i="4"/>
  <c r="AX11"/>
  <c r="BK15" i="3"/>
  <c r="BJ11" i="4" s="1"/>
  <c r="CP46" i="24" l="1"/>
  <c r="CP18" s="1"/>
  <c r="X14" i="4"/>
  <c r="X20" s="1"/>
  <c r="CT29" i="24"/>
  <c r="BE20" i="4"/>
  <c r="BE19"/>
  <c r="AS20"/>
  <c r="AS19"/>
  <c r="W19"/>
  <c r="W20"/>
  <c r="AT20"/>
  <c r="AT19"/>
  <c r="BF20"/>
  <c r="BF19"/>
  <c r="BF26"/>
  <c r="BF25"/>
  <c r="BE26"/>
  <c r="BE25"/>
  <c r="AS26"/>
  <c r="AS25"/>
  <c r="W26"/>
  <c r="W25"/>
  <c r="AT26"/>
  <c r="AT25"/>
  <c r="CO46" i="24"/>
  <c r="CO18" s="1"/>
  <c r="AZ15" i="3"/>
  <c r="CU34" i="24"/>
  <c r="CU33" s="1"/>
  <c r="CS33"/>
  <c r="CW56"/>
  <c r="CY56" s="1"/>
  <c r="CW53"/>
  <c r="CW49"/>
  <c r="CY49" s="1"/>
  <c r="CW39"/>
  <c r="CY39" s="1"/>
  <c r="CW38"/>
  <c r="CY38" s="1"/>
  <c r="CW32"/>
  <c r="CY32" s="1"/>
  <c r="CW26"/>
  <c r="CY26" s="1"/>
  <c r="CW30"/>
  <c r="CW48"/>
  <c r="CW31"/>
  <c r="CY31" s="1"/>
  <c r="CW22"/>
  <c r="CY22" s="1"/>
  <c r="CW28"/>
  <c r="CY28" s="1"/>
  <c r="CW25"/>
  <c r="CY25" s="1"/>
  <c r="CW45"/>
  <c r="CY45" s="1"/>
  <c r="CW43"/>
  <c r="CY43" s="1"/>
  <c r="CW37"/>
  <c r="CY37" s="1"/>
  <c r="CW20"/>
  <c r="CW55"/>
  <c r="CY55" s="1"/>
  <c r="CW51"/>
  <c r="CY51" s="1"/>
  <c r="CW44"/>
  <c r="CY44" s="1"/>
  <c r="CW42"/>
  <c r="CY42" s="1"/>
  <c r="CW34"/>
  <c r="CW21"/>
  <c r="CY21" s="1"/>
  <c r="CW24"/>
  <c r="CW27"/>
  <c r="CY27" s="1"/>
  <c r="CW54"/>
  <c r="CY54" s="1"/>
  <c r="CW41"/>
  <c r="CY41" s="1"/>
  <c r="CW40"/>
  <c r="CY40" s="1"/>
  <c r="CW50"/>
  <c r="CY50" s="1"/>
  <c r="CW35"/>
  <c r="CY35" s="1"/>
  <c r="CW36"/>
  <c r="CY36" s="1"/>
  <c r="CU24"/>
  <c r="CU23" s="1"/>
  <c r="CS23"/>
  <c r="CX54"/>
  <c r="CX48"/>
  <c r="CX31"/>
  <c r="CX42"/>
  <c r="CX38"/>
  <c r="CX37"/>
  <c r="CX26"/>
  <c r="CX35"/>
  <c r="CX56"/>
  <c r="CX45"/>
  <c r="CX22"/>
  <c r="CX32"/>
  <c r="CX39"/>
  <c r="CX27"/>
  <c r="CX51"/>
  <c r="CX53"/>
  <c r="CX30"/>
  <c r="CX41"/>
  <c r="CX34"/>
  <c r="CX36"/>
  <c r="CX25"/>
  <c r="CX50"/>
  <c r="CX44"/>
  <c r="CX40"/>
  <c r="CX28"/>
  <c r="CX24"/>
  <c r="CX55"/>
  <c r="CX49"/>
  <c r="CX43"/>
  <c r="CX21"/>
  <c r="CX20"/>
  <c r="CT52"/>
  <c r="CT47"/>
  <c r="CT19"/>
  <c r="CU30"/>
  <c r="CU29" s="1"/>
  <c r="CS29"/>
  <c r="CQ46"/>
  <c r="CQ18" s="1"/>
  <c r="Z59" s="1"/>
  <c r="CU20"/>
  <c r="CU19" s="1"/>
  <c r="CS19"/>
  <c r="CU48"/>
  <c r="CU47" s="1"/>
  <c r="CS47"/>
  <c r="CS52"/>
  <c r="CU53"/>
  <c r="CU52" s="1"/>
  <c r="CT33"/>
  <c r="CT23"/>
  <c r="Y60"/>
  <c r="Y61" s="1"/>
  <c r="Z16" i="3" s="1"/>
  <c r="AL16" s="1"/>
  <c r="AX16" s="1"/>
  <c r="BJ16" s="1"/>
  <c r="AW17"/>
  <c r="AJ14" i="4"/>
  <c r="Y14"/>
  <c r="AL17" i="3"/>
  <c r="BL15"/>
  <c r="BK11" i="4" s="1"/>
  <c r="AY11"/>
  <c r="AI14"/>
  <c r="AV17" i="3"/>
  <c r="X26" i="4" l="1"/>
  <c r="X25"/>
  <c r="X19"/>
  <c r="AA17" i="3"/>
  <c r="AM17" s="1"/>
  <c r="AY17" s="1"/>
  <c r="AI19" i="4"/>
  <c r="AI20"/>
  <c r="Y20"/>
  <c r="Y19"/>
  <c r="AJ20"/>
  <c r="AJ19"/>
  <c r="AJ26"/>
  <c r="AJ25"/>
  <c r="AI26"/>
  <c r="AI25"/>
  <c r="Y26"/>
  <c r="Y25"/>
  <c r="CT46" i="24"/>
  <c r="CT18" s="1"/>
  <c r="CX29"/>
  <c r="CS46"/>
  <c r="CS18" s="1"/>
  <c r="CY34"/>
  <c r="CY33" s="1"/>
  <c r="CW33"/>
  <c r="CW19"/>
  <c r="CY20"/>
  <c r="CY19" s="1"/>
  <c r="CY48"/>
  <c r="CY47" s="1"/>
  <c r="CW47"/>
  <c r="CW52"/>
  <c r="CY53"/>
  <c r="CY52" s="1"/>
  <c r="CU46"/>
  <c r="CU18" s="1"/>
  <c r="AA59" s="1"/>
  <c r="CX52"/>
  <c r="CX19"/>
  <c r="CX33"/>
  <c r="CW23"/>
  <c r="CY24"/>
  <c r="CY23" s="1"/>
  <c r="CW29"/>
  <c r="CY30"/>
  <c r="CY29" s="1"/>
  <c r="CX23"/>
  <c r="CX47"/>
  <c r="AX17" i="3"/>
  <c r="AK14" i="4"/>
  <c r="AV14"/>
  <c r="BI17" i="3"/>
  <c r="BH14" i="4" s="1"/>
  <c r="Z60" i="24"/>
  <c r="Z61" s="1"/>
  <c r="AA16" i="3" s="1"/>
  <c r="AM16" s="1"/>
  <c r="AY16" s="1"/>
  <c r="BK16" s="1"/>
  <c r="AU14" i="4"/>
  <c r="BH17" i="3"/>
  <c r="BG14" i="4" s="1"/>
  <c r="AL14" l="1"/>
  <c r="AL19" s="1"/>
  <c r="Z14"/>
  <c r="Z25" s="1"/>
  <c r="AB17" i="3"/>
  <c r="AN17" s="1"/>
  <c r="AM14" i="4" s="1"/>
  <c r="AU19"/>
  <c r="AU20"/>
  <c r="AK20"/>
  <c r="AK19"/>
  <c r="BH20"/>
  <c r="BH19"/>
  <c r="BG19"/>
  <c r="BG20"/>
  <c r="AV20"/>
  <c r="AV19"/>
  <c r="BH26"/>
  <c r="BH25"/>
  <c r="AV26"/>
  <c r="AV25"/>
  <c r="AU26"/>
  <c r="AU25"/>
  <c r="BG26"/>
  <c r="BG25"/>
  <c r="AK26"/>
  <c r="AK25"/>
  <c r="CX46" i="24"/>
  <c r="CX18" s="1"/>
  <c r="CW46"/>
  <c r="CW18" s="1"/>
  <c r="CY46"/>
  <c r="CY18" s="1"/>
  <c r="AW14" i="4"/>
  <c r="BJ17" i="3"/>
  <c r="BI14" i="4" s="1"/>
  <c r="AA60" i="24"/>
  <c r="AA61" s="1"/>
  <c r="AB16" i="3" s="1"/>
  <c r="AN16" s="1"/>
  <c r="AZ16" s="1"/>
  <c r="BL16" s="1"/>
  <c r="D16" s="1"/>
  <c r="D15" i="30" s="1"/>
  <c r="AX14" i="4"/>
  <c r="BK17" i="3"/>
  <c r="BJ14" i="4" s="1"/>
  <c r="Z20" l="1"/>
  <c r="Z26"/>
  <c r="Z19"/>
  <c r="AA14"/>
  <c r="AA25" s="1"/>
  <c r="AL25"/>
  <c r="AL20"/>
  <c r="AL26"/>
  <c r="AZ17" i="3"/>
  <c r="BL17" s="1"/>
  <c r="BK14" i="4" s="1"/>
  <c r="BI20"/>
  <c r="BI19"/>
  <c r="AW20"/>
  <c r="AW19"/>
  <c r="AM19"/>
  <c r="AM20"/>
  <c r="BJ20"/>
  <c r="BJ19"/>
  <c r="AX20"/>
  <c r="AX19"/>
  <c r="AM26"/>
  <c r="AM25"/>
  <c r="BJ26"/>
  <c r="BJ25"/>
  <c r="AW26"/>
  <c r="AW25"/>
  <c r="BI26"/>
  <c r="BI25"/>
  <c r="AX26"/>
  <c r="AX25"/>
  <c r="AA26" l="1"/>
  <c r="AY14"/>
  <c r="AY26" s="1"/>
  <c r="AA20"/>
  <c r="AA19"/>
  <c r="BK19"/>
  <c r="BK20"/>
  <c r="BK26"/>
  <c r="BK25"/>
  <c r="L21"/>
  <c r="L27" s="1"/>
  <c r="BD21"/>
  <c r="BD27" s="1"/>
  <c r="V21"/>
  <c r="AS21"/>
  <c r="AS27" s="1"/>
  <c r="I21"/>
  <c r="I27" s="1"/>
  <c r="K21"/>
  <c r="K27" s="1"/>
  <c r="N21"/>
  <c r="F21"/>
  <c r="F27" s="1"/>
  <c r="M21"/>
  <c r="M27" s="1"/>
  <c r="T21"/>
  <c r="T27" s="1"/>
  <c r="AE21"/>
  <c r="BB21"/>
  <c r="BB27" s="1"/>
  <c r="AH21"/>
  <c r="AH27" s="1"/>
  <c r="AR21"/>
  <c r="AR27" s="1"/>
  <c r="W21"/>
  <c r="W27" s="1"/>
  <c r="AI21"/>
  <c r="AI27" s="1"/>
  <c r="O21"/>
  <c r="O27" s="1"/>
  <c r="Q21"/>
  <c r="Q27" s="1"/>
  <c r="P21"/>
  <c r="S21"/>
  <c r="S27" s="1"/>
  <c r="AQ21"/>
  <c r="AQ27" s="1"/>
  <c r="AF21"/>
  <c r="AF27" s="1"/>
  <c r="X21"/>
  <c r="X27" s="1"/>
  <c r="BF21"/>
  <c r="BF27" s="1"/>
  <c r="Y21"/>
  <c r="Y27" s="1"/>
  <c r="AK21"/>
  <c r="AK27" s="1"/>
  <c r="BH21"/>
  <c r="AL21"/>
  <c r="AY21"/>
  <c r="J21"/>
  <c r="H21"/>
  <c r="H27" s="1"/>
  <c r="AP21"/>
  <c r="AP27" s="1"/>
  <c r="AZ21"/>
  <c r="AZ27" s="1"/>
  <c r="AC21"/>
  <c r="AO21"/>
  <c r="AD21"/>
  <c r="U21"/>
  <c r="U27" s="1"/>
  <c r="AG21"/>
  <c r="AG27" s="1"/>
  <c r="BE21"/>
  <c r="BE27" s="1"/>
  <c r="AW21"/>
  <c r="AW27" s="1"/>
  <c r="AV21"/>
  <c r="AV27" s="1"/>
  <c r="AU21"/>
  <c r="AU27" s="1"/>
  <c r="AA21"/>
  <c r="BJ21"/>
  <c r="BJ27" s="1"/>
  <c r="AM21"/>
  <c r="AM27" s="1"/>
  <c r="AB21"/>
  <c r="AB27" s="1"/>
  <c r="AN21"/>
  <c r="AN27" s="1"/>
  <c r="BC21"/>
  <c r="BC27" s="1"/>
  <c r="AT21"/>
  <c r="BI21"/>
  <c r="BI15" s="1"/>
  <c r="G21"/>
  <c r="BK21"/>
  <c r="Z21"/>
  <c r="E21"/>
  <c r="BA21"/>
  <c r="BA27" s="1"/>
  <c r="AJ21"/>
  <c r="AX21"/>
  <c r="AX27" s="1"/>
  <c r="R21"/>
  <c r="BG21"/>
  <c r="D78" i="5"/>
  <c r="D79" s="1"/>
  <c r="D28" i="4" s="1"/>
  <c r="D21"/>
  <c r="AY19" l="1"/>
  <c r="D22" i="6" s="1"/>
  <c r="AY20" i="4"/>
  <c r="D23" i="6" s="1"/>
  <c r="AY25" i="4"/>
  <c r="D17" i="30"/>
  <c r="AA15" i="4"/>
  <c r="D11" i="30"/>
  <c r="BG27" i="4"/>
  <c r="BG15"/>
  <c r="BK15"/>
  <c r="D27" i="6"/>
  <c r="D31" s="1"/>
  <c r="D16" i="30" s="1"/>
  <c r="BK27" i="4"/>
  <c r="Z15"/>
  <c r="Z27"/>
  <c r="D27"/>
  <c r="D15"/>
  <c r="AT15"/>
  <c r="AT27"/>
  <c r="AD15"/>
  <c r="AD27"/>
  <c r="AL15"/>
  <c r="AL27"/>
  <c r="AJ15"/>
  <c r="AJ27"/>
  <c r="G15"/>
  <c r="G27"/>
  <c r="AO15"/>
  <c r="AO27"/>
  <c r="BH15"/>
  <c r="BH27"/>
  <c r="P15"/>
  <c r="P27"/>
  <c r="AE15"/>
  <c r="AE27"/>
  <c r="N15"/>
  <c r="N27"/>
  <c r="V15"/>
  <c r="V27"/>
  <c r="AA27"/>
  <c r="R15"/>
  <c r="R27"/>
  <c r="E15"/>
  <c r="E27"/>
  <c r="AC15"/>
  <c r="AC27"/>
  <c r="J15"/>
  <c r="J27"/>
  <c r="BI27"/>
  <c r="BI29" s="1"/>
  <c r="BA15"/>
  <c r="BA29" s="1"/>
  <c r="AN15"/>
  <c r="AN29" s="1"/>
  <c r="BE15"/>
  <c r="BE29" s="1"/>
  <c r="H15"/>
  <c r="H29" s="1"/>
  <c r="BF15"/>
  <c r="BF29" s="1"/>
  <c r="S15"/>
  <c r="S29" s="1"/>
  <c r="AI15"/>
  <c r="AI29" s="1"/>
  <c r="BB15"/>
  <c r="BB29" s="1"/>
  <c r="F15"/>
  <c r="F29" s="1"/>
  <c r="AS15"/>
  <c r="AS29" s="1"/>
  <c r="AU15"/>
  <c r="AU29" s="1"/>
  <c r="X15"/>
  <c r="X29" s="1"/>
  <c r="W15"/>
  <c r="W29" s="1"/>
  <c r="AX15"/>
  <c r="AX29" s="1"/>
  <c r="AM15"/>
  <c r="AM29" s="1"/>
  <c r="AV15"/>
  <c r="AV29" s="1"/>
  <c r="U15"/>
  <c r="U29" s="1"/>
  <c r="AZ15"/>
  <c r="AZ29" s="1"/>
  <c r="AK15"/>
  <c r="AK29" s="1"/>
  <c r="AF15"/>
  <c r="AF29" s="1"/>
  <c r="Q15"/>
  <c r="Q29" s="1"/>
  <c r="AR15"/>
  <c r="AR29" s="1"/>
  <c r="T15"/>
  <c r="T29" s="1"/>
  <c r="K15"/>
  <c r="K29" s="1"/>
  <c r="BD15"/>
  <c r="BD29" s="1"/>
  <c r="AB15"/>
  <c r="AB29" s="1"/>
  <c r="AG15"/>
  <c r="AG29" s="1"/>
  <c r="BC15"/>
  <c r="BC29" s="1"/>
  <c r="BJ15"/>
  <c r="BJ29" s="1"/>
  <c r="AW15"/>
  <c r="AW29" s="1"/>
  <c r="AP15"/>
  <c r="AP29" s="1"/>
  <c r="Y15"/>
  <c r="Y29" s="1"/>
  <c r="AQ15"/>
  <c r="AQ29" s="1"/>
  <c r="O15"/>
  <c r="O29" s="1"/>
  <c r="AH15"/>
  <c r="AH29" s="1"/>
  <c r="M15"/>
  <c r="M29" s="1"/>
  <c r="I15"/>
  <c r="I29" s="1"/>
  <c r="L15"/>
  <c r="L29" s="1"/>
  <c r="AY27" l="1"/>
  <c r="AY15"/>
  <c r="AA29"/>
  <c r="AA36" s="1"/>
  <c r="BK29"/>
  <c r="BK33" s="1"/>
  <c r="BG29"/>
  <c r="BG33" s="1"/>
  <c r="E29"/>
  <c r="E33" s="1"/>
  <c r="D29"/>
  <c r="D30" s="1"/>
  <c r="AC29"/>
  <c r="AC33" s="1"/>
  <c r="R29"/>
  <c r="R33" s="1"/>
  <c r="J29"/>
  <c r="J33" s="1"/>
  <c r="V29"/>
  <c r="V33" s="1"/>
  <c r="AE29"/>
  <c r="AE33" s="1"/>
  <c r="BH29"/>
  <c r="BH33" s="1"/>
  <c r="G29"/>
  <c r="AL29"/>
  <c r="AL36" s="1"/>
  <c r="AT29"/>
  <c r="AT36" s="1"/>
  <c r="Z29"/>
  <c r="Z33" s="1"/>
  <c r="N29"/>
  <c r="N33" s="1"/>
  <c r="P29"/>
  <c r="P36" s="1"/>
  <c r="AO29"/>
  <c r="AO36" s="1"/>
  <c r="AJ29"/>
  <c r="AJ33" s="1"/>
  <c r="AD29"/>
  <c r="AD36" s="1"/>
  <c r="BD36"/>
  <c r="BD33"/>
  <c r="Y33"/>
  <c r="Y36"/>
  <c r="AF36"/>
  <c r="AF33"/>
  <c r="BB33"/>
  <c r="BB36"/>
  <c r="AP36"/>
  <c r="AP33"/>
  <c r="T36"/>
  <c r="T33"/>
  <c r="AK33"/>
  <c r="AK36"/>
  <c r="AM33"/>
  <c r="AM36"/>
  <c r="AU33"/>
  <c r="AU36"/>
  <c r="AI33"/>
  <c r="AI36"/>
  <c r="BE33"/>
  <c r="BE36"/>
  <c r="BJ36"/>
  <c r="BJ33"/>
  <c r="M33"/>
  <c r="M36"/>
  <c r="BC36"/>
  <c r="BC33"/>
  <c r="AV33"/>
  <c r="AV36"/>
  <c r="X33"/>
  <c r="X36"/>
  <c r="AH33"/>
  <c r="AH36"/>
  <c r="AG33"/>
  <c r="AG36"/>
  <c r="L36"/>
  <c r="L33"/>
  <c r="O36"/>
  <c r="O33"/>
  <c r="AW36"/>
  <c r="AW33"/>
  <c r="AB36"/>
  <c r="AB33"/>
  <c r="AR36"/>
  <c r="AR33"/>
  <c r="AZ33"/>
  <c r="AZ36"/>
  <c r="AX36"/>
  <c r="AX33"/>
  <c r="AS33"/>
  <c r="AS36"/>
  <c r="S33"/>
  <c r="S36"/>
  <c r="AN36"/>
  <c r="AN33"/>
  <c r="AQ33"/>
  <c r="AQ36"/>
  <c r="Q33"/>
  <c r="Q36"/>
  <c r="U33"/>
  <c r="U36"/>
  <c r="W36"/>
  <c r="W33"/>
  <c r="F36"/>
  <c r="F33"/>
  <c r="BF36"/>
  <c r="BF33"/>
  <c r="BA36"/>
  <c r="BA33"/>
  <c r="I36"/>
  <c r="I33"/>
  <c r="K33"/>
  <c r="K36"/>
  <c r="H33"/>
  <c r="H36"/>
  <c r="BI36"/>
  <c r="BI33"/>
  <c r="G36" l="1"/>
  <c r="E36"/>
  <c r="BG36"/>
  <c r="AY29"/>
  <c r="AY36" s="1"/>
  <c r="BK36"/>
  <c r="AA33"/>
  <c r="J36"/>
  <c r="V36"/>
  <c r="AJ36"/>
  <c r="E30"/>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L33"/>
  <c r="P33"/>
  <c r="AC36"/>
  <c r="D31"/>
  <c r="E31" s="1"/>
  <c r="D33"/>
  <c r="D34" s="1"/>
  <c r="D35" s="1"/>
  <c r="D36"/>
  <c r="R36"/>
  <c r="AT33"/>
  <c r="AE36"/>
  <c r="N36"/>
  <c r="G33"/>
  <c r="AD33"/>
  <c r="BH36"/>
  <c r="Z36"/>
  <c r="AO33"/>
  <c r="F45" l="1"/>
  <c r="AY30"/>
  <c r="AZ30" s="1"/>
  <c r="BA30" s="1"/>
  <c r="BB30" s="1"/>
  <c r="BC30" s="1"/>
  <c r="BD30" s="1"/>
  <c r="BE30" s="1"/>
  <c r="BF30" s="1"/>
  <c r="BG30" s="1"/>
  <c r="BH30" s="1"/>
  <c r="BI30" s="1"/>
  <c r="BJ30" s="1"/>
  <c r="BK30" s="1"/>
  <c r="AY33"/>
  <c r="F43" s="1"/>
  <c r="F46"/>
  <c r="D21" i="30" s="1"/>
  <c r="D32" i="4"/>
  <c r="E34"/>
  <c r="E35" s="1"/>
  <c r="E32"/>
  <c r="F31"/>
  <c r="F44" l="1"/>
  <c r="D20" i="30" s="1"/>
  <c r="D19"/>
  <c r="F34" i="4"/>
  <c r="F35" s="1"/>
  <c r="G31"/>
  <c r="F32"/>
  <c r="G34" l="1"/>
  <c r="G32"/>
  <c r="H31"/>
  <c r="H34" l="1"/>
  <c r="I34" s="1"/>
  <c r="I35" s="1"/>
  <c r="G35"/>
  <c r="H32"/>
  <c r="I31"/>
  <c r="J34" l="1"/>
  <c r="K34" s="1"/>
  <c r="H35"/>
  <c r="I32"/>
  <c r="J31"/>
  <c r="J35" l="1"/>
  <c r="J32"/>
  <c r="K31"/>
  <c r="K35"/>
  <c r="L34"/>
  <c r="L35" l="1"/>
  <c r="M34"/>
  <c r="L31"/>
  <c r="K32"/>
  <c r="L32" l="1"/>
  <c r="M31"/>
  <c r="M35"/>
  <c r="N34"/>
  <c r="N35" l="1"/>
  <c r="O34"/>
  <c r="M32"/>
  <c r="N31"/>
  <c r="N32" l="1"/>
  <c r="O31"/>
  <c r="O35"/>
  <c r="P34"/>
  <c r="Q34" l="1"/>
  <c r="P35"/>
  <c r="O32"/>
  <c r="P31"/>
  <c r="P32" l="1"/>
  <c r="Q31"/>
  <c r="Q35"/>
  <c r="R34"/>
  <c r="S34" l="1"/>
  <c r="R35"/>
  <c r="Q32"/>
  <c r="R31"/>
  <c r="R32" l="1"/>
  <c r="S31"/>
  <c r="S35"/>
  <c r="T34"/>
  <c r="T35" l="1"/>
  <c r="U34"/>
  <c r="S32"/>
  <c r="T31"/>
  <c r="U31" l="1"/>
  <c r="T32"/>
  <c r="V34"/>
  <c r="U35"/>
  <c r="V35" l="1"/>
  <c r="W34"/>
  <c r="U32"/>
  <c r="V31"/>
  <c r="W31" l="1"/>
  <c r="V32"/>
  <c r="W35"/>
  <c r="X34"/>
  <c r="X35" l="1"/>
  <c r="Y34"/>
  <c r="W32"/>
  <c r="X31"/>
  <c r="X32" l="1"/>
  <c r="Y31"/>
  <c r="Y35"/>
  <c r="Z34"/>
  <c r="Z35" l="1"/>
  <c r="AA34"/>
  <c r="Y32"/>
  <c r="Z31"/>
  <c r="AA35" l="1"/>
  <c r="AB34"/>
  <c r="AA31"/>
  <c r="Z32"/>
  <c r="AA32" l="1"/>
  <c r="AB31"/>
  <c r="AB35"/>
  <c r="AC34"/>
  <c r="AB32" l="1"/>
  <c r="AC31"/>
  <c r="AC35"/>
  <c r="AD34"/>
  <c r="AC32" l="1"/>
  <c r="AD31"/>
  <c r="AD35"/>
  <c r="AE34"/>
  <c r="AD32" l="1"/>
  <c r="AE31"/>
  <c r="AE35"/>
  <c r="AF34"/>
  <c r="AE32" l="1"/>
  <c r="AF31"/>
  <c r="AG34"/>
  <c r="AF35"/>
  <c r="AH34" l="1"/>
  <c r="AG35"/>
  <c r="AF32"/>
  <c r="AG31"/>
  <c r="AG32" l="1"/>
  <c r="AH31"/>
  <c r="AH35"/>
  <c r="AI34"/>
  <c r="AI35" l="1"/>
  <c r="AJ34"/>
  <c r="AH32"/>
  <c r="AI31"/>
  <c r="AI32" l="1"/>
  <c r="AJ31"/>
  <c r="AJ32" s="1"/>
  <c r="AJ35"/>
  <c r="AK34"/>
  <c r="AL34" l="1"/>
  <c r="AK35"/>
  <c r="AK31"/>
  <c r="AK32" l="1"/>
  <c r="AL31"/>
  <c r="AL35"/>
  <c r="AM34"/>
  <c r="AN34" l="1"/>
  <c r="AM35"/>
  <c r="AM31"/>
  <c r="AL32"/>
  <c r="AM32" l="1"/>
  <c r="AN31"/>
  <c r="AN35"/>
  <c r="AO34"/>
  <c r="AO35" l="1"/>
  <c r="AP34"/>
  <c r="AN32"/>
  <c r="AO31"/>
  <c r="AP35" l="1"/>
  <c r="AQ34"/>
  <c r="AP31"/>
  <c r="AO32"/>
  <c r="AP32" l="1"/>
  <c r="AQ31"/>
  <c r="AQ35"/>
  <c r="AR34"/>
  <c r="AR35" l="1"/>
  <c r="AS34"/>
  <c r="AQ32"/>
  <c r="AR31"/>
  <c r="AR32" l="1"/>
  <c r="AS31"/>
  <c r="AS35"/>
  <c r="AT34"/>
  <c r="AS32" l="1"/>
  <c r="AT31"/>
  <c r="AT35"/>
  <c r="AU34"/>
  <c r="AT32" l="1"/>
  <c r="AU31"/>
  <c r="AV34"/>
  <c r="AU35"/>
  <c r="AU32" l="1"/>
  <c r="AV31"/>
  <c r="AV35"/>
  <c r="AW34"/>
  <c r="AW35" l="1"/>
  <c r="AX34"/>
  <c r="AV32"/>
  <c r="AW31"/>
  <c r="AW32" l="1"/>
  <c r="AX31"/>
  <c r="AX35"/>
  <c r="AY34"/>
  <c r="AY35" l="1"/>
  <c r="AZ34"/>
  <c r="AY31"/>
  <c r="AX32"/>
  <c r="AY32" l="1"/>
  <c r="AZ31"/>
  <c r="BA34"/>
  <c r="AZ35"/>
  <c r="BB34" l="1"/>
  <c r="BA35"/>
  <c r="AZ32"/>
  <c r="BA31"/>
  <c r="BA32" l="1"/>
  <c r="BB31"/>
  <c r="BB35"/>
  <c r="BC34"/>
  <c r="BD34" l="1"/>
  <c r="BC35"/>
  <c r="BC31"/>
  <c r="BB32"/>
  <c r="BC32" l="1"/>
  <c r="BD31"/>
  <c r="BD35"/>
  <c r="BE34"/>
  <c r="BF34" l="1"/>
  <c r="BE35"/>
  <c r="BE31"/>
  <c r="BD32"/>
  <c r="BE32" l="1"/>
  <c r="BF31"/>
  <c r="BF35"/>
  <c r="BG34"/>
  <c r="BG35" l="1"/>
  <c r="BH34"/>
  <c r="BG31"/>
  <c r="BF32"/>
  <c r="BG32" l="1"/>
  <c r="BH31"/>
  <c r="BH35"/>
  <c r="BI34"/>
  <c r="BI35" l="1"/>
  <c r="BJ34"/>
  <c r="BH32"/>
  <c r="BI31"/>
  <c r="BI32" l="1"/>
  <c r="BJ31"/>
  <c r="BJ35"/>
  <c r="BK34"/>
  <c r="BK35" s="1"/>
  <c r="F42" l="1"/>
  <c r="BK31"/>
  <c r="BK32" s="1"/>
  <c r="BJ32"/>
  <c r="F40" l="1"/>
  <c r="D18" i="30" s="1"/>
</calcChain>
</file>

<file path=xl/sharedStrings.xml><?xml version="1.0" encoding="utf-8"?>
<sst xmlns="http://schemas.openxmlformats.org/spreadsheetml/2006/main" count="632" uniqueCount="424">
  <si>
    <t>1 месяц</t>
  </si>
  <si>
    <t>2 месяц</t>
  </si>
  <si>
    <t>3 месяц</t>
  </si>
  <si>
    <t>4 месяц</t>
  </si>
  <si>
    <t>5 месяц</t>
  </si>
  <si>
    <t>ОСНОВНЫЕ ПАРАМЕТРЫ ВАШЕГО БИЗНЕСА</t>
  </si>
  <si>
    <t>Параметр</t>
  </si>
  <si>
    <t>Значение</t>
  </si>
  <si>
    <t>Итого</t>
  </si>
  <si>
    <t>редактируемая ячейка</t>
  </si>
  <si>
    <t>автоматическое заполнение</t>
  </si>
  <si>
    <t>цветовые обозначения:</t>
  </si>
  <si>
    <t>6 месяц</t>
  </si>
  <si>
    <t>7 месяц</t>
  </si>
  <si>
    <t>8 месяц</t>
  </si>
  <si>
    <t>9 месяц</t>
  </si>
  <si>
    <t>10 месяц</t>
  </si>
  <si>
    <t>РЕЗУЛЬТАТ</t>
  </si>
  <si>
    <t>11 месяц</t>
  </si>
  <si>
    <t>12 месяц</t>
  </si>
  <si>
    <t>18 месяц</t>
  </si>
  <si>
    <t>24 месяц</t>
  </si>
  <si>
    <t>13 месяц</t>
  </si>
  <si>
    <t>14 месяц</t>
  </si>
  <si>
    <t>15 месяц</t>
  </si>
  <si>
    <t>16 месяц</t>
  </si>
  <si>
    <t>17 месяц</t>
  </si>
  <si>
    <t>19 месяц</t>
  </si>
  <si>
    <t>20 месяц</t>
  </si>
  <si>
    <t>21 месяц</t>
  </si>
  <si>
    <t>22 месяц</t>
  </si>
  <si>
    <t>23 месяц</t>
  </si>
  <si>
    <t>Денежный поток</t>
  </si>
  <si>
    <t>Чистая прибыль</t>
  </si>
  <si>
    <t>Чистая прибыль нарастающим итогом</t>
  </si>
  <si>
    <t>ВОРОНКА ПРОДАЖ</t>
  </si>
  <si>
    <t xml:space="preserve">Этап </t>
  </si>
  <si>
    <t>ЗАТРАТЫ НА ОРГАНИЗАЦИЮ БИЗНЕСА, рублей</t>
  </si>
  <si>
    <t>Фонд оплаты труда (ФОТ)</t>
  </si>
  <si>
    <t>ПРОДАЖИ, рублей</t>
  </si>
  <si>
    <t>Выручка</t>
  </si>
  <si>
    <t>ПОЛУЧЕНИЕ ПРИБЫЛИ, рублей</t>
  </si>
  <si>
    <t>Затраты, в том числе:</t>
  </si>
  <si>
    <t>Помещение</t>
  </si>
  <si>
    <t>Заработная плата сотрудников</t>
  </si>
  <si>
    <t>Налогообложение</t>
  </si>
  <si>
    <t>Дополнительные статьи затрат</t>
  </si>
  <si>
    <t>Наименование этапа</t>
  </si>
  <si>
    <t>Затраты на налогообложение</t>
  </si>
  <si>
    <t>Роялти</t>
  </si>
  <si>
    <t>Затраты на аренду помещений</t>
  </si>
  <si>
    <t>Паушальный взнос</t>
  </si>
  <si>
    <t>Период окупаемости (Pay-Back Period, PB), месяц</t>
  </si>
  <si>
    <t>Ставка дисконтирования, %</t>
  </si>
  <si>
    <t>Дисконтированный срок окупаемости (Discounted Pay-Back Period, DPB), месяц</t>
  </si>
  <si>
    <t>Чистая текущая стоимость проекта (Net Present Value, NPV), рублей</t>
  </si>
  <si>
    <t>Индекс прибыльности (Profitability Index, PI)</t>
  </si>
  <si>
    <t>Внутренняя норма рентабельности (Internal Rate of Return, IRR), %</t>
  </si>
  <si>
    <t>Чистая текущая стомость проекта (NPV)</t>
  </si>
  <si>
    <t>Дисконтированный срок окупаемости</t>
  </si>
  <si>
    <t>Аренда  помещений</t>
  </si>
  <si>
    <t>Средний чек</t>
  </si>
  <si>
    <t xml:space="preserve">Плановая выручка </t>
  </si>
  <si>
    <t>25 месяц</t>
  </si>
  <si>
    <t>26 месяц</t>
  </si>
  <si>
    <t>27 месяц</t>
  </si>
  <si>
    <t>28 месяц</t>
  </si>
  <si>
    <t>29 месяц</t>
  </si>
  <si>
    <t>30 месяц</t>
  </si>
  <si>
    <t>31 месяц</t>
  </si>
  <si>
    <t>32 месяц</t>
  </si>
  <si>
    <t>33 месяц</t>
  </si>
  <si>
    <t>34 месяц</t>
  </si>
  <si>
    <t>35 месяц</t>
  </si>
  <si>
    <t>36 месяц</t>
  </si>
  <si>
    <t>Регистрация ООО</t>
  </si>
  <si>
    <t>Прочие расходы (диски, фотобумага)</t>
  </si>
  <si>
    <t xml:space="preserve">Презентация независимого рентген центра врачам </t>
  </si>
  <si>
    <t>Производиться исследование</t>
  </si>
  <si>
    <t>Выдается результат исследования</t>
  </si>
  <si>
    <t>Пациент возвращается к направившему врачу</t>
  </si>
  <si>
    <t>Прочие расходы (диски, фото бумага)</t>
  </si>
  <si>
    <t>ОПЛАТА СТОИМОСТИ ОБОРУДОВАНИЯ</t>
  </si>
  <si>
    <t>Стоимость оборудования</t>
  </si>
  <si>
    <t>Период</t>
  </si>
  <si>
    <t>Всего:</t>
  </si>
  <si>
    <t>Погашение процента</t>
  </si>
  <si>
    <t>Задолженность по кредиту</t>
  </si>
  <si>
    <t>Лизинг</t>
  </si>
  <si>
    <t>Погашение тела</t>
  </si>
  <si>
    <t>Ежемесячные платежи</t>
  </si>
  <si>
    <t>Оплата оборудования</t>
  </si>
  <si>
    <t>Врач стоматолог или ЛОР направляет пациента на исследование</t>
  </si>
  <si>
    <t>ОПТГ (печать на фотобумаге, запись на CD, отправка по эл.почте по требованию врача)</t>
  </si>
  <si>
    <t>Зонограмма ВНЧС с открытым и закрытым ртом (на фотобумаге, записать на CD, отправка по эл. почте)</t>
  </si>
  <si>
    <t>Трехмерное рентгенологическое исследование области размером 13х15 см Kavo (запись на CD)</t>
  </si>
  <si>
    <t>Описание области одного зуба (результат в течение 3 рабочих дней)</t>
  </si>
  <si>
    <t>Разметка для планирования операции имплантации в области 1 отсутствующего зуба (результат в течение 3 рабочих дней)</t>
  </si>
  <si>
    <t>Сканирование гипсовой модели</t>
  </si>
  <si>
    <t>Дублирование исследования в случае его утраты / дополнительная копия исследования</t>
  </si>
  <si>
    <t>Канцелярия</t>
  </si>
  <si>
    <t>Заработная плата рентген лаборанта</t>
  </si>
  <si>
    <t>Заработная плата мед. представитель</t>
  </si>
  <si>
    <t>Количество рентген лаборантов</t>
  </si>
  <si>
    <t>Количество мед. представитель</t>
  </si>
  <si>
    <t>Дополнительные услуги</t>
  </si>
  <si>
    <t>ЛОР исследования</t>
  </si>
  <si>
    <t>Трехмерные рентгенологические исследования челюстей (3D КЛКТ)</t>
  </si>
  <si>
    <t>Декабрь</t>
  </si>
  <si>
    <t>Ноябрь</t>
  </si>
  <si>
    <t>Октябрь</t>
  </si>
  <si>
    <t>Сентябрь</t>
  </si>
  <si>
    <t>Август</t>
  </si>
  <si>
    <t>Июль</t>
  </si>
  <si>
    <t>Июнь</t>
  </si>
  <si>
    <t>Май</t>
  </si>
  <si>
    <t>Апрель</t>
  </si>
  <si>
    <t>Март</t>
  </si>
  <si>
    <t>Февраль</t>
  </si>
  <si>
    <t>Январь</t>
  </si>
  <si>
    <t>Проверка</t>
  </si>
  <si>
    <t>План по выручке</t>
  </si>
  <si>
    <t>Свод</t>
  </si>
  <si>
    <t>Основные показатели</t>
  </si>
  <si>
    <t>Начала работы месяц</t>
  </si>
  <si>
    <t>План по выручке расчетный</t>
  </si>
  <si>
    <t>План по кол-ву продаж</t>
  </si>
  <si>
    <t>Средняя цена по прайсу</t>
  </si>
  <si>
    <t>Показатель</t>
  </si>
  <si>
    <t>Месяц</t>
  </si>
  <si>
    <t>Месяц старта работы, без учета запуска</t>
  </si>
  <si>
    <t>Аренда за первые два месяца</t>
  </si>
  <si>
    <t>Это значение ставки дисконтирования, при которой суммарная приведенная стоимость доходов от осуществляемых инвестиций равна стоимости этих инвестиций. Данный показатель определяет максимальную стоимость привлекаемого капитала, при которой инвестиционный проект остается выгодным. Внутренняя норма рентабельности определяет ставку дисконтирования при которой NPV=0, или другими словами затраты на проект равны его доходам.</t>
  </si>
  <si>
    <t xml:space="preserve">Внутренняя норма рентабельности (Internal Rate of Return, IRR) </t>
  </si>
  <si>
    <t>Отношение суммы дисконтированных денежных потоков к первоначальным инвестициям.</t>
  </si>
  <si>
    <t>Период времени, необходимый для того, чтобы доходы, генерируемые инвестициями, покрыли затраты на инвестиции. При этом временная ценность денег не учитывается. Этот показатель определяют последовательным расчетом чистого дохода для каждого периода проекта. Точка, в которой чистый доход примет положительное значение, будет являться точкой окупаемости.</t>
  </si>
  <si>
    <t xml:space="preserve">Период окупаемости (Pay-Back Period, PB) </t>
  </si>
  <si>
    <t>Период времени, необходимый для возврата вложенных инвестиций в проект за счет чистого денежного потока с учетом ставки дисконтирования. Как определяется ставка дисконтирования указано выше.</t>
  </si>
  <si>
    <t>Дисконтированный срок окупаемости (Discounted Pay-Back Period, DPB)</t>
  </si>
  <si>
    <r>
      <t>·</t>
    </r>
    <r>
      <rPr>
        <sz val="7"/>
        <color rgb="FF000000"/>
        <rFont val="Times New Roman"/>
        <family val="1"/>
        <charset val="204"/>
      </rPr>
      <t xml:space="preserve">       </t>
    </r>
    <r>
      <rPr>
        <sz val="12"/>
        <color rgb="FF000000"/>
        <rFont val="Times New Roman"/>
        <family val="1"/>
        <charset val="204"/>
      </rPr>
      <t>Риск неполучения предполагаемой суммы.</t>
    </r>
  </si>
  <si>
    <r>
      <t>·</t>
    </r>
    <r>
      <rPr>
        <sz val="7"/>
        <color rgb="FF000000"/>
        <rFont val="Times New Roman"/>
        <family val="1"/>
        <charset val="204"/>
      </rPr>
      <t xml:space="preserve">       </t>
    </r>
    <r>
      <rPr>
        <sz val="12"/>
        <color rgb="FF000000"/>
        <rFont val="Times New Roman"/>
        <family val="1"/>
        <charset val="204"/>
      </rPr>
      <t>Имеющаяся сумма может быть инвестирована и принести прибыль;</t>
    </r>
  </si>
  <si>
    <r>
      <t>·</t>
    </r>
    <r>
      <rPr>
        <sz val="7"/>
        <color rgb="FF000000"/>
        <rFont val="Times New Roman"/>
        <family val="1"/>
        <charset val="204"/>
      </rPr>
      <t xml:space="preserve">       </t>
    </r>
    <r>
      <rPr>
        <sz val="12"/>
        <color rgb="FF000000"/>
        <rFont val="Times New Roman"/>
        <family val="1"/>
        <charset val="204"/>
      </rPr>
      <t>Влияние инфляции, уменьшение реальной покупательной способности денег;</t>
    </r>
  </si>
  <si>
    <t>Необходимость расчета NPV отражает тот экономический факт, что сумма денег, которой мы располагаем в настоящий момент, имеет большую реальную стоимость, чем равная ей сумма, которая появится в будущем. Это обусловлено несколькими причинами, например:</t>
  </si>
  <si>
    <t>Чаще всего NPV рассчитывается для потоков будущих платежей, например, при оценке экономической эффективности инвестиций.</t>
  </si>
  <si>
    <r>
      <t>Сумма предполагаемого потока платежей, приведенная к текущей (на настоящий момент времени) стоимости. Операция приведения к текущей стоимости называется </t>
    </r>
    <r>
      <rPr>
        <sz val="12"/>
        <rFont val="Times New Roman"/>
        <family val="1"/>
        <charset val="204"/>
      </rPr>
      <t>дисконтированием</t>
    </r>
    <r>
      <rPr>
        <sz val="12"/>
        <color rgb="FF000000"/>
        <rFont val="Times New Roman"/>
        <family val="1"/>
        <charset val="204"/>
      </rPr>
      <t>. Приведение к текущей стоимости выполняется по заданной </t>
    </r>
    <r>
      <rPr>
        <sz val="12"/>
        <rFont val="Times New Roman"/>
        <family val="1"/>
        <charset val="204"/>
      </rPr>
      <t>ставке дисконтирования</t>
    </r>
    <r>
      <rPr>
        <sz val="12"/>
        <color rgb="FF000000"/>
        <rFont val="Times New Roman"/>
        <family val="1"/>
        <charset val="204"/>
      </rPr>
      <t>.</t>
    </r>
  </si>
  <si>
    <t xml:space="preserve">NPV (Net Present Value), чистый дисконтированный доход </t>
  </si>
  <si>
    <t>18-20%</t>
  </si>
  <si>
    <t>Вложения в исследования и инновации</t>
  </si>
  <si>
    <t>Очень высокий</t>
  </si>
  <si>
    <t>13-15%</t>
  </si>
  <si>
    <t>Производство и продвижение на рынок нового продукта</t>
  </si>
  <si>
    <t>Высокий</t>
  </si>
  <si>
    <t>8-10%</t>
  </si>
  <si>
    <t>Увеличение объема продаж существующей продукции</t>
  </si>
  <si>
    <t>Средний</t>
  </si>
  <si>
    <t>Дисконтирование – это определение стоимости денежных потоков, относящихся к будущим периодам (будущих доходов на настоящий момент). Для правильной оценки будущих доходов нужно знать прогнозные значения выручки, расходов, инвестиций, структуру капитала, остаточную стоимость имущества, а также ставку дисконтирования, которая используется для оценки эффективности вложений. С экономической точки зрения ставка дисконтирования – это норма доходности на вложенный капитал, требуемая инвестором. Иначе говоря, с ее помощью можно определить сумму, которую инвестору придется заплатить сегодня за право получить предполагаемый доход в будущем. Поэтому от значения ставки дисконтирования зависит принятие ключевых решений, в том числе при выборе инвестиционного проекта.</t>
  </si>
  <si>
    <t>Инфляция</t>
  </si>
  <si>
    <t>3-5%</t>
  </si>
  <si>
    <t>Вложения при интенсификации производства на базе освоенной техники</t>
  </si>
  <si>
    <t>Низкий</t>
  </si>
  <si>
    <t>Ставка дисконтирования применяется в инвестиционном анализе, бизнес-планировании и оценке бизнеса. Именно этот показатель существенно влияет как на принятие решения об инвестировании средств, так и на оценку компании или отдельного вида бизнеса.</t>
  </si>
  <si>
    <t>Ставка рефинансирования</t>
  </si>
  <si>
    <t>Процент</t>
  </si>
  <si>
    <t>Пример цели проекта</t>
  </si>
  <si>
    <t>Величина риска</t>
  </si>
  <si>
    <t>где d – ставка рефинансирования, данные ЦБ РФ,  r – ставка инфляции, Ri–надбавка за риск (10%) – значение для проекта, направленного на увеличение объема продаж существующей продукции.</t>
  </si>
  <si>
    <t>Поправочные коэффициенты для учета риска Проекта</t>
  </si>
  <si>
    <r>
      <t>Ставка дисконтирования  рассчитана по формуле D=(1+d)/(1+r)+Ri</t>
    </r>
    <r>
      <rPr>
        <u/>
        <sz val="12"/>
        <color rgb="FF000000"/>
        <rFont val="Times New Roman"/>
        <family val="1"/>
        <charset val="204"/>
      </rPr>
      <t>,</t>
    </r>
    <r>
      <rPr>
        <sz val="12"/>
        <color rgb="FF000000"/>
        <rFont val="Times New Roman"/>
        <family val="1"/>
        <charset val="204"/>
      </rPr>
      <t xml:space="preserve"> </t>
    </r>
  </si>
  <si>
    <t>Ставка дисконтирования</t>
  </si>
  <si>
    <t>Открытие Р/сч.</t>
  </si>
  <si>
    <t>Налоговые сборы</t>
  </si>
  <si>
    <t>Мебель</t>
  </si>
  <si>
    <t>Стойка вешалка для верхней одежды (зона ожидания)</t>
  </si>
  <si>
    <t>Узкий диван для ожидания приема пациентами (зона ожидания)</t>
  </si>
  <si>
    <t>Коврик для вытирания ног перед дверью (зона ожидания)</t>
  </si>
  <si>
    <t>Емкость с чистыми бахилами для посетителей (зона ожидания)</t>
  </si>
  <si>
    <t>Ведро для грязных бахил (зона ожидания)</t>
  </si>
  <si>
    <t>Небольшая стойка рецепции (зона ожидания)</t>
  </si>
  <si>
    <t>Стул для администратора (зона ожидания)</t>
  </si>
  <si>
    <t>Стол для проведения семинаров 6-9 мест (ординаторская)</t>
  </si>
  <si>
    <t>Небольшой шкаф для бумаг и верхней одежды (ординаторская)</t>
  </si>
  <si>
    <t>Небольшой диван (необязательно) (ординаторская)</t>
  </si>
  <si>
    <t>Мойка для рук (раковина) (комната персонала)</t>
  </si>
  <si>
    <t>Шкаф для хоз. Нужд (комната персонала)</t>
  </si>
  <si>
    <t>Диван (необязательно) (комната персонала)</t>
  </si>
  <si>
    <t>Стол (комната персонала)</t>
  </si>
  <si>
    <t>Стол (пультовая)</t>
  </si>
  <si>
    <t>Стул (пультовая)</t>
  </si>
  <si>
    <t>Стеллаж для документов (пультовая)</t>
  </si>
  <si>
    <t>Мойка для рук (раковина) (кабинет луч. диагностики)</t>
  </si>
  <si>
    <t>Подкатной столик с емкостями для утилизации одноразовых изделий (перчатки, одноразовые пакетики и т.п.) (кабинет луч. диагностики)</t>
  </si>
  <si>
    <t>Ведро для мусора (кабинет луч. диагностики)</t>
  </si>
  <si>
    <t>Стулья 6-9 шт. (ординаторская)1 200 * 6</t>
  </si>
  <si>
    <t>Вешалка для свинцовых жилетов (кабинет луч. диагностики)</t>
  </si>
  <si>
    <t>Огнетушитель ОУ-3 (По требованиям СанПин – 1 шт.)</t>
  </si>
  <si>
    <t>Световое табло «Не входить»</t>
  </si>
  <si>
    <t>Услуги нотариуса</t>
  </si>
  <si>
    <t>Компьютер к томографу + монитор + клавиатура и мышь (пультовая)</t>
  </si>
  <si>
    <t>Ноутбук для администратора + мышь (прикассовая зона)</t>
  </si>
  <si>
    <t>МФУ для администратора (лазерный) (прикассовая зона)</t>
  </si>
  <si>
    <t>Принтер для томографа (струйный) (пультовая)</t>
  </si>
  <si>
    <t>Телефон сотовый + стационарный (если есть)(прикассовая зона)</t>
  </si>
  <si>
    <t>Источник бесперебойного питания 420Вт 800ВА (пультовая)</t>
  </si>
  <si>
    <t>Источник бесперебойного питания 2700Вт 3000ВА (рентген-кабинет)</t>
  </si>
  <si>
    <t>Проектор/эл. Доска / телевизор (ординаторская)</t>
  </si>
  <si>
    <t>Ноутбук (ординаторская) (рекомендуется)</t>
  </si>
  <si>
    <t>Электрический чайник (комната персонала)</t>
  </si>
  <si>
    <t>Основное оборудование</t>
  </si>
  <si>
    <t>Доставка томографа</t>
  </si>
  <si>
    <t>Монтаж томографа, калибровка, первичное обучение</t>
  </si>
  <si>
    <t>Оплата услуг по монтажу (проезд, проживание, суточные инженера по монтажу из расчета 1500 руб./ сутки – нужно 3ое суток)</t>
  </si>
  <si>
    <t>Свинцовые жилеты (3 шт. по требованиям СанПин)</t>
  </si>
  <si>
    <t>Кассовое оборудование</t>
  </si>
  <si>
    <t>Касса с фискальным накопителем</t>
  </si>
  <si>
    <t>Услуги ОФД и подключение интернета</t>
  </si>
  <si>
    <t>УФ-Ионизатор воздуха (рентген-кабинет)</t>
  </si>
  <si>
    <t>Интернет в офис</t>
  </si>
  <si>
    <t xml:space="preserve">5-й месяц </t>
  </si>
  <si>
    <t xml:space="preserve">6-й месяц </t>
  </si>
  <si>
    <t xml:space="preserve">7-й месяц </t>
  </si>
  <si>
    <t xml:space="preserve">8-й месяц </t>
  </si>
  <si>
    <t xml:space="preserve">9-й месяц </t>
  </si>
  <si>
    <t xml:space="preserve">10-й месяц </t>
  </si>
  <si>
    <t xml:space="preserve">11-й месяц </t>
  </si>
  <si>
    <t xml:space="preserve">12-й месяц </t>
  </si>
  <si>
    <t xml:space="preserve">13-й месяц </t>
  </si>
  <si>
    <t xml:space="preserve">14-й месяц </t>
  </si>
  <si>
    <t xml:space="preserve">15-й месяц </t>
  </si>
  <si>
    <t xml:space="preserve">16-й месяц </t>
  </si>
  <si>
    <t xml:space="preserve">17-й месяц </t>
  </si>
  <si>
    <t xml:space="preserve">18-й месяц </t>
  </si>
  <si>
    <t xml:space="preserve">19-й месяц </t>
  </si>
  <si>
    <t xml:space="preserve">20-й месяц </t>
  </si>
  <si>
    <t xml:space="preserve">21-й месяц </t>
  </si>
  <si>
    <t xml:space="preserve">22-й месяц </t>
  </si>
  <si>
    <t xml:space="preserve">23-й месяц </t>
  </si>
  <si>
    <t xml:space="preserve">24-й месяц </t>
  </si>
  <si>
    <t xml:space="preserve">25-й месяц </t>
  </si>
  <si>
    <t xml:space="preserve">26-й месяц </t>
  </si>
  <si>
    <t xml:space="preserve">27-й месяц </t>
  </si>
  <si>
    <t>Инвестзатраты + затраты за первые 4 месяца</t>
  </si>
  <si>
    <t>Окупаемость (в месяцах, без учета запуска)</t>
  </si>
  <si>
    <t>Томограф (курс евро 76,5)</t>
  </si>
  <si>
    <t>Ортопантомограмма (ОПТГ)</t>
  </si>
  <si>
    <t>Трехмерное рентгенологическое исследование области размером     5х5 см Kavo (запись на CD)</t>
  </si>
  <si>
    <t>«Я ортодонт 1» (ТРГ + ОПТГ)</t>
  </si>
  <si>
    <t>«Я ортодонт 2» (ТРГ + ОПТГ + расчет ТРГ)</t>
  </si>
  <si>
    <t>«Я ортодонт 3» (ТРГ + расчет ТРГ)</t>
  </si>
  <si>
    <t>«Я ортодонт 4» (ТРГ + КТ 13*15 см Kavo + расчет ТРГ)</t>
  </si>
  <si>
    <t>«Я имплантолог 1» (КТ 5*5 см + разметка для имплантации)</t>
  </si>
  <si>
    <t>«Я имплантолог 2» (КТ 8*8 см + разметка для имплантации)</t>
  </si>
  <si>
    <t>«Я имплантолог 3» (КТ 8*15 см + разметка для имплантации)</t>
  </si>
  <si>
    <t>«Я имплантолог 4» (КТ 8*8 см + разметка для имплантации + ОПТГ)</t>
  </si>
  <si>
    <t>ТРГ в прямом / боковой / подбородочно-теменной (SMV) проекции (одна проекция) (на фотобумаге, запись на CD, отправка по эл. почте)</t>
  </si>
  <si>
    <t>Трехмерное рентгенологическое исследование области размером  8х15 см Kavo (запись на CD)</t>
  </si>
  <si>
    <t>Трехмерное рентгенологическое исследование области размером     8х8 см Kavo (запись на CD)</t>
  </si>
  <si>
    <t>Трехмерное рентгенологическое исследование области размером     6х8 см Kavo (запись на CD)</t>
  </si>
  <si>
    <t>Трехмерное рентгенологическое исследование околоносовых пазух, орбит 13х15 см Kavo (запись на CD)</t>
  </si>
  <si>
    <t>Трехмерное рентгенологическое исследование верхнечелюстных, решетчатых, клиновидной пазух 8х15 см Kavo (запись на CD)</t>
  </si>
  <si>
    <t>Рентгенограмма околоносовых пазух в носоподбородочной / носолобной проекции (одна проекция)(на фотобумаге, запись на CD, отправка по эл. почте)</t>
  </si>
  <si>
    <t>Наименование</t>
  </si>
  <si>
    <t>Стоимость, руб.</t>
  </si>
  <si>
    <t>№</t>
  </si>
  <si>
    <t>Описание трехмерного рентгенологического исследования размером 13х15 см (в т. ч. ВНЧС) Kavo (результат в течение 3 рабочих дней)</t>
  </si>
  <si>
    <t>Описание трехмерного рентгенологического исследования размером 8х15 см Kavo  (результат в течение 3 рабочих дней)</t>
  </si>
  <si>
    <t>Описание трехмерного рентгенологического исследования размером 8х8 см Kavo  (результат в течение 3 рабочих дней)</t>
  </si>
  <si>
    <t>Описание трехмерного рентгенологического исследования размером 6х8 см Kavo(результат в течение 3 рабочих дней)</t>
  </si>
  <si>
    <t>Разметка для планирования операции имплантации в области 1 сегмента (результат в течение 3 рабочих дней)</t>
  </si>
  <si>
    <t>Описание трехмерного рентгенологического исследования  размером 5х5 см Kavo (результат в течение 3 рабочих дней)</t>
  </si>
  <si>
    <t xml:space="preserve">ТРГ расчет – указать методику по автору  (результат в течение 3 рабочих дней) </t>
  </si>
  <si>
    <t>Распечатка зоны интереса (скриншоты) трехмерного рентгенологического исследования размером 13х15 см, 8х15 см, 8х8 см, 6х8 см, 5х5 см Kavo (результат в течение 1 рабочего дня)</t>
  </si>
  <si>
    <t xml:space="preserve">28-й месяц </t>
  </si>
  <si>
    <t>Я ортодонт 5 (ТРГ боковая проекция + ТРГ прямая проекция + ОПТГ)</t>
  </si>
  <si>
    <t>Пакетные предложения</t>
  </si>
  <si>
    <t>Ортодонтия</t>
  </si>
  <si>
    <t>Имплантология</t>
  </si>
  <si>
    <t>ПРАЙС</t>
  </si>
  <si>
    <t>Доля</t>
  </si>
  <si>
    <t>ПЛАН ПО ВЫРУЧКЕ В РАЗБИВКЕ УСЛУГ</t>
  </si>
  <si>
    <t>ГЛОСАРИЙ</t>
  </si>
  <si>
    <t>ОПЛАТА СТОИМОСТИ ОБОРУДОВАНИЯ (ТАМОГРАФ)</t>
  </si>
  <si>
    <t>ПРИБЫЛЬ И ОКУПАЕМОСТЬ</t>
  </si>
  <si>
    <t>ПЛАН ПРОДАЖ и ВОРОНКА ПРОДАЖ</t>
  </si>
  <si>
    <t>ИНВЕСТИЦИИ НА ОРГАНИЗАЦИЮ БИЗНЕСА</t>
  </si>
  <si>
    <t>Уставной капитал</t>
  </si>
  <si>
    <t>Орг. техника</t>
  </si>
  <si>
    <t>Wi-Fi роутер (беспроводной маршрутизатор) (рекомендуется)</t>
  </si>
  <si>
    <t>по франшизе "АКСИОМА"</t>
  </si>
  <si>
    <t>Проведение дня открытых дверей в формате научно-практической конференции</t>
  </si>
  <si>
    <t>Запуск SEO продвижения сайта и SMM продвижения в городе франчайзи</t>
  </si>
  <si>
    <t>Обучение рентген лаборанта, аттестация, ввод в работу</t>
  </si>
  <si>
    <t>Обучение медицинского представителя, аттестация, ввод в работу</t>
  </si>
  <si>
    <t>Контроль при наружном и внутреннем оформлении центра</t>
  </si>
  <si>
    <t>Контроль при закупке мебели, оргтехники</t>
  </si>
  <si>
    <t>Контроль при поставке КТ оборудования для рентген-диагностики</t>
  </si>
  <si>
    <t>Проверка качества калибровки</t>
  </si>
  <si>
    <t>Монтаж, калибровка и настройка томографа</t>
  </si>
  <si>
    <t>Подбор рентген лаборанта</t>
  </si>
  <si>
    <t>Подбор медицинского представителя</t>
  </si>
  <si>
    <t>Контроль проведения ремонта</t>
  </si>
  <si>
    <t>Согласование даты выезда инженера по калибровке и настройке томографа</t>
  </si>
  <si>
    <t>Проверка и оптимизация сметы от ремонтной организации</t>
  </si>
  <si>
    <t>Проверка проекта плана рентген-центра</t>
  </si>
  <si>
    <t>Обучение франчайзи по работе медицинского представителя</t>
  </si>
  <si>
    <t>Обучение франчайзи по работе рентген лаборантов</t>
  </si>
  <si>
    <t xml:space="preserve">Подбор ремонтной организации </t>
  </si>
  <si>
    <t>Поиск, подбор помещения и организации по разработке проекта помещения</t>
  </si>
  <si>
    <t>Покупка КТ оборудования для рентген-диагностики</t>
  </si>
  <si>
    <t>Консультация по подбору оборудования, рентген аппарата</t>
  </si>
  <si>
    <t>Предварительный подбор помещения</t>
  </si>
  <si>
    <t>Анализ рынка, конкурентов</t>
  </si>
  <si>
    <t>Инструктаж по регистрации юридического лица, открытия расчетного счета</t>
  </si>
  <si>
    <t>Рекомендации при наружном и внутреннем оформлении центра</t>
  </si>
  <si>
    <t>Рекомендации по закупке мебели, оргтехники</t>
  </si>
  <si>
    <t>Обучение и аттестация франчайзи</t>
  </si>
  <si>
    <t>Оплата паушального взноса</t>
  </si>
  <si>
    <t>Подписание договора</t>
  </si>
  <si>
    <t>Ремонт помещения                                                                                                                                                                 -Дверь рентегнозащитная                                                                                                                                                     - Листы ретенозащитные</t>
  </si>
  <si>
    <t>Лицензирование+пр.план</t>
  </si>
  <si>
    <t>Доп. Обучение сотрудников(получение свидетельства рентгенолога, получение удостоверения по радиационной безопасности) (если есть необходимость)</t>
  </si>
  <si>
    <t>Шкаф (с 2мя сек-ми для верхней и служебной одежы) (комната персонала)</t>
  </si>
  <si>
    <t>Стул - 2шт. (комната персонала) 1 200 шт.</t>
  </si>
  <si>
    <t>Шкаф для верхней одежды (зона ожидания)</t>
  </si>
  <si>
    <t>Журнальный столик (зона ожидания)</t>
  </si>
  <si>
    <t>Витрина (зона ожидания)</t>
  </si>
  <si>
    <t>Шкаф для хоз. Инвентаря (зона ожидани)</t>
  </si>
  <si>
    <t>Телефон медицинского представителя</t>
  </si>
  <si>
    <t>План по выручке/ План по кол-ву исследований</t>
  </si>
  <si>
    <t>Полный платеж</t>
  </si>
  <si>
    <t>Тип прогнозирования</t>
  </si>
  <si>
    <t>Площадь помещения, кв.м.</t>
  </si>
  <si>
    <t>Цена за квадратный метр, руб.</t>
  </si>
  <si>
    <t>СРЕДНИЕ ЕЖЕМЕСЯЧНЫЕ ЗАТРАТЫ</t>
  </si>
  <si>
    <t>СРЕДНИЕ ЕЖЕМЕСЯЧНЫЕ ЗАТРАТЫ, рублей</t>
  </si>
  <si>
    <t>План по количеству иследований</t>
  </si>
  <si>
    <t>Мотивационный фонд</t>
  </si>
  <si>
    <t>KPI лаборанта</t>
  </si>
  <si>
    <t>KPI мед.представителя</t>
  </si>
  <si>
    <t>Мотивация лаборанта</t>
  </si>
  <si>
    <t>Мотивация мед.представителя</t>
  </si>
  <si>
    <t>KPI лаборантов</t>
  </si>
  <si>
    <t>KPI мед.представителей</t>
  </si>
  <si>
    <t>Мотивация лаборантов</t>
  </si>
  <si>
    <t>Мотивация мед.представителей</t>
  </si>
  <si>
    <t>Фонд оплаты труда (оклад+налоги)</t>
  </si>
  <si>
    <t>Вознаграждение клиники/врачи</t>
  </si>
  <si>
    <t>УСН (Доходы-Расходы)</t>
  </si>
  <si>
    <t>Курс евро</t>
  </si>
  <si>
    <t>Первоначальный взнос</t>
  </si>
  <si>
    <t>Срок кредита (мес.)</t>
  </si>
  <si>
    <t>Процент.ставка</t>
  </si>
  <si>
    <t>Описание двухмерного рентгенологического исследования</t>
  </si>
  <si>
    <t xml:space="preserve">СВОДНЫЕ ПОКАЗАТЕЛИ </t>
  </si>
  <si>
    <t>Месяц старта проекта</t>
  </si>
  <si>
    <t>Способ оплаты основного оборудования</t>
  </si>
  <si>
    <t>Среднее месячные затраты на этапе работы</t>
  </si>
  <si>
    <t>Среднемесячные затраты на оплату оборудования</t>
  </si>
  <si>
    <t>Видео и пожарная сигнализация (пожарная сигнализация –  21 000, видеонаблюдение – 55 000</t>
  </si>
  <si>
    <t>Выручка - ориентир</t>
  </si>
  <si>
    <t>Средний чек - ориентир</t>
  </si>
  <si>
    <t>Оптимистичный вариант</t>
  </si>
  <si>
    <t>Процент от стабильного роста</t>
  </si>
  <si>
    <t>Пессимистичный вариант</t>
  </si>
  <si>
    <t>Месяц старта работы</t>
  </si>
  <si>
    <t>Площадь помещения</t>
  </si>
  <si>
    <t>Среднее вознаграждение для клиники</t>
  </si>
  <si>
    <t>по факту может варьироваться от 0 до 15%</t>
  </si>
  <si>
    <t>Актуальность закупочных цен</t>
  </si>
  <si>
    <t>Взята из открытых источников на 10.10.2018 г.</t>
  </si>
  <si>
    <t>Затраты на содержания офиса</t>
  </si>
  <si>
    <t>Средние затраты по г. Ижевск</t>
  </si>
  <si>
    <t>Цены действительны на 1.10.18</t>
  </si>
  <si>
    <t>Налоги на персонал (ФСС, ФФОМС, ПФР)</t>
  </si>
  <si>
    <t>Мотивация мед. лаборанта</t>
  </si>
  <si>
    <t>2% от выручки офиса</t>
  </si>
  <si>
    <t>Мотивация мед. представителя</t>
  </si>
  <si>
    <t>5% от выручки офиса</t>
  </si>
  <si>
    <t>Стоимость услуг в прайсе</t>
  </si>
  <si>
    <t>Стандартный прайс по г. Ижевск</t>
  </si>
  <si>
    <t>Доля услуг в общем объеме</t>
  </si>
  <si>
    <t>Рассчитана в количественном соотношении за все время работы центра в г. Ижевск</t>
  </si>
  <si>
    <t>Сезонность</t>
  </si>
  <si>
    <t>Рассчитана в количественных показателях за все время работы центра в г. Ижевск</t>
  </si>
  <si>
    <t>Процент стабильного роста</t>
  </si>
  <si>
    <t>Максимальная сумма по выручке</t>
  </si>
  <si>
    <t>Максимальная выручка – 20% по г. Ижевск</t>
  </si>
  <si>
    <t>ДОПУЩЕНИЯ В ФНАНСОВОЙ МОДЕЛИ</t>
  </si>
  <si>
    <t>Цена аренды за 1 кв.м, руб.</t>
  </si>
  <si>
    <t>Курс евро, руб.</t>
  </si>
  <si>
    <t>Паушальный взнос, руб.</t>
  </si>
  <si>
    <t>Налоговый коэффициент</t>
  </si>
  <si>
    <t>Выберете способ оплаты стоимости оборудования</t>
  </si>
  <si>
    <t>Вознаграждение для клиник и врачей</t>
  </si>
  <si>
    <t>Возможно изменть</t>
  </si>
  <si>
    <t>Обучение и подключение франчайзи и сотрудников к системе Axioma IS</t>
  </si>
  <si>
    <t>Фотоотчет и видео отзыв франчайзи о запуске центра</t>
  </si>
  <si>
    <t>Планерки, контроль выполнения KPI и плана медицинским представителем</t>
  </si>
  <si>
    <t>Тестовый запуск работы рентген центра</t>
  </si>
  <si>
    <t>Составление маркетинговой стратегии и его тестирование для указанного города</t>
  </si>
  <si>
    <t>Передача интеллектуальной собственности и документов</t>
  </si>
  <si>
    <t>ЛИЦЕНЗИРОВАНИЕ</t>
  </si>
  <si>
    <t>Размещение информации об открытии диагностического центра</t>
  </si>
  <si>
    <t>Контроль деятельности рентген лаборанта</t>
  </si>
  <si>
    <t>Передача интеллектуальной собственности</t>
  </si>
  <si>
    <t>Вид томографа</t>
  </si>
  <si>
    <t>30%-12</t>
  </si>
  <si>
    <t>30%-6</t>
  </si>
  <si>
    <t>50%-12</t>
  </si>
  <si>
    <t>50%-6</t>
  </si>
  <si>
    <t>Вид тамографа</t>
  </si>
  <si>
    <t>для корректировки</t>
  </si>
  <si>
    <t>OP-300 Maxio Ceph, 150*130 мм с цефалостатом</t>
  </si>
  <si>
    <t>OP-300 Maxio Ceph, 150*80 мм с цефалостатом</t>
  </si>
  <si>
    <t>OP-300 Maxio, 150*130 мм без цефалостата</t>
  </si>
  <si>
    <t>OP-300 Maxio, 150*80 мм без цефалостата</t>
  </si>
  <si>
    <t>Рассрочка платежа 30% - 6 мес.</t>
  </si>
  <si>
    <t>Рассрочка платежа 50% - 6 мес.</t>
  </si>
  <si>
    <t>Рассрочка платежа 50% - 12 мес.</t>
  </si>
  <si>
    <t>Рентабельность проекта</t>
  </si>
  <si>
    <t>Средней доход</t>
  </si>
  <si>
    <t>Инвестиции на организацию бизнеса</t>
  </si>
  <si>
    <t>-</t>
  </si>
  <si>
    <t>Жесткий диск для записи иследований</t>
  </si>
  <si>
    <t>Рассрочка платежа 30% - 12 меc.</t>
  </si>
</sst>
</file>

<file path=xl/styles.xml><?xml version="1.0" encoding="utf-8"?>
<styleSheet xmlns="http://schemas.openxmlformats.org/spreadsheetml/2006/main">
  <numFmts count="7">
    <numFmt numFmtId="164" formatCode="_-* #,##0_р_._-;\-* #,##0_р_._-;_-* &quot;-&quot;_р_._-;_-@_-"/>
    <numFmt numFmtId="165" formatCode="_-* #,##0.00_р_._-;\-* #,##0.00_р_._-;_-* &quot;-&quot;??_р_._-;_-@_-"/>
    <numFmt numFmtId="166" formatCode="_-* #,##0_р_._-;\-* #,##0_р_._-;_-* &quot;-&quot;??_р_._-;_-@_-"/>
    <numFmt numFmtId="167" formatCode="0.0%"/>
    <numFmt numFmtId="168" formatCode="#,##0.00_ ;[Red]\-#,##0.00\ "/>
    <numFmt numFmtId="169" formatCode="#,##0[$ ₽]"/>
    <numFmt numFmtId="170" formatCode="#,##0.0000"/>
  </numFmts>
  <fonts count="56">
    <font>
      <sz val="11"/>
      <color rgb="FF000000"/>
      <name val="Calibri"/>
    </font>
    <font>
      <sz val="11"/>
      <color theme="1"/>
      <name val="Calibri"/>
      <family val="2"/>
      <charset val="204"/>
      <scheme val="minor"/>
    </font>
    <font>
      <sz val="11"/>
      <color rgb="FF000000"/>
      <name val="Calibri"/>
      <family val="2"/>
      <charset val="204"/>
    </font>
    <font>
      <sz val="11"/>
      <color rgb="FF000000"/>
      <name val="Times New Roman"/>
      <family val="1"/>
      <charset val="204"/>
    </font>
    <font>
      <b/>
      <sz val="16"/>
      <color rgb="FF000000"/>
      <name val="Times New Roman"/>
      <family val="1"/>
      <charset val="204"/>
    </font>
    <font>
      <sz val="11"/>
      <color theme="5" tint="-0.249977111117893"/>
      <name val="Times New Roman"/>
      <family val="1"/>
      <charset val="204"/>
    </font>
    <font>
      <sz val="11"/>
      <name val="Times New Roman"/>
      <family val="1"/>
      <charset val="204"/>
    </font>
    <font>
      <sz val="11"/>
      <color theme="0"/>
      <name val="Times New Roman"/>
      <family val="1"/>
      <charset val="204"/>
    </font>
    <font>
      <b/>
      <sz val="11"/>
      <color rgb="FF000000"/>
      <name val="Times New Roman"/>
      <family val="1"/>
      <charset val="204"/>
    </font>
    <font>
      <b/>
      <sz val="11"/>
      <name val="Times New Roman"/>
      <family val="1"/>
      <charset val="204"/>
    </font>
    <font>
      <b/>
      <sz val="11"/>
      <color theme="0"/>
      <name val="Times New Roman"/>
      <family val="1"/>
      <charset val="204"/>
    </font>
    <font>
      <sz val="11"/>
      <color theme="1"/>
      <name val="Times New Roman"/>
      <family val="1"/>
      <charset val="204"/>
    </font>
    <font>
      <i/>
      <sz val="11"/>
      <name val="Times New Roman"/>
      <family val="1"/>
      <charset val="204"/>
    </font>
    <font>
      <b/>
      <sz val="11"/>
      <color rgb="FF361B00"/>
      <name val="Times New Roman"/>
      <family val="1"/>
      <charset val="204"/>
    </font>
    <font>
      <sz val="11"/>
      <color rgb="FF361B00"/>
      <name val="Times New Roman"/>
      <family val="1"/>
      <charset val="204"/>
    </font>
    <font>
      <b/>
      <sz val="16"/>
      <color theme="0"/>
      <name val="Times New Roman"/>
      <family val="1"/>
      <charset val="204"/>
    </font>
    <font>
      <sz val="16"/>
      <color rgb="FF000000"/>
      <name val="Times New Roman"/>
      <family val="1"/>
      <charset val="204"/>
    </font>
    <font>
      <sz val="10"/>
      <color rgb="FF000000"/>
      <name val="Times New Roman"/>
      <family val="1"/>
      <charset val="204"/>
    </font>
    <font>
      <b/>
      <sz val="9"/>
      <color rgb="FF361B00"/>
      <name val="Times New Roman"/>
      <family val="1"/>
      <charset val="204"/>
    </font>
    <font>
      <b/>
      <sz val="10"/>
      <color rgb="FF000000"/>
      <name val="Times New Roman"/>
      <family val="1"/>
      <charset val="204"/>
    </font>
    <font>
      <b/>
      <sz val="10"/>
      <name val="Times New Roman"/>
      <family val="1"/>
      <charset val="204"/>
    </font>
    <font>
      <sz val="11"/>
      <color rgb="FF000000"/>
      <name val="Calibri"/>
      <family val="2"/>
      <charset val="204"/>
    </font>
    <font>
      <sz val="10"/>
      <name val="Arial"/>
      <family val="2"/>
      <charset val="204"/>
    </font>
    <font>
      <sz val="10"/>
      <color rgb="FF000000"/>
      <name val="Arial"/>
      <family val="2"/>
      <charset val="204"/>
    </font>
    <font>
      <sz val="10"/>
      <color rgb="FFFF0000"/>
      <name val="Arial"/>
      <family val="2"/>
      <charset val="204"/>
    </font>
    <font>
      <b/>
      <sz val="10"/>
      <name val="Arial"/>
      <family val="2"/>
      <charset val="204"/>
    </font>
    <font>
      <b/>
      <sz val="12"/>
      <name val="Arial"/>
      <family val="2"/>
      <charset val="204"/>
    </font>
    <font>
      <sz val="12"/>
      <color rgb="FF000000"/>
      <name val="Times New Roman"/>
      <family val="1"/>
      <charset val="204"/>
    </font>
    <font>
      <b/>
      <sz val="12"/>
      <color rgb="FF000000"/>
      <name val="Times New Roman"/>
      <family val="1"/>
      <charset val="204"/>
    </font>
    <font>
      <sz val="10"/>
      <color rgb="FF000000"/>
      <name val="Symbol"/>
      <family val="1"/>
      <charset val="2"/>
    </font>
    <font>
      <sz val="7"/>
      <color rgb="FF000000"/>
      <name val="Times New Roman"/>
      <family val="1"/>
      <charset val="204"/>
    </font>
    <font>
      <sz val="12"/>
      <name val="Times New Roman"/>
      <family val="1"/>
      <charset val="204"/>
    </font>
    <font>
      <u/>
      <sz val="12"/>
      <color rgb="FF000000"/>
      <name val="Times New Roman"/>
      <family val="1"/>
      <charset val="204"/>
    </font>
    <font>
      <b/>
      <sz val="14"/>
      <color rgb="FF000000"/>
      <name val="Times New Roman"/>
      <family val="1"/>
      <charset val="204"/>
    </font>
    <font>
      <b/>
      <sz val="14"/>
      <color rgb="FF000000"/>
      <name val="Calibri"/>
      <family val="2"/>
      <charset val="204"/>
    </font>
    <font>
      <b/>
      <sz val="18"/>
      <color rgb="FF000000"/>
      <name val="Calibri"/>
      <family val="2"/>
      <charset val="204"/>
    </font>
    <font>
      <b/>
      <sz val="20"/>
      <color rgb="FF000000"/>
      <name val="Calibri"/>
      <family val="2"/>
      <charset val="204"/>
    </font>
    <font>
      <b/>
      <sz val="16"/>
      <name val="Arial"/>
      <family val="2"/>
      <charset val="204"/>
    </font>
    <font>
      <b/>
      <sz val="18"/>
      <color rgb="FF000000"/>
      <name val="Times New Roman"/>
      <family val="1"/>
      <charset val="204"/>
    </font>
    <font>
      <b/>
      <sz val="18"/>
      <name val="Arial"/>
      <family val="2"/>
      <charset val="204"/>
    </font>
    <font>
      <b/>
      <sz val="14"/>
      <name val="Arial"/>
      <family val="2"/>
      <charset val="204"/>
    </font>
    <font>
      <sz val="11"/>
      <name val="Calibri"/>
      <family val="2"/>
      <charset val="204"/>
    </font>
    <font>
      <sz val="12"/>
      <name val="Arial"/>
      <family val="2"/>
      <charset val="204"/>
    </font>
    <font>
      <sz val="16"/>
      <name val="Arial"/>
      <family val="2"/>
      <charset val="204"/>
    </font>
    <font>
      <sz val="16"/>
      <name val="Calibri"/>
      <family val="2"/>
      <charset val="204"/>
    </font>
    <font>
      <sz val="14"/>
      <name val="Calibri"/>
      <family val="2"/>
      <charset val="204"/>
    </font>
    <font>
      <b/>
      <sz val="14"/>
      <name val="Times New Roman"/>
      <family val="1"/>
      <charset val="204"/>
    </font>
    <font>
      <sz val="12"/>
      <name val="Calibri"/>
      <family val="2"/>
      <charset val="204"/>
    </font>
    <font>
      <b/>
      <sz val="12"/>
      <name val="Times New Roman"/>
      <family val="1"/>
      <charset val="204"/>
    </font>
    <font>
      <b/>
      <sz val="14"/>
      <name val="Calibri"/>
      <family val="2"/>
      <charset val="204"/>
    </font>
    <font>
      <sz val="12"/>
      <color theme="1"/>
      <name val="Times New Roman"/>
      <family val="1"/>
      <charset val="204"/>
    </font>
    <font>
      <sz val="12"/>
      <color rgb="FF000000"/>
      <name val="Calibri"/>
      <family val="2"/>
      <charset val="204"/>
      <scheme val="minor"/>
    </font>
    <font>
      <b/>
      <sz val="11"/>
      <color rgb="FF000000"/>
      <name val="Calibri"/>
      <family val="2"/>
      <charset val="204"/>
    </font>
    <font>
      <b/>
      <sz val="9"/>
      <color rgb="FF000000"/>
      <name val="Calibri"/>
      <family val="2"/>
      <charset val="204"/>
    </font>
    <font>
      <sz val="14"/>
      <color rgb="FF000000"/>
      <name val="Times New Roman"/>
      <family val="1"/>
      <charset val="204"/>
    </font>
    <font>
      <sz val="14"/>
      <name val="Times New Roman"/>
      <family val="1"/>
      <charset val="204"/>
    </font>
  </fonts>
  <fills count="20">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theme="0"/>
        <bgColor rgb="FFDBE5F1"/>
      </patternFill>
    </fill>
    <fill>
      <patternFill patternType="solid">
        <fgColor theme="0"/>
        <bgColor rgb="FFCCFFFF"/>
      </patternFill>
    </fill>
    <fill>
      <patternFill patternType="solid">
        <fgColor theme="0"/>
        <bgColor rgb="FFFFFF00"/>
      </patternFill>
    </fill>
    <fill>
      <patternFill patternType="solid">
        <fgColor theme="0"/>
        <bgColor rgb="FFDAEEF3"/>
      </patternFill>
    </fill>
    <fill>
      <patternFill patternType="solid">
        <fgColor theme="0" tint="-0.14999847407452621"/>
        <bgColor indexed="64"/>
      </patternFill>
    </fill>
    <fill>
      <patternFill patternType="solid">
        <fgColor theme="0" tint="-0.14999847407452621"/>
        <bgColor rgb="FFDAEEF3"/>
      </patternFill>
    </fill>
    <fill>
      <patternFill patternType="solid">
        <fgColor theme="0" tint="-0.14999847407452621"/>
        <bgColor rgb="FFFFFF00"/>
      </patternFill>
    </fill>
    <fill>
      <patternFill patternType="solid">
        <fgColor theme="0" tint="-0.14999847407452621"/>
        <bgColor rgb="FFCCFFFF"/>
      </patternFill>
    </fill>
    <fill>
      <patternFill patternType="solid">
        <fgColor rgb="FF4284C4"/>
        <bgColor indexed="64"/>
      </patternFill>
    </fill>
    <fill>
      <patternFill patternType="solid">
        <fgColor rgb="FF4284C4"/>
        <bgColor rgb="FFFFFFFF"/>
      </patternFill>
    </fill>
    <fill>
      <patternFill patternType="solid">
        <fgColor rgb="FF4284C4"/>
        <bgColor rgb="FFCCFFFF"/>
      </patternFill>
    </fill>
    <fill>
      <patternFill patternType="solid">
        <fgColor rgb="FF4284C4"/>
        <bgColor rgb="FFDBE5F1"/>
      </patternFill>
    </fill>
    <fill>
      <patternFill patternType="solid">
        <fgColor rgb="FFE8DDEE"/>
        <bgColor indexed="64"/>
      </patternFill>
    </fill>
    <fill>
      <patternFill patternType="solid">
        <fgColor rgb="FFFFFF00"/>
        <bgColor indexed="64"/>
      </patternFill>
    </fill>
    <fill>
      <patternFill patternType="solid">
        <fgColor rgb="FF9CC2E5"/>
        <bgColor indexed="64"/>
      </patternFill>
    </fill>
    <fill>
      <patternFill patternType="solid">
        <fgColor rgb="FFBDD6EE"/>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thin">
        <color theme="0"/>
      </right>
      <top style="thin">
        <color theme="0"/>
      </top>
      <bottom style="medium">
        <color theme="0"/>
      </bottom>
      <diagonal/>
    </border>
    <border>
      <left style="medium">
        <color indexed="64"/>
      </left>
      <right style="thin">
        <color theme="0"/>
      </right>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theme="0"/>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s>
  <cellStyleXfs count="4">
    <xf numFmtId="0" fontId="0" fillId="0" borderId="0"/>
    <xf numFmtId="165" fontId="2" fillId="0" borderId="0" applyFont="0" applyFill="0" applyBorder="0" applyAlignment="0" applyProtection="0"/>
    <xf numFmtId="0" fontId="2" fillId="0" borderId="0"/>
    <xf numFmtId="9" fontId="21" fillId="0" borderId="0" applyFont="0" applyFill="0" applyBorder="0" applyAlignment="0" applyProtection="0"/>
  </cellStyleXfs>
  <cellXfs count="539">
    <xf numFmtId="0" fontId="0" fillId="0" borderId="0" xfId="0" applyFont="1" applyAlignment="1"/>
    <xf numFmtId="0" fontId="3" fillId="3" borderId="0" xfId="0" applyFont="1" applyFill="1" applyBorder="1" applyAlignment="1"/>
    <xf numFmtId="0" fontId="3" fillId="2" borderId="0" xfId="0" applyFont="1" applyFill="1" applyBorder="1"/>
    <xf numFmtId="0" fontId="3" fillId="3" borderId="0" xfId="0" applyFont="1" applyFill="1" applyBorder="1"/>
    <xf numFmtId="0" fontId="3" fillId="3" borderId="2" xfId="0" applyFont="1" applyFill="1" applyBorder="1" applyAlignment="1"/>
    <xf numFmtId="0" fontId="3" fillId="2" borderId="3" xfId="0" applyFont="1" applyFill="1" applyBorder="1"/>
    <xf numFmtId="0" fontId="3" fillId="3" borderId="3" xfId="0" applyFont="1" applyFill="1" applyBorder="1"/>
    <xf numFmtId="0" fontId="3" fillId="3" borderId="4" xfId="0" applyFont="1" applyFill="1" applyBorder="1"/>
    <xf numFmtId="0" fontId="3" fillId="3" borderId="7" xfId="0" applyFont="1" applyFill="1" applyBorder="1" applyAlignment="1"/>
    <xf numFmtId="0" fontId="3" fillId="3" borderId="9" xfId="0" applyFont="1" applyFill="1" applyBorder="1"/>
    <xf numFmtId="0" fontId="3" fillId="3" borderId="9" xfId="0" applyFont="1" applyFill="1" applyBorder="1" applyAlignment="1"/>
    <xf numFmtId="0" fontId="3" fillId="3" borderId="5" xfId="0" applyFont="1" applyFill="1" applyBorder="1" applyAlignment="1"/>
    <xf numFmtId="0" fontId="3" fillId="3" borderId="6" xfId="0" applyFont="1" applyFill="1" applyBorder="1" applyAlignment="1"/>
    <xf numFmtId="0" fontId="3" fillId="3" borderId="8" xfId="0" applyFont="1" applyFill="1" applyBorder="1" applyAlignment="1"/>
    <xf numFmtId="0" fontId="3" fillId="4" borderId="1" xfId="0" applyFont="1" applyFill="1" applyBorder="1" applyAlignment="1">
      <alignment horizontal="center" vertical="center"/>
    </xf>
    <xf numFmtId="0" fontId="3" fillId="3" borderId="3" xfId="0" applyFont="1" applyFill="1" applyBorder="1" applyAlignment="1"/>
    <xf numFmtId="0" fontId="3" fillId="3" borderId="4" xfId="0" applyFont="1" applyFill="1" applyBorder="1" applyAlignment="1"/>
    <xf numFmtId="0" fontId="3" fillId="3" borderId="0" xfId="0" applyFont="1" applyFill="1"/>
    <xf numFmtId="3" fontId="6" fillId="3" borderId="0" xfId="0" applyNumberFormat="1" applyFont="1" applyFill="1"/>
    <xf numFmtId="166" fontId="7" fillId="5" borderId="0" xfId="1" applyNumberFormat="1" applyFont="1" applyFill="1" applyBorder="1" applyAlignment="1">
      <alignment horizontal="center"/>
    </xf>
    <xf numFmtId="166" fontId="8" fillId="5" borderId="0" xfId="1" applyNumberFormat="1" applyFont="1" applyFill="1" applyBorder="1" applyAlignment="1">
      <alignment horizontal="center"/>
    </xf>
    <xf numFmtId="0" fontId="3" fillId="5" borderId="0" xfId="0" applyFont="1" applyFill="1" applyBorder="1" applyAlignment="1">
      <alignment vertical="center"/>
    </xf>
    <xf numFmtId="166" fontId="3" fillId="11" borderId="1" xfId="1" applyNumberFormat="1" applyFont="1" applyFill="1" applyBorder="1" applyAlignment="1">
      <alignment vertical="center"/>
    </xf>
    <xf numFmtId="0" fontId="3" fillId="3" borderId="0" xfId="0" applyFont="1" applyFill="1" applyAlignment="1"/>
    <xf numFmtId="0" fontId="3" fillId="3" borderId="0" xfId="0" applyFont="1" applyFill="1" applyAlignment="1"/>
    <xf numFmtId="0" fontId="3" fillId="5" borderId="1" xfId="0" applyFont="1" applyFill="1" applyBorder="1" applyAlignment="1">
      <alignment horizontal="left" vertical="center" wrapText="1"/>
    </xf>
    <xf numFmtId="0" fontId="3" fillId="3" borderId="0" xfId="0" applyFont="1" applyFill="1" applyBorder="1" applyAlignment="1">
      <alignment vertical="center" wrapText="1"/>
    </xf>
    <xf numFmtId="0" fontId="3" fillId="3" borderId="0" xfId="0" applyFont="1" applyFill="1" applyBorder="1" applyAlignment="1">
      <alignment horizontal="center" vertical="center" wrapText="1"/>
    </xf>
    <xf numFmtId="0" fontId="6" fillId="3" borderId="0" xfId="0" applyFont="1" applyFill="1"/>
    <xf numFmtId="166" fontId="8" fillId="11" borderId="1" xfId="1" applyNumberFormat="1" applyFont="1" applyFill="1" applyBorder="1" applyAlignment="1">
      <alignment horizontal="center"/>
    </xf>
    <xf numFmtId="0" fontId="6" fillId="3" borderId="0" xfId="0" applyFont="1" applyFill="1" applyAlignment="1">
      <alignment horizontal="right"/>
    </xf>
    <xf numFmtId="0" fontId="10" fillId="3" borderId="0" xfId="0" applyFont="1" applyFill="1" applyBorder="1" applyAlignment="1">
      <alignment horizontal="center"/>
    </xf>
    <xf numFmtId="0" fontId="8" fillId="3" borderId="0" xfId="0" applyFont="1" applyFill="1" applyBorder="1" applyAlignment="1">
      <alignment horizontal="center"/>
    </xf>
    <xf numFmtId="0" fontId="3" fillId="8" borderId="1" xfId="0" applyFont="1" applyFill="1" applyBorder="1" applyAlignment="1"/>
    <xf numFmtId="0" fontId="11" fillId="3" borderId="9" xfId="0" applyFont="1" applyFill="1" applyBorder="1" applyAlignment="1">
      <alignment horizontal="left" vertical="center"/>
    </xf>
    <xf numFmtId="0" fontId="11" fillId="0" borderId="1" xfId="0" applyFont="1" applyBorder="1" applyAlignment="1">
      <alignment horizontal="center" vertical="center" wrapText="1"/>
    </xf>
    <xf numFmtId="0" fontId="3" fillId="3" borderId="0" xfId="0" applyFont="1" applyFill="1" applyAlignment="1"/>
    <xf numFmtId="0" fontId="3" fillId="3" borderId="0" xfId="0" applyFont="1" applyFill="1" applyAlignment="1"/>
    <xf numFmtId="0" fontId="13" fillId="3" borderId="1" xfId="2" applyFont="1" applyFill="1" applyBorder="1" applyAlignment="1">
      <alignment horizontal="left" vertical="center" wrapText="1"/>
    </xf>
    <xf numFmtId="164" fontId="13" fillId="8" borderId="1" xfId="1" applyNumberFormat="1" applyFont="1" applyFill="1" applyBorder="1" applyAlignment="1">
      <alignment horizontal="center"/>
    </xf>
    <xf numFmtId="0" fontId="14" fillId="3" borderId="1" xfId="2" applyFont="1" applyFill="1" applyBorder="1" applyAlignment="1">
      <alignment horizontal="left" vertical="center" wrapText="1" indent="4"/>
    </xf>
    <xf numFmtId="0" fontId="3" fillId="3" borderId="0" xfId="0" applyFont="1" applyFill="1" applyAlignment="1"/>
    <xf numFmtId="0" fontId="3" fillId="3" borderId="0" xfId="0" applyFont="1" applyFill="1" applyAlignment="1"/>
    <xf numFmtId="0" fontId="3" fillId="3" borderId="0" xfId="0" applyFont="1" applyFill="1" applyAlignment="1"/>
    <xf numFmtId="0" fontId="3" fillId="3" borderId="0" xfId="0" applyFont="1" applyFill="1" applyAlignment="1"/>
    <xf numFmtId="0" fontId="3" fillId="3" borderId="0" xfId="0" applyFont="1" applyFill="1" applyAlignment="1"/>
    <xf numFmtId="0" fontId="3" fillId="3" borderId="0" xfId="0" applyFont="1" applyFill="1" applyAlignment="1"/>
    <xf numFmtId="0" fontId="3" fillId="3" borderId="1" xfId="0" applyFont="1" applyFill="1" applyBorder="1" applyAlignment="1">
      <alignment horizontal="center" vertical="center"/>
    </xf>
    <xf numFmtId="4" fontId="3" fillId="3" borderId="1" xfId="0" applyNumberFormat="1" applyFont="1" applyFill="1" applyBorder="1" applyAlignment="1">
      <alignment horizontal="center" vertical="center"/>
    </xf>
    <xf numFmtId="10" fontId="3" fillId="3" borderId="1" xfId="0" applyNumberFormat="1" applyFont="1" applyFill="1" applyBorder="1" applyAlignment="1">
      <alignment horizontal="center" vertical="center"/>
    </xf>
    <xf numFmtId="0" fontId="3" fillId="5" borderId="10" xfId="0" applyFont="1" applyFill="1" applyBorder="1" applyAlignment="1">
      <alignment vertical="center" wrapText="1"/>
    </xf>
    <xf numFmtId="0" fontId="3" fillId="0" borderId="15" xfId="0" applyFont="1" applyBorder="1" applyAlignment="1"/>
    <xf numFmtId="0" fontId="3" fillId="0" borderId="16" xfId="0" applyFont="1" applyBorder="1" applyAlignment="1"/>
    <xf numFmtId="0" fontId="3" fillId="0" borderId="17" xfId="0" applyFont="1" applyBorder="1" applyAlignment="1"/>
    <xf numFmtId="0" fontId="3" fillId="0" borderId="18" xfId="0" applyFont="1" applyBorder="1" applyAlignment="1"/>
    <xf numFmtId="0" fontId="3" fillId="3" borderId="0" xfId="0" applyFont="1" applyFill="1" applyAlignment="1"/>
    <xf numFmtId="0" fontId="3" fillId="3" borderId="0" xfId="0" applyFont="1" applyFill="1" applyAlignment="1"/>
    <xf numFmtId="0" fontId="3" fillId="3" borderId="0" xfId="0" applyFont="1" applyFill="1" applyAlignment="1"/>
    <xf numFmtId="164" fontId="14" fillId="3" borderId="1" xfId="1" applyNumberFormat="1" applyFont="1" applyFill="1" applyBorder="1" applyAlignment="1">
      <alignment horizontal="center" vertical="center"/>
    </xf>
    <xf numFmtId="0" fontId="3" fillId="3" borderId="0" xfId="0" applyFont="1" applyFill="1" applyAlignment="1"/>
    <xf numFmtId="0" fontId="5" fillId="12" borderId="1" xfId="0" applyFont="1" applyFill="1" applyBorder="1" applyAlignment="1"/>
    <xf numFmtId="0" fontId="3" fillId="3" borderId="0" xfId="0" applyFont="1" applyFill="1" applyAlignment="1"/>
    <xf numFmtId="0" fontId="3" fillId="0" borderId="1" xfId="0" applyFont="1" applyBorder="1" applyAlignment="1"/>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30" xfId="0" applyFont="1" applyBorder="1" applyAlignment="1"/>
    <xf numFmtId="166" fontId="7" fillId="14" borderId="1" xfId="1" applyNumberFormat="1" applyFont="1" applyFill="1" applyBorder="1" applyAlignment="1">
      <alignment horizontal="center" vertical="center"/>
    </xf>
    <xf numFmtId="166" fontId="7" fillId="14" borderId="1" xfId="1" applyNumberFormat="1" applyFont="1" applyFill="1" applyBorder="1" applyAlignment="1">
      <alignment vertical="center"/>
    </xf>
    <xf numFmtId="0" fontId="7" fillId="15" borderId="1" xfId="0" applyFont="1" applyFill="1" applyBorder="1" applyAlignment="1">
      <alignment horizontal="center" vertical="center"/>
    </xf>
    <xf numFmtId="10" fontId="7" fillId="12" borderId="1" xfId="0" applyNumberFormat="1" applyFont="1" applyFill="1" applyBorder="1" applyAlignment="1">
      <alignment horizontal="center" vertical="center"/>
    </xf>
    <xf numFmtId="9" fontId="7" fillId="12" borderId="1" xfId="0" applyNumberFormat="1" applyFont="1" applyFill="1" applyBorder="1" applyAlignment="1">
      <alignment horizontal="center" vertical="center"/>
    </xf>
    <xf numFmtId="0" fontId="7" fillId="12" borderId="1" xfId="0" applyFont="1" applyFill="1" applyBorder="1" applyAlignment="1">
      <alignment horizontal="center" vertical="center"/>
    </xf>
    <xf numFmtId="167" fontId="7" fillId="12" borderId="1" xfId="0" applyNumberFormat="1" applyFont="1" applyFill="1" applyBorder="1" applyAlignment="1">
      <alignment horizontal="center" vertical="center"/>
    </xf>
    <xf numFmtId="168" fontId="3" fillId="8" borderId="1" xfId="0" applyNumberFormat="1" applyFont="1" applyFill="1" applyBorder="1" applyAlignment="1"/>
    <xf numFmtId="168" fontId="3" fillId="8" borderId="1" xfId="0" applyNumberFormat="1" applyFont="1" applyFill="1" applyBorder="1" applyAlignment="1">
      <alignment horizontal="center"/>
    </xf>
    <xf numFmtId="168" fontId="3" fillId="8" borderId="1" xfId="0" applyNumberFormat="1" applyFont="1" applyFill="1" applyBorder="1" applyAlignment="1">
      <alignment horizontal="center" vertical="center"/>
    </xf>
    <xf numFmtId="168" fontId="6" fillId="8" borderId="1" xfId="0" applyNumberFormat="1" applyFont="1" applyFill="1" applyBorder="1" applyAlignment="1">
      <alignment horizontal="center" vertical="center"/>
    </xf>
    <xf numFmtId="0" fontId="3" fillId="0" borderId="0" xfId="0" applyFont="1" applyAlignment="1"/>
    <xf numFmtId="0" fontId="3" fillId="0" borderId="21" xfId="0" applyFont="1" applyBorder="1" applyAlignment="1"/>
    <xf numFmtId="0" fontId="3" fillId="0" borderId="22" xfId="0" applyFont="1" applyBorder="1" applyAlignment="1"/>
    <xf numFmtId="0" fontId="3" fillId="0" borderId="23" xfId="0" applyFont="1" applyBorder="1" applyAlignment="1"/>
    <xf numFmtId="0" fontId="3" fillId="0" borderId="24" xfId="0" applyFont="1" applyBorder="1" applyAlignment="1"/>
    <xf numFmtId="0" fontId="3" fillId="0" borderId="38" xfId="0" applyFont="1" applyBorder="1" applyAlignment="1"/>
    <xf numFmtId="0" fontId="3" fillId="0" borderId="31" xfId="0" applyFont="1" applyBorder="1" applyAlignment="1"/>
    <xf numFmtId="0" fontId="3" fillId="0" borderId="20" xfId="0" applyFont="1" applyBorder="1" applyAlignment="1"/>
    <xf numFmtId="0" fontId="3" fillId="0" borderId="28" xfId="0" applyFont="1" applyBorder="1" applyAlignment="1"/>
    <xf numFmtId="0" fontId="3" fillId="0" borderId="29" xfId="0" applyFont="1" applyBorder="1" applyAlignment="1"/>
    <xf numFmtId="0" fontId="3" fillId="0" borderId="25" xfId="0" applyFont="1" applyBorder="1" applyAlignment="1"/>
    <xf numFmtId="0" fontId="3" fillId="0" borderId="26" xfId="0" applyFont="1" applyBorder="1" applyAlignment="1"/>
    <xf numFmtId="0" fontId="3" fillId="0" borderId="27" xfId="0" applyFont="1" applyBorder="1" applyAlignment="1"/>
    <xf numFmtId="166" fontId="8" fillId="11" borderId="1" xfId="1" applyNumberFormat="1" applyFont="1" applyFill="1" applyBorder="1" applyAlignment="1">
      <alignment horizontal="center" vertical="center"/>
    </xf>
    <xf numFmtId="164" fontId="18" fillId="8" borderId="1" xfId="1" applyNumberFormat="1" applyFont="1" applyFill="1" applyBorder="1" applyAlignment="1">
      <alignment horizontal="center"/>
    </xf>
    <xf numFmtId="166" fontId="17" fillId="3" borderId="1" xfId="0" applyNumberFormat="1" applyFont="1" applyFill="1" applyBorder="1" applyAlignment="1">
      <alignment horizontal="center" vertical="center"/>
    </xf>
    <xf numFmtId="0" fontId="3" fillId="3" borderId="0" xfId="0" applyFont="1" applyFill="1" applyAlignment="1"/>
    <xf numFmtId="0" fontId="0" fillId="0" borderId="0" xfId="0" applyFont="1" applyAlignment="1">
      <alignment horizontal="center" vertical="center"/>
    </xf>
    <xf numFmtId="166" fontId="7" fillId="14" borderId="11" xfId="1" applyNumberFormat="1" applyFont="1" applyFill="1" applyBorder="1" applyAlignment="1">
      <alignment vertical="center"/>
    </xf>
    <xf numFmtId="0" fontId="22" fillId="0" borderId="0" xfId="0" applyFont="1" applyAlignment="1"/>
    <xf numFmtId="0" fontId="22" fillId="0" borderId="0" xfId="0" applyFont="1" applyBorder="1" applyAlignment="1"/>
    <xf numFmtId="0" fontId="22" fillId="0" borderId="1" xfId="0" applyFont="1" applyBorder="1" applyAlignment="1"/>
    <xf numFmtId="9" fontId="0" fillId="0" borderId="1" xfId="3" applyFont="1" applyBorder="1" applyAlignment="1">
      <alignment horizontal="center" vertical="center"/>
    </xf>
    <xf numFmtId="0" fontId="0" fillId="0" borderId="1" xfId="0" applyFont="1" applyFill="1" applyBorder="1" applyAlignment="1"/>
    <xf numFmtId="0" fontId="23" fillId="0" borderId="1" xfId="0" applyFont="1" applyBorder="1" applyAlignment="1">
      <alignment horizontal="center" vertical="center"/>
    </xf>
    <xf numFmtId="0" fontId="0" fillId="0" borderId="1" xfId="0" applyFont="1" applyBorder="1" applyAlignment="1"/>
    <xf numFmtId="0" fontId="23" fillId="0" borderId="1" xfId="0" applyFont="1" applyBorder="1" applyAlignment="1">
      <alignment horizontal="left" wrapText="1"/>
    </xf>
    <xf numFmtId="0" fontId="23" fillId="0" borderId="1" xfId="0" applyFont="1" applyBorder="1" applyAlignment="1">
      <alignment horizontal="left"/>
    </xf>
    <xf numFmtId="9"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0" fontId="22" fillId="0" borderId="0" xfId="0" applyFont="1"/>
    <xf numFmtId="169" fontId="22" fillId="0" borderId="0" xfId="0" applyNumberFormat="1" applyFont="1"/>
    <xf numFmtId="0" fontId="22" fillId="0" borderId="0" xfId="0" applyFont="1" applyAlignment="1">
      <alignment horizontal="center" wrapText="1"/>
    </xf>
    <xf numFmtId="0" fontId="3" fillId="4" borderId="1" xfId="0" applyFont="1" applyFill="1" applyBorder="1" applyAlignment="1">
      <alignment horizontal="left" vertical="center"/>
    </xf>
    <xf numFmtId="0" fontId="4" fillId="5" borderId="1" xfId="0" applyFont="1" applyFill="1" applyBorder="1" applyAlignment="1">
      <alignment horizontal="left" wrapText="1"/>
    </xf>
    <xf numFmtId="0" fontId="3" fillId="3" borderId="0" xfId="0" applyFont="1" applyFill="1" applyAlignment="1"/>
    <xf numFmtId="0" fontId="27" fillId="0" borderId="1" xfId="2" applyFont="1" applyBorder="1" applyAlignment="1">
      <alignment horizontal="center" vertical="center" wrapText="1"/>
    </xf>
    <xf numFmtId="0" fontId="27" fillId="16" borderId="1" xfId="2" applyFont="1" applyFill="1" applyBorder="1" applyAlignment="1">
      <alignment horizontal="center" vertical="center" wrapText="1"/>
    </xf>
    <xf numFmtId="0" fontId="28" fillId="16" borderId="11" xfId="2" applyFont="1" applyFill="1" applyBorder="1" applyAlignment="1">
      <alignment horizontal="center" vertical="center" wrapText="1"/>
    </xf>
    <xf numFmtId="1" fontId="27" fillId="0" borderId="1" xfId="2" applyNumberFormat="1" applyFont="1" applyBorder="1" applyAlignment="1">
      <alignment horizontal="center" vertical="center" wrapText="1"/>
    </xf>
    <xf numFmtId="1" fontId="27" fillId="16" borderId="1" xfId="2" applyNumberFormat="1" applyFont="1" applyFill="1" applyBorder="1" applyAlignment="1">
      <alignment horizontal="center" vertical="center" wrapText="1"/>
    </xf>
    <xf numFmtId="0" fontId="2" fillId="0" borderId="0" xfId="2" applyFont="1" applyAlignment="1">
      <alignment horizontal="center" vertical="center"/>
    </xf>
    <xf numFmtId="0" fontId="2" fillId="0" borderId="0" xfId="2" applyFont="1" applyAlignment="1">
      <alignment horizontal="left" vertical="center"/>
    </xf>
    <xf numFmtId="0" fontId="0" fillId="0" borderId="0" xfId="0" applyFont="1" applyFill="1" applyBorder="1" applyAlignment="1"/>
    <xf numFmtId="9" fontId="2" fillId="0" borderId="1" xfId="3" applyFont="1" applyBorder="1" applyAlignment="1">
      <alignment horizontal="center" vertical="center"/>
    </xf>
    <xf numFmtId="9" fontId="7" fillId="3" borderId="0" xfId="3" applyFont="1" applyFill="1" applyBorder="1" applyAlignment="1"/>
    <xf numFmtId="0" fontId="11" fillId="3" borderId="0" xfId="0" applyFont="1" applyFill="1" applyBorder="1" applyAlignment="1">
      <alignment horizontal="left" vertical="center"/>
    </xf>
    <xf numFmtId="0" fontId="12" fillId="3" borderId="0" xfId="0" applyFont="1" applyFill="1" applyBorder="1" applyAlignment="1">
      <alignment horizontal="left" vertical="center" wrapText="1"/>
    </xf>
    <xf numFmtId="166" fontId="10" fillId="14" borderId="1" xfId="1" applyNumberFormat="1" applyFont="1" applyFill="1" applyBorder="1" applyAlignment="1">
      <alignment vertical="center"/>
    </xf>
    <xf numFmtId="0" fontId="0" fillId="0" borderId="0" xfId="0" applyFont="1" applyAlignment="1">
      <alignment horizontal="center" vertical="center" wrapText="1"/>
    </xf>
    <xf numFmtId="0" fontId="1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2" fillId="0" borderId="0" xfId="0" applyFont="1" applyAlignment="1">
      <alignment horizontal="center" vertical="center" wrapText="1"/>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3" fillId="3" borderId="1" xfId="2" applyFont="1" applyFill="1" applyBorder="1" applyAlignment="1">
      <alignment horizontal="left"/>
    </xf>
    <xf numFmtId="0" fontId="28" fillId="0" borderId="1" xfId="0" applyFont="1" applyFill="1" applyBorder="1" applyAlignment="1">
      <alignment horizontal="center" vertical="center" wrapText="1"/>
    </xf>
    <xf numFmtId="0" fontId="28" fillId="0" borderId="11" xfId="2" applyFont="1" applyBorder="1" applyAlignment="1">
      <alignment horizontal="center" vertical="center" wrapText="1"/>
    </xf>
    <xf numFmtId="0" fontId="28" fillId="0" borderId="1" xfId="2" applyFont="1" applyBorder="1" applyAlignment="1">
      <alignment horizontal="center" vertical="center" wrapText="1"/>
    </xf>
    <xf numFmtId="0" fontId="3" fillId="0" borderId="1" xfId="2" applyFont="1" applyBorder="1" applyAlignment="1">
      <alignment horizontal="center" vertical="center"/>
    </xf>
    <xf numFmtId="167" fontId="22" fillId="0" borderId="0" xfId="3" applyNumberFormat="1" applyFont="1" applyAlignment="1">
      <alignment horizontal="center" vertical="center" wrapText="1"/>
    </xf>
    <xf numFmtId="167" fontId="0" fillId="0" borderId="0" xfId="3" applyNumberFormat="1" applyFont="1" applyAlignment="1">
      <alignment horizontal="center" vertical="center" wrapText="1"/>
    </xf>
    <xf numFmtId="0" fontId="39" fillId="0" borderId="0" xfId="0" applyFont="1" applyAlignment="1">
      <alignment horizontal="center" vertical="center" wrapText="1"/>
    </xf>
    <xf numFmtId="0" fontId="40" fillId="0" borderId="0" xfId="0" applyFont="1" applyAlignment="1">
      <alignment horizontal="center" vertical="center" wrapText="1"/>
    </xf>
    <xf numFmtId="169" fontId="22" fillId="0" borderId="0" xfId="0" applyNumberFormat="1" applyFont="1" applyAlignment="1">
      <alignment horizontal="center" vertical="center" wrapText="1"/>
    </xf>
    <xf numFmtId="0" fontId="36" fillId="0" borderId="0" xfId="0" applyFont="1" applyAlignment="1">
      <alignment horizontal="center" vertical="center"/>
    </xf>
    <xf numFmtId="0" fontId="35" fillId="0" borderId="0" xfId="0" applyFont="1" applyAlignment="1">
      <alignment horizontal="center" vertical="center"/>
    </xf>
    <xf numFmtId="0" fontId="34" fillId="0" borderId="0" xfId="0" applyFont="1" applyAlignment="1">
      <alignment horizontal="center" vertical="center"/>
    </xf>
    <xf numFmtId="167" fontId="0" fillId="0" borderId="0" xfId="3" applyNumberFormat="1" applyFont="1" applyAlignment="1">
      <alignment horizontal="center" vertical="center"/>
    </xf>
    <xf numFmtId="0" fontId="33" fillId="0" borderId="12" xfId="0" applyFont="1" applyFill="1" applyBorder="1" applyAlignment="1">
      <alignment vertical="center" wrapText="1"/>
    </xf>
    <xf numFmtId="0" fontId="33" fillId="0" borderId="11" xfId="0" applyFont="1" applyFill="1" applyBorder="1" applyAlignment="1">
      <alignment vertical="center" wrapText="1"/>
    </xf>
    <xf numFmtId="0" fontId="0" fillId="0" borderId="14" xfId="0" applyFont="1" applyFill="1" applyBorder="1" applyAlignment="1"/>
    <xf numFmtId="9" fontId="0" fillId="0" borderId="14" xfId="3" applyFont="1" applyFill="1" applyBorder="1" applyAlignment="1">
      <alignment horizontal="center" vertical="center"/>
    </xf>
    <xf numFmtId="0" fontId="7" fillId="0" borderId="23" xfId="0" applyFont="1" applyBorder="1" applyAlignment="1"/>
    <xf numFmtId="0" fontId="7" fillId="0" borderId="30" xfId="0" applyFont="1" applyBorder="1" applyAlignment="1"/>
    <xf numFmtId="0" fontId="22" fillId="0" borderId="6" xfId="0" applyFont="1" applyBorder="1" applyAlignment="1">
      <alignment horizontal="center" vertical="center" wrapText="1"/>
    </xf>
    <xf numFmtId="169" fontId="22" fillId="0" borderId="6" xfId="0" applyNumberFormat="1" applyFont="1" applyBorder="1" applyAlignment="1">
      <alignment horizontal="center" vertical="center" wrapText="1"/>
    </xf>
    <xf numFmtId="167" fontId="22" fillId="0" borderId="6" xfId="3" applyNumberFormat="1" applyFont="1" applyBorder="1" applyAlignment="1">
      <alignment horizontal="center" vertical="center" wrapText="1"/>
    </xf>
    <xf numFmtId="0" fontId="3" fillId="3" borderId="0" xfId="0" applyFont="1" applyFill="1" applyAlignment="1"/>
    <xf numFmtId="0" fontId="12" fillId="3" borderId="0" xfId="0" applyFont="1" applyFill="1" applyBorder="1" applyAlignment="1">
      <alignment horizontal="left" vertical="center" wrapText="1"/>
    </xf>
    <xf numFmtId="0" fontId="41" fillId="0" borderId="0" xfId="0" applyFont="1" applyAlignment="1"/>
    <xf numFmtId="9" fontId="41" fillId="0" borderId="0" xfId="3" applyFont="1" applyAlignment="1"/>
    <xf numFmtId="0" fontId="6" fillId="3" borderId="2" xfId="0" applyFont="1" applyFill="1" applyBorder="1" applyAlignment="1"/>
    <xf numFmtId="0" fontId="6" fillId="3" borderId="3" xfId="0" applyFont="1" applyFill="1" applyBorder="1" applyAlignment="1"/>
    <xf numFmtId="0" fontId="6" fillId="3" borderId="4" xfId="0" applyFont="1" applyFill="1" applyBorder="1" applyAlignment="1"/>
    <xf numFmtId="0" fontId="6" fillId="3" borderId="7" xfId="0" applyFont="1" applyFill="1" applyBorder="1" applyAlignment="1"/>
    <xf numFmtId="0" fontId="6" fillId="3" borderId="0" xfId="0" applyFont="1" applyFill="1" applyBorder="1" applyAlignment="1"/>
    <xf numFmtId="0" fontId="6" fillId="3" borderId="9" xfId="0" applyFont="1" applyFill="1" applyBorder="1" applyAlignment="1"/>
    <xf numFmtId="0" fontId="41" fillId="0" borderId="0" xfId="0" applyFont="1" applyFill="1" applyAlignment="1"/>
    <xf numFmtId="0" fontId="41" fillId="0" borderId="0" xfId="0" applyFont="1" applyFill="1" applyAlignment="1">
      <alignment horizontal="center" vertical="center"/>
    </xf>
    <xf numFmtId="0" fontId="44" fillId="0" borderId="0" xfId="0" applyFont="1" applyFill="1" applyAlignment="1"/>
    <xf numFmtId="0" fontId="45" fillId="0" borderId="0" xfId="0" applyFont="1" applyFill="1" applyAlignment="1"/>
    <xf numFmtId="0" fontId="47" fillId="0" borderId="0" xfId="0" applyFont="1" applyFill="1" applyAlignment="1"/>
    <xf numFmtId="0" fontId="22" fillId="0" borderId="0" xfId="0" applyFont="1" applyFill="1"/>
    <xf numFmtId="0" fontId="17" fillId="0" borderId="57" xfId="0" applyFont="1" applyBorder="1" applyAlignment="1">
      <alignment horizontal="center" vertical="center" wrapText="1"/>
    </xf>
    <xf numFmtId="167" fontId="22" fillId="0" borderId="44" xfId="3" applyNumberFormat="1" applyFont="1" applyBorder="1" applyAlignment="1">
      <alignment horizontal="center" vertical="center" wrapText="1"/>
    </xf>
    <xf numFmtId="0" fontId="17" fillId="0" borderId="57" xfId="0" applyFont="1" applyFill="1" applyBorder="1" applyAlignment="1">
      <alignment horizontal="center" vertical="center" wrapText="1"/>
    </xf>
    <xf numFmtId="0" fontId="33" fillId="0" borderId="56" xfId="0" applyFont="1" applyFill="1" applyBorder="1" applyAlignment="1">
      <alignment horizontal="center" vertical="center" wrapText="1"/>
    </xf>
    <xf numFmtId="167" fontId="40" fillId="0" borderId="44" xfId="3" applyNumberFormat="1" applyFont="1" applyBorder="1" applyAlignment="1">
      <alignment horizontal="center" vertical="center" wrapText="1"/>
    </xf>
    <xf numFmtId="0" fontId="17" fillId="0" borderId="58" xfId="0" applyFont="1" applyFill="1" applyBorder="1" applyAlignment="1">
      <alignment horizontal="center" vertical="center" wrapText="1"/>
    </xf>
    <xf numFmtId="0" fontId="17" fillId="0" borderId="41" xfId="0" applyFont="1" applyBorder="1" applyAlignment="1">
      <alignment horizontal="center" vertical="center" wrapText="1"/>
    </xf>
    <xf numFmtId="0" fontId="19" fillId="0" borderId="41" xfId="0" applyFont="1" applyBorder="1" applyAlignment="1">
      <alignment horizontal="center" vertical="center" wrapText="1"/>
    </xf>
    <xf numFmtId="167" fontId="22" fillId="0" borderId="40" xfId="3" applyNumberFormat="1" applyFont="1" applyBorder="1" applyAlignment="1">
      <alignment horizontal="center" vertical="center" wrapText="1"/>
    </xf>
    <xf numFmtId="0" fontId="38" fillId="0" borderId="59" xfId="0" applyFont="1" applyBorder="1" applyAlignment="1">
      <alignment horizontal="left" vertical="center"/>
    </xf>
    <xf numFmtId="0" fontId="38" fillId="0" borderId="60" xfId="0" applyFont="1" applyBorder="1" applyAlignment="1">
      <alignment horizontal="left" vertical="center"/>
    </xf>
    <xf numFmtId="0" fontId="38" fillId="0" borderId="39" xfId="0" applyFont="1" applyBorder="1" applyAlignment="1">
      <alignment vertical="center" wrapText="1"/>
    </xf>
    <xf numFmtId="167" fontId="39" fillId="0" borderId="46" xfId="3" applyNumberFormat="1" applyFont="1" applyBorder="1" applyAlignment="1">
      <alignment horizontal="center" vertical="center" wrapText="1"/>
    </xf>
    <xf numFmtId="0" fontId="36" fillId="0" borderId="61" xfId="0" applyFont="1" applyBorder="1" applyAlignment="1">
      <alignment horizontal="center" vertical="center"/>
    </xf>
    <xf numFmtId="0" fontId="36" fillId="0" borderId="49" xfId="0" applyFont="1" applyBorder="1" applyAlignment="1">
      <alignment horizontal="center" vertical="center"/>
    </xf>
    <xf numFmtId="167" fontId="36" fillId="0" borderId="48" xfId="3" applyNumberFormat="1" applyFont="1" applyBorder="1" applyAlignment="1">
      <alignment horizontal="center" vertical="center"/>
    </xf>
    <xf numFmtId="0" fontId="38" fillId="0" borderId="62" xfId="0" applyFont="1" applyBorder="1" applyAlignment="1">
      <alignment horizontal="left" vertical="center"/>
    </xf>
    <xf numFmtId="0" fontId="38" fillId="0" borderId="63" xfId="0" applyFont="1" applyBorder="1" applyAlignment="1">
      <alignment horizontal="left" vertical="center"/>
    </xf>
    <xf numFmtId="0" fontId="38" fillId="0" borderId="64" xfId="0" applyFont="1" applyBorder="1" applyAlignment="1">
      <alignment vertical="center" wrapText="1"/>
    </xf>
    <xf numFmtId="167" fontId="39" fillId="0" borderId="55" xfId="3" applyNumberFormat="1" applyFont="1" applyBorder="1" applyAlignment="1">
      <alignment horizontal="center" vertical="center" wrapText="1"/>
    </xf>
    <xf numFmtId="0" fontId="17" fillId="0" borderId="41"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7" fillId="0" borderId="65"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43" fillId="3" borderId="52" xfId="0" applyFont="1" applyFill="1" applyBorder="1" applyAlignment="1">
      <alignment horizontal="center" vertical="center"/>
    </xf>
    <xf numFmtId="169" fontId="22" fillId="3" borderId="1" xfId="0" applyNumberFormat="1" applyFont="1" applyFill="1" applyBorder="1" applyAlignment="1">
      <alignment horizontal="center" vertical="center"/>
    </xf>
    <xf numFmtId="2" fontId="22" fillId="3" borderId="1" xfId="3" applyNumberFormat="1" applyFont="1" applyFill="1" applyBorder="1" applyAlignment="1">
      <alignment horizontal="center" vertical="center"/>
    </xf>
    <xf numFmtId="169" fontId="26" fillId="3" borderId="1" xfId="0" applyNumberFormat="1" applyFont="1" applyFill="1" applyBorder="1" applyAlignment="1">
      <alignment horizontal="center" vertical="center"/>
    </xf>
    <xf numFmtId="2" fontId="26" fillId="3" borderId="1" xfId="3" applyNumberFormat="1" applyFont="1" applyFill="1" applyBorder="1" applyAlignment="1">
      <alignment horizontal="center" vertical="center"/>
    </xf>
    <xf numFmtId="0" fontId="41" fillId="3" borderId="0" xfId="0" applyFont="1" applyFill="1" applyBorder="1" applyAlignment="1"/>
    <xf numFmtId="9" fontId="41" fillId="3" borderId="0" xfId="3" applyFont="1" applyFill="1" applyBorder="1" applyAlignment="1"/>
    <xf numFmtId="0" fontId="25" fillId="3" borderId="0" xfId="0" applyFont="1" applyFill="1" applyBorder="1" applyAlignment="1"/>
    <xf numFmtId="0" fontId="41" fillId="3" borderId="9" xfId="0" applyFont="1" applyFill="1" applyBorder="1" applyAlignment="1"/>
    <xf numFmtId="0" fontId="45" fillId="3" borderId="9" xfId="0" applyFont="1" applyFill="1" applyBorder="1" applyAlignment="1"/>
    <xf numFmtId="0" fontId="47" fillId="3" borderId="9" xfId="0" applyFont="1" applyFill="1" applyBorder="1" applyAlignment="1"/>
    <xf numFmtId="0" fontId="22" fillId="3" borderId="0" xfId="0" applyFont="1" applyFill="1" applyBorder="1" applyAlignment="1">
      <alignment horizontal="center" wrapText="1"/>
    </xf>
    <xf numFmtId="2" fontId="22" fillId="3" borderId="0" xfId="0" applyNumberFormat="1" applyFont="1" applyFill="1" applyBorder="1"/>
    <xf numFmtId="0" fontId="22" fillId="3" borderId="0" xfId="0" applyFont="1" applyFill="1" applyBorder="1"/>
    <xf numFmtId="0" fontId="25" fillId="3" borderId="0" xfId="0" applyFont="1" applyFill="1" applyBorder="1"/>
    <xf numFmtId="0" fontId="25" fillId="3" borderId="9" xfId="0" applyFont="1" applyFill="1" applyBorder="1"/>
    <xf numFmtId="0" fontId="6" fillId="3" borderId="5" xfId="0" applyFont="1" applyFill="1" applyBorder="1" applyAlignment="1"/>
    <xf numFmtId="0" fontId="22" fillId="3" borderId="6" xfId="0" applyFont="1" applyFill="1" applyBorder="1" applyAlignment="1">
      <alignment horizontal="center" wrapText="1"/>
    </xf>
    <xf numFmtId="0" fontId="41" fillId="3" borderId="6" xfId="0" applyFont="1" applyFill="1" applyBorder="1" applyAlignment="1"/>
    <xf numFmtId="9" fontId="41" fillId="3" borderId="6" xfId="3" applyFont="1" applyFill="1" applyBorder="1" applyAlignment="1"/>
    <xf numFmtId="0" fontId="22" fillId="3" borderId="6" xfId="0" applyFont="1" applyFill="1" applyBorder="1"/>
    <xf numFmtId="169" fontId="22" fillId="3" borderId="6" xfId="0" applyNumberFormat="1" applyFont="1" applyFill="1" applyBorder="1"/>
    <xf numFmtId="0" fontId="22" fillId="3" borderId="8" xfId="0" applyFont="1" applyFill="1" applyBorder="1"/>
    <xf numFmtId="0" fontId="41" fillId="0" borderId="0" xfId="0" applyFont="1" applyAlignment="1">
      <alignment horizontal="center"/>
    </xf>
    <xf numFmtId="0" fontId="49" fillId="0" borderId="0" xfId="0" applyFont="1" applyFill="1" applyAlignment="1"/>
    <xf numFmtId="0" fontId="46" fillId="3" borderId="7" xfId="0" applyFont="1" applyFill="1" applyBorder="1" applyAlignment="1"/>
    <xf numFmtId="0" fontId="46" fillId="3" borderId="9" xfId="0" applyFont="1" applyFill="1" applyBorder="1" applyAlignment="1"/>
    <xf numFmtId="0" fontId="40" fillId="0" borderId="0" xfId="0" applyFont="1" applyFill="1" applyAlignment="1"/>
    <xf numFmtId="169" fontId="22" fillId="3" borderId="44" xfId="0" applyNumberFormat="1" applyFont="1" applyFill="1" applyBorder="1" applyAlignment="1">
      <alignment horizontal="center" vertical="center"/>
    </xf>
    <xf numFmtId="169" fontId="26" fillId="3" borderId="44" xfId="0" applyNumberFormat="1" applyFont="1" applyFill="1" applyBorder="1" applyAlignment="1">
      <alignment horizontal="center" vertical="center"/>
    </xf>
    <xf numFmtId="169" fontId="22" fillId="3" borderId="41" xfId="0" applyNumberFormat="1" applyFont="1" applyFill="1" applyBorder="1" applyAlignment="1">
      <alignment horizontal="center" vertical="center"/>
    </xf>
    <xf numFmtId="2" fontId="22" fillId="3" borderId="41" xfId="3" applyNumberFormat="1" applyFont="1" applyFill="1" applyBorder="1" applyAlignment="1">
      <alignment horizontal="center" vertical="center"/>
    </xf>
    <xf numFmtId="169" fontId="22" fillId="3" borderId="40" xfId="0" applyNumberFormat="1" applyFont="1" applyFill="1" applyBorder="1" applyAlignment="1">
      <alignment horizontal="center" vertical="center"/>
    </xf>
    <xf numFmtId="9" fontId="41" fillId="3" borderId="14" xfId="3" applyFont="1" applyFill="1" applyBorder="1" applyAlignment="1">
      <alignment horizontal="center" vertical="center"/>
    </xf>
    <xf numFmtId="2" fontId="41" fillId="3" borderId="14" xfId="0" applyNumberFormat="1" applyFont="1" applyFill="1" applyBorder="1" applyAlignment="1">
      <alignment horizontal="center" vertical="center"/>
    </xf>
    <xf numFmtId="0" fontId="41" fillId="3" borderId="46" xfId="0" applyFont="1" applyFill="1" applyBorder="1" applyAlignment="1">
      <alignment horizontal="center" vertical="center"/>
    </xf>
    <xf numFmtId="9" fontId="40" fillId="3" borderId="69" xfId="3" applyFont="1" applyFill="1" applyBorder="1" applyAlignment="1">
      <alignment horizontal="center" vertical="center" wrapText="1"/>
    </xf>
    <xf numFmtId="0" fontId="40" fillId="3" borderId="69" xfId="0" applyFont="1" applyFill="1" applyBorder="1" applyAlignment="1">
      <alignment horizontal="center" vertical="center" wrapText="1"/>
    </xf>
    <xf numFmtId="0" fontId="40" fillId="3" borderId="70" xfId="0" applyFont="1" applyFill="1" applyBorder="1" applyAlignment="1">
      <alignment horizontal="center" vertical="center" wrapText="1"/>
    </xf>
    <xf numFmtId="9" fontId="41" fillId="3" borderId="13" xfId="3" applyFont="1" applyFill="1" applyBorder="1" applyAlignment="1">
      <alignment horizontal="center" vertical="center"/>
    </xf>
    <xf numFmtId="2" fontId="41" fillId="3" borderId="13" xfId="0" applyNumberFormat="1" applyFont="1" applyFill="1" applyBorder="1" applyAlignment="1">
      <alignment horizontal="center" vertical="center"/>
    </xf>
    <xf numFmtId="2" fontId="41" fillId="3" borderId="66" xfId="0" applyNumberFormat="1" applyFont="1" applyFill="1" applyBorder="1" applyAlignment="1">
      <alignment horizontal="center" vertical="center"/>
    </xf>
    <xf numFmtId="2" fontId="40" fillId="3" borderId="14" xfId="3" applyNumberFormat="1" applyFont="1" applyFill="1" applyBorder="1" applyAlignment="1">
      <alignment horizontal="center" vertical="center"/>
    </xf>
    <xf numFmtId="169" fontId="37" fillId="3" borderId="49" xfId="0" applyNumberFormat="1" applyFont="1" applyFill="1" applyBorder="1" applyAlignment="1">
      <alignment horizontal="center" vertical="center"/>
    </xf>
    <xf numFmtId="2" fontId="37" fillId="3" borderId="49" xfId="3" applyNumberFormat="1" applyFont="1" applyFill="1" applyBorder="1" applyAlignment="1">
      <alignment horizontal="center" vertical="center"/>
    </xf>
    <xf numFmtId="169" fontId="37" fillId="3" borderId="48" xfId="0" applyNumberFormat="1" applyFont="1" applyFill="1" applyBorder="1" applyAlignment="1">
      <alignment horizontal="center" vertical="center"/>
    </xf>
    <xf numFmtId="169" fontId="40" fillId="3" borderId="54" xfId="0" applyNumberFormat="1" applyFont="1" applyFill="1" applyBorder="1" applyAlignment="1">
      <alignment horizontal="center" vertical="center"/>
    </xf>
    <xf numFmtId="2" fontId="40" fillId="3" borderId="54" xfId="3" applyNumberFormat="1" applyFont="1" applyFill="1" applyBorder="1" applyAlignment="1">
      <alignment horizontal="center" vertical="center"/>
    </xf>
    <xf numFmtId="169" fontId="40" fillId="3" borderId="55" xfId="0" applyNumberFormat="1" applyFont="1" applyFill="1" applyBorder="1" applyAlignment="1">
      <alignment horizontal="center" vertical="center"/>
    </xf>
    <xf numFmtId="2" fontId="40" fillId="3" borderId="46" xfId="3" applyNumberFormat="1" applyFont="1" applyFill="1" applyBorder="1" applyAlignment="1">
      <alignment horizontal="center" vertical="center"/>
    </xf>
    <xf numFmtId="0" fontId="40" fillId="3" borderId="51" xfId="0" applyFont="1" applyFill="1" applyBorder="1" applyAlignment="1">
      <alignment horizontal="center" vertical="center" wrapText="1"/>
    </xf>
    <xf numFmtId="0" fontId="40" fillId="3" borderId="52"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22" fillId="3" borderId="71" xfId="0" applyFont="1" applyFill="1" applyBorder="1" applyAlignment="1">
      <alignment horizontal="center" vertical="center" wrapText="1"/>
    </xf>
    <xf numFmtId="0" fontId="37" fillId="3" borderId="51" xfId="0" applyFont="1" applyFill="1" applyBorder="1" applyAlignment="1">
      <alignment horizontal="center" vertical="center" wrapText="1"/>
    </xf>
    <xf numFmtId="0" fontId="46" fillId="3" borderId="72" xfId="0" applyFont="1" applyFill="1" applyBorder="1" applyAlignment="1">
      <alignment horizontal="left" vertical="center" wrapText="1"/>
    </xf>
    <xf numFmtId="0" fontId="22" fillId="3" borderId="45" xfId="0" applyFont="1" applyFill="1" applyBorder="1" applyAlignment="1">
      <alignment horizontal="center" vertical="center" wrapText="1"/>
    </xf>
    <xf numFmtId="0" fontId="22" fillId="3" borderId="43" xfId="0" applyFont="1" applyFill="1" applyBorder="1" applyAlignment="1">
      <alignment horizontal="center" vertical="center" wrapText="1"/>
    </xf>
    <xf numFmtId="0" fontId="46" fillId="3" borderId="47" xfId="0" applyFont="1" applyFill="1" applyBorder="1" applyAlignment="1">
      <alignment horizontal="left" vertical="center" wrapText="1"/>
    </xf>
    <xf numFmtId="0" fontId="48" fillId="3" borderId="45" xfId="0" applyFont="1" applyFill="1" applyBorder="1" applyAlignment="1">
      <alignment horizontal="left" vertical="center" wrapText="1"/>
    </xf>
    <xf numFmtId="169" fontId="40" fillId="3" borderId="68" xfId="0" applyNumberFormat="1" applyFont="1" applyFill="1" applyBorder="1" applyAlignment="1">
      <alignment horizontal="center" vertical="center" wrapText="1"/>
    </xf>
    <xf numFmtId="0" fontId="41" fillId="3" borderId="67" xfId="0" applyFont="1" applyFill="1" applyBorder="1" applyAlignment="1">
      <alignment horizontal="center" vertical="center"/>
    </xf>
    <xf numFmtId="0" fontId="41" fillId="3" borderId="65" xfId="0" applyFont="1" applyFill="1" applyBorder="1" applyAlignment="1">
      <alignment horizontal="center" vertical="center"/>
    </xf>
    <xf numFmtId="169" fontId="37" fillId="3" borderId="61" xfId="0" applyNumberFormat="1" applyFont="1" applyFill="1" applyBorder="1" applyAlignment="1">
      <alignment horizontal="center" vertical="center"/>
    </xf>
    <xf numFmtId="169" fontId="40" fillId="3" borderId="53" xfId="0" applyNumberFormat="1" applyFont="1" applyFill="1" applyBorder="1" applyAlignment="1">
      <alignment horizontal="center" vertical="center"/>
    </xf>
    <xf numFmtId="169" fontId="22" fillId="3" borderId="57" xfId="0" applyNumberFormat="1" applyFont="1" applyFill="1" applyBorder="1" applyAlignment="1">
      <alignment horizontal="center" vertical="center"/>
    </xf>
    <xf numFmtId="169" fontId="22" fillId="3" borderId="58" xfId="0" applyNumberFormat="1" applyFont="1" applyFill="1" applyBorder="1" applyAlignment="1">
      <alignment horizontal="center" vertical="center"/>
    </xf>
    <xf numFmtId="169" fontId="40" fillId="3" borderId="67" xfId="0" applyNumberFormat="1" applyFont="1" applyFill="1" applyBorder="1" applyAlignment="1">
      <alignment horizontal="center" vertical="center"/>
    </xf>
    <xf numFmtId="169" fontId="26" fillId="3" borderId="57" xfId="0" applyNumberFormat="1" applyFont="1" applyFill="1" applyBorder="1" applyAlignment="1">
      <alignment horizontal="center" vertical="center"/>
    </xf>
    <xf numFmtId="0" fontId="2" fillId="0" borderId="0" xfId="2" applyFont="1" applyBorder="1" applyAlignment="1">
      <alignment horizontal="center" vertical="center"/>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8" xfId="0" applyFont="1" applyFill="1" applyBorder="1" applyAlignment="1">
      <alignment horizontal="center"/>
    </xf>
    <xf numFmtId="0" fontId="27" fillId="0" borderId="73" xfId="2" applyFont="1" applyBorder="1" applyAlignment="1">
      <alignment horizontal="left" vertical="center" wrapText="1"/>
    </xf>
    <xf numFmtId="0" fontId="27" fillId="0" borderId="74" xfId="2" applyFont="1" applyBorder="1" applyAlignment="1">
      <alignment horizontal="left" vertical="center" wrapText="1"/>
    </xf>
    <xf numFmtId="0" fontId="29" fillId="0" borderId="74" xfId="2" applyFont="1" applyBorder="1" applyAlignment="1">
      <alignment horizontal="left" vertical="center" wrapText="1"/>
    </xf>
    <xf numFmtId="0" fontId="27" fillId="0" borderId="75" xfId="2" applyFont="1" applyBorder="1" applyAlignment="1">
      <alignment horizontal="left" vertical="center" wrapText="1"/>
    </xf>
    <xf numFmtId="0" fontId="3" fillId="3" borderId="0" xfId="0" applyFont="1" applyFill="1" applyAlignment="1"/>
    <xf numFmtId="0" fontId="4" fillId="0" borderId="45" xfId="2" applyFont="1" applyBorder="1" applyAlignment="1">
      <alignment horizontal="center" vertical="center" wrapText="1"/>
    </xf>
    <xf numFmtId="0" fontId="4" fillId="0" borderId="43" xfId="2" applyFont="1" applyBorder="1" applyAlignment="1">
      <alignment horizontal="center" vertical="center" wrapText="1"/>
    </xf>
    <xf numFmtId="0" fontId="2" fillId="0" borderId="0" xfId="0" applyFont="1" applyAlignment="1"/>
    <xf numFmtId="0" fontId="8" fillId="0" borderId="10" xfId="0" applyFont="1" applyFill="1" applyBorder="1" applyAlignment="1">
      <alignment horizontal="left" wrapText="1"/>
    </xf>
    <xf numFmtId="0" fontId="3" fillId="0" borderId="10" xfId="0" applyFont="1" applyFill="1" applyBorder="1" applyAlignment="1">
      <alignment horizontal="right" wrapText="1"/>
    </xf>
    <xf numFmtId="0" fontId="31" fillId="3" borderId="7" xfId="0" applyFont="1" applyFill="1" applyBorder="1" applyAlignment="1"/>
    <xf numFmtId="0" fontId="26" fillId="3" borderId="51" xfId="0" applyFont="1" applyFill="1" applyBorder="1" applyAlignment="1">
      <alignment horizontal="center" vertical="center"/>
    </xf>
    <xf numFmtId="0" fontId="26" fillId="3" borderId="50"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6" fillId="3" borderId="48" xfId="0" applyFont="1" applyFill="1" applyBorder="1" applyAlignment="1">
      <alignment horizontal="center" vertical="center" wrapText="1"/>
    </xf>
    <xf numFmtId="0" fontId="26" fillId="3" borderId="0" xfId="0" applyFont="1" applyFill="1" applyBorder="1" applyAlignment="1"/>
    <xf numFmtId="0" fontId="26" fillId="3" borderId="0" xfId="0" applyFont="1" applyFill="1" applyBorder="1"/>
    <xf numFmtId="0" fontId="26" fillId="3" borderId="9" xfId="0" applyFont="1" applyFill="1" applyBorder="1"/>
    <xf numFmtId="0" fontId="26" fillId="0" borderId="0" xfId="0" applyFont="1" applyFill="1"/>
    <xf numFmtId="0" fontId="26" fillId="0" borderId="0" xfId="0" applyFont="1" applyFill="1" applyAlignment="1"/>
    <xf numFmtId="0" fontId="26" fillId="3" borderId="47" xfId="0" applyFont="1" applyFill="1" applyBorder="1" applyAlignment="1">
      <alignment horizontal="center" vertical="center" wrapText="1"/>
    </xf>
    <xf numFmtId="169" fontId="26" fillId="3" borderId="39" xfId="0" applyNumberFormat="1" applyFont="1" applyFill="1" applyBorder="1" applyAlignment="1">
      <alignment horizontal="center" vertical="center"/>
    </xf>
    <xf numFmtId="169" fontId="26" fillId="3" borderId="14" xfId="0" applyNumberFormat="1" applyFont="1" applyFill="1" applyBorder="1" applyAlignment="1">
      <alignment horizontal="center" vertical="center"/>
    </xf>
    <xf numFmtId="169" fontId="26" fillId="3" borderId="46" xfId="0" applyNumberFormat="1" applyFont="1" applyFill="1" applyBorder="1" applyAlignment="1">
      <alignment horizontal="center" vertical="center"/>
    </xf>
    <xf numFmtId="0" fontId="47" fillId="3" borderId="0" xfId="0" applyFont="1" applyFill="1" applyBorder="1" applyAlignment="1"/>
    <xf numFmtId="0" fontId="42" fillId="3" borderId="0" xfId="0" applyFont="1" applyFill="1" applyBorder="1"/>
    <xf numFmtId="0" fontId="42" fillId="0" borderId="0" xfId="0" applyFont="1" applyFill="1"/>
    <xf numFmtId="0" fontId="26" fillId="3" borderId="45" xfId="0" applyFont="1" applyFill="1" applyBorder="1" applyAlignment="1">
      <alignment horizontal="center" vertical="center" wrapText="1"/>
    </xf>
    <xf numFmtId="3" fontId="26" fillId="3" borderId="11" xfId="0" applyNumberFormat="1" applyFont="1" applyFill="1" applyBorder="1" applyAlignment="1">
      <alignment horizontal="center" vertical="center"/>
    </xf>
    <xf numFmtId="3" fontId="26" fillId="3" borderId="1" xfId="0" applyNumberFormat="1" applyFont="1" applyFill="1" applyBorder="1" applyAlignment="1">
      <alignment horizontal="center" vertical="center"/>
    </xf>
    <xf numFmtId="3" fontId="26" fillId="3" borderId="44" xfId="0" applyNumberFormat="1" applyFont="1" applyFill="1" applyBorder="1" applyAlignment="1">
      <alignment horizontal="center" vertical="center"/>
    </xf>
    <xf numFmtId="0" fontId="26" fillId="3" borderId="43" xfId="0" applyFont="1" applyFill="1" applyBorder="1" applyAlignment="1">
      <alignment horizontal="center" vertical="center" wrapText="1"/>
    </xf>
    <xf numFmtId="169" fontId="26" fillId="3" borderId="42" xfId="0" applyNumberFormat="1" applyFont="1" applyFill="1" applyBorder="1" applyAlignment="1">
      <alignment horizontal="center" vertical="center"/>
    </xf>
    <xf numFmtId="169" fontId="26" fillId="3" borderId="41" xfId="0" applyNumberFormat="1" applyFont="1" applyFill="1" applyBorder="1" applyAlignment="1">
      <alignment horizontal="center" vertical="center"/>
    </xf>
    <xf numFmtId="169" fontId="26" fillId="3" borderId="40" xfId="0" applyNumberFormat="1"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0" xfId="0" applyFont="1" applyFill="1" applyAlignment="1"/>
    <xf numFmtId="0" fontId="8" fillId="5" borderId="1" xfId="0" applyFont="1" applyFill="1" applyBorder="1" applyAlignment="1">
      <alignment horizontal="left"/>
    </xf>
    <xf numFmtId="0" fontId="3" fillId="5" borderId="1" xfId="0" applyFont="1" applyFill="1" applyBorder="1" applyAlignment="1">
      <alignment horizontal="left" vertical="center" indent="3"/>
    </xf>
    <xf numFmtId="0" fontId="3" fillId="5" borderId="10" xfId="0" applyFont="1" applyFill="1" applyBorder="1" applyAlignment="1">
      <alignment horizontal="left" vertical="center" indent="3"/>
    </xf>
    <xf numFmtId="0" fontId="8" fillId="7" borderId="1" xfId="0" applyFont="1" applyFill="1" applyBorder="1" applyAlignment="1">
      <alignment horizontal="left" vertical="center"/>
    </xf>
    <xf numFmtId="167" fontId="22" fillId="0" borderId="0" xfId="0" applyNumberFormat="1" applyFont="1" applyAlignment="1">
      <alignment horizontal="center" vertical="center" wrapText="1"/>
    </xf>
    <xf numFmtId="0" fontId="3" fillId="3" borderId="0" xfId="0" applyFont="1" applyFill="1" applyAlignment="1"/>
    <xf numFmtId="0" fontId="3" fillId="4" borderId="9" xfId="0" applyFont="1" applyFill="1" applyBorder="1" applyAlignment="1">
      <alignment horizontal="center" vertical="center"/>
    </xf>
    <xf numFmtId="0" fontId="3" fillId="5" borderId="1" xfId="0" applyFont="1" applyFill="1" applyBorder="1" applyAlignment="1">
      <alignment horizontal="left" vertical="center"/>
    </xf>
    <xf numFmtId="0" fontId="3" fillId="5" borderId="13" xfId="0" applyFont="1" applyFill="1" applyBorder="1" applyAlignment="1">
      <alignment horizontal="left" vertical="center" wrapText="1"/>
    </xf>
    <xf numFmtId="9" fontId="7" fillId="14" borderId="1" xfId="3" applyFont="1" applyFill="1" applyBorder="1" applyAlignment="1">
      <alignment horizontal="center" vertical="center"/>
    </xf>
    <xf numFmtId="3" fontId="7" fillId="14" borderId="1" xfId="0" applyNumberFormat="1" applyFont="1" applyFill="1" applyBorder="1" applyAlignment="1">
      <alignment horizontal="center" vertical="center"/>
    </xf>
    <xf numFmtId="0" fontId="8" fillId="6" borderId="1" xfId="0" applyFont="1" applyFill="1" applyBorder="1" applyAlignment="1">
      <alignment vertical="center" wrapText="1"/>
    </xf>
    <xf numFmtId="166" fontId="19" fillId="10" borderId="1" xfId="1" applyNumberFormat="1" applyFont="1" applyFill="1" applyBorder="1" applyAlignment="1">
      <alignment horizontal="center" vertical="center"/>
    </xf>
    <xf numFmtId="0" fontId="9" fillId="7" borderId="1" xfId="0" applyFont="1" applyFill="1" applyBorder="1" applyAlignment="1">
      <alignment vertical="center" wrapText="1"/>
    </xf>
    <xf numFmtId="0" fontId="3" fillId="7" borderId="1" xfId="0" applyFont="1" applyFill="1" applyBorder="1" applyAlignment="1">
      <alignment horizontal="left" vertical="center"/>
    </xf>
    <xf numFmtId="0" fontId="46" fillId="6" borderId="1" xfId="0" applyFont="1" applyFill="1" applyBorder="1" applyAlignment="1">
      <alignment vertical="center"/>
    </xf>
    <xf numFmtId="0" fontId="3" fillId="6" borderId="1" xfId="0" applyFont="1" applyFill="1" applyBorder="1" applyAlignment="1">
      <alignment vertical="center"/>
    </xf>
    <xf numFmtId="0" fontId="8" fillId="6" borderId="1" xfId="0" applyFont="1" applyFill="1" applyBorder="1" applyAlignment="1">
      <alignment vertical="center"/>
    </xf>
    <xf numFmtId="0" fontId="8" fillId="7" borderId="1" xfId="0" applyFont="1" applyFill="1" applyBorder="1" applyAlignment="1">
      <alignment horizontal="left" vertical="center" wrapText="1"/>
    </xf>
    <xf numFmtId="0" fontId="3" fillId="3" borderId="0" xfId="0" applyFont="1" applyFill="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Border="1" applyAlignment="1">
      <alignment vertical="center"/>
    </xf>
    <xf numFmtId="0" fontId="3" fillId="3" borderId="9" xfId="0" applyFont="1" applyFill="1" applyBorder="1" applyAlignment="1">
      <alignment vertical="center"/>
    </xf>
    <xf numFmtId="166" fontId="3" fillId="3" borderId="0" xfId="0" applyNumberFormat="1" applyFont="1" applyFill="1" applyBorder="1" applyAlignment="1">
      <alignment vertical="center"/>
    </xf>
    <xf numFmtId="0" fontId="4" fillId="4" borderId="10" xfId="0" applyFont="1" applyFill="1" applyBorder="1" applyAlignment="1">
      <alignment vertical="center"/>
    </xf>
    <xf numFmtId="0" fontId="4" fillId="4" borderId="12" xfId="0" applyFont="1" applyFill="1" applyBorder="1" applyAlignment="1">
      <alignment vertical="center"/>
    </xf>
    <xf numFmtId="0" fontId="4" fillId="4" borderId="11" xfId="0" applyFont="1" applyFill="1" applyBorder="1" applyAlignment="1">
      <alignment vertical="center"/>
    </xf>
    <xf numFmtId="0" fontId="4" fillId="4" borderId="1" xfId="0" applyFont="1" applyFill="1" applyBorder="1" applyAlignment="1">
      <alignment vertical="center"/>
    </xf>
    <xf numFmtId="0" fontId="3" fillId="7" borderId="1" xfId="0" applyFont="1" applyFill="1" applyBorder="1" applyAlignment="1">
      <alignment horizontal="center" vertical="center"/>
    </xf>
    <xf numFmtId="0" fontId="8" fillId="7" borderId="1" xfId="0" applyFont="1" applyFill="1" applyBorder="1" applyAlignment="1">
      <alignment horizontal="center" vertical="center"/>
    </xf>
    <xf numFmtId="166" fontId="19" fillId="9" borderId="1" xfId="1" applyNumberFormat="1" applyFont="1" applyFill="1" applyBorder="1" applyAlignment="1">
      <alignment horizontal="center" vertical="center"/>
    </xf>
    <xf numFmtId="166" fontId="17" fillId="9" borderId="1" xfId="1" applyNumberFormat="1" applyFont="1" applyFill="1" applyBorder="1" applyAlignment="1">
      <alignment horizontal="center" vertical="center"/>
    </xf>
    <xf numFmtId="166" fontId="19" fillId="10" borderId="0" xfId="1" applyNumberFormat="1" applyFont="1" applyFill="1" applyBorder="1" applyAlignment="1">
      <alignment horizontal="center" vertical="center"/>
    </xf>
    <xf numFmtId="0" fontId="46" fillId="3" borderId="7" xfId="0" applyFont="1" applyFill="1" applyBorder="1" applyAlignment="1">
      <alignment vertical="center"/>
    </xf>
    <xf numFmtId="166" fontId="46" fillId="10" borderId="1" xfId="1" applyNumberFormat="1" applyFont="1" applyFill="1" applyBorder="1" applyAlignment="1">
      <alignment horizontal="center" vertical="center"/>
    </xf>
    <xf numFmtId="0" fontId="46" fillId="3" borderId="9" xfId="0" applyFont="1" applyFill="1" applyBorder="1" applyAlignment="1">
      <alignment vertical="center"/>
    </xf>
    <xf numFmtId="0" fontId="46" fillId="3" borderId="0" xfId="0" applyFont="1" applyFill="1" applyAlignment="1">
      <alignment vertical="center"/>
    </xf>
    <xf numFmtId="166" fontId="9" fillId="10" borderId="1" xfId="1" applyNumberFormat="1" applyFont="1" applyFill="1" applyBorder="1" applyAlignment="1">
      <alignment horizontal="center" vertical="center"/>
    </xf>
    <xf numFmtId="0" fontId="20" fillId="9" borderId="1" xfId="0" applyFont="1" applyFill="1" applyBorder="1" applyAlignment="1">
      <alignment horizontal="center" vertical="center"/>
    </xf>
    <xf numFmtId="3" fontId="9" fillId="9" borderId="1" xfId="0" applyNumberFormat="1" applyFont="1" applyFill="1" applyBorder="1" applyAlignment="1">
      <alignment horizontal="center" vertical="center"/>
    </xf>
    <xf numFmtId="0" fontId="9" fillId="9" borderId="1" xfId="0" applyFont="1" applyFill="1" applyBorder="1" applyAlignment="1">
      <alignment horizontal="center" vertical="center"/>
    </xf>
    <xf numFmtId="166" fontId="8" fillId="7" borderId="1" xfId="0" applyNumberFormat="1" applyFont="1" applyFill="1" applyBorder="1" applyAlignment="1">
      <alignment horizontal="center" vertical="center"/>
    </xf>
    <xf numFmtId="166" fontId="9" fillId="9" borderId="1" xfId="0" applyNumberFormat="1" applyFont="1" applyFill="1" applyBorder="1" applyAlignment="1">
      <alignment horizontal="center" vertical="center"/>
    </xf>
    <xf numFmtId="0" fontId="8" fillId="7" borderId="0" xfId="0" applyFont="1" applyFill="1" applyBorder="1" applyAlignment="1">
      <alignment horizontal="left" vertical="center"/>
    </xf>
    <xf numFmtId="0" fontId="9" fillId="7" borderId="0" xfId="0" applyFont="1" applyFill="1" applyBorder="1" applyAlignment="1">
      <alignment horizontal="left" vertical="center"/>
    </xf>
    <xf numFmtId="0" fontId="9" fillId="7" borderId="0" xfId="0" applyFont="1" applyFill="1" applyBorder="1" applyAlignment="1">
      <alignment horizontal="center" vertical="center"/>
    </xf>
    <xf numFmtId="0" fontId="8" fillId="7" borderId="0" xfId="0" applyFont="1" applyFill="1" applyBorder="1" applyAlignment="1">
      <alignment horizontal="right" vertical="center"/>
    </xf>
    <xf numFmtId="0" fontId="17" fillId="3" borderId="0" xfId="0" applyFont="1" applyFill="1" applyAlignment="1">
      <alignment vertical="center"/>
    </xf>
    <xf numFmtId="166" fontId="9" fillId="7" borderId="0" xfId="0" applyNumberFormat="1" applyFont="1" applyFill="1" applyBorder="1" applyAlignment="1">
      <alignment horizontal="center"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3" fillId="3" borderId="8" xfId="0" applyFont="1" applyFill="1" applyBorder="1" applyAlignment="1">
      <alignment vertical="center"/>
    </xf>
    <xf numFmtId="0" fontId="6" fillId="3" borderId="0" xfId="0" applyFont="1" applyFill="1" applyAlignment="1">
      <alignment vertical="center"/>
    </xf>
    <xf numFmtId="0" fontId="8" fillId="3" borderId="7" xfId="0" applyFont="1" applyFill="1" applyBorder="1" applyAlignment="1">
      <alignment vertical="center"/>
    </xf>
    <xf numFmtId="0" fontId="8" fillId="3" borderId="9" xfId="0" applyFont="1" applyFill="1" applyBorder="1" applyAlignment="1">
      <alignment vertical="center"/>
    </xf>
    <xf numFmtId="0" fontId="8" fillId="3" borderId="0" xfId="0" applyFont="1" applyFill="1" applyAlignment="1">
      <alignment vertical="center"/>
    </xf>
    <xf numFmtId="9" fontId="7" fillId="4" borderId="77" xfId="3" applyFont="1" applyFill="1" applyBorder="1" applyAlignment="1">
      <alignment horizontal="left" vertical="center" wrapText="1"/>
    </xf>
    <xf numFmtId="0" fontId="7" fillId="0" borderId="15" xfId="0" applyFont="1" applyBorder="1" applyAlignment="1"/>
    <xf numFmtId="0" fontId="3" fillId="3" borderId="0" xfId="0" applyFont="1" applyFill="1" applyAlignment="1"/>
    <xf numFmtId="0" fontId="3" fillId="3" borderId="9" xfId="0" applyFont="1" applyFill="1" applyBorder="1" applyAlignment="1">
      <alignment horizontal="left" vertical="center" wrapText="1"/>
    </xf>
    <xf numFmtId="4" fontId="7" fillId="14" borderId="1" xfId="0" applyNumberFormat="1" applyFont="1" applyFill="1" applyBorder="1" applyAlignment="1">
      <alignment horizontal="center" vertical="center"/>
    </xf>
    <xf numFmtId="3" fontId="6" fillId="0" borderId="1" xfId="0" applyNumberFormat="1" applyFont="1" applyFill="1" applyBorder="1" applyAlignment="1">
      <alignment horizontal="center"/>
    </xf>
    <xf numFmtId="0" fontId="3" fillId="0" borderId="78" xfId="0" applyFont="1" applyBorder="1" applyAlignment="1"/>
    <xf numFmtId="0" fontId="3" fillId="0" borderId="0" xfId="0" applyFont="1" applyBorder="1" applyAlignment="1"/>
    <xf numFmtId="3" fontId="3" fillId="0" borderId="10" xfId="0" applyNumberFormat="1" applyFont="1" applyBorder="1" applyAlignment="1">
      <alignment horizontal="center" vertical="center"/>
    </xf>
    <xf numFmtId="9" fontId="3" fillId="0" borderId="10" xfId="3" applyFont="1" applyBorder="1" applyAlignment="1">
      <alignment horizontal="center" vertical="center"/>
    </xf>
    <xf numFmtId="0" fontId="3" fillId="0" borderId="1" xfId="0" applyFont="1" applyBorder="1" applyAlignment="1">
      <alignment horizontal="left"/>
    </xf>
    <xf numFmtId="0" fontId="6" fillId="0" borderId="1" xfId="0" applyFont="1" applyBorder="1" applyAlignment="1">
      <alignment horizontal="left" vertical="center"/>
    </xf>
    <xf numFmtId="0" fontId="7" fillId="0" borderId="19" xfId="0" applyFont="1" applyBorder="1" applyAlignment="1"/>
    <xf numFmtId="166" fontId="3" fillId="3" borderId="0" xfId="0" applyNumberFormat="1" applyFont="1" applyFill="1" applyAlignment="1">
      <alignment vertical="center"/>
    </xf>
    <xf numFmtId="166" fontId="4" fillId="4" borderId="12" xfId="0" applyNumberFormat="1" applyFont="1" applyFill="1" applyBorder="1" applyAlignment="1">
      <alignment vertical="center"/>
    </xf>
    <xf numFmtId="0" fontId="3" fillId="3" borderId="0" xfId="0" applyFont="1" applyFill="1" applyAlignment="1"/>
    <xf numFmtId="0" fontId="3" fillId="3" borderId="9" xfId="0" applyFont="1" applyFill="1" applyBorder="1" applyAlignment="1">
      <alignment horizontal="left" vertical="center" wrapText="1"/>
    </xf>
    <xf numFmtId="9" fontId="7" fillId="4" borderId="9" xfId="3" applyFont="1" applyFill="1" applyBorder="1" applyAlignment="1">
      <alignment horizontal="left" vertical="center" wrapText="1"/>
    </xf>
    <xf numFmtId="0" fontId="0" fillId="17" borderId="1" xfId="0" applyFont="1" applyFill="1" applyBorder="1" applyAlignment="1"/>
    <xf numFmtId="3" fontId="0" fillId="17" borderId="1" xfId="0" applyNumberFormat="1" applyFont="1" applyFill="1" applyBorder="1" applyAlignment="1"/>
    <xf numFmtId="9" fontId="0" fillId="0" borderId="0" xfId="0" applyNumberFormat="1" applyFont="1" applyAlignment="1"/>
    <xf numFmtId="9" fontId="0" fillId="0" borderId="0" xfId="3" applyFont="1" applyAlignment="1">
      <alignment horizontal="center" vertical="center"/>
    </xf>
    <xf numFmtId="10" fontId="3" fillId="0" borderId="1" xfId="2" applyNumberFormat="1" applyFont="1" applyBorder="1" applyAlignment="1">
      <alignment horizontal="center" vertical="center"/>
    </xf>
    <xf numFmtId="0" fontId="0" fillId="3" borderId="9"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2" fillId="18" borderId="72" xfId="0" applyFont="1" applyFill="1" applyBorder="1" applyAlignment="1">
      <alignment horizontal="center" vertical="center" wrapText="1"/>
    </xf>
    <xf numFmtId="0" fontId="52" fillId="19" borderId="79" xfId="0" applyFont="1" applyFill="1" applyBorder="1" applyAlignment="1">
      <alignment horizontal="center" vertical="center" wrapText="1"/>
    </xf>
    <xf numFmtId="0" fontId="2" fillId="0" borderId="73" xfId="0" applyFont="1" applyBorder="1" applyAlignment="1">
      <alignment horizontal="center" vertical="center" wrapText="1"/>
    </xf>
    <xf numFmtId="0" fontId="2" fillId="18" borderId="45" xfId="0" applyFont="1" applyFill="1" applyBorder="1" applyAlignment="1">
      <alignment horizontal="center" vertical="center" wrapText="1"/>
    </xf>
    <xf numFmtId="0" fontId="52" fillId="19" borderId="12" xfId="0" applyFont="1" applyFill="1" applyBorder="1" applyAlignment="1">
      <alignment horizontal="center" vertical="center" wrapText="1"/>
    </xf>
    <xf numFmtId="0" fontId="2" fillId="0" borderId="45" xfId="0" applyFont="1" applyBorder="1" applyAlignment="1">
      <alignment horizontal="center" vertical="center" wrapText="1"/>
    </xf>
    <xf numFmtId="0" fontId="2" fillId="0" borderId="74" xfId="0" applyFont="1" applyBorder="1" applyAlignment="1">
      <alignment horizontal="center" vertical="center" wrapText="1"/>
    </xf>
    <xf numFmtId="0" fontId="52" fillId="0" borderId="74" xfId="0" applyFont="1" applyBorder="1" applyAlignment="1">
      <alignment horizontal="center" vertical="center" wrapText="1"/>
    </xf>
    <xf numFmtId="9" fontId="2" fillId="0" borderId="45" xfId="0" applyNumberFormat="1" applyFont="1" applyBorder="1" applyAlignment="1">
      <alignment horizontal="center" vertical="center" wrapText="1"/>
    </xf>
    <xf numFmtId="10" fontId="2" fillId="0" borderId="45" xfId="0" applyNumberFormat="1" applyFont="1" applyBorder="1" applyAlignment="1">
      <alignment horizontal="center" vertical="center" wrapText="1"/>
    </xf>
    <xf numFmtId="0" fontId="52" fillId="19" borderId="80" xfId="0" applyFont="1" applyFill="1" applyBorder="1" applyAlignment="1">
      <alignment horizontal="center" vertical="center" wrapText="1"/>
    </xf>
    <xf numFmtId="10" fontId="2" fillId="0" borderId="43" xfId="0" applyNumberFormat="1" applyFont="1" applyBorder="1" applyAlignment="1">
      <alignment horizontal="center" vertical="center" wrapText="1"/>
    </xf>
    <xf numFmtId="0" fontId="52" fillId="0" borderId="75" xfId="0" applyFont="1" applyBorder="1" applyAlignment="1">
      <alignment horizontal="center" vertical="center" wrapText="1"/>
    </xf>
    <xf numFmtId="0" fontId="3"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9" fontId="2" fillId="0" borderId="72" xfId="0" applyNumberFormat="1" applyFont="1" applyBorder="1" applyAlignment="1">
      <alignment horizontal="center" vertical="center" wrapText="1"/>
    </xf>
    <xf numFmtId="3" fontId="2" fillId="0" borderId="45" xfId="0" applyNumberFormat="1" applyFont="1" applyBorder="1" applyAlignment="1">
      <alignment horizontal="center" vertical="center" wrapText="1"/>
    </xf>
    <xf numFmtId="4" fontId="2" fillId="0" borderId="45" xfId="0" applyNumberFormat="1" applyFont="1" applyBorder="1" applyAlignment="1">
      <alignment horizontal="center" vertical="center" wrapText="1"/>
    </xf>
    <xf numFmtId="167" fontId="2" fillId="0" borderId="45" xfId="0" applyNumberFormat="1" applyFont="1" applyBorder="1" applyAlignment="1">
      <alignment horizontal="center" vertical="center" wrapText="1"/>
    </xf>
    <xf numFmtId="0" fontId="3" fillId="0" borderId="19" xfId="0" applyFont="1" applyBorder="1" applyAlignment="1"/>
    <xf numFmtId="0" fontId="3" fillId="0" borderId="56" xfId="0" applyFont="1" applyBorder="1" applyAlignment="1">
      <alignment horizontal="left" vertical="center"/>
    </xf>
    <xf numFmtId="0" fontId="3" fillId="0" borderId="81" xfId="0" applyFont="1" applyBorder="1" applyAlignment="1">
      <alignment horizontal="left" vertical="center"/>
    </xf>
    <xf numFmtId="3" fontId="3" fillId="0" borderId="76" xfId="0" applyNumberFormat="1" applyFont="1" applyBorder="1" applyAlignment="1">
      <alignment horizontal="center" vertical="center"/>
    </xf>
    <xf numFmtId="9" fontId="3" fillId="0" borderId="76" xfId="3" applyFont="1" applyBorder="1" applyAlignment="1">
      <alignment horizontal="center" vertical="center"/>
    </xf>
    <xf numFmtId="0" fontId="7" fillId="12" borderId="41" xfId="0" applyFont="1" applyFill="1" applyBorder="1" applyAlignment="1">
      <alignment horizontal="center" vertical="center"/>
    </xf>
    <xf numFmtId="9" fontId="7" fillId="12" borderId="41" xfId="0" applyNumberFormat="1" applyFont="1" applyFill="1" applyBorder="1" applyAlignment="1">
      <alignment horizontal="center" vertical="center"/>
    </xf>
    <xf numFmtId="168" fontId="3" fillId="8" borderId="41" xfId="0" applyNumberFormat="1" applyFont="1" applyFill="1" applyBorder="1" applyAlignment="1"/>
    <xf numFmtId="0" fontId="3" fillId="0" borderId="14" xfId="0" applyFont="1" applyBorder="1" applyAlignment="1">
      <alignment horizontal="center"/>
    </xf>
    <xf numFmtId="0" fontId="3" fillId="0" borderId="39" xfId="0" applyFont="1" applyBorder="1" applyAlignment="1">
      <alignment horizontal="center"/>
    </xf>
    <xf numFmtId="0" fontId="3" fillId="0" borderId="11" xfId="0" applyFont="1" applyBorder="1" applyAlignment="1"/>
    <xf numFmtId="0" fontId="3" fillId="0" borderId="67" xfId="0" applyFont="1" applyBorder="1" applyAlignment="1"/>
    <xf numFmtId="3" fontId="3" fillId="0" borderId="14" xfId="0" applyNumberFormat="1" applyFont="1" applyBorder="1" applyAlignment="1">
      <alignment horizontal="center" vertical="center"/>
    </xf>
    <xf numFmtId="9" fontId="3" fillId="0" borderId="14" xfId="3" applyFont="1" applyBorder="1" applyAlignment="1">
      <alignment horizontal="center" vertical="center"/>
    </xf>
    <xf numFmtId="0" fontId="7" fillId="12" borderId="14" xfId="0" applyFont="1" applyFill="1" applyBorder="1" applyAlignment="1">
      <alignment horizontal="center" vertical="center"/>
    </xf>
    <xf numFmtId="9" fontId="7" fillId="12" borderId="14" xfId="0" applyNumberFormat="1" applyFont="1" applyFill="1" applyBorder="1" applyAlignment="1">
      <alignment horizontal="center" vertical="center"/>
    </xf>
    <xf numFmtId="168" fontId="3" fillId="8" borderId="14" xfId="0" applyNumberFormat="1" applyFont="1" applyFill="1" applyBorder="1" applyAlignment="1"/>
    <xf numFmtId="168" fontId="3" fillId="8" borderId="14" xfId="0" applyNumberFormat="1" applyFont="1" applyFill="1" applyBorder="1" applyAlignment="1">
      <alignment horizontal="center"/>
    </xf>
    <xf numFmtId="0" fontId="3" fillId="0" borderId="54" xfId="0" applyFont="1" applyBorder="1" applyAlignment="1">
      <alignment horizontal="center"/>
    </xf>
    <xf numFmtId="0" fontId="3" fillId="0" borderId="55" xfId="0" applyFont="1" applyBorder="1" applyAlignment="1">
      <alignment horizontal="center"/>
    </xf>
    <xf numFmtId="0" fontId="3" fillId="0" borderId="58" xfId="0" applyFont="1" applyBorder="1" applyAlignment="1">
      <alignment horizontal="center"/>
    </xf>
    <xf numFmtId="0" fontId="3" fillId="0" borderId="41" xfId="0" applyFont="1" applyBorder="1" applyAlignment="1">
      <alignment horizontal="center" vertical="center"/>
    </xf>
    <xf numFmtId="0" fontId="3" fillId="0" borderId="41" xfId="0" applyFont="1" applyBorder="1" applyAlignment="1"/>
    <xf numFmtId="0" fontId="3" fillId="0" borderId="40" xfId="0" applyFont="1" applyBorder="1" applyAlignment="1"/>
    <xf numFmtId="0" fontId="3" fillId="3" borderId="9" xfId="0" applyFont="1" applyFill="1" applyBorder="1" applyAlignment="1">
      <alignment horizontal="left" vertical="center" wrapText="1"/>
    </xf>
    <xf numFmtId="170" fontId="7" fillId="14" borderId="1" xfId="0" applyNumberFormat="1" applyFont="1" applyFill="1" applyBorder="1" applyAlignment="1">
      <alignment horizontal="center" vertical="center"/>
    </xf>
    <xf numFmtId="0" fontId="1" fillId="3" borderId="0" xfId="0" applyFont="1" applyFill="1" applyAlignment="1">
      <alignment horizontal="left" vertical="center"/>
    </xf>
    <xf numFmtId="0" fontId="50" fillId="3" borderId="1"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27" fillId="3" borderId="10" xfId="0" applyFont="1" applyFill="1" applyBorder="1" applyAlignment="1">
      <alignment horizontal="left" vertical="center" wrapText="1"/>
    </xf>
    <xf numFmtId="0" fontId="50" fillId="3" borderId="10" xfId="0" applyFont="1" applyFill="1" applyBorder="1" applyAlignment="1">
      <alignment horizontal="left" vertical="center" wrapText="1"/>
    </xf>
    <xf numFmtId="9" fontId="2" fillId="0" borderId="0" xfId="0" applyNumberFormat="1" applyFont="1" applyAlignment="1"/>
    <xf numFmtId="0" fontId="52" fillId="0" borderId="0" xfId="0" applyFont="1" applyAlignment="1"/>
    <xf numFmtId="0" fontId="27" fillId="0" borderId="1" xfId="0" applyFont="1" applyBorder="1" applyAlignment="1">
      <alignment horizontal="left" vertical="center" wrapText="1"/>
    </xf>
    <xf numFmtId="3" fontId="0" fillId="0" borderId="1" xfId="0" applyNumberFormat="1" applyBorder="1" applyAlignment="1">
      <alignment horizontal="left" vertical="center"/>
    </xf>
    <xf numFmtId="0" fontId="7" fillId="15" borderId="1" xfId="0" applyFont="1" applyFill="1" applyBorder="1" applyAlignment="1">
      <alignment horizontal="center" vertical="center" wrapText="1"/>
    </xf>
    <xf numFmtId="9" fontId="0" fillId="0" borderId="1" xfId="3" applyFont="1" applyBorder="1" applyAlignment="1">
      <alignment horizontal="left" vertical="center"/>
    </xf>
    <xf numFmtId="9" fontId="0" fillId="0" borderId="1" xfId="3" applyFont="1" applyBorder="1" applyAlignment="1">
      <alignment horizontal="left" vertical="center" wrapText="1"/>
    </xf>
    <xf numFmtId="9" fontId="0" fillId="0" borderId="0" xfId="3" applyFont="1" applyAlignment="1"/>
    <xf numFmtId="0" fontId="7" fillId="0" borderId="15" xfId="0" applyFont="1" applyBorder="1" applyAlignment="1">
      <alignment wrapText="1"/>
    </xf>
    <xf numFmtId="9" fontId="7" fillId="0" borderId="15" xfId="3" applyFont="1" applyBorder="1" applyAlignment="1"/>
    <xf numFmtId="0" fontId="7" fillId="0" borderId="0" xfId="0" applyFont="1" applyAlignment="1"/>
    <xf numFmtId="0" fontId="38" fillId="0" borderId="79" xfId="0" applyFont="1" applyBorder="1" applyAlignment="1">
      <alignment vertical="center" wrapText="1"/>
    </xf>
    <xf numFmtId="0" fontId="19" fillId="0" borderId="10" xfId="0" applyFont="1" applyBorder="1" applyAlignment="1">
      <alignment horizontal="center" vertical="center" wrapText="1"/>
    </xf>
    <xf numFmtId="0" fontId="19" fillId="0" borderId="10" xfId="0" applyFont="1" applyFill="1" applyBorder="1" applyAlignment="1">
      <alignment horizontal="center" vertical="center" wrapText="1"/>
    </xf>
    <xf numFmtId="0" fontId="19" fillId="0" borderId="76" xfId="0" applyFont="1" applyFill="1" applyBorder="1" applyAlignment="1">
      <alignment horizontal="center" vertical="center" wrapText="1"/>
    </xf>
    <xf numFmtId="0" fontId="38" fillId="0" borderId="85" xfId="0" applyFont="1" applyBorder="1" applyAlignment="1">
      <alignment vertical="center" wrapText="1"/>
    </xf>
    <xf numFmtId="0" fontId="19" fillId="0" borderId="86"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53" fillId="0" borderId="84" xfId="0" applyFont="1" applyBorder="1" applyAlignment="1">
      <alignment horizontal="center" vertical="center"/>
    </xf>
    <xf numFmtId="0" fontId="3" fillId="0" borderId="87" xfId="0" applyFont="1" applyBorder="1" applyAlignment="1">
      <alignment horizontal="left" vertical="center"/>
    </xf>
    <xf numFmtId="3" fontId="3" fillId="0" borderId="86" xfId="0" applyNumberFormat="1" applyFont="1" applyBorder="1" applyAlignment="1">
      <alignment horizontal="center" vertical="center"/>
    </xf>
    <xf numFmtId="9" fontId="3" fillId="0" borderId="86" xfId="3" applyFont="1" applyBorder="1" applyAlignment="1">
      <alignment horizontal="center" vertical="center"/>
    </xf>
    <xf numFmtId="0" fontId="7" fillId="12" borderId="13" xfId="0" applyFont="1" applyFill="1" applyBorder="1" applyAlignment="1">
      <alignment horizontal="center" vertical="center"/>
    </xf>
    <xf numFmtId="9" fontId="7" fillId="12" borderId="13" xfId="0" applyNumberFormat="1" applyFont="1" applyFill="1" applyBorder="1" applyAlignment="1">
      <alignment horizontal="center" vertical="center"/>
    </xf>
    <xf numFmtId="168" fontId="3" fillId="8" borderId="13" xfId="0" applyNumberFormat="1" applyFont="1" applyFill="1" applyBorder="1" applyAlignment="1"/>
    <xf numFmtId="168" fontId="3" fillId="0" borderId="17" xfId="0" applyNumberFormat="1" applyFont="1" applyBorder="1" applyAlignment="1"/>
    <xf numFmtId="0" fontId="15" fillId="12" borderId="7" xfId="0" applyFont="1" applyFill="1" applyBorder="1" applyAlignment="1"/>
    <xf numFmtId="0" fontId="15" fillId="12" borderId="0" xfId="0" applyFont="1" applyFill="1" applyBorder="1" applyAlignment="1"/>
    <xf numFmtId="0" fontId="15" fillId="12" borderId="9" xfId="0" applyFont="1" applyFill="1" applyBorder="1" applyAlignment="1"/>
    <xf numFmtId="9" fontId="3" fillId="3" borderId="1" xfId="3" applyFont="1" applyFill="1" applyBorder="1" applyAlignment="1">
      <alignment horizontal="center" vertical="center"/>
    </xf>
    <xf numFmtId="0" fontId="54" fillId="5" borderId="13" xfId="0" applyFont="1" applyFill="1" applyBorder="1" applyAlignment="1">
      <alignment horizontal="left" vertical="center" wrapText="1"/>
    </xf>
    <xf numFmtId="3" fontId="55" fillId="0" borderId="1" xfId="0" applyNumberFormat="1" applyFont="1" applyFill="1" applyBorder="1" applyAlignment="1">
      <alignment horizontal="center" vertical="center"/>
    </xf>
    <xf numFmtId="0" fontId="54" fillId="5" borderId="1" xfId="0" applyFont="1" applyFill="1" applyBorder="1" applyAlignment="1">
      <alignment horizontal="left" vertical="center" wrapText="1"/>
    </xf>
    <xf numFmtId="9" fontId="55" fillId="0" borderId="1" xfId="3" applyFont="1" applyFill="1" applyBorder="1" applyAlignment="1">
      <alignment horizontal="center" vertical="center"/>
    </xf>
    <xf numFmtId="4" fontId="55" fillId="0" borderId="1" xfId="0" applyNumberFormat="1" applyFont="1" applyFill="1" applyBorder="1" applyAlignment="1">
      <alignment horizontal="center" vertical="center"/>
    </xf>
    <xf numFmtId="167" fontId="55" fillId="0" borderId="1" xfId="3" applyNumberFormat="1" applyFont="1" applyFill="1" applyBorder="1" applyAlignment="1">
      <alignment horizontal="center" vertical="center"/>
    </xf>
    <xf numFmtId="0" fontId="38" fillId="4" borderId="1" xfId="0" applyFont="1" applyFill="1" applyBorder="1" applyAlignment="1">
      <alignment horizontal="center" vertical="center"/>
    </xf>
    <xf numFmtId="0" fontId="15" fillId="12" borderId="7" xfId="0" applyFont="1" applyFill="1" applyBorder="1" applyAlignment="1">
      <alignment horizontal="center"/>
    </xf>
    <xf numFmtId="0" fontId="15" fillId="12" borderId="0" xfId="0" applyFont="1" applyFill="1" applyBorder="1" applyAlignment="1">
      <alignment horizontal="center"/>
    </xf>
    <xf numFmtId="0" fontId="15" fillId="12" borderId="9" xfId="0" applyFont="1" applyFill="1" applyBorder="1" applyAlignment="1">
      <alignment horizontal="center"/>
    </xf>
    <xf numFmtId="0" fontId="15" fillId="13" borderId="7" xfId="0" applyFont="1" applyFill="1" applyBorder="1" applyAlignment="1">
      <alignment horizontal="center"/>
    </xf>
    <xf numFmtId="0" fontId="15" fillId="13" borderId="0" xfId="0" applyFont="1" applyFill="1" applyBorder="1" applyAlignment="1">
      <alignment horizontal="center"/>
    </xf>
    <xf numFmtId="0" fontId="15" fillId="13" borderId="9" xfId="0" applyFont="1" applyFill="1" applyBorder="1" applyAlignment="1">
      <alignment horizontal="center"/>
    </xf>
    <xf numFmtId="0" fontId="11" fillId="3" borderId="0" xfId="0" applyFont="1" applyFill="1" applyBorder="1" applyAlignment="1">
      <alignment horizontal="left" vertical="center"/>
    </xf>
    <xf numFmtId="0" fontId="11" fillId="3" borderId="9" xfId="0" applyFont="1" applyFill="1" applyBorder="1" applyAlignment="1">
      <alignment horizontal="left"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xf numFmtId="0" fontId="4" fillId="4" borderId="1" xfId="0" applyFont="1" applyFill="1" applyBorder="1" applyAlignment="1">
      <alignment horizontal="center"/>
    </xf>
    <xf numFmtId="0" fontId="3" fillId="3" borderId="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0" borderId="62" xfId="0" applyFont="1" applyBorder="1" applyAlignment="1">
      <alignment horizontal="center"/>
    </xf>
    <xf numFmtId="0" fontId="3" fillId="0" borderId="79" xfId="0" applyFont="1" applyBorder="1" applyAlignment="1">
      <alignment horizontal="center"/>
    </xf>
    <xf numFmtId="0" fontId="3" fillId="0" borderId="64" xfId="0" applyFont="1" applyBorder="1" applyAlignment="1">
      <alignment horizontal="center"/>
    </xf>
    <xf numFmtId="0" fontId="16" fillId="0" borderId="10" xfId="0" applyFont="1" applyBorder="1" applyAlignment="1">
      <alignment horizontal="left" vertical="center"/>
    </xf>
    <xf numFmtId="0" fontId="16" fillId="0" borderId="12" xfId="0" applyFont="1" applyBorder="1" applyAlignment="1">
      <alignment horizontal="left" vertical="center"/>
    </xf>
    <xf numFmtId="0" fontId="16" fillId="0" borderId="11" xfId="0" applyFont="1" applyBorder="1" applyAlignment="1">
      <alignment horizontal="left" vertical="center"/>
    </xf>
    <xf numFmtId="0" fontId="15" fillId="12" borderId="32" xfId="0" applyFont="1" applyFill="1" applyBorder="1" applyAlignment="1">
      <alignment horizontal="center"/>
    </xf>
    <xf numFmtId="0" fontId="15" fillId="12" borderId="33" xfId="0" applyFont="1" applyFill="1" applyBorder="1" applyAlignment="1">
      <alignment horizontal="center"/>
    </xf>
    <xf numFmtId="0" fontId="15" fillId="12" borderId="34" xfId="0" applyFont="1" applyFill="1" applyBorder="1" applyAlignment="1">
      <alignment horizontal="center"/>
    </xf>
    <xf numFmtId="0" fontId="15" fillId="12" borderId="35" xfId="0" applyFont="1" applyFill="1" applyBorder="1" applyAlignment="1">
      <alignment horizontal="center"/>
    </xf>
    <xf numFmtId="0" fontId="15" fillId="12" borderId="36" xfId="0" applyFont="1" applyFill="1" applyBorder="1" applyAlignment="1">
      <alignment horizontal="center"/>
    </xf>
    <xf numFmtId="0" fontId="15" fillId="12" borderId="37" xfId="0" applyFont="1" applyFill="1" applyBorder="1" applyAlignment="1">
      <alignment horizontal="center"/>
    </xf>
    <xf numFmtId="0" fontId="16" fillId="0" borderId="82" xfId="0" applyFont="1" applyBorder="1" applyAlignment="1">
      <alignment horizontal="left" vertical="center"/>
    </xf>
    <xf numFmtId="0" fontId="16" fillId="0" borderId="83" xfId="0" applyFont="1" applyBorder="1" applyAlignment="1">
      <alignment horizontal="left" vertical="center"/>
    </xf>
    <xf numFmtId="0" fontId="40" fillId="3" borderId="61" xfId="0" applyFont="1" applyFill="1" applyBorder="1" applyAlignment="1">
      <alignment horizontal="center" vertical="center" wrapText="1"/>
    </xf>
    <xf numFmtId="0" fontId="40" fillId="3" borderId="49" xfId="0" applyFont="1" applyFill="1" applyBorder="1" applyAlignment="1">
      <alignment horizontal="center" vertical="center" wrapText="1"/>
    </xf>
    <xf numFmtId="0" fontId="40" fillId="3" borderId="48" xfId="0" applyFont="1" applyFill="1" applyBorder="1" applyAlignment="1">
      <alignment horizontal="center" vertical="center" wrapText="1"/>
    </xf>
    <xf numFmtId="0" fontId="11" fillId="0" borderId="1" xfId="0" applyFont="1" applyBorder="1" applyAlignment="1">
      <alignment horizontal="left" vertical="center" wrapText="1"/>
    </xf>
    <xf numFmtId="0" fontId="13" fillId="3" borderId="1" xfId="2" applyFont="1" applyFill="1" applyBorder="1" applyAlignment="1">
      <alignment horizontal="left"/>
    </xf>
    <xf numFmtId="0" fontId="13" fillId="3" borderId="10" xfId="2" applyFont="1" applyFill="1" applyBorder="1" applyAlignment="1">
      <alignment horizontal="center"/>
    </xf>
    <xf numFmtId="0" fontId="13" fillId="3" borderId="12" xfId="2" applyFont="1" applyFill="1" applyBorder="1" applyAlignment="1">
      <alignment horizontal="center"/>
    </xf>
    <xf numFmtId="0" fontId="13" fillId="3" borderId="11" xfId="2" applyFont="1" applyFill="1" applyBorder="1" applyAlignment="1">
      <alignment horizontal="center"/>
    </xf>
    <xf numFmtId="0" fontId="8" fillId="7" borderId="1" xfId="0" applyFont="1" applyFill="1" applyBorder="1" applyAlignment="1">
      <alignment vertical="center"/>
    </xf>
    <xf numFmtId="0" fontId="8" fillId="7" borderId="1" xfId="0" applyFont="1" applyFill="1" applyBorder="1" applyAlignment="1">
      <alignment horizontal="left" vertical="center"/>
    </xf>
    <xf numFmtId="0" fontId="15" fillId="12" borderId="7" xfId="0" applyFont="1" applyFill="1" applyBorder="1" applyAlignment="1">
      <alignment horizontal="center" vertical="center"/>
    </xf>
    <xf numFmtId="0" fontId="15" fillId="12" borderId="0" xfId="0" applyFont="1" applyFill="1" applyBorder="1" applyAlignment="1">
      <alignment horizontal="center" vertical="center"/>
    </xf>
    <xf numFmtId="0" fontId="15" fillId="12" borderId="9" xfId="0" applyFont="1" applyFill="1" applyBorder="1" applyAlignment="1">
      <alignment horizontal="center" vertical="center"/>
    </xf>
    <xf numFmtId="0" fontId="8" fillId="7" borderId="10" xfId="0" applyFont="1" applyFill="1" applyBorder="1" applyAlignment="1">
      <alignment horizontal="left" vertical="center"/>
    </xf>
    <xf numFmtId="0" fontId="8" fillId="7" borderId="12" xfId="0" applyFont="1" applyFill="1" applyBorder="1" applyAlignment="1">
      <alignment horizontal="left" vertical="center"/>
    </xf>
    <xf numFmtId="0" fontId="8" fillId="7" borderId="11" xfId="0" applyFont="1" applyFill="1" applyBorder="1" applyAlignment="1">
      <alignment horizontal="left" vertical="center"/>
    </xf>
    <xf numFmtId="0" fontId="28" fillId="0" borderId="12" xfId="2" applyFont="1" applyBorder="1" applyAlignment="1">
      <alignment horizontal="center" vertical="center" wrapText="1"/>
    </xf>
    <xf numFmtId="0" fontId="28" fillId="0" borderId="11" xfId="2" applyFont="1" applyBorder="1" applyAlignment="1">
      <alignment horizontal="center" vertical="center" wrapText="1"/>
    </xf>
    <xf numFmtId="0" fontId="4" fillId="0" borderId="72" xfId="2" applyFont="1" applyBorder="1" applyAlignment="1">
      <alignment horizontal="center" vertical="center" wrapText="1"/>
    </xf>
    <xf numFmtId="0" fontId="4" fillId="0" borderId="45" xfId="2" applyFont="1" applyBorder="1" applyAlignment="1">
      <alignment horizontal="center" vertical="center" wrapText="1"/>
    </xf>
    <xf numFmtId="17" fontId="3" fillId="0" borderId="1" xfId="2" applyNumberFormat="1" applyFont="1" applyBorder="1" applyAlignment="1">
      <alignment horizontal="center" vertical="center"/>
    </xf>
    <xf numFmtId="0" fontId="3" fillId="0" borderId="1" xfId="2" applyFont="1" applyBorder="1" applyAlignment="1">
      <alignment horizontal="center" vertical="center"/>
    </xf>
    <xf numFmtId="0" fontId="27" fillId="0" borderId="74" xfId="2" applyFont="1" applyBorder="1" applyAlignment="1">
      <alignment horizontal="left" vertical="center" wrapText="1"/>
    </xf>
  </cellXfs>
  <cellStyles count="4">
    <cellStyle name="Обычный" xfId="0" builtinId="0"/>
    <cellStyle name="Обычный 2" xfId="2"/>
    <cellStyle name="Процентный" xfId="3" builtinId="5"/>
    <cellStyle name="Финансовый" xfId="1" builtinId="3"/>
  </cellStyles>
  <dxfs count="4">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4284C4"/>
      <color rgb="FFE4130E"/>
      <color rgb="FF95C12B"/>
      <color rgb="FFF60000"/>
      <color rgb="FF44B8B7"/>
      <color rgb="FFFF9933"/>
      <color rgb="FFEC9105"/>
      <color rgb="FF030351"/>
      <color rgb="FFF77600"/>
      <color rgb="FFE65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2800" b="1" i="0" u="none" strike="noStrike" kern="1200" cap="all" spc="50" baseline="0">
                <a:solidFill>
                  <a:schemeClr val="tx1">
                    <a:lumMod val="65000"/>
                    <a:lumOff val="35000"/>
                  </a:schemeClr>
                </a:solidFill>
                <a:latin typeface="+mn-lt"/>
                <a:ea typeface="+mn-ea"/>
                <a:cs typeface="+mn-cs"/>
              </a:defRPr>
            </a:pPr>
            <a:r>
              <a:rPr lang="ru-RU" sz="2800"/>
              <a:t>ЭТАПЫ запуска проекта</a:t>
            </a:r>
          </a:p>
        </c:rich>
      </c:tx>
      <c:layout/>
      <c:spPr>
        <a:noFill/>
        <a:ln>
          <a:noFill/>
        </a:ln>
        <a:effectLst/>
      </c:spPr>
    </c:title>
    <c:plotArea>
      <c:layout>
        <c:manualLayout>
          <c:layoutTarget val="inner"/>
          <c:xMode val="edge"/>
          <c:yMode val="edge"/>
          <c:x val="0.39654026559873767"/>
          <c:y val="3.5956481761482736E-2"/>
          <c:w val="0.60345973440126244"/>
          <c:h val="0.91808706265753981"/>
        </c:manualLayout>
      </c:layout>
      <c:barChart>
        <c:barDir val="bar"/>
        <c:grouping val="stacked"/>
        <c:ser>
          <c:idx val="0"/>
          <c:order val="0"/>
          <c:spPr>
            <a:noFill/>
            <a:ln>
              <a:noFill/>
            </a:ln>
            <a:effectLst/>
          </c:spPr>
          <c:cat>
            <c:strRef>
              <c:f>'Этапы запуска проекта'!$A$1:$A$39</c:f>
              <c:strCache>
                <c:ptCount val="39"/>
                <c:pt idx="0">
                  <c:v>Подписание договора</c:v>
                </c:pt>
                <c:pt idx="1">
                  <c:v>Оплата паушального взноса</c:v>
                </c:pt>
                <c:pt idx="2">
                  <c:v>Обучение и аттестация франчайзи</c:v>
                </c:pt>
                <c:pt idx="3">
                  <c:v>Рекомендации по закупке мебели, оргтехники</c:v>
                </c:pt>
                <c:pt idx="4">
                  <c:v>Рекомендации при наружном и внутреннем оформлении центра</c:v>
                </c:pt>
                <c:pt idx="5">
                  <c:v>Инструктаж по регистрации юридического лица, открытия расчетного счета</c:v>
                </c:pt>
                <c:pt idx="6">
                  <c:v>Передача интеллектуальной собственности</c:v>
                </c:pt>
                <c:pt idx="7">
                  <c:v>Анализ рынка, конкурентов</c:v>
                </c:pt>
                <c:pt idx="8">
                  <c:v>Предварительный подбор помещения</c:v>
                </c:pt>
                <c:pt idx="9">
                  <c:v>Консультация по подбору оборудования, рентген аппарата</c:v>
                </c:pt>
                <c:pt idx="10">
                  <c:v>Покупка КТ оборудования для рентген-диагностики</c:v>
                </c:pt>
                <c:pt idx="11">
                  <c:v>Передача интеллектуальной собственности и документов</c:v>
                </c:pt>
                <c:pt idx="12">
                  <c:v>Поиск, подбор помещения и организации по разработке проекта помещения</c:v>
                </c:pt>
                <c:pt idx="13">
                  <c:v>Подбор ремонтной организации </c:v>
                </c:pt>
                <c:pt idx="14">
                  <c:v>Обучение франчайзи по работе рентген лаборантов</c:v>
                </c:pt>
                <c:pt idx="15">
                  <c:v>Обучение франчайзи по работе медицинского представителя</c:v>
                </c:pt>
                <c:pt idx="16">
                  <c:v>Проверка проекта плана рентген-центра</c:v>
                </c:pt>
                <c:pt idx="17">
                  <c:v>Проверка и оптимизация сметы от ремонтной организации</c:v>
                </c:pt>
                <c:pt idx="18">
                  <c:v>Согласование даты выезда инженера по калибровке и настройке томографа</c:v>
                </c:pt>
                <c:pt idx="19">
                  <c:v>Контроль проведения ремонта</c:v>
                </c:pt>
                <c:pt idx="20">
                  <c:v>Подбор медицинского представителя</c:v>
                </c:pt>
                <c:pt idx="21">
                  <c:v>Подбор рентген лаборанта</c:v>
                </c:pt>
                <c:pt idx="22">
                  <c:v>Монтаж, калибровка и настройка томографа</c:v>
                </c:pt>
                <c:pt idx="23">
                  <c:v>Проверка качества калибровки</c:v>
                </c:pt>
                <c:pt idx="24">
                  <c:v>Контроль при поставке КТ оборудования для рентген-диагностики</c:v>
                </c:pt>
                <c:pt idx="25">
                  <c:v>Контроль при закупке мебели, оргтехники</c:v>
                </c:pt>
                <c:pt idx="26">
                  <c:v>Контроль при наружном и внутреннем оформлении центра</c:v>
                </c:pt>
                <c:pt idx="27">
                  <c:v>ЛИЦЕНЗИРОВАНИЕ</c:v>
                </c:pt>
                <c:pt idx="28">
                  <c:v>Обучение медицинского представителя, аттестация, ввод в работу</c:v>
                </c:pt>
                <c:pt idx="29">
                  <c:v>Обучение рентген лаборанта, аттестация, ввод в работу</c:v>
                </c:pt>
                <c:pt idx="30">
                  <c:v>Обучение и подключение франчайзи и сотрудников к системе Axioma IS</c:v>
                </c:pt>
                <c:pt idx="31">
                  <c:v>Тестовый запуск работы рентген центра</c:v>
                </c:pt>
                <c:pt idx="32">
                  <c:v>Планерки, контроль выполнения KPI и плана медицинским представителем</c:v>
                </c:pt>
                <c:pt idx="33">
                  <c:v>Контроль деятельности рентген лаборанта</c:v>
                </c:pt>
                <c:pt idx="34">
                  <c:v>Составление маркетинговой стратегии и его тестирование для указанного города</c:v>
                </c:pt>
                <c:pt idx="35">
                  <c:v>Размещение информации об открытии диагностического центра</c:v>
                </c:pt>
                <c:pt idx="36">
                  <c:v>Запуск SEO продвижения сайта и SMM продвижения в городе франчайзи</c:v>
                </c:pt>
                <c:pt idx="37">
                  <c:v>Проведение дня открытых дверей в формате научно-практической конференции</c:v>
                </c:pt>
                <c:pt idx="38">
                  <c:v>Фотоотчет и видео отзыв франчайзи о запуске центра</c:v>
                </c:pt>
              </c:strCache>
            </c:strRef>
          </c:cat>
          <c:val>
            <c:numRef>
              <c:f>'Этапы запуска проекта'!$B$1:$B$39</c:f>
              <c:numCache>
                <c:formatCode>General</c:formatCode>
                <c:ptCount val="39"/>
                <c:pt idx="0">
                  <c:v>0</c:v>
                </c:pt>
                <c:pt idx="1">
                  <c:v>0</c:v>
                </c:pt>
                <c:pt idx="2">
                  <c:v>0</c:v>
                </c:pt>
                <c:pt idx="3">
                  <c:v>0</c:v>
                </c:pt>
                <c:pt idx="4">
                  <c:v>0</c:v>
                </c:pt>
                <c:pt idx="5">
                  <c:v>0</c:v>
                </c:pt>
                <c:pt idx="6">
                  <c:v>0</c:v>
                </c:pt>
                <c:pt idx="7">
                  <c:v>0</c:v>
                </c:pt>
                <c:pt idx="8">
                  <c:v>0</c:v>
                </c:pt>
                <c:pt idx="9">
                  <c:v>14</c:v>
                </c:pt>
                <c:pt idx="10">
                  <c:v>14</c:v>
                </c:pt>
                <c:pt idx="11">
                  <c:v>14</c:v>
                </c:pt>
                <c:pt idx="12">
                  <c:v>14</c:v>
                </c:pt>
                <c:pt idx="13">
                  <c:v>14</c:v>
                </c:pt>
                <c:pt idx="14">
                  <c:v>21</c:v>
                </c:pt>
                <c:pt idx="15">
                  <c:v>21</c:v>
                </c:pt>
                <c:pt idx="16">
                  <c:v>35</c:v>
                </c:pt>
                <c:pt idx="17">
                  <c:v>35</c:v>
                </c:pt>
                <c:pt idx="18">
                  <c:v>42</c:v>
                </c:pt>
                <c:pt idx="19">
                  <c:v>42</c:v>
                </c:pt>
                <c:pt idx="20">
                  <c:v>49</c:v>
                </c:pt>
                <c:pt idx="21">
                  <c:v>49</c:v>
                </c:pt>
                <c:pt idx="22">
                  <c:v>63</c:v>
                </c:pt>
                <c:pt idx="23">
                  <c:v>63</c:v>
                </c:pt>
                <c:pt idx="24">
                  <c:v>63</c:v>
                </c:pt>
                <c:pt idx="25">
                  <c:v>63</c:v>
                </c:pt>
                <c:pt idx="26">
                  <c:v>63</c:v>
                </c:pt>
                <c:pt idx="27">
                  <c:v>63</c:v>
                </c:pt>
                <c:pt idx="28">
                  <c:v>63</c:v>
                </c:pt>
                <c:pt idx="29">
                  <c:v>63</c:v>
                </c:pt>
                <c:pt idx="30">
                  <c:v>84</c:v>
                </c:pt>
                <c:pt idx="31">
                  <c:v>91</c:v>
                </c:pt>
                <c:pt idx="32">
                  <c:v>105</c:v>
                </c:pt>
                <c:pt idx="33">
                  <c:v>105</c:v>
                </c:pt>
                <c:pt idx="34">
                  <c:v>154</c:v>
                </c:pt>
                <c:pt idx="35">
                  <c:v>154</c:v>
                </c:pt>
                <c:pt idx="36">
                  <c:v>161</c:v>
                </c:pt>
                <c:pt idx="37">
                  <c:v>161</c:v>
                </c:pt>
                <c:pt idx="38">
                  <c:v>161</c:v>
                </c:pt>
              </c:numCache>
            </c:numRef>
          </c:val>
          <c:extLst xmlns:c16r2="http://schemas.microsoft.com/office/drawing/2015/06/chart">
            <c:ext xmlns:c16="http://schemas.microsoft.com/office/drawing/2014/chart" uri="{C3380CC4-5D6E-409C-BE32-E72D297353CC}">
              <c16:uniqueId val="{00000000-F808-4DAD-9EC9-A3C38C4A4CF5}"/>
            </c:ext>
          </c:extLst>
        </c:ser>
        <c:ser>
          <c:idx val="1"/>
          <c:order val="1"/>
          <c:spPr>
            <a:solidFill>
              <a:schemeClr val="accent1">
                <a:lumMod val="60000"/>
                <a:lumOff val="40000"/>
              </a:schemeClr>
            </a:solidFill>
            <a:ln w="9525" cmpd="thickThin">
              <a:solidFill>
                <a:schemeClr val="accent1">
                  <a:lumMod val="40000"/>
                  <a:lumOff val="60000"/>
                </a:schemeClr>
              </a:solidFill>
            </a:ln>
            <a:effectLst/>
          </c:spPr>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ru-RU"/>
              </a:p>
            </c:txPr>
            <c:dLblPos val="ctr"/>
            <c:showVal val="1"/>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'Этапы запуска проекта'!$A$1:$A$39</c:f>
              <c:strCache>
                <c:ptCount val="39"/>
                <c:pt idx="0">
                  <c:v>Подписание договора</c:v>
                </c:pt>
                <c:pt idx="1">
                  <c:v>Оплата паушального взноса</c:v>
                </c:pt>
                <c:pt idx="2">
                  <c:v>Обучение и аттестация франчайзи</c:v>
                </c:pt>
                <c:pt idx="3">
                  <c:v>Рекомендации по закупке мебели, оргтехники</c:v>
                </c:pt>
                <c:pt idx="4">
                  <c:v>Рекомендации при наружном и внутреннем оформлении центра</c:v>
                </c:pt>
                <c:pt idx="5">
                  <c:v>Инструктаж по регистрации юридического лица, открытия расчетного счета</c:v>
                </c:pt>
                <c:pt idx="6">
                  <c:v>Передача интеллектуальной собственности</c:v>
                </c:pt>
                <c:pt idx="7">
                  <c:v>Анализ рынка, конкурентов</c:v>
                </c:pt>
                <c:pt idx="8">
                  <c:v>Предварительный подбор помещения</c:v>
                </c:pt>
                <c:pt idx="9">
                  <c:v>Консультация по подбору оборудования, рентген аппарата</c:v>
                </c:pt>
                <c:pt idx="10">
                  <c:v>Покупка КТ оборудования для рентген-диагностики</c:v>
                </c:pt>
                <c:pt idx="11">
                  <c:v>Передача интеллектуальной собственности и документов</c:v>
                </c:pt>
                <c:pt idx="12">
                  <c:v>Поиск, подбор помещения и организации по разработке проекта помещения</c:v>
                </c:pt>
                <c:pt idx="13">
                  <c:v>Подбор ремонтной организации </c:v>
                </c:pt>
                <c:pt idx="14">
                  <c:v>Обучение франчайзи по работе рентген лаборантов</c:v>
                </c:pt>
                <c:pt idx="15">
                  <c:v>Обучение франчайзи по работе медицинского представителя</c:v>
                </c:pt>
                <c:pt idx="16">
                  <c:v>Проверка проекта плана рентген-центра</c:v>
                </c:pt>
                <c:pt idx="17">
                  <c:v>Проверка и оптимизация сметы от ремонтной организации</c:v>
                </c:pt>
                <c:pt idx="18">
                  <c:v>Согласование даты выезда инженера по калибровке и настройке томографа</c:v>
                </c:pt>
                <c:pt idx="19">
                  <c:v>Контроль проведения ремонта</c:v>
                </c:pt>
                <c:pt idx="20">
                  <c:v>Подбор медицинского представителя</c:v>
                </c:pt>
                <c:pt idx="21">
                  <c:v>Подбор рентген лаборанта</c:v>
                </c:pt>
                <c:pt idx="22">
                  <c:v>Монтаж, калибровка и настройка томографа</c:v>
                </c:pt>
                <c:pt idx="23">
                  <c:v>Проверка качества калибровки</c:v>
                </c:pt>
                <c:pt idx="24">
                  <c:v>Контроль при поставке КТ оборудования для рентген-диагностики</c:v>
                </c:pt>
                <c:pt idx="25">
                  <c:v>Контроль при закупке мебели, оргтехники</c:v>
                </c:pt>
                <c:pt idx="26">
                  <c:v>Контроль при наружном и внутреннем оформлении центра</c:v>
                </c:pt>
                <c:pt idx="27">
                  <c:v>ЛИЦЕНЗИРОВАНИЕ</c:v>
                </c:pt>
                <c:pt idx="28">
                  <c:v>Обучение медицинского представителя, аттестация, ввод в работу</c:v>
                </c:pt>
                <c:pt idx="29">
                  <c:v>Обучение рентген лаборанта, аттестация, ввод в работу</c:v>
                </c:pt>
                <c:pt idx="30">
                  <c:v>Обучение и подключение франчайзи и сотрудников к системе Axioma IS</c:v>
                </c:pt>
                <c:pt idx="31">
                  <c:v>Тестовый запуск работы рентген центра</c:v>
                </c:pt>
                <c:pt idx="32">
                  <c:v>Планерки, контроль выполнения KPI и плана медицинским представителем</c:v>
                </c:pt>
                <c:pt idx="33">
                  <c:v>Контроль деятельности рентген лаборанта</c:v>
                </c:pt>
                <c:pt idx="34">
                  <c:v>Составление маркетинговой стратегии и его тестирование для указанного города</c:v>
                </c:pt>
                <c:pt idx="35">
                  <c:v>Размещение информации об открытии диагностического центра</c:v>
                </c:pt>
                <c:pt idx="36">
                  <c:v>Запуск SEO продвижения сайта и SMM продвижения в городе франчайзи</c:v>
                </c:pt>
                <c:pt idx="37">
                  <c:v>Проведение дня открытых дверей в формате научно-практической конференции</c:v>
                </c:pt>
                <c:pt idx="38">
                  <c:v>Фотоотчет и видео отзыв франчайзи о запуске центра</c:v>
                </c:pt>
              </c:strCache>
            </c:strRef>
          </c:cat>
          <c:val>
            <c:numRef>
              <c:f>'Этапы запуска проекта'!$C$1:$C$39</c:f>
              <c:numCache>
                <c:formatCode>General</c:formatCode>
                <c:ptCount val="39"/>
                <c:pt idx="0">
                  <c:v>7</c:v>
                </c:pt>
                <c:pt idx="1">
                  <c:v>7</c:v>
                </c:pt>
                <c:pt idx="2">
                  <c:v>7</c:v>
                </c:pt>
                <c:pt idx="3">
                  <c:v>7</c:v>
                </c:pt>
                <c:pt idx="4">
                  <c:v>7</c:v>
                </c:pt>
                <c:pt idx="5">
                  <c:v>7</c:v>
                </c:pt>
                <c:pt idx="6">
                  <c:v>7</c:v>
                </c:pt>
                <c:pt idx="7">
                  <c:v>14</c:v>
                </c:pt>
                <c:pt idx="8">
                  <c:v>14</c:v>
                </c:pt>
                <c:pt idx="9">
                  <c:v>7</c:v>
                </c:pt>
                <c:pt idx="10">
                  <c:v>7</c:v>
                </c:pt>
                <c:pt idx="11">
                  <c:v>7</c:v>
                </c:pt>
                <c:pt idx="12">
                  <c:v>7</c:v>
                </c:pt>
                <c:pt idx="13">
                  <c:v>7</c:v>
                </c:pt>
                <c:pt idx="14">
                  <c:v>14</c:v>
                </c:pt>
                <c:pt idx="15">
                  <c:v>14</c:v>
                </c:pt>
                <c:pt idx="16">
                  <c:v>14</c:v>
                </c:pt>
                <c:pt idx="17">
                  <c:v>7</c:v>
                </c:pt>
                <c:pt idx="18">
                  <c:v>7</c:v>
                </c:pt>
                <c:pt idx="19">
                  <c:v>28</c:v>
                </c:pt>
                <c:pt idx="20">
                  <c:v>28</c:v>
                </c:pt>
                <c:pt idx="21">
                  <c:v>29</c:v>
                </c:pt>
                <c:pt idx="22">
                  <c:v>7</c:v>
                </c:pt>
                <c:pt idx="23">
                  <c:v>7</c:v>
                </c:pt>
                <c:pt idx="24">
                  <c:v>14</c:v>
                </c:pt>
                <c:pt idx="25">
                  <c:v>14</c:v>
                </c:pt>
                <c:pt idx="26">
                  <c:v>7</c:v>
                </c:pt>
                <c:pt idx="27">
                  <c:v>105</c:v>
                </c:pt>
                <c:pt idx="28">
                  <c:v>28</c:v>
                </c:pt>
                <c:pt idx="29">
                  <c:v>28</c:v>
                </c:pt>
                <c:pt idx="30">
                  <c:v>7</c:v>
                </c:pt>
                <c:pt idx="31">
                  <c:v>77</c:v>
                </c:pt>
                <c:pt idx="32">
                  <c:v>63</c:v>
                </c:pt>
                <c:pt idx="33">
                  <c:v>63</c:v>
                </c:pt>
                <c:pt idx="34">
                  <c:v>14</c:v>
                </c:pt>
                <c:pt idx="35">
                  <c:v>14</c:v>
                </c:pt>
                <c:pt idx="36">
                  <c:v>7</c:v>
                </c:pt>
                <c:pt idx="37">
                  <c:v>7</c:v>
                </c:pt>
                <c:pt idx="38">
                  <c:v>7</c:v>
                </c:pt>
              </c:numCache>
            </c:numRef>
          </c:val>
          <c:extLst xmlns:c16r2="http://schemas.microsoft.com/office/drawing/2015/06/chart">
            <c:ext xmlns:c16="http://schemas.microsoft.com/office/drawing/2014/chart" uri="{C3380CC4-5D6E-409C-BE32-E72D297353CC}">
              <c16:uniqueId val="{00000001-F808-4DAD-9EC9-A3C38C4A4CF5}"/>
            </c:ext>
          </c:extLst>
        </c:ser>
        <c:dLbls/>
        <c:gapWidth val="20"/>
        <c:overlap val="100"/>
        <c:axId val="153671168"/>
        <c:axId val="153672704"/>
      </c:barChart>
      <c:catAx>
        <c:axId val="153671168"/>
        <c:scaling>
          <c:orientation val="maxMin"/>
        </c:scaling>
        <c:axPos val="l"/>
        <c:majorGridlines>
          <c:spPr>
            <a:ln w="6350" cap="flat" cmpd="sng" algn="ctr">
              <a:solidFill>
                <a:schemeClr val="accent1"/>
              </a:solidFill>
              <a:round/>
            </a:ln>
            <a:effectLst/>
          </c:spPr>
        </c:majorGridlines>
        <c:numFmt formatCode="General" sourceLinked="1"/>
        <c:majorTickMark val="none"/>
        <c:tickLblPos val="nextTo"/>
        <c:spPr>
          <a:noFill/>
          <a:ln w="9525" cap="flat" cmpd="sng" algn="ctr">
            <a:solidFill>
              <a:schemeClr val="accent1"/>
            </a:solidFill>
            <a:round/>
            <a:headEnd type="none" w="sm" len="sm"/>
            <a:tailEnd type="none" w="sm" len="sm"/>
          </a:ln>
          <a:effectLst/>
        </c:spPr>
        <c:txPr>
          <a:bodyPr rot="0" spcFirstLastPara="1" vertOverflow="ellipsis"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ru-RU"/>
          </a:p>
        </c:txPr>
        <c:crossAx val="153672704"/>
        <c:crossesAt val="0"/>
        <c:lblAlgn val="ctr"/>
        <c:lblOffset val="100"/>
      </c:catAx>
      <c:valAx>
        <c:axId val="153672704"/>
        <c:scaling>
          <c:orientation val="minMax"/>
          <c:max val="168"/>
        </c:scaling>
        <c:delete val="1"/>
        <c:axPos val="t"/>
        <c:numFmt formatCode="General" sourceLinked="1"/>
        <c:tickLblPos val="nextTo"/>
        <c:crossAx val="153671168"/>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ru-RU"/>
  <c:style val="1"/>
  <c:chart>
    <c:autoTitleDeleted val="1"/>
    <c:view3D>
      <c:rotX val="5"/>
      <c:rotY val="0"/>
      <c:perspective val="0"/>
    </c:view3D>
    <c:sideWall>
      <c:spPr>
        <a:noFill/>
        <a:ln>
          <a:noFill/>
        </a:ln>
        <a:effectLst/>
      </c:spPr>
    </c:sideWall>
    <c:backWall>
      <c:spPr>
        <a:noFill/>
        <a:ln>
          <a:noFill/>
        </a:ln>
        <a:effectLst/>
      </c:spPr>
    </c:backWall>
    <c:plotArea>
      <c:layout>
        <c:manualLayout>
          <c:layoutTarget val="inner"/>
          <c:xMode val="edge"/>
          <c:yMode val="edge"/>
          <c:x val="3.2010774725029209E-2"/>
          <c:y val="9.3573482103007311E-2"/>
          <c:w val="0.95288647931307513"/>
          <c:h val="0.8470989293321407"/>
        </c:manualLayout>
      </c:layout>
      <c:bar3DChart>
        <c:barDir val="col"/>
        <c:grouping val="clustered"/>
        <c:ser>
          <c:idx val="1"/>
          <c:order val="0"/>
          <c:spPr>
            <a:solidFill>
              <a:srgbClr val="4284C4">
                <a:alpha val="89020"/>
              </a:srgbClr>
            </a:solidFill>
            <a:ln>
              <a:solidFill>
                <a:schemeClr val="bg1"/>
              </a:solidFill>
            </a:ln>
            <a:effectLst>
              <a:outerShdw blurRad="40000" dist="23000" dir="5400000" rotWithShape="0">
                <a:srgbClr val="000000">
                  <a:alpha val="35000"/>
                </a:srgbClr>
              </a:outerShdw>
            </a:effectLst>
            <a:scene3d>
              <a:camera prst="orthographicFront"/>
              <a:lightRig rig="balanced" dir="t"/>
            </a:scene3d>
            <a:sp3d prstMaterial="dkEdge">
              <a:contourClr>
                <a:srgbClr val="000000"/>
              </a:contourClr>
            </a:sp3d>
          </c:spPr>
          <c:invertIfNegative val="1"/>
          <c:dLbls>
            <c:numFmt formatCode="#,##0" sourceLinked="0"/>
            <c:spPr>
              <a:noFill/>
            </c:spPr>
            <c:showVal val="1"/>
            <c:extLst xmlns:c16r2="http://schemas.microsoft.com/office/drawing/2015/06/chart">
              <c:ext xmlns:c15="http://schemas.microsoft.com/office/drawing/2012/chart" uri="{CE6537A1-D6FC-4f65-9D91-7224C49458BB}">
                <c15:showLeaderLines val="0"/>
              </c:ext>
            </c:extLst>
          </c:dLbls>
          <c:cat>
            <c:strRef>
              <c:f>Прибыль_окупаемость!$D$11:$BK$11</c:f>
              <c:strCache>
                <c:ptCount val="60"/>
                <c:pt idx="0">
                  <c:v>Май</c:v>
                </c:pt>
                <c:pt idx="1">
                  <c:v>Июнь</c:v>
                </c:pt>
                <c:pt idx="2">
                  <c:v>Июль</c:v>
                </c:pt>
                <c:pt idx="3">
                  <c:v>Август</c:v>
                </c:pt>
                <c:pt idx="4">
                  <c:v>Сентябрь</c:v>
                </c:pt>
                <c:pt idx="5">
                  <c:v>Октябрь</c:v>
                </c:pt>
                <c:pt idx="6">
                  <c:v>Ноябрь</c:v>
                </c:pt>
                <c:pt idx="7">
                  <c:v>Декабрь</c:v>
                </c:pt>
                <c:pt idx="8">
                  <c:v>Январь</c:v>
                </c:pt>
                <c:pt idx="9">
                  <c:v>Февраль</c:v>
                </c:pt>
                <c:pt idx="10">
                  <c:v>Март</c:v>
                </c:pt>
                <c:pt idx="11">
                  <c:v>Апрель</c:v>
                </c:pt>
                <c:pt idx="12">
                  <c:v>Май</c:v>
                </c:pt>
                <c:pt idx="13">
                  <c:v>Июнь</c:v>
                </c:pt>
                <c:pt idx="14">
                  <c:v>Июль</c:v>
                </c:pt>
                <c:pt idx="15">
                  <c:v>Август</c:v>
                </c:pt>
                <c:pt idx="16">
                  <c:v>Сентябрь</c:v>
                </c:pt>
                <c:pt idx="17">
                  <c:v>Октябрь</c:v>
                </c:pt>
                <c:pt idx="18">
                  <c:v>Ноябрь</c:v>
                </c:pt>
                <c:pt idx="19">
                  <c:v>Декабрь</c:v>
                </c:pt>
                <c:pt idx="20">
                  <c:v>Январь</c:v>
                </c:pt>
                <c:pt idx="21">
                  <c:v>Февраль</c:v>
                </c:pt>
                <c:pt idx="22">
                  <c:v>Март</c:v>
                </c:pt>
                <c:pt idx="23">
                  <c:v>Апрель</c:v>
                </c:pt>
                <c:pt idx="24">
                  <c:v>Май</c:v>
                </c:pt>
                <c:pt idx="25">
                  <c:v>Июнь</c:v>
                </c:pt>
                <c:pt idx="26">
                  <c:v>Июль</c:v>
                </c:pt>
                <c:pt idx="27">
                  <c:v>Август</c:v>
                </c:pt>
                <c:pt idx="28">
                  <c:v>Сентябрь</c:v>
                </c:pt>
                <c:pt idx="29">
                  <c:v>Октябрь</c:v>
                </c:pt>
                <c:pt idx="30">
                  <c:v>Ноябрь</c:v>
                </c:pt>
                <c:pt idx="31">
                  <c:v>Декабрь</c:v>
                </c:pt>
                <c:pt idx="32">
                  <c:v>Январь</c:v>
                </c:pt>
                <c:pt idx="33">
                  <c:v>Февраль</c:v>
                </c:pt>
                <c:pt idx="34">
                  <c:v>Март</c:v>
                </c:pt>
                <c:pt idx="35">
                  <c:v>Апрель</c:v>
                </c:pt>
                <c:pt idx="36">
                  <c:v>Май</c:v>
                </c:pt>
                <c:pt idx="37">
                  <c:v>Июнь</c:v>
                </c:pt>
                <c:pt idx="38">
                  <c:v>Июль</c:v>
                </c:pt>
                <c:pt idx="39">
                  <c:v>Август</c:v>
                </c:pt>
                <c:pt idx="40">
                  <c:v>Сентябрь</c:v>
                </c:pt>
                <c:pt idx="41">
                  <c:v>Октябрь</c:v>
                </c:pt>
                <c:pt idx="42">
                  <c:v>Ноябрь</c:v>
                </c:pt>
                <c:pt idx="43">
                  <c:v>Декабрь</c:v>
                </c:pt>
                <c:pt idx="44">
                  <c:v>Январь</c:v>
                </c:pt>
                <c:pt idx="45">
                  <c:v>Февраль</c:v>
                </c:pt>
                <c:pt idx="46">
                  <c:v>Март</c:v>
                </c:pt>
                <c:pt idx="47">
                  <c:v>Апрель</c:v>
                </c:pt>
                <c:pt idx="48">
                  <c:v>Май</c:v>
                </c:pt>
                <c:pt idx="49">
                  <c:v>Июнь</c:v>
                </c:pt>
                <c:pt idx="50">
                  <c:v>Июль</c:v>
                </c:pt>
                <c:pt idx="51">
                  <c:v>Август</c:v>
                </c:pt>
                <c:pt idx="52">
                  <c:v>Сентябрь</c:v>
                </c:pt>
                <c:pt idx="53">
                  <c:v>Октябрь</c:v>
                </c:pt>
                <c:pt idx="54">
                  <c:v>Ноябрь</c:v>
                </c:pt>
                <c:pt idx="55">
                  <c:v>Декабрь</c:v>
                </c:pt>
                <c:pt idx="56">
                  <c:v>Январь</c:v>
                </c:pt>
                <c:pt idx="57">
                  <c:v>Февраль</c:v>
                </c:pt>
                <c:pt idx="58">
                  <c:v>Март</c:v>
                </c:pt>
                <c:pt idx="59">
                  <c:v>Апрель</c:v>
                </c:pt>
              </c:strCache>
            </c:strRef>
          </c:cat>
          <c:val>
            <c:numRef>
              <c:f>Прибыль_окупаемость!$D$31:$AM$31</c:f>
              <c:numCache>
                <c:formatCode>_-* #,##0_р_._-;\-* #,##0_р_._-;_-* "-"??_р_._-;_-@_-</c:formatCode>
                <c:ptCount val="36"/>
                <c:pt idx="0">
                  <c:v>-7039768.5250000004</c:v>
                </c:pt>
                <c:pt idx="1">
                  <c:v>-6933535.6100000003</c:v>
                </c:pt>
                <c:pt idx="2">
                  <c:v>-6786200.2650000006</c:v>
                </c:pt>
                <c:pt idx="3">
                  <c:v>-6551164.2150000008</c:v>
                </c:pt>
                <c:pt idx="4">
                  <c:v>-6348923.7150000008</c:v>
                </c:pt>
                <c:pt idx="5">
                  <c:v>-6098101.4650000008</c:v>
                </c:pt>
                <c:pt idx="6">
                  <c:v>-5840228.4650000008</c:v>
                </c:pt>
                <c:pt idx="7">
                  <c:v>-5582355.4650000008</c:v>
                </c:pt>
                <c:pt idx="8">
                  <c:v>-5281017.7150000008</c:v>
                </c:pt>
                <c:pt idx="9">
                  <c:v>-4921637.7150000008</c:v>
                </c:pt>
                <c:pt idx="10">
                  <c:v>-4565024.4650000008</c:v>
                </c:pt>
                <c:pt idx="11">
                  <c:v>-4135553.4650000008</c:v>
                </c:pt>
                <c:pt idx="12">
                  <c:v>-3627661.4650000008</c:v>
                </c:pt>
                <c:pt idx="13">
                  <c:v>-3131699.2150000008</c:v>
                </c:pt>
                <c:pt idx="14">
                  <c:v>-2622200.7150000008</c:v>
                </c:pt>
                <c:pt idx="15">
                  <c:v>-2071111.7150000008</c:v>
                </c:pt>
                <c:pt idx="16">
                  <c:v>-1551557.7150000008</c:v>
                </c:pt>
                <c:pt idx="17">
                  <c:v>-1006597.2150000008</c:v>
                </c:pt>
                <c:pt idx="18">
                  <c:v>-512955.46500000078</c:v>
                </c:pt>
                <c:pt idx="19">
                  <c:v>-69680.465000000782</c:v>
                </c:pt>
                <c:pt idx="20">
                  <c:v>390552.03499999922</c:v>
                </c:pt>
                <c:pt idx="21">
                  <c:v>886514.28499999922</c:v>
                </c:pt>
                <c:pt idx="22">
                  <c:v>1337375.5349999992</c:v>
                </c:pt>
                <c:pt idx="23">
                  <c:v>1833337.7849999992</c:v>
                </c:pt>
                <c:pt idx="24">
                  <c:v>2341229.7849999992</c:v>
                </c:pt>
                <c:pt idx="25">
                  <c:v>2837192.0349999992</c:v>
                </c:pt>
                <c:pt idx="26">
                  <c:v>3346690.5349999992</c:v>
                </c:pt>
                <c:pt idx="27">
                  <c:v>3897779.5349999992</c:v>
                </c:pt>
                <c:pt idx="28">
                  <c:v>4417333.5349999992</c:v>
                </c:pt>
                <c:pt idx="29">
                  <c:v>4962294.0349999992</c:v>
                </c:pt>
                <c:pt idx="30">
                  <c:v>5455935.7849999992</c:v>
                </c:pt>
                <c:pt idx="31">
                  <c:v>5899210.7849999992</c:v>
                </c:pt>
                <c:pt idx="32">
                  <c:v>6359443.2849999992</c:v>
                </c:pt>
                <c:pt idx="33">
                  <c:v>6855405.5349999992</c:v>
                </c:pt>
                <c:pt idx="34">
                  <c:v>7306266.7849999992</c:v>
                </c:pt>
                <c:pt idx="35">
                  <c:v>7802229.0349999992</c:v>
                </c:pt>
              </c:numCache>
            </c:numRef>
          </c:val>
          <c:extLst xmlns:c16r2="http://schemas.microsoft.com/office/drawing/2015/06/chart">
            <c:ext xmlns:c14="http://schemas.microsoft.com/office/drawing/2007/8/2/chart" uri="{6F2FDCE9-48DA-4B69-8628-5D25D57E5C99}">
              <c14:invertSolidFillFmt>
                <c14:spPr xmlns:c14="http://schemas.microsoft.com/office/drawing/2007/8/2/chart">
                  <a:solidFill>
                    <a:srgbClr val="E4130E"/>
                  </a:solidFill>
                  <a:ln>
                    <a:solidFill>
                      <a:schemeClr val="bg1"/>
                    </a:solidFill>
                  </a:ln>
                  <a:effectLst>
                    <a:outerShdw blurRad="40000" dist="23000" dir="5400000" rotWithShape="0">
                      <a:srgbClr val="000000">
                        <a:alpha val="35000"/>
                      </a:srgbClr>
                    </a:outerShdw>
                  </a:effectLst>
                  <a:scene3d>
                    <a:camera prst="orthographicFront"/>
                    <a:lightRig rig="balanced" dir="t"/>
                  </a:scene3d>
                  <a:sp3d prstMaterial="dkEdge">
                    <a:contourClr>
                      <a:srgbClr val="000000"/>
                    </a:contourClr>
                  </a:sp3d>
                </c14:spPr>
              </c14:invertSolidFillFmt>
            </c:ext>
            <c:ext xmlns:c16="http://schemas.microsoft.com/office/drawing/2014/chart" uri="{C3380CC4-5D6E-409C-BE32-E72D297353CC}">
              <c16:uniqueId val="{0000001D-5D9E-4F91-88A4-8839C9CA6824}"/>
            </c:ext>
          </c:extLst>
        </c:ser>
        <c:dLbls>
          <c:showVal val="1"/>
        </c:dLbls>
        <c:gapWidth val="50"/>
        <c:gapDepth val="50"/>
        <c:shape val="cylinder"/>
        <c:axId val="150730240"/>
        <c:axId val="150732160"/>
        <c:axId val="0"/>
      </c:bar3DChart>
      <c:catAx>
        <c:axId val="150730240"/>
        <c:scaling>
          <c:orientation val="minMax"/>
        </c:scaling>
        <c:axPos val="b"/>
        <c:majorGridlines>
          <c:spPr>
            <a:ln>
              <a:solidFill>
                <a:schemeClr val="bg1">
                  <a:lumMod val="85000"/>
                </a:schemeClr>
              </a:solidFill>
            </a:ln>
          </c:spPr>
        </c:majorGridlines>
        <c:title>
          <c:tx>
            <c:rich>
              <a:bodyPr rot="0" vert="horz"/>
              <a:lstStyle/>
              <a:p>
                <a:pPr>
                  <a:defRPr b="0"/>
                </a:pPr>
                <a:r>
                  <a:rPr lang="ru-RU" b="0"/>
                  <a:t>Месяц</a:t>
                </a:r>
              </a:p>
            </c:rich>
          </c:tx>
          <c:layout/>
          <c:spPr>
            <a:noFill/>
            <a:ln>
              <a:noFill/>
            </a:ln>
            <a:effectLst/>
          </c:spPr>
        </c:title>
        <c:numFmt formatCode="General" sourceLinked="1"/>
        <c:minorTickMark val="out"/>
        <c:tickLblPos val="low"/>
        <c:spPr>
          <a:noFill/>
          <a:ln w="12700" cap="flat" cmpd="sng" algn="ctr">
            <a:solidFill>
              <a:schemeClr val="bg1">
                <a:lumMod val="85000"/>
                <a:alpha val="54000"/>
              </a:schemeClr>
            </a:solidFill>
            <a:round/>
          </a:ln>
          <a:effectLst/>
        </c:spPr>
        <c:txPr>
          <a:bodyPr rot="-60000000" vert="horz" anchor="ctr" anchorCtr="1"/>
          <a:lstStyle/>
          <a:p>
            <a:pPr>
              <a:defRPr/>
            </a:pPr>
            <a:endParaRPr lang="ru-RU"/>
          </a:p>
        </c:txPr>
        <c:crossAx val="150732160"/>
        <c:crosses val="autoZero"/>
        <c:lblAlgn val="ctr"/>
        <c:lblOffset val="10"/>
        <c:tickLblSkip val="1"/>
      </c:catAx>
      <c:valAx>
        <c:axId val="150732160"/>
        <c:scaling>
          <c:orientation val="minMax"/>
        </c:scaling>
        <c:axPos val="l"/>
        <c:majorGridlines>
          <c:spPr>
            <a:ln w="9525" cap="flat" cmpd="sng" algn="ctr">
              <a:solidFill>
                <a:schemeClr val="bg1">
                  <a:lumMod val="85000"/>
                </a:schemeClr>
              </a:solidFill>
              <a:round/>
            </a:ln>
            <a:effectLst/>
          </c:spPr>
        </c:majorGridlines>
        <c:title>
          <c:tx>
            <c:rich>
              <a:bodyPr rot="-5400000" vert="horz"/>
              <a:lstStyle/>
              <a:p>
                <a:pPr>
                  <a:defRPr b="0"/>
                </a:pPr>
                <a:r>
                  <a:rPr lang="ru-RU" b="0"/>
                  <a:t>рублей</a:t>
                </a:r>
              </a:p>
            </c:rich>
          </c:tx>
          <c:layout>
            <c:manualLayout>
              <c:xMode val="edge"/>
              <c:yMode val="edge"/>
              <c:x val="2.0481826725311115E-2"/>
              <c:y val="0.47896926630209535"/>
            </c:manualLayout>
          </c:layout>
          <c:spPr>
            <a:noFill/>
            <a:ln>
              <a:noFill/>
            </a:ln>
            <a:effectLst/>
          </c:spPr>
        </c:title>
        <c:numFmt formatCode="_-* #,##0_р_._-;\-* #,##0_р_._-;_-* &quot;-&quot;??_р_._-;_-@_-" sourceLinked="1"/>
        <c:tickLblPos val="nextTo"/>
        <c:spPr>
          <a:noFill/>
          <a:ln>
            <a:noFill/>
          </a:ln>
          <a:effectLst/>
        </c:spPr>
        <c:txPr>
          <a:bodyPr rot="-60000000" vert="horz"/>
          <a:lstStyle/>
          <a:p>
            <a:pPr>
              <a:defRPr/>
            </a:pPr>
            <a:endParaRPr lang="ru-RU"/>
          </a:p>
        </c:txPr>
        <c:crossAx val="150730240"/>
        <c:crosses val="autoZero"/>
        <c:crossBetween val="between"/>
      </c:valAx>
    </c:plotArea>
    <c:plotVisOnly val="1"/>
    <c:dispBlanksAs val="gap"/>
  </c:chart>
  <c:spPr>
    <a:gradFill flip="none" rotWithShape="1">
      <a:gsLst>
        <a:gs pos="0">
          <a:schemeClr val="bg1">
            <a:lumMod val="95000"/>
          </a:schemeClr>
        </a:gs>
        <a:gs pos="100000">
          <a:schemeClr val="bg1">
            <a:lumMod val="95000"/>
          </a:schemeClr>
        </a:gs>
      </a:gsLst>
      <a:path path="circle">
        <a:fillToRect l="50000" t="50000" r="50000" b="50000"/>
      </a:path>
      <a:tileRect/>
    </a:gradFill>
    <a:ln>
      <a:solidFill>
        <a:schemeClr val="bg1">
          <a:lumMod val="65000"/>
        </a:schemeClr>
      </a:solidFill>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ru-RU"/>
    </a:p>
  </c:txPr>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1120588</xdr:colOff>
      <xdr:row>4</xdr:row>
      <xdr:rowOff>100854</xdr:rowOff>
    </xdr:from>
    <xdr:to>
      <xdr:col>2</xdr:col>
      <xdr:colOff>2885434</xdr:colOff>
      <xdr:row>8</xdr:row>
      <xdr:rowOff>87495</xdr:rowOff>
    </xdr:to>
    <xdr:pic>
      <xdr:nvPicPr>
        <xdr:cNvPr id="2" name="Рисунок 1">
          <a:extLst>
            <a:ext uri="{FF2B5EF4-FFF2-40B4-BE49-F238E27FC236}">
              <a16:creationId xmlns:a16="http://schemas.microsoft.com/office/drawing/2014/main" xmlns="" id="{9536516C-854E-4F1B-AE9D-D2431AF1ED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821628" y="1030494"/>
          <a:ext cx="1764846" cy="13049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1170215</xdr:colOff>
      <xdr:row>46</xdr:row>
      <xdr:rowOff>304801</xdr:rowOff>
    </xdr:from>
    <xdr:to>
      <xdr:col>37</xdr:col>
      <xdr:colOff>876300</xdr:colOff>
      <xdr:row>47</xdr:row>
      <xdr:rowOff>4710545</xdr:rowOff>
    </xdr:to>
    <xdr:graphicFrame macro="">
      <xdr:nvGraphicFramePr>
        <xdr:cNvPr id="2" name="Диаграмма 1">
          <a:extLst>
            <a:ext uri="{FF2B5EF4-FFF2-40B4-BE49-F238E27FC236}">
              <a16:creationId xmlns:a16="http://schemas.microsoft.com/office/drawing/2014/main" xmlns=""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112123</xdr:colOff>
      <xdr:row>4</xdr:row>
      <xdr:rowOff>31024</xdr:rowOff>
    </xdr:from>
    <xdr:to>
      <xdr:col>4</xdr:col>
      <xdr:colOff>746468</xdr:colOff>
      <xdr:row>8</xdr:row>
      <xdr:rowOff>53684</xdr:rowOff>
    </xdr:to>
    <xdr:pic>
      <xdr:nvPicPr>
        <xdr:cNvPr id="5" name="Рисунок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150723" y="930184"/>
          <a:ext cx="1784965" cy="1295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3018545</xdr:colOff>
      <xdr:row>4</xdr:row>
      <xdr:rowOff>144637</xdr:rowOff>
    </xdr:from>
    <xdr:to>
      <xdr:col>3</xdr:col>
      <xdr:colOff>4777788</xdr:colOff>
      <xdr:row>4</xdr:row>
      <xdr:rowOff>1471981</xdr:rowOff>
    </xdr:to>
    <xdr:pic>
      <xdr:nvPicPr>
        <xdr:cNvPr id="2" name="Рисунок 1">
          <a:extLst>
            <a:ext uri="{FF2B5EF4-FFF2-40B4-BE49-F238E27FC236}">
              <a16:creationId xmlns:a16="http://schemas.microsoft.com/office/drawing/2014/main" xmlns="" id="{E140F291-9B19-4E91-80D5-510BB4CE40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004663" y="973872"/>
          <a:ext cx="1759243" cy="132734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37408</xdr:colOff>
      <xdr:row>4</xdr:row>
      <xdr:rowOff>136468</xdr:rowOff>
    </xdr:from>
    <xdr:to>
      <xdr:col>4</xdr:col>
      <xdr:colOff>1806577</xdr:colOff>
      <xdr:row>4</xdr:row>
      <xdr:rowOff>1480264</xdr:rowOff>
    </xdr:to>
    <xdr:pic>
      <xdr:nvPicPr>
        <xdr:cNvPr id="3" name="Рисунок 2">
          <a:extLst>
            <a:ext uri="{FF2B5EF4-FFF2-40B4-BE49-F238E27FC236}">
              <a16:creationId xmlns:a16="http://schemas.microsoft.com/office/drawing/2014/main" xmlns="" id="{4FA25A15-5311-434D-BFF3-289F1679A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542608" y="1028008"/>
          <a:ext cx="1769169" cy="134379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2407228</xdr:colOff>
      <xdr:row>4</xdr:row>
      <xdr:rowOff>121228</xdr:rowOff>
    </xdr:from>
    <xdr:to>
      <xdr:col>3</xdr:col>
      <xdr:colOff>4176397</xdr:colOff>
      <xdr:row>4</xdr:row>
      <xdr:rowOff>1465024</xdr:rowOff>
    </xdr:to>
    <xdr:pic>
      <xdr:nvPicPr>
        <xdr:cNvPr id="2" name="Рисунок 1">
          <a:extLst>
            <a:ext uri="{FF2B5EF4-FFF2-40B4-BE49-F238E27FC236}">
              <a16:creationId xmlns:a16="http://schemas.microsoft.com/office/drawing/2014/main" xmlns="" id="{05585501-D2D6-4205-AC2C-62F3B0CBB1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489864" y="1039092"/>
          <a:ext cx="1769169" cy="13437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1341568</xdr:colOff>
      <xdr:row>4</xdr:row>
      <xdr:rowOff>93234</xdr:rowOff>
    </xdr:from>
    <xdr:to>
      <xdr:col>2</xdr:col>
      <xdr:colOff>3100699</xdr:colOff>
      <xdr:row>7</xdr:row>
      <xdr:rowOff>32250</xdr:rowOff>
    </xdr:to>
    <xdr:pic>
      <xdr:nvPicPr>
        <xdr:cNvPr id="3" name="Рисунок 2">
          <a:extLst>
            <a:ext uri="{FF2B5EF4-FFF2-40B4-BE49-F238E27FC236}">
              <a16:creationId xmlns:a16="http://schemas.microsoft.com/office/drawing/2014/main" xmlns="" id="{E471D56C-0893-480D-A8B1-EDD83907B0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042608" y="1022874"/>
          <a:ext cx="1759131" cy="13106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1850571</xdr:colOff>
      <xdr:row>4</xdr:row>
      <xdr:rowOff>122465</xdr:rowOff>
    </xdr:from>
    <xdr:to>
      <xdr:col>2</xdr:col>
      <xdr:colOff>3615417</xdr:colOff>
      <xdr:row>8</xdr:row>
      <xdr:rowOff>22661</xdr:rowOff>
    </xdr:to>
    <xdr:pic>
      <xdr:nvPicPr>
        <xdr:cNvPr id="3" name="Рисунок 2">
          <a:extLst>
            <a:ext uri="{FF2B5EF4-FFF2-40B4-BE49-F238E27FC236}">
              <a16:creationId xmlns:a16="http://schemas.microsoft.com/office/drawing/2014/main" xmlns="" id="{7729C5C3-AE28-42A5-9664-5C54AA464D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408464" y="1006929"/>
          <a:ext cx="1764846" cy="13425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1345506</xdr:colOff>
      <xdr:row>4</xdr:row>
      <xdr:rowOff>144637</xdr:rowOff>
    </xdr:from>
    <xdr:to>
      <xdr:col>2</xdr:col>
      <xdr:colOff>3106430</xdr:colOff>
      <xdr:row>8</xdr:row>
      <xdr:rowOff>43231</xdr:rowOff>
    </xdr:to>
    <xdr:pic>
      <xdr:nvPicPr>
        <xdr:cNvPr id="3" name="Рисунок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5800" y="1018696"/>
          <a:ext cx="1760924" cy="13329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212817</xdr:colOff>
      <xdr:row>4</xdr:row>
      <xdr:rowOff>25582</xdr:rowOff>
    </xdr:from>
    <xdr:to>
      <xdr:col>6</xdr:col>
      <xdr:colOff>720635</xdr:colOff>
      <xdr:row>11</xdr:row>
      <xdr:rowOff>34635</xdr:rowOff>
    </xdr:to>
    <xdr:pic>
      <xdr:nvPicPr>
        <xdr:cNvPr id="3" name="Рисунок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464777" y="901882"/>
          <a:ext cx="1810838" cy="12358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8965</xdr:colOff>
      <xdr:row>0</xdr:row>
      <xdr:rowOff>0</xdr:rowOff>
    </xdr:from>
    <xdr:to>
      <xdr:col>9</xdr:col>
      <xdr:colOff>542365</xdr:colOff>
      <xdr:row>65</xdr:row>
      <xdr:rowOff>0</xdr:rowOff>
    </xdr:to>
    <xdr:graphicFrame macro="">
      <xdr:nvGraphicFramePr>
        <xdr:cNvPr id="5" name="Диаграмма 4">
          <a:extLst>
            <a:ext uri="{FF2B5EF4-FFF2-40B4-BE49-F238E27FC236}">
              <a16:creationId xmlns:a16="http://schemas.microsoft.com/office/drawing/2014/main" xmlns="" id="{085644A2-E2D5-4622-9BD2-3FE815079F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0.43598</cdr:x>
      <cdr:y>0.96238</cdr:y>
    </cdr:from>
    <cdr:to>
      <cdr:x>0.52953</cdr:x>
      <cdr:y>0.99293</cdr:y>
    </cdr:to>
    <cdr:sp macro="" textlink="'Этапы запуска проекта'!$F$2">
      <cdr:nvSpPr>
        <cdr:cNvPr id="2" name="Прямоугольник 1">
          <a:extLst xmlns:a="http://schemas.openxmlformats.org/drawingml/2006/main">
            <a:ext uri="{FF2B5EF4-FFF2-40B4-BE49-F238E27FC236}">
              <a16:creationId xmlns:a16="http://schemas.microsoft.com/office/drawing/2014/main" xmlns="" id="{BA1D1832-3CFD-4FAE-8851-BE964190E708}"/>
            </a:ext>
          </a:extLst>
        </cdr:cNvPr>
        <cdr:cNvSpPr/>
      </cdr:nvSpPr>
      <cdr:spPr>
        <a:xfrm xmlns:a="http://schemas.openxmlformats.org/drawingml/2006/main">
          <a:off x="7722533" y="15240000"/>
          <a:ext cx="1656994" cy="483858"/>
        </a:xfrm>
        <a:prstGeom xmlns:a="http://schemas.openxmlformats.org/drawingml/2006/main" prst="rect">
          <a:avLst/>
        </a:prstGeom>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ctr"/>
          <a:fld id="{FB436219-23D7-46B8-9FD1-4E3562CA1ABE}" type="TxLink">
            <a:rPr lang="ru-RU" sz="1600" b="1" i="0" u="none" strike="noStrike">
              <a:solidFill>
                <a:srgbClr val="000000"/>
              </a:solidFill>
              <a:latin typeface="Calibri"/>
              <a:cs typeface="Calibri"/>
            </a:rPr>
            <a:pPr algn="ctr"/>
            <a:t>Январь</a:t>
          </a:fld>
          <a:endParaRPr lang="ru-RU" sz="1600">
            <a:solidFill>
              <a:sysClr val="windowText" lastClr="000000"/>
            </a:solidFill>
          </a:endParaRPr>
        </a:p>
      </cdr:txBody>
    </cdr:sp>
  </cdr:relSizeAnchor>
  <cdr:relSizeAnchor xmlns:cdr="http://schemas.openxmlformats.org/drawingml/2006/chartDrawing">
    <cdr:from>
      <cdr:x>0.52994</cdr:x>
      <cdr:y>0.96247</cdr:y>
    </cdr:from>
    <cdr:to>
      <cdr:x>0.62434</cdr:x>
      <cdr:y>0.99318</cdr:y>
    </cdr:to>
    <cdr:sp macro="" textlink="'Этапы запуска проекта'!$F$3">
      <cdr:nvSpPr>
        <cdr:cNvPr id="5" name="Прямоугольник 4">
          <a:extLst xmlns:a="http://schemas.openxmlformats.org/drawingml/2006/main">
            <a:ext uri="{FF2B5EF4-FFF2-40B4-BE49-F238E27FC236}">
              <a16:creationId xmlns:a16="http://schemas.microsoft.com/office/drawing/2014/main" xmlns="" id="{CB7EC738-EC68-43AE-913C-C85ACD75DEB3}"/>
            </a:ext>
          </a:extLst>
        </cdr:cNvPr>
        <cdr:cNvSpPr/>
      </cdr:nvSpPr>
      <cdr:spPr>
        <a:xfrm xmlns:a="http://schemas.openxmlformats.org/drawingml/2006/main">
          <a:off x="9389903" y="15185739"/>
          <a:ext cx="1672543" cy="484567"/>
        </a:xfrm>
        <a:prstGeom xmlns:a="http://schemas.openxmlformats.org/drawingml/2006/main" prst="rect">
          <a:avLst/>
        </a:prstGeom>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ctr"/>
          <a:fld id="{72C0F885-3C80-48F1-B678-82B090F82A47}" type="TxLink">
            <a:rPr lang="ru-RU" sz="1600" b="1" i="0" u="none" strike="noStrike">
              <a:solidFill>
                <a:srgbClr val="000000"/>
              </a:solidFill>
              <a:latin typeface="Calibri"/>
              <a:cs typeface="Calibri"/>
            </a:rPr>
            <a:pPr algn="ctr"/>
            <a:t>Февраль</a:t>
          </a:fld>
          <a:endParaRPr lang="ru-RU" sz="1600">
            <a:solidFill>
              <a:sysClr val="windowText" lastClr="000000"/>
            </a:solidFill>
          </a:endParaRPr>
        </a:p>
      </cdr:txBody>
    </cdr:sp>
  </cdr:relSizeAnchor>
  <cdr:relSizeAnchor xmlns:cdr="http://schemas.openxmlformats.org/drawingml/2006/chartDrawing">
    <cdr:from>
      <cdr:x>0.62435</cdr:x>
      <cdr:y>0.96239</cdr:y>
    </cdr:from>
    <cdr:to>
      <cdr:x>0.71642</cdr:x>
      <cdr:y>0.99318</cdr:y>
    </cdr:to>
    <cdr:sp macro="" textlink="'Этапы запуска проекта'!$F$4">
      <cdr:nvSpPr>
        <cdr:cNvPr id="6" name="Прямоугольник 5">
          <a:extLst xmlns:a="http://schemas.openxmlformats.org/drawingml/2006/main">
            <a:ext uri="{FF2B5EF4-FFF2-40B4-BE49-F238E27FC236}">
              <a16:creationId xmlns:a16="http://schemas.microsoft.com/office/drawing/2014/main" xmlns="" id="{52EF624E-D2BE-40FA-9DCB-43F47AE04CCE}"/>
            </a:ext>
          </a:extLst>
        </cdr:cNvPr>
        <cdr:cNvSpPr/>
      </cdr:nvSpPr>
      <cdr:spPr>
        <a:xfrm xmlns:a="http://schemas.openxmlformats.org/drawingml/2006/main">
          <a:off x="11062640" y="15184473"/>
          <a:ext cx="1631384" cy="485833"/>
        </a:xfrm>
        <a:prstGeom xmlns:a="http://schemas.openxmlformats.org/drawingml/2006/main" prst="rect">
          <a:avLst/>
        </a:prstGeom>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ctr"/>
          <a:fld id="{481165F5-2571-4E76-95C7-9FE903D76383}" type="TxLink">
            <a:rPr lang="ru-RU" sz="1600" b="1" i="0" u="none" strike="noStrike">
              <a:solidFill>
                <a:srgbClr val="000000"/>
              </a:solidFill>
              <a:latin typeface="Calibri"/>
              <a:cs typeface="Calibri"/>
            </a:rPr>
            <a:pPr algn="ctr"/>
            <a:t>Март</a:t>
          </a:fld>
          <a:endParaRPr lang="ru-RU" sz="1600">
            <a:solidFill>
              <a:sysClr val="windowText" lastClr="000000"/>
            </a:solidFill>
          </a:endParaRPr>
        </a:p>
      </cdr:txBody>
    </cdr:sp>
  </cdr:relSizeAnchor>
  <cdr:relSizeAnchor xmlns:cdr="http://schemas.openxmlformats.org/drawingml/2006/chartDrawing">
    <cdr:from>
      <cdr:x>0.71649</cdr:x>
      <cdr:y>0.9625</cdr:y>
    </cdr:from>
    <cdr:to>
      <cdr:x>0.80901</cdr:x>
      <cdr:y>0.99318</cdr:y>
    </cdr:to>
    <cdr:sp macro="" textlink="'Этапы запуска проекта'!$F$5">
      <cdr:nvSpPr>
        <cdr:cNvPr id="7" name="Прямоугольник 6">
          <a:extLst xmlns:a="http://schemas.openxmlformats.org/drawingml/2006/main">
            <a:ext uri="{FF2B5EF4-FFF2-40B4-BE49-F238E27FC236}">
              <a16:creationId xmlns:a16="http://schemas.microsoft.com/office/drawing/2014/main" xmlns="" id="{F11769C6-39F1-4509-91CE-AE5B32EE6CE5}"/>
            </a:ext>
          </a:extLst>
        </cdr:cNvPr>
        <cdr:cNvSpPr/>
      </cdr:nvSpPr>
      <cdr:spPr>
        <a:xfrm xmlns:a="http://schemas.openxmlformats.org/drawingml/2006/main">
          <a:off x="12695353" y="15186209"/>
          <a:ext cx="1639212" cy="484097"/>
        </a:xfrm>
        <a:prstGeom xmlns:a="http://schemas.openxmlformats.org/drawingml/2006/main" prst="rect">
          <a:avLst/>
        </a:prstGeom>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ctr"/>
          <a:fld id="{D10E1F35-385F-4B86-A545-90572EB1A0F7}" type="TxLink">
            <a:rPr lang="ru-RU" sz="1600" b="1" i="0" u="none" strike="noStrike">
              <a:solidFill>
                <a:srgbClr val="000000"/>
              </a:solidFill>
              <a:latin typeface="Calibri"/>
              <a:cs typeface="Calibri"/>
            </a:rPr>
            <a:pPr algn="ctr"/>
            <a:t>Апрель</a:t>
          </a:fld>
          <a:endParaRPr lang="ru-RU" sz="1600">
            <a:solidFill>
              <a:sysClr val="windowText" lastClr="000000"/>
            </a:solidFill>
          </a:endParaRPr>
        </a:p>
      </cdr:txBody>
    </cdr:sp>
  </cdr:relSizeAnchor>
  <cdr:relSizeAnchor xmlns:cdr="http://schemas.openxmlformats.org/drawingml/2006/chartDrawing">
    <cdr:from>
      <cdr:x>0.8092</cdr:x>
      <cdr:y>0.9625</cdr:y>
    </cdr:from>
    <cdr:to>
      <cdr:x>0.90311</cdr:x>
      <cdr:y>0.99318</cdr:y>
    </cdr:to>
    <cdr:sp macro="" textlink="'Этапы запуска проекта'!$F$6">
      <cdr:nvSpPr>
        <cdr:cNvPr id="8" name="Прямоугольник 7">
          <a:extLst xmlns:a="http://schemas.openxmlformats.org/drawingml/2006/main">
            <a:ext uri="{FF2B5EF4-FFF2-40B4-BE49-F238E27FC236}">
              <a16:creationId xmlns:a16="http://schemas.microsoft.com/office/drawing/2014/main" xmlns="" id="{0B9694CA-BE36-452D-8F44-4D6B3A744C61}"/>
            </a:ext>
          </a:extLst>
        </cdr:cNvPr>
        <cdr:cNvSpPr/>
      </cdr:nvSpPr>
      <cdr:spPr>
        <a:xfrm xmlns:a="http://schemas.openxmlformats.org/drawingml/2006/main">
          <a:off x="14337918" y="15186208"/>
          <a:ext cx="1664082" cy="484098"/>
        </a:xfrm>
        <a:prstGeom xmlns:a="http://schemas.openxmlformats.org/drawingml/2006/main" prst="rect">
          <a:avLst/>
        </a:prstGeom>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ctr"/>
          <a:fld id="{5F851C33-2509-44E8-9F7A-5D0968D81A21}" type="TxLink">
            <a:rPr lang="ru-RU" sz="1600" b="1" i="0" u="none" strike="noStrike">
              <a:solidFill>
                <a:srgbClr val="000000"/>
              </a:solidFill>
              <a:latin typeface="Calibri"/>
              <a:cs typeface="Calibri"/>
            </a:rPr>
            <a:pPr algn="ctr"/>
            <a:t>Май</a:t>
          </a:fld>
          <a:endParaRPr lang="ru-RU" sz="1600" b="1">
            <a:solidFill>
              <a:sysClr val="windowText" lastClr="000000"/>
            </a:solidFill>
          </a:endParaRPr>
        </a:p>
      </cdr:txBody>
    </cdr:sp>
  </cdr:relSizeAnchor>
  <cdr:relSizeAnchor xmlns:cdr="http://schemas.openxmlformats.org/drawingml/2006/chartDrawing">
    <cdr:from>
      <cdr:x>0.9025</cdr:x>
      <cdr:y>0.96239</cdr:y>
    </cdr:from>
    <cdr:to>
      <cdr:x>0.99772</cdr:x>
      <cdr:y>0.99318</cdr:y>
    </cdr:to>
    <cdr:sp macro="" textlink="'Этапы запуска проекта'!$F$7">
      <cdr:nvSpPr>
        <cdr:cNvPr id="9" name="Прямоугольник 8">
          <a:extLst xmlns:a="http://schemas.openxmlformats.org/drawingml/2006/main">
            <a:ext uri="{FF2B5EF4-FFF2-40B4-BE49-F238E27FC236}">
              <a16:creationId xmlns:a16="http://schemas.microsoft.com/office/drawing/2014/main" xmlns="" id="{54EFE549-6F4D-4C21-A32F-7C010158D0BC}"/>
            </a:ext>
          </a:extLst>
        </cdr:cNvPr>
        <cdr:cNvSpPr/>
      </cdr:nvSpPr>
      <cdr:spPr>
        <a:xfrm xmlns:a="http://schemas.openxmlformats.org/drawingml/2006/main">
          <a:off x="15991115" y="15184473"/>
          <a:ext cx="1687284" cy="485833"/>
        </a:xfrm>
        <a:prstGeom xmlns:a="http://schemas.openxmlformats.org/drawingml/2006/main" prst="rect">
          <a:avLst/>
        </a:prstGeom>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ctr"/>
          <a:fld id="{4AA6B51B-A185-4026-B62F-67605CA1F09C}" type="TxLink">
            <a:rPr lang="ru-RU" sz="1600" b="1" i="0" u="none" strike="noStrike">
              <a:solidFill>
                <a:srgbClr val="000000"/>
              </a:solidFill>
              <a:latin typeface="Calibri"/>
              <a:cs typeface="Calibri"/>
            </a:rPr>
            <a:pPr algn="ctr"/>
            <a:t>Июнь</a:t>
          </a:fld>
          <a:endParaRPr lang="ru-RU" sz="1600" b="1">
            <a:solidFill>
              <a:sysClr val="windowText" lastClr="000000"/>
            </a:solidFill>
          </a:endParaRPr>
        </a:p>
      </cdr:txBody>
    </cdr:sp>
  </cdr:relSizeAnchor>
  <cdr:relSizeAnchor xmlns:cdr="http://schemas.openxmlformats.org/drawingml/2006/chartDrawing">
    <cdr:from>
      <cdr:x>0.02804</cdr:x>
      <cdr:y>0.0108</cdr:y>
    </cdr:from>
    <cdr:to>
      <cdr:x>0.09749</cdr:x>
      <cdr:y>0.09469</cdr:y>
    </cdr:to>
    <cdr:pic>
      <cdr:nvPicPr>
        <cdr:cNvPr id="12" name="Рисунок 11">
          <a:extLst xmlns:a="http://schemas.openxmlformats.org/drawingml/2006/main">
            <a:ext uri="{FF2B5EF4-FFF2-40B4-BE49-F238E27FC236}">
              <a16:creationId xmlns:a16="http://schemas.microsoft.com/office/drawing/2014/main" xmlns="" id="{CF1D8BF9-651F-419A-A1E2-726741B7DC3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xmlns="" val="0"/>
            </a:ext>
          </a:extLst>
        </a:blip>
        <a:stretch xmlns:a="http://schemas.openxmlformats.org/drawingml/2006/main">
          <a:fillRect/>
        </a:stretch>
      </cdr:blipFill>
      <cdr:spPr>
        <a:xfrm xmlns:a="http://schemas.openxmlformats.org/drawingml/2006/main">
          <a:off x="496766" y="170330"/>
          <a:ext cx="1230566" cy="1323607"/>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twoCellAnchor editAs="oneCell">
    <xdr:from>
      <xdr:col>3</xdr:col>
      <xdr:colOff>841512</xdr:colOff>
      <xdr:row>4</xdr:row>
      <xdr:rowOff>50843</xdr:rowOff>
    </xdr:from>
    <xdr:to>
      <xdr:col>4</xdr:col>
      <xdr:colOff>1236360</xdr:colOff>
      <xdr:row>11</xdr:row>
      <xdr:rowOff>39911</xdr:rowOff>
    </xdr:to>
    <xdr:pic>
      <xdr:nvPicPr>
        <xdr:cNvPr id="7" name="Рисунок 6">
          <a:extLst>
            <a:ext uri="{FF2B5EF4-FFF2-40B4-BE49-F238E27FC236}">
              <a16:creationId xmlns:a16="http://schemas.microsoft.com/office/drawing/2014/main" xmlns="" id="{C46CFFBD-BFE6-4170-B487-A93CE4344C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590405" y="948914"/>
          <a:ext cx="1769169" cy="134379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299357</xdr:colOff>
      <xdr:row>4</xdr:row>
      <xdr:rowOff>163284</xdr:rowOff>
    </xdr:from>
    <xdr:to>
      <xdr:col>11</xdr:col>
      <xdr:colOff>517071</xdr:colOff>
      <xdr:row>11</xdr:row>
      <xdr:rowOff>172337</xdr:rowOff>
    </xdr:to>
    <xdr:pic>
      <xdr:nvPicPr>
        <xdr:cNvPr id="4" name="Рисунок 3">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266214" y="1129391"/>
          <a:ext cx="1768928" cy="1342553"/>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F25"/>
  <sheetViews>
    <sheetView tabSelected="1" view="pageBreakPreview" zoomScaleNormal="85" zoomScaleSheetLayoutView="100" workbookViewId="0">
      <selection activeCell="E8" sqref="E8"/>
    </sheetView>
  </sheetViews>
  <sheetFormatPr defaultColWidth="15.28515625" defaultRowHeight="15" customHeight="1"/>
  <cols>
    <col min="1" max="1" width="6.7109375" style="1" customWidth="1"/>
    <col min="2" max="2" width="3.42578125" style="1" customWidth="1"/>
    <col min="3" max="3" width="52.28515625" style="381" customWidth="1"/>
    <col min="4" max="4" width="40.28515625" style="381" customWidth="1"/>
    <col min="5" max="5" width="24.28515625" style="381" customWidth="1"/>
    <col min="6" max="6" width="4.42578125" style="1" customWidth="1"/>
    <col min="7" max="16384" width="15.28515625" style="381"/>
  </cols>
  <sheetData>
    <row r="1" spans="2:5" ht="15.75" thickBot="1">
      <c r="C1" s="2"/>
      <c r="D1" s="3"/>
      <c r="E1" s="3"/>
    </row>
    <row r="2" spans="2:5">
      <c r="B2" s="4"/>
      <c r="C2" s="5"/>
      <c r="D2" s="6"/>
      <c r="E2" s="7"/>
    </row>
    <row r="3" spans="2:5" ht="20.25">
      <c r="B3" s="487" t="s">
        <v>352</v>
      </c>
      <c r="C3" s="488"/>
      <c r="D3" s="488"/>
      <c r="E3" s="489"/>
    </row>
    <row r="4" spans="2:5" ht="24.75" customHeight="1">
      <c r="B4" s="490" t="s">
        <v>287</v>
      </c>
      <c r="C4" s="491"/>
      <c r="D4" s="491"/>
      <c r="E4" s="492"/>
    </row>
    <row r="5" spans="2:5" ht="60" customHeight="1">
      <c r="B5" s="8"/>
      <c r="C5" s="2"/>
      <c r="D5" s="3"/>
      <c r="E5" s="383"/>
    </row>
    <row r="6" spans="2:5">
      <c r="B6" s="8"/>
      <c r="C6" s="32"/>
      <c r="D6" s="3"/>
      <c r="E6" s="382"/>
    </row>
    <row r="7" spans="2:5">
      <c r="B7" s="8"/>
      <c r="C7" s="32"/>
      <c r="D7" s="3"/>
      <c r="E7" s="383"/>
    </row>
    <row r="8" spans="2:5" ht="16.5" customHeight="1">
      <c r="B8" s="8"/>
      <c r="C8" s="32"/>
      <c r="D8" s="3"/>
      <c r="E8" s="382"/>
    </row>
    <row r="9" spans="2:5" ht="15.75" customHeight="1">
      <c r="B9" s="8"/>
      <c r="C9" s="1"/>
      <c r="D9" s="3"/>
      <c r="E9" s="383"/>
    </row>
    <row r="10" spans="2:5" ht="22.5">
      <c r="B10" s="8"/>
      <c r="C10" s="486" t="s">
        <v>6</v>
      </c>
      <c r="D10" s="486" t="s">
        <v>7</v>
      </c>
      <c r="E10" s="382"/>
    </row>
    <row r="11" spans="2:5" ht="18.75">
      <c r="B11" s="8"/>
      <c r="C11" s="480" t="s">
        <v>420</v>
      </c>
      <c r="D11" s="481">
        <f>'Инвестиции на орг-цию бизнеса'!D79</f>
        <v>7089505</v>
      </c>
      <c r="E11" s="382"/>
    </row>
    <row r="12" spans="2:5" ht="18.75">
      <c r="B12" s="8"/>
      <c r="C12" s="482" t="s">
        <v>353</v>
      </c>
      <c r="D12" s="483" t="str">
        <f>'Входящие данные'!D10</f>
        <v>Май</v>
      </c>
      <c r="E12" s="382"/>
    </row>
    <row r="13" spans="2:5" ht="18.75">
      <c r="B13" s="8"/>
      <c r="C13" s="482" t="s">
        <v>354</v>
      </c>
      <c r="D13" s="481" t="str">
        <f>'Входящие данные'!D12</f>
        <v>Полный платеж</v>
      </c>
      <c r="E13" s="382"/>
    </row>
    <row r="14" spans="2:5" ht="37.5">
      <c r="B14" s="8"/>
      <c r="C14" s="482" t="s">
        <v>356</v>
      </c>
      <c r="D14" s="481">
        <f>AVERAGE(Прибыль_окупаемость!D24:BK24)</f>
        <v>0</v>
      </c>
      <c r="E14" s="382"/>
    </row>
    <row r="15" spans="2:5" ht="18.75">
      <c r="B15" s="8"/>
      <c r="C15" s="482" t="s">
        <v>61</v>
      </c>
      <c r="D15" s="481">
        <f>Продажи!D16</f>
        <v>891.79303064483963</v>
      </c>
      <c r="E15" s="382"/>
    </row>
    <row r="16" spans="2:5" ht="37.5">
      <c r="B16" s="8"/>
      <c r="C16" s="482" t="s">
        <v>355</v>
      </c>
      <c r="D16" s="481">
        <f>'Ежемесячные затраты - средние'!D31</f>
        <v>287449.04166666669</v>
      </c>
      <c r="E16" s="382"/>
    </row>
    <row r="17" spans="2:5" ht="18.75">
      <c r="B17" s="8"/>
      <c r="C17" s="482" t="s">
        <v>419</v>
      </c>
      <c r="D17" s="481">
        <f>AVERAGE(Прибыль_окупаемость!D14:BK14)</f>
        <v>962068.66666666663</v>
      </c>
      <c r="E17" s="382"/>
    </row>
    <row r="18" spans="2:5" ht="37.5">
      <c r="B18" s="8"/>
      <c r="C18" s="482" t="s">
        <v>52</v>
      </c>
      <c r="D18" s="481">
        <f>Прибыль_окупаемость!F40</f>
        <v>25</v>
      </c>
      <c r="E18" s="382"/>
    </row>
    <row r="19" spans="2:5" ht="37.5">
      <c r="B19" s="8"/>
      <c r="C19" s="482" t="s">
        <v>55</v>
      </c>
      <c r="D19" s="481">
        <f>Прибыль_окупаемость!F43</f>
        <v>10559141.879749663</v>
      </c>
      <c r="E19" s="382"/>
    </row>
    <row r="20" spans="2:5" ht="37.5">
      <c r="B20" s="8"/>
      <c r="C20" s="482" t="s">
        <v>56</v>
      </c>
      <c r="D20" s="484">
        <f>Прибыль_окупаемость!F44</f>
        <v>1.4894046734926716</v>
      </c>
      <c r="E20" s="382"/>
    </row>
    <row r="21" spans="2:5" ht="37.5">
      <c r="B21" s="8"/>
      <c r="C21" s="482" t="s">
        <v>57</v>
      </c>
      <c r="D21" s="485">
        <f>Прибыль_окупаемость!F46</f>
        <v>5.2294226448859754E-2</v>
      </c>
      <c r="E21" s="382"/>
    </row>
    <row r="22" spans="2:5" ht="15" customHeight="1" thickBot="1">
      <c r="B22" s="11"/>
      <c r="C22" s="12"/>
      <c r="D22" s="12"/>
      <c r="E22" s="13"/>
    </row>
    <row r="23" spans="2:5" ht="15" customHeight="1">
      <c r="C23" s="1"/>
      <c r="D23" s="1"/>
      <c r="E23" s="1"/>
    </row>
    <row r="24" spans="2:5" ht="15" customHeight="1">
      <c r="C24" s="1"/>
      <c r="D24" s="1"/>
      <c r="E24" s="1"/>
    </row>
    <row r="25" spans="2:5" ht="15" customHeight="1">
      <c r="C25" s="1"/>
      <c r="D25" s="1"/>
      <c r="E25" s="1"/>
    </row>
  </sheetData>
  <mergeCells count="2">
    <mergeCell ref="B3:E3"/>
    <mergeCell ref="B4:E4"/>
  </mergeCells>
  <pageMargins left="0.7" right="0.7" top="0.75" bottom="0.75" header="0.3" footer="0.3"/>
  <pageSetup paperSize="9" scale="88" orientation="landscape" r:id="rId1"/>
  <drawing r:id="rId2"/>
</worksheet>
</file>

<file path=xl/worksheets/sheet10.xml><?xml version="1.0" encoding="utf-8"?>
<worksheet xmlns="http://schemas.openxmlformats.org/spreadsheetml/2006/main" xmlns:r="http://schemas.openxmlformats.org/officeDocument/2006/relationships">
  <dimension ref="B1:AD958"/>
  <sheetViews>
    <sheetView view="pageBreakPreview" zoomScaleNormal="85" zoomScaleSheetLayoutView="100" workbookViewId="0">
      <selection activeCell="J8" sqref="J8"/>
    </sheetView>
  </sheetViews>
  <sheetFormatPr defaultColWidth="14.42578125" defaultRowHeight="15" customHeight="1"/>
  <cols>
    <col min="1" max="1" width="5" style="94" customWidth="1"/>
    <col min="2" max="2" width="4.28515625" style="94" customWidth="1"/>
    <col min="3" max="3" width="5.5703125" style="94" bestFit="1" customWidth="1"/>
    <col min="4" max="4" width="80.5703125" style="94" customWidth="1"/>
    <col min="5" max="5" width="28.5703125" style="94" bestFit="1" customWidth="1"/>
    <col min="6" max="6" width="12.7109375" style="145" customWidth="1"/>
    <col min="7" max="7" width="28.5703125" style="94" hidden="1" customWidth="1"/>
    <col min="8" max="8" width="5" style="94" customWidth="1"/>
    <col min="9" max="9" width="4.140625" style="94" customWidth="1"/>
    <col min="10" max="30" width="14.42578125" style="94" customWidth="1"/>
    <col min="31" max="16384" width="14.42578125" style="94"/>
  </cols>
  <sheetData>
    <row r="1" spans="2:30" ht="15" customHeight="1" thickBot="1"/>
    <row r="2" spans="2:30" ht="15" customHeight="1">
      <c r="B2" s="4"/>
      <c r="C2" s="15"/>
      <c r="D2" s="15"/>
      <c r="E2" s="15"/>
      <c r="F2" s="15"/>
      <c r="G2" s="15"/>
      <c r="H2" s="16"/>
    </row>
    <row r="3" spans="2:30" ht="20.25">
      <c r="B3" s="476" t="s">
        <v>276</v>
      </c>
      <c r="C3" s="477"/>
      <c r="D3" s="477"/>
      <c r="E3" s="477"/>
      <c r="F3" s="477"/>
      <c r="G3" s="477"/>
      <c r="H3" s="478"/>
    </row>
    <row r="4" spans="2:30" ht="15" customHeight="1">
      <c r="B4" s="476" t="str">
        <f>Прибыль_окупаемость!B4</f>
        <v>по франшизе "АКСИОМА"</v>
      </c>
      <c r="C4" s="477"/>
      <c r="D4" s="477"/>
      <c r="E4" s="477"/>
      <c r="F4" s="477"/>
      <c r="G4" s="477"/>
      <c r="H4" s="478"/>
    </row>
    <row r="5" spans="2:30" ht="129" customHeight="1" thickBot="1">
      <c r="B5" s="8"/>
      <c r="C5" s="1"/>
      <c r="D5" s="1"/>
      <c r="E5" s="1"/>
      <c r="F5" s="1"/>
      <c r="G5" s="1" t="str">
        <f>'Входящие данные'!D13</f>
        <v>OP-300 Maxio Ceph, 150*80 мм с цефалостатом</v>
      </c>
      <c r="H5" s="10"/>
    </row>
    <row r="6" spans="2:30" s="142" customFormat="1" ht="27" thickBot="1">
      <c r="B6" s="8"/>
      <c r="C6" s="184" t="s">
        <v>262</v>
      </c>
      <c r="D6" s="185" t="s">
        <v>260</v>
      </c>
      <c r="E6" s="185" t="s">
        <v>261</v>
      </c>
      <c r="F6" s="186" t="s">
        <v>277</v>
      </c>
      <c r="G6" s="468" t="s">
        <v>410</v>
      </c>
      <c r="H6" s="10"/>
    </row>
    <row r="7" spans="2:30" s="143" customFormat="1" ht="23.25" customHeight="1">
      <c r="B7" s="8"/>
      <c r="C7" s="187"/>
      <c r="D7" s="188" t="s">
        <v>243</v>
      </c>
      <c r="E7" s="189"/>
      <c r="F7" s="190">
        <f>G7/SUM($G$7,$G$11,$G$17,$G$21,$G$35)</f>
        <v>0.58963398343574669</v>
      </c>
      <c r="G7" s="461">
        <f>SUM(G8:G10)</f>
        <v>571.46556188503371</v>
      </c>
      <c r="H7" s="10"/>
      <c r="I7" s="139"/>
      <c r="J7" s="139"/>
      <c r="K7" s="139"/>
      <c r="L7" s="139"/>
      <c r="M7" s="139"/>
      <c r="N7" s="139"/>
      <c r="O7" s="139"/>
      <c r="P7" s="139"/>
      <c r="Q7" s="139"/>
      <c r="R7" s="139"/>
      <c r="S7" s="139"/>
      <c r="T7" s="139"/>
      <c r="U7" s="139"/>
      <c r="V7" s="139"/>
      <c r="W7" s="139"/>
      <c r="X7" s="139"/>
      <c r="Y7" s="139"/>
      <c r="Z7" s="139"/>
      <c r="AA7" s="139"/>
      <c r="AB7" s="139"/>
      <c r="AC7" s="139"/>
      <c r="AD7" s="139"/>
    </row>
    <row r="8" spans="2:30">
      <c r="B8" s="8"/>
      <c r="C8" s="171">
        <v>1</v>
      </c>
      <c r="D8" s="128" t="s">
        <v>93</v>
      </c>
      <c r="E8" s="127">
        <v>650</v>
      </c>
      <c r="F8" s="172">
        <f>G8/$G$7</f>
        <v>0.87494336202990475</v>
      </c>
      <c r="G8" s="462">
        <v>500</v>
      </c>
      <c r="H8" s="10"/>
      <c r="I8" s="311"/>
      <c r="J8" s="129"/>
      <c r="K8" s="129"/>
      <c r="L8" s="129"/>
      <c r="M8" s="129"/>
      <c r="N8" s="129"/>
      <c r="O8" s="129"/>
      <c r="P8" s="129"/>
      <c r="Q8" s="129"/>
      <c r="R8" s="129"/>
      <c r="S8" s="129"/>
      <c r="T8" s="129"/>
      <c r="U8" s="129"/>
      <c r="V8" s="129"/>
      <c r="W8" s="129"/>
      <c r="X8" s="129"/>
      <c r="Y8" s="129"/>
      <c r="Z8" s="129"/>
      <c r="AA8" s="129"/>
      <c r="AB8" s="129"/>
      <c r="AC8" s="129"/>
      <c r="AD8" s="129"/>
    </row>
    <row r="9" spans="2:30" ht="25.5">
      <c r="B9" s="8"/>
      <c r="C9" s="173">
        <f>C8+1</f>
        <v>2</v>
      </c>
      <c r="D9" s="130" t="s">
        <v>94</v>
      </c>
      <c r="E9" s="131">
        <v>900</v>
      </c>
      <c r="F9" s="172">
        <f>G9/$G$7</f>
        <v>5.8903488898957856E-3</v>
      </c>
      <c r="G9" s="463">
        <v>3.3661315380631796</v>
      </c>
      <c r="H9" s="10"/>
      <c r="I9" s="129"/>
      <c r="J9" s="129"/>
      <c r="K9" s="129"/>
      <c r="L9" s="129"/>
      <c r="M9" s="129"/>
      <c r="N9" s="129"/>
      <c r="O9" s="129"/>
      <c r="P9" s="129"/>
      <c r="Q9" s="129"/>
      <c r="R9" s="129"/>
      <c r="S9" s="129"/>
      <c r="T9" s="129"/>
      <c r="U9" s="129"/>
      <c r="V9" s="129"/>
      <c r="W9" s="129"/>
      <c r="X9" s="129"/>
      <c r="Y9" s="129"/>
      <c r="Z9" s="129"/>
      <c r="AA9" s="129"/>
      <c r="AB9" s="129"/>
      <c r="AC9" s="129"/>
      <c r="AD9" s="129"/>
    </row>
    <row r="10" spans="2:30" ht="26.25" thickBot="1">
      <c r="B10" s="8"/>
      <c r="C10" s="176">
        <f>C9+1</f>
        <v>3</v>
      </c>
      <c r="D10" s="191" t="s">
        <v>253</v>
      </c>
      <c r="E10" s="192">
        <v>900</v>
      </c>
      <c r="F10" s="179">
        <f>G10/$G$7</f>
        <v>0.11916628908019937</v>
      </c>
      <c r="G10" s="464">
        <f>IF($G$5='Data 2'!$C$3,68.0994303469705,IF($G$5='Data 2'!$C$4,68.0994303469705,0))</f>
        <v>68.099430346970493</v>
      </c>
      <c r="H10" s="10"/>
      <c r="I10" s="129"/>
      <c r="J10" s="129"/>
      <c r="K10" s="129"/>
      <c r="L10" s="129"/>
      <c r="M10" s="129"/>
      <c r="N10" s="129"/>
      <c r="O10" s="129"/>
      <c r="P10" s="129"/>
      <c r="Q10" s="129"/>
      <c r="R10" s="129"/>
      <c r="S10" s="129"/>
      <c r="T10" s="129"/>
      <c r="U10" s="129"/>
      <c r="V10" s="129"/>
      <c r="W10" s="129"/>
      <c r="X10" s="129"/>
      <c r="Y10" s="129"/>
      <c r="Z10" s="129"/>
      <c r="AA10" s="129"/>
      <c r="AB10" s="129"/>
      <c r="AC10" s="129"/>
      <c r="AD10" s="129"/>
    </row>
    <row r="11" spans="2:30" s="143" customFormat="1" ht="23.25" customHeight="1">
      <c r="B11" s="8"/>
      <c r="C11" s="180"/>
      <c r="D11" s="181" t="s">
        <v>107</v>
      </c>
      <c r="E11" s="182"/>
      <c r="F11" s="183">
        <f>G11/SUM($G$7,$G$11,$G$17,$G$21,$G$35)</f>
        <v>0.35987176061982373</v>
      </c>
      <c r="G11" s="465">
        <f>SUM(G12:G16)</f>
        <v>348.78301398239262</v>
      </c>
      <c r="H11" s="10"/>
      <c r="I11" s="139"/>
      <c r="J11" s="139"/>
      <c r="K11" s="139"/>
      <c r="L11" s="139"/>
      <c r="M11" s="139"/>
      <c r="N11" s="139"/>
      <c r="O11" s="139"/>
      <c r="P11" s="139"/>
      <c r="Q11" s="139"/>
      <c r="R11" s="139"/>
      <c r="S11" s="139"/>
      <c r="T11" s="139"/>
      <c r="U11" s="139"/>
      <c r="V11" s="139"/>
      <c r="W11" s="139"/>
      <c r="X11" s="139"/>
      <c r="Y11" s="139"/>
      <c r="Z11" s="139"/>
      <c r="AA11" s="139"/>
      <c r="AB11" s="139"/>
      <c r="AC11" s="139"/>
      <c r="AD11" s="139"/>
    </row>
    <row r="12" spans="2:30">
      <c r="B12" s="8"/>
      <c r="C12" s="173">
        <f>C10+1</f>
        <v>4</v>
      </c>
      <c r="D12" s="130" t="s">
        <v>95</v>
      </c>
      <c r="E12" s="131">
        <v>2500</v>
      </c>
      <c r="F12" s="172">
        <f>G12/$G$11</f>
        <v>0</v>
      </c>
      <c r="G12" s="463">
        <f>IF($G$5='Data 2'!$C$3,30.036250647333,IF($G$5='Data 2'!$C$5,30.036250647333,0))</f>
        <v>0</v>
      </c>
      <c r="H12" s="10"/>
      <c r="I12" s="129"/>
      <c r="J12" s="129"/>
      <c r="K12" s="129"/>
      <c r="L12" s="129"/>
      <c r="M12" s="129"/>
      <c r="N12" s="129"/>
      <c r="O12" s="129"/>
      <c r="P12" s="129"/>
      <c r="Q12" s="129"/>
      <c r="R12" s="129"/>
      <c r="S12" s="129"/>
      <c r="T12" s="129"/>
      <c r="U12" s="129"/>
      <c r="V12" s="129"/>
      <c r="W12" s="129"/>
      <c r="X12" s="129"/>
      <c r="Y12" s="129"/>
      <c r="Z12" s="129"/>
      <c r="AA12" s="129"/>
      <c r="AB12" s="129"/>
      <c r="AC12" s="129"/>
      <c r="AD12" s="129"/>
    </row>
    <row r="13" spans="2:30">
      <c r="B13" s="8"/>
      <c r="C13" s="173">
        <f>C12+1</f>
        <v>5</v>
      </c>
      <c r="D13" s="130" t="s">
        <v>254</v>
      </c>
      <c r="E13" s="131">
        <v>2200</v>
      </c>
      <c r="F13" s="172">
        <f>G13/$G$11</f>
        <v>0.10244988864142537</v>
      </c>
      <c r="G13" s="463">
        <v>35.732780942516833</v>
      </c>
      <c r="H13" s="10"/>
      <c r="I13" s="129"/>
      <c r="J13" s="129"/>
      <c r="K13" s="129"/>
      <c r="L13" s="129"/>
      <c r="M13" s="129"/>
      <c r="N13" s="129"/>
      <c r="O13" s="129"/>
      <c r="P13" s="129"/>
      <c r="Q13" s="129"/>
      <c r="R13" s="129"/>
      <c r="S13" s="129"/>
      <c r="T13" s="129"/>
      <c r="U13" s="129"/>
      <c r="V13" s="129"/>
      <c r="W13" s="129"/>
      <c r="X13" s="129"/>
      <c r="Y13" s="129"/>
      <c r="Z13" s="129"/>
      <c r="AA13" s="129"/>
      <c r="AB13" s="129"/>
      <c r="AC13" s="129"/>
      <c r="AD13" s="129"/>
    </row>
    <row r="14" spans="2:30">
      <c r="B14" s="8"/>
      <c r="C14" s="173">
        <f t="shared" ref="C14:C16" si="0">C13+1</f>
        <v>6</v>
      </c>
      <c r="D14" s="130" t="s">
        <v>255</v>
      </c>
      <c r="E14" s="131">
        <v>2000</v>
      </c>
      <c r="F14" s="172">
        <f>G14/$G$11</f>
        <v>0.18114328136599847</v>
      </c>
      <c r="G14" s="463">
        <v>63.179699637493528</v>
      </c>
      <c r="H14" s="10"/>
      <c r="I14" s="129"/>
      <c r="J14" s="129"/>
      <c r="K14" s="129"/>
      <c r="L14" s="129"/>
      <c r="M14" s="129"/>
      <c r="N14" s="129"/>
      <c r="O14" s="129"/>
      <c r="P14" s="129"/>
      <c r="Q14" s="129"/>
      <c r="R14" s="129"/>
      <c r="S14" s="129"/>
      <c r="T14" s="129"/>
      <c r="U14" s="129"/>
      <c r="V14" s="129"/>
      <c r="W14" s="129"/>
      <c r="X14" s="129"/>
      <c r="Y14" s="129"/>
      <c r="Z14" s="129"/>
      <c r="AA14" s="129"/>
      <c r="AB14" s="129"/>
      <c r="AC14" s="129"/>
      <c r="AD14" s="129"/>
    </row>
    <row r="15" spans="2:30">
      <c r="B15" s="8"/>
      <c r="C15" s="173">
        <f t="shared" si="0"/>
        <v>7</v>
      </c>
      <c r="D15" s="130" t="s">
        <v>256</v>
      </c>
      <c r="E15" s="131">
        <v>1400</v>
      </c>
      <c r="F15" s="172">
        <f>G15/$G$11</f>
        <v>0.16406829992576091</v>
      </c>
      <c r="G15" s="463">
        <v>57.224236147074052</v>
      </c>
      <c r="H15" s="10"/>
      <c r="I15" s="129"/>
      <c r="J15" s="129"/>
      <c r="K15" s="129"/>
      <c r="L15" s="129"/>
      <c r="M15" s="129"/>
      <c r="N15" s="129"/>
      <c r="O15" s="129"/>
      <c r="P15" s="129"/>
      <c r="Q15" s="129"/>
      <c r="R15" s="129"/>
      <c r="S15" s="129"/>
      <c r="T15" s="129"/>
      <c r="U15" s="129"/>
      <c r="V15" s="129"/>
      <c r="W15" s="129"/>
      <c r="X15" s="129"/>
      <c r="Y15" s="129"/>
      <c r="Z15" s="129"/>
      <c r="AA15" s="129"/>
      <c r="AB15" s="129"/>
      <c r="AC15" s="129"/>
      <c r="AD15" s="129"/>
    </row>
    <row r="16" spans="2:30" ht="15.75" thickBot="1">
      <c r="B16" s="8"/>
      <c r="C16" s="193">
        <f t="shared" si="0"/>
        <v>8</v>
      </c>
      <c r="D16" s="194" t="s">
        <v>244</v>
      </c>
      <c r="E16" s="195">
        <v>650</v>
      </c>
      <c r="F16" s="172">
        <f>G16/$G$11</f>
        <v>0.5523385300668151</v>
      </c>
      <c r="G16" s="466">
        <v>192.64629725530816</v>
      </c>
      <c r="H16" s="10"/>
      <c r="I16" s="311"/>
      <c r="J16" s="129"/>
      <c r="K16" s="129"/>
      <c r="L16" s="129"/>
      <c r="M16" s="129"/>
      <c r="N16" s="129"/>
      <c r="O16" s="129"/>
      <c r="P16" s="129"/>
      <c r="Q16" s="129"/>
      <c r="R16" s="129"/>
      <c r="S16" s="129"/>
      <c r="T16" s="129"/>
      <c r="U16" s="129"/>
      <c r="V16" s="129"/>
      <c r="W16" s="129"/>
      <c r="X16" s="129"/>
      <c r="Y16" s="129"/>
      <c r="Z16" s="129"/>
      <c r="AA16" s="129"/>
      <c r="AB16" s="129"/>
      <c r="AC16" s="129"/>
      <c r="AD16" s="129"/>
    </row>
    <row r="17" spans="2:30" s="143" customFormat="1" ht="23.25" customHeight="1">
      <c r="B17" s="8"/>
      <c r="C17" s="187"/>
      <c r="D17" s="188" t="s">
        <v>106</v>
      </c>
      <c r="E17" s="189"/>
      <c r="F17" s="190">
        <f>G17/SUM($G$7,$G$11,$G$17,$G$21,$G$35)</f>
        <v>8.0149612610205703E-4</v>
      </c>
      <c r="G17" s="461">
        <f>SUM(G18:G20)</f>
        <v>0.77679958570688756</v>
      </c>
      <c r="H17" s="10"/>
      <c r="I17" s="139"/>
      <c r="J17" s="139"/>
      <c r="K17" s="139"/>
      <c r="L17" s="139"/>
      <c r="M17" s="139"/>
      <c r="N17" s="139"/>
      <c r="O17" s="139"/>
      <c r="P17" s="139"/>
      <c r="Q17" s="139"/>
      <c r="R17" s="139"/>
      <c r="S17" s="139"/>
      <c r="T17" s="139"/>
      <c r="U17" s="139"/>
      <c r="V17" s="139"/>
      <c r="W17" s="139"/>
      <c r="X17" s="139"/>
      <c r="Y17" s="139"/>
      <c r="Z17" s="139"/>
      <c r="AA17" s="139"/>
      <c r="AB17" s="139"/>
      <c r="AC17" s="139"/>
      <c r="AD17" s="139"/>
    </row>
    <row r="18" spans="2:30" ht="25.5">
      <c r="B18" s="8"/>
      <c r="C18" s="173">
        <f>C16+1</f>
        <v>9</v>
      </c>
      <c r="D18" s="130" t="s">
        <v>257</v>
      </c>
      <c r="E18" s="131">
        <v>2500</v>
      </c>
      <c r="F18" s="172">
        <f>G18/$G$17</f>
        <v>0</v>
      </c>
      <c r="G18" s="463">
        <f>IF($G$5='Data 2'!$C$3,0.776799585706888,IF($G$5='Data 2'!$C$5,0.776799585706888,0))</f>
        <v>0</v>
      </c>
      <c r="H18" s="10"/>
      <c r="I18" s="129"/>
      <c r="J18" s="129"/>
      <c r="K18" s="129"/>
      <c r="L18" s="129"/>
      <c r="M18" s="129"/>
      <c r="N18" s="129"/>
      <c r="O18" s="129"/>
      <c r="P18" s="129"/>
      <c r="Q18" s="129"/>
      <c r="R18" s="129"/>
      <c r="S18" s="129"/>
      <c r="T18" s="129"/>
      <c r="U18" s="129"/>
      <c r="V18" s="129"/>
      <c r="W18" s="129"/>
      <c r="X18" s="129"/>
      <c r="Y18" s="129"/>
      <c r="Z18" s="129"/>
      <c r="AA18" s="129"/>
      <c r="AB18" s="129"/>
      <c r="AC18" s="129"/>
      <c r="AD18" s="129"/>
    </row>
    <row r="19" spans="2:30" ht="25.5">
      <c r="B19" s="8"/>
      <c r="C19" s="173">
        <f>C18+1</f>
        <v>10</v>
      </c>
      <c r="D19" s="130" t="s">
        <v>258</v>
      </c>
      <c r="E19" s="131">
        <v>2200</v>
      </c>
      <c r="F19" s="172">
        <f>G19/$G$17</f>
        <v>0.66666666666666663</v>
      </c>
      <c r="G19" s="463">
        <v>0.51786639047125838</v>
      </c>
      <c r="H19" s="10"/>
      <c r="I19" s="129"/>
      <c r="J19" s="129"/>
      <c r="K19" s="129"/>
      <c r="L19" s="129"/>
      <c r="M19" s="129"/>
      <c r="N19" s="129"/>
      <c r="O19" s="129"/>
      <c r="P19" s="129"/>
      <c r="Q19" s="129"/>
      <c r="R19" s="129"/>
      <c r="S19" s="129"/>
      <c r="T19" s="129"/>
      <c r="U19" s="129"/>
      <c r="V19" s="129"/>
      <c r="W19" s="129"/>
      <c r="X19" s="129"/>
      <c r="Y19" s="129"/>
      <c r="Z19" s="129"/>
      <c r="AA19" s="129"/>
      <c r="AB19" s="129"/>
      <c r="AC19" s="129"/>
      <c r="AD19" s="129"/>
    </row>
    <row r="20" spans="2:30" ht="26.25" thickBot="1">
      <c r="B20" s="8"/>
      <c r="C20" s="176">
        <f>C19+1</f>
        <v>11</v>
      </c>
      <c r="D20" s="191" t="s">
        <v>259</v>
      </c>
      <c r="E20" s="192">
        <v>700</v>
      </c>
      <c r="F20" s="179">
        <f>G20/$G$17</f>
        <v>0.33333333333333331</v>
      </c>
      <c r="G20" s="464">
        <v>0.25893319523562919</v>
      </c>
      <c r="H20" s="10"/>
      <c r="I20" s="129"/>
      <c r="J20" s="129"/>
      <c r="K20" s="129"/>
      <c r="L20" s="129"/>
      <c r="M20" s="129"/>
      <c r="N20" s="129"/>
      <c r="O20" s="129"/>
      <c r="P20" s="129"/>
      <c r="Q20" s="129"/>
      <c r="R20" s="129"/>
      <c r="S20" s="129"/>
      <c r="T20" s="129"/>
      <c r="U20" s="129"/>
      <c r="V20" s="129"/>
      <c r="W20" s="129"/>
      <c r="X20" s="129"/>
      <c r="Y20" s="129"/>
      <c r="Z20" s="129"/>
      <c r="AA20" s="129"/>
      <c r="AB20" s="129"/>
      <c r="AC20" s="129"/>
      <c r="AD20" s="129"/>
    </row>
    <row r="21" spans="2:30" s="143" customFormat="1" ht="23.25" customHeight="1">
      <c r="B21" s="8"/>
      <c r="C21" s="180"/>
      <c r="D21" s="181" t="s">
        <v>105</v>
      </c>
      <c r="E21" s="182"/>
      <c r="F21" s="183">
        <f>G21/SUM($G$7,$G$11,$G$17,$G$21,$G$35)</f>
        <v>1.3892599519102327E-2</v>
      </c>
      <c r="G21" s="465">
        <f>SUM(G22:G34)</f>
        <v>13.464526152252724</v>
      </c>
      <c r="H21" s="10"/>
      <c r="I21" s="139"/>
      <c r="J21" s="139"/>
      <c r="K21" s="139"/>
      <c r="L21" s="139"/>
      <c r="M21" s="139"/>
      <c r="N21" s="139"/>
      <c r="O21" s="139"/>
      <c r="P21" s="139"/>
      <c r="Q21" s="139"/>
      <c r="R21" s="139"/>
      <c r="S21" s="139"/>
      <c r="T21" s="139"/>
      <c r="U21" s="139"/>
      <c r="V21" s="139"/>
      <c r="W21" s="139"/>
      <c r="X21" s="139"/>
      <c r="Y21" s="139"/>
      <c r="Z21" s="139"/>
      <c r="AA21" s="139"/>
      <c r="AB21" s="139"/>
      <c r="AC21" s="139"/>
      <c r="AD21" s="139"/>
    </row>
    <row r="22" spans="2:30" ht="15.75">
      <c r="B22" s="8"/>
      <c r="C22" s="173">
        <f>C20+1</f>
        <v>12</v>
      </c>
      <c r="D22" s="130" t="s">
        <v>351</v>
      </c>
      <c r="E22" s="133">
        <v>700</v>
      </c>
      <c r="F22" s="172">
        <f t="shared" ref="F22:F34" si="1">G22/$G$21</f>
        <v>9.6153846153846118E-2</v>
      </c>
      <c r="G22" s="467">
        <v>1.294665976178146</v>
      </c>
      <c r="H22" s="10"/>
      <c r="I22" s="129"/>
      <c r="J22" s="129"/>
      <c r="K22" s="129"/>
      <c r="L22" s="129"/>
      <c r="M22" s="129"/>
      <c r="N22" s="129"/>
      <c r="O22" s="129"/>
      <c r="P22" s="129"/>
      <c r="Q22" s="129"/>
      <c r="R22" s="129"/>
      <c r="S22" s="129"/>
      <c r="T22" s="129"/>
      <c r="U22" s="129"/>
      <c r="V22" s="129"/>
      <c r="W22" s="129"/>
      <c r="X22" s="129"/>
      <c r="Y22" s="129"/>
      <c r="Z22" s="129"/>
      <c r="AA22" s="129"/>
      <c r="AB22" s="129"/>
      <c r="AC22" s="129"/>
      <c r="AD22" s="129"/>
    </row>
    <row r="23" spans="2:30" ht="25.5">
      <c r="B23" s="8"/>
      <c r="C23" s="173">
        <f>C22+1</f>
        <v>13</v>
      </c>
      <c r="D23" s="130" t="s">
        <v>263</v>
      </c>
      <c r="E23" s="131">
        <v>1300</v>
      </c>
      <c r="F23" s="172">
        <f t="shared" si="1"/>
        <v>0.13461538461538455</v>
      </c>
      <c r="G23" s="463">
        <v>1.8125323666494042</v>
      </c>
      <c r="H23" s="10"/>
      <c r="I23" s="129"/>
      <c r="J23" s="129"/>
      <c r="K23" s="129"/>
      <c r="L23" s="129"/>
      <c r="M23" s="129"/>
      <c r="N23" s="129"/>
      <c r="O23" s="129"/>
      <c r="P23" s="129"/>
      <c r="Q23" s="129"/>
      <c r="R23" s="129"/>
      <c r="S23" s="129"/>
      <c r="T23" s="129"/>
      <c r="U23" s="129"/>
      <c r="V23" s="129"/>
      <c r="W23" s="129"/>
      <c r="X23" s="129"/>
      <c r="Y23" s="129"/>
      <c r="Z23" s="129"/>
      <c r="AA23" s="129"/>
      <c r="AB23" s="129"/>
      <c r="AC23" s="129"/>
      <c r="AD23" s="129"/>
    </row>
    <row r="24" spans="2:30" ht="25.5">
      <c r="B24" s="8"/>
      <c r="C24" s="173">
        <f t="shared" ref="C24:C34" si="2">C23+1</f>
        <v>14</v>
      </c>
      <c r="D24" s="130" t="s">
        <v>264</v>
      </c>
      <c r="E24" s="131">
        <v>1100</v>
      </c>
      <c r="F24" s="172">
        <f t="shared" si="1"/>
        <v>1.9230769230769221E-2</v>
      </c>
      <c r="G24" s="463">
        <v>0.25893319523562919</v>
      </c>
      <c r="H24" s="10"/>
      <c r="I24" s="129"/>
      <c r="J24" s="129"/>
      <c r="K24" s="129"/>
      <c r="L24" s="129"/>
      <c r="M24" s="129"/>
      <c r="N24" s="129"/>
      <c r="O24" s="129"/>
      <c r="P24" s="129"/>
      <c r="Q24" s="129"/>
      <c r="R24" s="129"/>
      <c r="S24" s="129"/>
      <c r="T24" s="129"/>
      <c r="U24" s="129"/>
      <c r="V24" s="129"/>
      <c r="W24" s="129"/>
      <c r="X24" s="129"/>
      <c r="Y24" s="129"/>
      <c r="Z24" s="129"/>
      <c r="AA24" s="129"/>
      <c r="AB24" s="129"/>
      <c r="AC24" s="129"/>
      <c r="AD24" s="129"/>
    </row>
    <row r="25" spans="2:30" ht="25.5">
      <c r="B25" s="8"/>
      <c r="C25" s="173">
        <f t="shared" si="2"/>
        <v>15</v>
      </c>
      <c r="D25" s="130" t="s">
        <v>265</v>
      </c>
      <c r="E25" s="131">
        <v>900</v>
      </c>
      <c r="F25" s="172">
        <f t="shared" si="1"/>
        <v>9.6153846153846118E-2</v>
      </c>
      <c r="G25" s="463">
        <v>1.294665976178146</v>
      </c>
      <c r="H25" s="10"/>
      <c r="I25" s="129"/>
      <c r="J25" s="129"/>
      <c r="K25" s="129"/>
      <c r="L25" s="129"/>
      <c r="M25" s="129"/>
      <c r="N25" s="129"/>
      <c r="O25" s="129"/>
      <c r="P25" s="129"/>
      <c r="Q25" s="129"/>
      <c r="R25" s="129"/>
      <c r="S25" s="129"/>
      <c r="T25" s="129"/>
      <c r="U25" s="129"/>
      <c r="V25" s="129"/>
      <c r="W25" s="129"/>
      <c r="X25" s="129"/>
      <c r="Y25" s="129"/>
      <c r="Z25" s="129"/>
      <c r="AA25" s="129"/>
      <c r="AB25" s="129"/>
      <c r="AC25" s="129"/>
      <c r="AD25" s="129"/>
    </row>
    <row r="26" spans="2:30" ht="25.5">
      <c r="B26" s="8"/>
      <c r="C26" s="173">
        <f t="shared" si="2"/>
        <v>16</v>
      </c>
      <c r="D26" s="130" t="s">
        <v>266</v>
      </c>
      <c r="E26" s="131">
        <v>700</v>
      </c>
      <c r="F26" s="172">
        <f t="shared" si="1"/>
        <v>3.8461538461538443E-2</v>
      </c>
      <c r="G26" s="463">
        <v>0.51786639047125838</v>
      </c>
      <c r="H26" s="10"/>
      <c r="I26" s="129"/>
      <c r="J26" s="129"/>
      <c r="K26" s="129"/>
      <c r="L26" s="129"/>
      <c r="M26" s="129"/>
      <c r="N26" s="129"/>
      <c r="O26" s="129"/>
      <c r="P26" s="129"/>
      <c r="Q26" s="129"/>
      <c r="R26" s="129"/>
      <c r="S26" s="129"/>
      <c r="T26" s="129"/>
      <c r="U26" s="129"/>
      <c r="V26" s="129"/>
      <c r="W26" s="129"/>
      <c r="X26" s="129"/>
      <c r="Y26" s="129"/>
      <c r="Z26" s="129"/>
      <c r="AA26" s="129"/>
      <c r="AB26" s="129"/>
      <c r="AC26" s="129"/>
      <c r="AD26" s="129"/>
    </row>
    <row r="27" spans="2:30" ht="25.5">
      <c r="B27" s="8"/>
      <c r="C27" s="173">
        <f t="shared" si="2"/>
        <v>17</v>
      </c>
      <c r="D27" s="130" t="s">
        <v>268</v>
      </c>
      <c r="E27" s="131">
        <v>500</v>
      </c>
      <c r="F27" s="172">
        <f t="shared" si="1"/>
        <v>1.9230769230769221E-2</v>
      </c>
      <c r="G27" s="463">
        <v>0.25893319523562919</v>
      </c>
      <c r="H27" s="10"/>
      <c r="I27" s="129"/>
      <c r="J27" s="129"/>
      <c r="K27" s="129"/>
      <c r="L27" s="129"/>
      <c r="M27" s="129"/>
      <c r="N27" s="129"/>
      <c r="O27" s="129"/>
      <c r="P27" s="129"/>
      <c r="Q27" s="129"/>
      <c r="R27" s="129"/>
      <c r="S27" s="129"/>
      <c r="T27" s="129"/>
      <c r="U27" s="129"/>
      <c r="V27" s="129"/>
      <c r="W27" s="129"/>
      <c r="X27" s="129"/>
      <c r="Y27" s="129"/>
      <c r="Z27" s="129"/>
      <c r="AA27" s="129"/>
      <c r="AB27" s="129"/>
      <c r="AC27" s="129"/>
      <c r="AD27" s="129"/>
    </row>
    <row r="28" spans="2:30">
      <c r="B28" s="8"/>
      <c r="C28" s="173">
        <f t="shared" si="2"/>
        <v>18</v>
      </c>
      <c r="D28" s="130" t="s">
        <v>96</v>
      </c>
      <c r="E28" s="131">
        <v>500</v>
      </c>
      <c r="F28" s="172">
        <f t="shared" si="1"/>
        <v>9.6153846153846118E-2</v>
      </c>
      <c r="G28" s="463">
        <v>1.294665976178146</v>
      </c>
      <c r="H28" s="10"/>
      <c r="I28" s="129"/>
      <c r="J28" s="129"/>
      <c r="K28" s="129"/>
      <c r="L28" s="129"/>
      <c r="M28" s="129"/>
      <c r="N28" s="129"/>
      <c r="O28" s="129"/>
      <c r="P28" s="129"/>
      <c r="Q28" s="129"/>
      <c r="R28" s="129"/>
      <c r="S28" s="129"/>
      <c r="T28" s="129"/>
      <c r="U28" s="129"/>
      <c r="V28" s="129"/>
      <c r="W28" s="129"/>
      <c r="X28" s="129"/>
      <c r="Y28" s="129"/>
      <c r="Z28" s="129"/>
      <c r="AA28" s="129"/>
      <c r="AB28" s="129"/>
      <c r="AC28" s="129"/>
      <c r="AD28" s="129"/>
    </row>
    <row r="29" spans="2:30">
      <c r="B29" s="8"/>
      <c r="C29" s="173">
        <f t="shared" si="2"/>
        <v>19</v>
      </c>
      <c r="D29" s="130" t="s">
        <v>269</v>
      </c>
      <c r="E29" s="131">
        <v>1550</v>
      </c>
      <c r="F29" s="172">
        <f t="shared" si="1"/>
        <v>0.1153846153846157</v>
      </c>
      <c r="G29" s="463">
        <f>IF($G$5='Data 2'!$C$3,1.55359917141378,IF($G$5='Data 2'!$C$4,1.55359917141378,0.0155359917141378))</f>
        <v>1.55359917141378</v>
      </c>
      <c r="H29" s="10"/>
      <c r="I29" s="129"/>
      <c r="J29" s="129"/>
      <c r="K29" s="129"/>
      <c r="L29" s="129"/>
      <c r="M29" s="129"/>
      <c r="N29" s="129"/>
      <c r="O29" s="129"/>
      <c r="P29" s="129"/>
      <c r="Q29" s="129"/>
      <c r="R29" s="129"/>
      <c r="S29" s="129"/>
      <c r="T29" s="129"/>
      <c r="U29" s="129"/>
      <c r="V29" s="129"/>
      <c r="W29" s="129"/>
      <c r="X29" s="129"/>
      <c r="Y29" s="129"/>
      <c r="Z29" s="129"/>
      <c r="AA29" s="129"/>
      <c r="AB29" s="129"/>
      <c r="AC29" s="129"/>
      <c r="AD29" s="129"/>
    </row>
    <row r="30" spans="2:30" ht="25.5">
      <c r="B30" s="8"/>
      <c r="C30" s="173">
        <f t="shared" si="2"/>
        <v>20</v>
      </c>
      <c r="D30" s="130" t="s">
        <v>270</v>
      </c>
      <c r="E30" s="131">
        <v>500</v>
      </c>
      <c r="F30" s="172">
        <f t="shared" si="1"/>
        <v>1.9230769230769221E-2</v>
      </c>
      <c r="G30" s="463">
        <v>0.25893319523562919</v>
      </c>
      <c r="H30" s="10"/>
      <c r="I30" s="129"/>
      <c r="J30" s="129"/>
      <c r="K30" s="129"/>
      <c r="L30" s="129"/>
      <c r="M30" s="129"/>
      <c r="N30" s="129"/>
      <c r="O30" s="129"/>
      <c r="P30" s="129"/>
      <c r="Q30" s="129"/>
      <c r="R30" s="129"/>
      <c r="S30" s="129"/>
      <c r="T30" s="129"/>
      <c r="U30" s="129"/>
      <c r="V30" s="129"/>
      <c r="W30" s="129"/>
      <c r="X30" s="129"/>
      <c r="Y30" s="129"/>
      <c r="Z30" s="129"/>
      <c r="AA30" s="129"/>
      <c r="AB30" s="129"/>
      <c r="AC30" s="129"/>
      <c r="AD30" s="129"/>
    </row>
    <row r="31" spans="2:30" ht="25.5">
      <c r="B31" s="8"/>
      <c r="C31" s="173">
        <f t="shared" si="2"/>
        <v>21</v>
      </c>
      <c r="D31" s="130" t="s">
        <v>267</v>
      </c>
      <c r="E31" s="131">
        <v>1200</v>
      </c>
      <c r="F31" s="172">
        <f t="shared" si="1"/>
        <v>1.9230769230769221E-2</v>
      </c>
      <c r="G31" s="463">
        <v>0.25893319523562919</v>
      </c>
      <c r="H31" s="10"/>
      <c r="I31" s="129"/>
      <c r="J31" s="129"/>
      <c r="K31" s="129"/>
      <c r="L31" s="129"/>
      <c r="M31" s="129"/>
      <c r="N31" s="129"/>
      <c r="O31" s="129"/>
      <c r="P31" s="129"/>
      <c r="Q31" s="129"/>
      <c r="R31" s="129"/>
      <c r="S31" s="129"/>
      <c r="T31" s="129"/>
      <c r="U31" s="129"/>
      <c r="V31" s="129"/>
      <c r="W31" s="129"/>
      <c r="X31" s="129"/>
      <c r="Y31" s="129"/>
      <c r="Z31" s="129"/>
      <c r="AA31" s="129"/>
      <c r="AB31" s="129"/>
      <c r="AC31" s="129"/>
      <c r="AD31" s="129"/>
    </row>
    <row r="32" spans="2:30" ht="25.5">
      <c r="B32" s="8"/>
      <c r="C32" s="173">
        <f t="shared" si="2"/>
        <v>22</v>
      </c>
      <c r="D32" s="130" t="s">
        <v>97</v>
      </c>
      <c r="E32" s="131">
        <v>700</v>
      </c>
      <c r="F32" s="172">
        <f t="shared" si="1"/>
        <v>1.9230769230769221E-2</v>
      </c>
      <c r="G32" s="463">
        <v>0.25893319523562919</v>
      </c>
      <c r="H32" s="10"/>
      <c r="I32" s="129"/>
      <c r="J32" s="129"/>
      <c r="K32" s="129"/>
      <c r="L32" s="129"/>
      <c r="M32" s="129"/>
      <c r="N32" s="129"/>
      <c r="O32" s="129"/>
      <c r="P32" s="129"/>
      <c r="Q32" s="129"/>
      <c r="R32" s="129"/>
      <c r="S32" s="129"/>
      <c r="T32" s="129"/>
      <c r="U32" s="129"/>
      <c r="V32" s="129"/>
      <c r="W32" s="129"/>
      <c r="X32" s="129"/>
      <c r="Y32" s="129"/>
      <c r="Z32" s="129"/>
      <c r="AA32" s="129"/>
      <c r="AB32" s="129"/>
      <c r="AC32" s="129"/>
      <c r="AD32" s="129"/>
    </row>
    <row r="33" spans="2:30">
      <c r="B33" s="8"/>
      <c r="C33" s="173">
        <f t="shared" si="2"/>
        <v>23</v>
      </c>
      <c r="D33" s="130" t="s">
        <v>98</v>
      </c>
      <c r="E33" s="131">
        <v>500</v>
      </c>
      <c r="F33" s="172">
        <f t="shared" si="1"/>
        <v>1.9230769230769221E-2</v>
      </c>
      <c r="G33" s="463">
        <v>0.25893319523562919</v>
      </c>
      <c r="H33" s="10"/>
      <c r="I33" s="129"/>
      <c r="J33" s="129"/>
      <c r="K33" s="129"/>
      <c r="L33" s="129"/>
      <c r="M33" s="129"/>
      <c r="N33" s="129"/>
      <c r="O33" s="129"/>
      <c r="P33" s="129"/>
      <c r="Q33" s="129"/>
      <c r="R33" s="129"/>
      <c r="S33" s="129"/>
      <c r="T33" s="129"/>
      <c r="U33" s="129"/>
      <c r="V33" s="129"/>
      <c r="W33" s="129"/>
      <c r="X33" s="129"/>
      <c r="Y33" s="129"/>
      <c r="Z33" s="129"/>
      <c r="AA33" s="129"/>
      <c r="AB33" s="129"/>
      <c r="AC33" s="129"/>
      <c r="AD33" s="129"/>
    </row>
    <row r="34" spans="2:30" ht="15.75" thickBot="1">
      <c r="B34" s="8"/>
      <c r="C34" s="173">
        <f t="shared" si="2"/>
        <v>24</v>
      </c>
      <c r="D34" s="130" t="s">
        <v>99</v>
      </c>
      <c r="E34" s="131">
        <v>100</v>
      </c>
      <c r="F34" s="172">
        <f t="shared" si="1"/>
        <v>0.30769230769230754</v>
      </c>
      <c r="G34" s="463">
        <v>4.142931123770067</v>
      </c>
      <c r="H34" s="10"/>
      <c r="I34" s="311"/>
      <c r="J34" s="129"/>
      <c r="K34" s="129"/>
      <c r="L34" s="129"/>
      <c r="M34" s="129"/>
      <c r="N34" s="129"/>
      <c r="O34" s="129"/>
      <c r="P34" s="129"/>
      <c r="Q34" s="129"/>
      <c r="R34" s="129"/>
      <c r="S34" s="129"/>
      <c r="T34" s="129"/>
      <c r="U34" s="129"/>
      <c r="V34" s="129"/>
      <c r="W34" s="129"/>
      <c r="X34" s="129"/>
      <c r="Y34" s="129"/>
      <c r="Z34" s="129"/>
      <c r="AA34" s="129"/>
      <c r="AB34" s="129"/>
      <c r="AC34" s="129"/>
      <c r="AD34" s="129"/>
    </row>
    <row r="35" spans="2:30" s="143" customFormat="1" ht="23.25" customHeight="1">
      <c r="B35" s="8"/>
      <c r="C35" s="187"/>
      <c r="D35" s="188" t="s">
        <v>273</v>
      </c>
      <c r="E35" s="189"/>
      <c r="F35" s="190">
        <f>G35/SUM($G$7,$G$11,$G$17,$G$21,$G$35)</f>
        <v>3.5800160299225212E-2</v>
      </c>
      <c r="G35" s="461">
        <f>G36+G42</f>
        <v>34.697048161574308</v>
      </c>
      <c r="H35" s="10"/>
      <c r="I35" s="139"/>
      <c r="J35" s="139"/>
      <c r="K35" s="139"/>
      <c r="L35" s="139"/>
      <c r="M35" s="139"/>
      <c r="N35" s="139"/>
      <c r="O35" s="139"/>
      <c r="P35" s="139"/>
      <c r="Q35" s="139"/>
      <c r="R35" s="139"/>
      <c r="S35" s="139"/>
      <c r="T35" s="139"/>
      <c r="U35" s="139"/>
      <c r="V35" s="139"/>
      <c r="W35" s="139"/>
      <c r="X35" s="139"/>
      <c r="Y35" s="139"/>
      <c r="Z35" s="139"/>
      <c r="AA35" s="139"/>
      <c r="AB35" s="139"/>
      <c r="AC35" s="139"/>
      <c r="AD35" s="139"/>
    </row>
    <row r="36" spans="2:30" s="144" customFormat="1" ht="18.75">
      <c r="B36" s="8"/>
      <c r="C36" s="174"/>
      <c r="D36" s="146" t="s">
        <v>274</v>
      </c>
      <c r="E36" s="147"/>
      <c r="F36" s="175">
        <f>G36/G35</f>
        <v>0.97014925373134331</v>
      </c>
      <c r="G36" s="146">
        <f>SUM(G37:G41)</f>
        <v>33.661315380631791</v>
      </c>
      <c r="H36" s="10"/>
      <c r="I36" s="140"/>
      <c r="J36" s="140"/>
      <c r="K36" s="140"/>
      <c r="L36" s="140"/>
      <c r="M36" s="140"/>
      <c r="N36" s="140"/>
      <c r="O36" s="140"/>
      <c r="P36" s="140"/>
      <c r="Q36" s="140"/>
      <c r="R36" s="140"/>
      <c r="S36" s="140"/>
      <c r="T36" s="140"/>
      <c r="U36" s="140"/>
      <c r="V36" s="140"/>
      <c r="W36" s="140"/>
      <c r="X36" s="140"/>
      <c r="Y36" s="140"/>
      <c r="Z36" s="140"/>
      <c r="AA36" s="140"/>
      <c r="AB36" s="140"/>
      <c r="AC36" s="140"/>
      <c r="AD36" s="140"/>
    </row>
    <row r="37" spans="2:30">
      <c r="B37" s="8"/>
      <c r="C37" s="173">
        <f>C34+1</f>
        <v>25</v>
      </c>
      <c r="D37" s="130" t="s">
        <v>245</v>
      </c>
      <c r="E37" s="131">
        <v>1450</v>
      </c>
      <c r="F37" s="172">
        <f>G37/$G$36</f>
        <v>0.66153846153846152</v>
      </c>
      <c r="G37" s="463">
        <v>22.268254790264109</v>
      </c>
      <c r="H37" s="10"/>
      <c r="I37" s="129"/>
      <c r="J37" s="129"/>
      <c r="K37" s="129"/>
      <c r="L37" s="129"/>
      <c r="M37" s="129"/>
      <c r="N37" s="129"/>
      <c r="O37" s="129"/>
      <c r="P37" s="129"/>
      <c r="Q37" s="129"/>
      <c r="R37" s="129"/>
      <c r="S37" s="129"/>
      <c r="T37" s="129"/>
      <c r="U37" s="129"/>
      <c r="V37" s="129"/>
      <c r="W37" s="129"/>
      <c r="X37" s="129"/>
      <c r="Y37" s="129"/>
      <c r="Z37" s="129"/>
      <c r="AA37" s="129"/>
      <c r="AB37" s="129"/>
      <c r="AC37" s="129"/>
      <c r="AD37" s="129"/>
    </row>
    <row r="38" spans="2:30">
      <c r="B38" s="8"/>
      <c r="C38" s="173">
        <f>C37+1</f>
        <v>26</v>
      </c>
      <c r="D38" s="130" t="s">
        <v>246</v>
      </c>
      <c r="E38" s="131">
        <v>2550</v>
      </c>
      <c r="F38" s="172">
        <f>G38/$G$36</f>
        <v>8.461538461538462E-2</v>
      </c>
      <c r="G38" s="463">
        <v>2.848265147591921</v>
      </c>
      <c r="H38" s="10"/>
      <c r="I38" s="129"/>
      <c r="J38" s="129"/>
      <c r="K38" s="129"/>
      <c r="L38" s="129"/>
      <c r="M38" s="129"/>
      <c r="N38" s="129"/>
      <c r="O38" s="129"/>
      <c r="P38" s="129"/>
      <c r="Q38" s="129"/>
      <c r="R38" s="129"/>
      <c r="S38" s="129"/>
      <c r="T38" s="129"/>
      <c r="U38" s="129"/>
      <c r="V38" s="129"/>
      <c r="W38" s="129"/>
      <c r="X38" s="129"/>
      <c r="Y38" s="129"/>
      <c r="Z38" s="129"/>
      <c r="AA38" s="129"/>
      <c r="AB38" s="129"/>
      <c r="AC38" s="129"/>
      <c r="AD38" s="129"/>
    </row>
    <row r="39" spans="2:30">
      <c r="B39" s="8"/>
      <c r="C39" s="173">
        <f t="shared" ref="C39:C41" si="3">C38+1</f>
        <v>27</v>
      </c>
      <c r="D39" s="130" t="s">
        <v>247</v>
      </c>
      <c r="E39" s="131">
        <v>2050</v>
      </c>
      <c r="F39" s="172">
        <f>G39/$G$36</f>
        <v>0.15384615384615385</v>
      </c>
      <c r="G39" s="463">
        <v>5.1786639047125833</v>
      </c>
      <c r="H39" s="10"/>
      <c r="I39" s="129"/>
      <c r="J39" s="129"/>
      <c r="K39" s="129"/>
      <c r="L39" s="129"/>
      <c r="M39" s="129"/>
      <c r="N39" s="129"/>
      <c r="O39" s="129"/>
      <c r="P39" s="129"/>
      <c r="Q39" s="129"/>
      <c r="R39" s="129"/>
      <c r="S39" s="129"/>
      <c r="T39" s="129"/>
      <c r="U39" s="129"/>
      <c r="V39" s="129"/>
      <c r="W39" s="129"/>
      <c r="X39" s="129"/>
      <c r="Y39" s="129"/>
      <c r="Z39" s="129"/>
      <c r="AA39" s="129"/>
      <c r="AB39" s="129"/>
      <c r="AC39" s="129"/>
      <c r="AD39" s="129"/>
    </row>
    <row r="40" spans="2:30">
      <c r="B40" s="8"/>
      <c r="C40" s="173">
        <f t="shared" si="3"/>
        <v>28</v>
      </c>
      <c r="D40" s="130" t="s">
        <v>248</v>
      </c>
      <c r="E40" s="131">
        <v>3650</v>
      </c>
      <c r="F40" s="172">
        <f>G40/$G$36</f>
        <v>2.3076923076923078E-2</v>
      </c>
      <c r="G40" s="463">
        <v>0.77679958570688756</v>
      </c>
      <c r="H40" s="10"/>
      <c r="I40" s="311"/>
      <c r="J40" s="129"/>
      <c r="K40" s="129"/>
      <c r="L40" s="129"/>
      <c r="M40" s="129"/>
      <c r="N40" s="129"/>
      <c r="O40" s="129"/>
      <c r="P40" s="129"/>
      <c r="Q40" s="129"/>
      <c r="R40" s="129"/>
      <c r="S40" s="129"/>
      <c r="T40" s="129"/>
      <c r="U40" s="129"/>
      <c r="V40" s="129"/>
      <c r="W40" s="129"/>
      <c r="X40" s="129"/>
      <c r="Y40" s="129"/>
      <c r="Z40" s="129"/>
      <c r="AA40" s="129"/>
      <c r="AB40" s="129"/>
      <c r="AC40" s="129"/>
      <c r="AD40" s="129"/>
    </row>
    <row r="41" spans="2:30">
      <c r="B41" s="8"/>
      <c r="C41" s="173">
        <f t="shared" si="3"/>
        <v>29</v>
      </c>
      <c r="D41" s="130" t="s">
        <v>272</v>
      </c>
      <c r="E41" s="131">
        <v>2050</v>
      </c>
      <c r="F41" s="172">
        <f>G41/$G$36</f>
        <v>7.6923076923076927E-2</v>
      </c>
      <c r="G41" s="463">
        <v>2.5893319523562917</v>
      </c>
      <c r="H41" s="10"/>
      <c r="I41" s="129"/>
      <c r="J41" s="129"/>
      <c r="K41" s="129"/>
      <c r="L41" s="129"/>
      <c r="M41" s="129"/>
      <c r="N41" s="129"/>
      <c r="O41" s="129"/>
      <c r="P41" s="129"/>
      <c r="Q41" s="129"/>
      <c r="R41" s="129"/>
      <c r="S41" s="129"/>
      <c r="T41" s="129"/>
      <c r="U41" s="129"/>
      <c r="V41" s="129"/>
      <c r="W41" s="129"/>
      <c r="X41" s="129"/>
      <c r="Y41" s="129"/>
      <c r="Z41" s="129"/>
      <c r="AA41" s="129"/>
      <c r="AB41" s="129"/>
      <c r="AC41" s="129"/>
      <c r="AD41" s="129"/>
    </row>
    <row r="42" spans="2:30" s="144" customFormat="1" ht="18.75">
      <c r="B42" s="8"/>
      <c r="C42" s="174"/>
      <c r="D42" s="146" t="s">
        <v>275</v>
      </c>
      <c r="E42" s="147"/>
      <c r="F42" s="175">
        <f>G42/G35</f>
        <v>2.9850746268656719E-2</v>
      </c>
      <c r="G42" s="146">
        <f>SUM(G43:G46)</f>
        <v>1.0357327809425168</v>
      </c>
      <c r="H42" s="10"/>
      <c r="I42" s="140"/>
      <c r="J42" s="140"/>
      <c r="K42" s="140"/>
      <c r="L42" s="140"/>
      <c r="M42" s="140"/>
      <c r="N42" s="140"/>
      <c r="O42" s="140"/>
      <c r="P42" s="140"/>
      <c r="Q42" s="140"/>
      <c r="R42" s="140"/>
      <c r="S42" s="140"/>
      <c r="T42" s="140"/>
      <c r="U42" s="140"/>
      <c r="V42" s="140"/>
      <c r="W42" s="140"/>
      <c r="X42" s="140"/>
      <c r="Y42" s="140"/>
      <c r="Z42" s="140"/>
      <c r="AA42" s="140"/>
      <c r="AB42" s="140"/>
      <c r="AC42" s="140"/>
      <c r="AD42" s="140"/>
    </row>
    <row r="43" spans="2:30">
      <c r="B43" s="8"/>
      <c r="C43" s="173">
        <f>C41+1</f>
        <v>30</v>
      </c>
      <c r="D43" s="130" t="s">
        <v>249</v>
      </c>
      <c r="E43" s="127">
        <v>1750</v>
      </c>
      <c r="F43" s="172">
        <f>G43/$G$42</f>
        <v>0.25</v>
      </c>
      <c r="G43" s="462">
        <v>0.25893319523562919</v>
      </c>
      <c r="H43" s="10"/>
      <c r="I43" s="129"/>
      <c r="J43" s="129"/>
      <c r="K43" s="129"/>
      <c r="L43" s="129"/>
      <c r="M43" s="129"/>
      <c r="N43" s="129"/>
      <c r="O43" s="129"/>
      <c r="P43" s="129"/>
      <c r="Q43" s="129"/>
      <c r="R43" s="129"/>
      <c r="S43" s="129"/>
      <c r="T43" s="129"/>
      <c r="U43" s="129"/>
      <c r="V43" s="129"/>
      <c r="W43" s="129"/>
      <c r="X43" s="129"/>
      <c r="Y43" s="129"/>
      <c r="Z43" s="129"/>
      <c r="AA43" s="129"/>
      <c r="AB43" s="129"/>
      <c r="AC43" s="129"/>
      <c r="AD43" s="129"/>
    </row>
    <row r="44" spans="2:30">
      <c r="B44" s="8"/>
      <c r="C44" s="173">
        <f>C43+1</f>
        <v>31</v>
      </c>
      <c r="D44" s="128" t="s">
        <v>250</v>
      </c>
      <c r="E44" s="127">
        <v>2800</v>
      </c>
      <c r="F44" s="172">
        <f>G44/$G$42</f>
        <v>0.25</v>
      </c>
      <c r="G44" s="462">
        <v>0.25893319523562919</v>
      </c>
      <c r="H44" s="10"/>
      <c r="I44" s="129"/>
      <c r="J44" s="129"/>
      <c r="K44" s="129"/>
      <c r="L44" s="129"/>
      <c r="M44" s="129"/>
      <c r="N44" s="129"/>
      <c r="O44" s="129"/>
      <c r="P44" s="129"/>
      <c r="Q44" s="129"/>
      <c r="R44" s="129"/>
      <c r="S44" s="129"/>
      <c r="T44" s="129"/>
      <c r="U44" s="129"/>
      <c r="V44" s="129"/>
      <c r="W44" s="129"/>
      <c r="X44" s="129"/>
      <c r="Y44" s="129"/>
      <c r="Z44" s="129"/>
      <c r="AA44" s="129"/>
      <c r="AB44" s="129"/>
      <c r="AC44" s="129"/>
      <c r="AD44" s="129"/>
    </row>
    <row r="45" spans="2:30">
      <c r="B45" s="8"/>
      <c r="C45" s="173">
        <f t="shared" ref="C45:C46" si="4">C44+1</f>
        <v>32</v>
      </c>
      <c r="D45" s="128" t="s">
        <v>251</v>
      </c>
      <c r="E45" s="127">
        <v>3100</v>
      </c>
      <c r="F45" s="172">
        <f>G45/$G$42</f>
        <v>0.25</v>
      </c>
      <c r="G45" s="462">
        <v>0.25893319523562919</v>
      </c>
      <c r="H45" s="10"/>
      <c r="I45" s="129"/>
      <c r="J45" s="129"/>
      <c r="K45" s="129"/>
      <c r="L45" s="129"/>
      <c r="M45" s="129"/>
      <c r="N45" s="129"/>
      <c r="O45" s="129"/>
      <c r="P45" s="129"/>
      <c r="Q45" s="129"/>
      <c r="R45" s="129"/>
      <c r="S45" s="129"/>
      <c r="T45" s="129"/>
      <c r="U45" s="129"/>
      <c r="V45" s="129"/>
      <c r="W45" s="129"/>
      <c r="X45" s="129"/>
      <c r="Y45" s="129"/>
      <c r="Z45" s="129"/>
      <c r="AA45" s="129"/>
      <c r="AB45" s="129"/>
      <c r="AC45" s="129"/>
      <c r="AD45" s="129"/>
    </row>
    <row r="46" spans="2:30" ht="15.75" thickBot="1">
      <c r="B46" s="8"/>
      <c r="C46" s="176">
        <f t="shared" si="4"/>
        <v>33</v>
      </c>
      <c r="D46" s="177" t="s">
        <v>252</v>
      </c>
      <c r="E46" s="178">
        <v>3300</v>
      </c>
      <c r="F46" s="179">
        <f>G46/$G$42</f>
        <v>0.25</v>
      </c>
      <c r="G46" s="462">
        <v>0.25893319523562919</v>
      </c>
      <c r="H46" s="10"/>
      <c r="I46" s="129"/>
      <c r="J46" s="129"/>
      <c r="K46" s="129"/>
      <c r="L46" s="129"/>
      <c r="M46" s="129"/>
      <c r="N46" s="129"/>
      <c r="O46" s="129"/>
      <c r="P46" s="129"/>
      <c r="Q46" s="129"/>
      <c r="R46" s="129"/>
      <c r="S46" s="129"/>
      <c r="T46" s="129"/>
      <c r="U46" s="129"/>
      <c r="V46" s="129"/>
      <c r="W46" s="129"/>
      <c r="X46" s="129"/>
      <c r="Y46" s="129"/>
      <c r="Z46" s="129"/>
      <c r="AA46" s="129"/>
      <c r="AB46" s="129"/>
      <c r="AC46" s="129"/>
      <c r="AD46" s="129"/>
    </row>
    <row r="47" spans="2:30" ht="15.75" thickBot="1">
      <c r="B47" s="11"/>
      <c r="C47" s="152"/>
      <c r="D47" s="152"/>
      <c r="E47" s="153"/>
      <c r="F47" s="154"/>
      <c r="G47" s="153"/>
      <c r="H47" s="13"/>
      <c r="I47" s="129"/>
      <c r="J47" s="129"/>
      <c r="K47" s="129"/>
      <c r="L47" s="129"/>
      <c r="M47" s="129"/>
      <c r="N47" s="129"/>
      <c r="O47" s="129"/>
      <c r="P47" s="129"/>
      <c r="Q47" s="129"/>
      <c r="R47" s="129"/>
      <c r="S47" s="129"/>
      <c r="T47" s="129"/>
      <c r="U47" s="129"/>
      <c r="V47" s="129"/>
      <c r="W47" s="129"/>
      <c r="X47" s="129"/>
      <c r="Y47" s="129"/>
      <c r="Z47" s="129"/>
      <c r="AA47" s="129"/>
      <c r="AB47" s="129"/>
      <c r="AC47" s="129"/>
      <c r="AD47" s="129"/>
    </row>
    <row r="48" spans="2:30">
      <c r="C48" s="129"/>
      <c r="D48" s="129"/>
      <c r="E48" s="141"/>
      <c r="F48" s="137"/>
      <c r="G48" s="141"/>
      <c r="I48" s="129"/>
      <c r="J48" s="129"/>
      <c r="K48" s="129"/>
      <c r="L48" s="129"/>
      <c r="M48" s="129"/>
      <c r="N48" s="129"/>
      <c r="O48" s="129"/>
      <c r="P48" s="129"/>
      <c r="Q48" s="129"/>
      <c r="R48" s="129"/>
      <c r="S48" s="129"/>
      <c r="T48" s="129"/>
      <c r="U48" s="129"/>
      <c r="V48" s="129"/>
      <c r="W48" s="129"/>
      <c r="X48" s="129"/>
      <c r="Y48" s="129"/>
      <c r="Z48" s="129"/>
      <c r="AA48" s="129"/>
      <c r="AB48" s="129"/>
      <c r="AC48" s="129"/>
      <c r="AD48" s="129"/>
    </row>
    <row r="49" spans="3:30">
      <c r="C49" s="129"/>
      <c r="D49" s="129"/>
      <c r="E49" s="141"/>
      <c r="F49" s="137"/>
      <c r="G49" s="141"/>
      <c r="I49" s="129"/>
      <c r="J49" s="129"/>
      <c r="K49" s="129"/>
      <c r="L49" s="129"/>
      <c r="M49" s="129"/>
      <c r="N49" s="129"/>
      <c r="O49" s="129"/>
      <c r="P49" s="129"/>
      <c r="Q49" s="129"/>
      <c r="R49" s="129"/>
      <c r="S49" s="129"/>
      <c r="T49" s="129"/>
      <c r="U49" s="129"/>
      <c r="V49" s="129"/>
      <c r="W49" s="129"/>
      <c r="X49" s="129"/>
      <c r="Y49" s="129"/>
      <c r="Z49" s="129"/>
      <c r="AA49" s="129"/>
      <c r="AB49" s="129"/>
      <c r="AC49" s="129"/>
      <c r="AD49" s="129"/>
    </row>
    <row r="50" spans="3:30">
      <c r="C50" s="129"/>
      <c r="D50" s="129"/>
      <c r="E50" s="141"/>
      <c r="F50" s="137"/>
      <c r="G50" s="141"/>
      <c r="I50" s="129"/>
      <c r="J50" s="129"/>
      <c r="K50" s="129"/>
      <c r="L50" s="129"/>
      <c r="M50" s="129"/>
      <c r="N50" s="129"/>
      <c r="O50" s="129"/>
      <c r="P50" s="129"/>
      <c r="Q50" s="129"/>
      <c r="R50" s="129"/>
      <c r="S50" s="129"/>
      <c r="T50" s="129"/>
      <c r="U50" s="129"/>
      <c r="V50" s="129"/>
      <c r="W50" s="129"/>
      <c r="X50" s="129"/>
      <c r="Y50" s="129"/>
      <c r="Z50" s="129"/>
      <c r="AA50" s="129"/>
      <c r="AB50" s="129"/>
      <c r="AC50" s="129"/>
      <c r="AD50" s="129"/>
    </row>
    <row r="51" spans="3:30">
      <c r="C51" s="129"/>
      <c r="D51" s="129"/>
      <c r="E51" s="141"/>
      <c r="F51" s="137"/>
      <c r="G51" s="141"/>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row>
    <row r="52" spans="3:30">
      <c r="C52" s="129"/>
      <c r="D52" s="129"/>
      <c r="E52" s="141"/>
      <c r="F52" s="137"/>
      <c r="G52" s="141"/>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row>
    <row r="53" spans="3:30">
      <c r="C53" s="129"/>
      <c r="D53" s="129"/>
      <c r="E53" s="141"/>
      <c r="F53" s="137"/>
      <c r="G53" s="141"/>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row>
    <row r="54" spans="3:30">
      <c r="C54" s="129"/>
      <c r="D54" s="129"/>
      <c r="E54" s="141"/>
      <c r="F54" s="137"/>
      <c r="G54" s="141"/>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row>
    <row r="55" spans="3:30">
      <c r="C55" s="129"/>
      <c r="D55" s="129"/>
      <c r="E55" s="141"/>
      <c r="F55" s="137"/>
      <c r="G55" s="141"/>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row>
    <row r="56" spans="3:30">
      <c r="C56" s="129"/>
      <c r="D56" s="129"/>
      <c r="E56" s="141"/>
      <c r="F56" s="137"/>
      <c r="G56" s="141"/>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row>
    <row r="57" spans="3:30">
      <c r="C57" s="129"/>
      <c r="D57" s="129"/>
      <c r="E57" s="141"/>
      <c r="F57" s="137"/>
      <c r="G57" s="141"/>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row>
    <row r="58" spans="3:30">
      <c r="C58" s="129"/>
      <c r="D58" s="129"/>
      <c r="E58" s="141"/>
      <c r="F58" s="137"/>
      <c r="G58" s="141"/>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row>
    <row r="59" spans="3:30">
      <c r="C59" s="129"/>
      <c r="D59" s="129"/>
      <c r="E59" s="141"/>
      <c r="F59" s="137"/>
      <c r="G59" s="141"/>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row>
    <row r="60" spans="3:30">
      <c r="C60" s="129"/>
      <c r="D60" s="129"/>
      <c r="E60" s="141"/>
      <c r="F60" s="137"/>
      <c r="G60" s="141"/>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row>
    <row r="61" spans="3:30">
      <c r="C61" s="129"/>
      <c r="D61" s="129"/>
      <c r="E61" s="141"/>
      <c r="F61" s="137"/>
      <c r="G61" s="141"/>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row>
    <row r="62" spans="3:30">
      <c r="C62" s="129"/>
      <c r="D62" s="129"/>
      <c r="E62" s="141"/>
      <c r="F62" s="137"/>
      <c r="G62" s="141"/>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row>
    <row r="63" spans="3:30">
      <c r="C63" s="129"/>
      <c r="D63" s="129"/>
      <c r="E63" s="141"/>
      <c r="F63" s="137"/>
      <c r="G63" s="141"/>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row>
    <row r="64" spans="3:30">
      <c r="C64" s="129"/>
      <c r="D64" s="129"/>
      <c r="E64" s="141"/>
      <c r="F64" s="137"/>
      <c r="G64" s="141"/>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row>
    <row r="65" spans="3:30">
      <c r="C65" s="129"/>
      <c r="D65" s="129"/>
      <c r="E65" s="141"/>
      <c r="F65" s="137"/>
      <c r="G65" s="141"/>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row>
    <row r="66" spans="3:30">
      <c r="C66" s="129"/>
      <c r="D66" s="129"/>
      <c r="E66" s="141"/>
      <c r="F66" s="137"/>
      <c r="G66" s="141"/>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row>
    <row r="67" spans="3:30">
      <c r="C67" s="129"/>
      <c r="D67" s="129"/>
      <c r="E67" s="141"/>
      <c r="F67" s="137"/>
      <c r="G67" s="141"/>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row>
    <row r="68" spans="3:30">
      <c r="C68" s="129"/>
      <c r="D68" s="129"/>
      <c r="E68" s="141"/>
      <c r="F68" s="137"/>
      <c r="G68" s="141"/>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row>
    <row r="69" spans="3:30">
      <c r="C69" s="129"/>
      <c r="D69" s="129"/>
      <c r="E69" s="141"/>
      <c r="F69" s="137"/>
      <c r="G69" s="141"/>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row>
    <row r="70" spans="3:30">
      <c r="C70" s="129"/>
      <c r="D70" s="129"/>
      <c r="E70" s="141"/>
      <c r="F70" s="137"/>
      <c r="G70" s="141"/>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row>
    <row r="71" spans="3:30">
      <c r="C71" s="129"/>
      <c r="D71" s="129"/>
      <c r="E71" s="141"/>
      <c r="F71" s="137"/>
      <c r="G71" s="141"/>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row>
    <row r="72" spans="3:30">
      <c r="C72" s="129"/>
      <c r="D72" s="129"/>
      <c r="E72" s="141"/>
      <c r="F72" s="137"/>
      <c r="G72" s="141"/>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row>
    <row r="73" spans="3:30">
      <c r="C73" s="129"/>
      <c r="D73" s="129"/>
      <c r="E73" s="141"/>
      <c r="F73" s="137"/>
      <c r="G73" s="141"/>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row>
    <row r="74" spans="3:30">
      <c r="C74" s="129"/>
      <c r="D74" s="129"/>
      <c r="E74" s="141"/>
      <c r="F74" s="137"/>
      <c r="G74" s="141"/>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row>
    <row r="75" spans="3:30">
      <c r="C75" s="129"/>
      <c r="D75" s="129"/>
      <c r="E75" s="141"/>
      <c r="F75" s="137"/>
      <c r="G75" s="141"/>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row>
    <row r="76" spans="3:30">
      <c r="C76" s="129"/>
      <c r="D76" s="129"/>
      <c r="E76" s="141"/>
      <c r="F76" s="137"/>
      <c r="G76" s="141"/>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row>
    <row r="77" spans="3:30">
      <c r="C77" s="129"/>
      <c r="D77" s="129"/>
      <c r="E77" s="141"/>
      <c r="F77" s="137"/>
      <c r="G77" s="141"/>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row>
    <row r="78" spans="3:30">
      <c r="C78" s="129"/>
      <c r="D78" s="129"/>
      <c r="E78" s="141"/>
      <c r="F78" s="137"/>
      <c r="G78" s="141"/>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row>
    <row r="79" spans="3:30">
      <c r="C79" s="129"/>
      <c r="D79" s="129"/>
      <c r="E79" s="141"/>
      <c r="F79" s="137"/>
      <c r="G79" s="141"/>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row>
    <row r="80" spans="3:30">
      <c r="C80" s="129"/>
      <c r="D80" s="129"/>
      <c r="E80" s="141"/>
      <c r="F80" s="137"/>
      <c r="G80" s="141"/>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row>
    <row r="81" spans="3:30">
      <c r="C81" s="129"/>
      <c r="D81" s="129"/>
      <c r="E81" s="141"/>
      <c r="F81" s="137"/>
      <c r="G81" s="141"/>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row>
    <row r="82" spans="3:30">
      <c r="C82" s="129"/>
      <c r="D82" s="129"/>
      <c r="E82" s="141"/>
      <c r="F82" s="137"/>
      <c r="G82" s="141"/>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row>
    <row r="83" spans="3:30">
      <c r="C83" s="129"/>
      <c r="D83" s="129"/>
      <c r="E83" s="141"/>
      <c r="F83" s="137"/>
      <c r="G83" s="141"/>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row>
    <row r="84" spans="3:30">
      <c r="C84" s="129"/>
      <c r="D84" s="129"/>
      <c r="E84" s="141"/>
      <c r="F84" s="137"/>
      <c r="G84" s="141"/>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row>
    <row r="85" spans="3:30">
      <c r="C85" s="129"/>
      <c r="D85" s="129"/>
      <c r="E85" s="141"/>
      <c r="F85" s="137"/>
      <c r="G85" s="141"/>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row>
    <row r="86" spans="3:30">
      <c r="C86" s="129"/>
      <c r="D86" s="129"/>
      <c r="E86" s="141"/>
      <c r="F86" s="137"/>
      <c r="G86" s="141"/>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row>
    <row r="87" spans="3:30">
      <c r="C87" s="129"/>
      <c r="D87" s="129"/>
      <c r="E87" s="141"/>
      <c r="F87" s="137"/>
      <c r="G87" s="141"/>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row>
    <row r="88" spans="3:30">
      <c r="C88" s="129"/>
      <c r="D88" s="129"/>
      <c r="E88" s="141"/>
      <c r="F88" s="137"/>
      <c r="G88" s="141"/>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row>
    <row r="89" spans="3:30">
      <c r="C89" s="129"/>
      <c r="D89" s="129"/>
      <c r="E89" s="141"/>
      <c r="F89" s="137"/>
      <c r="G89" s="141"/>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row>
    <row r="90" spans="3:30">
      <c r="C90" s="129"/>
      <c r="D90" s="129"/>
      <c r="E90" s="141"/>
      <c r="F90" s="137"/>
      <c r="G90" s="141"/>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row>
    <row r="91" spans="3:30">
      <c r="C91" s="129"/>
      <c r="D91" s="129"/>
      <c r="E91" s="141"/>
      <c r="F91" s="137"/>
      <c r="G91" s="141"/>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row>
    <row r="92" spans="3:30">
      <c r="C92" s="129"/>
      <c r="D92" s="129"/>
      <c r="E92" s="141"/>
      <c r="F92" s="137"/>
      <c r="G92" s="141"/>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row>
    <row r="93" spans="3:30">
      <c r="C93" s="129"/>
      <c r="D93" s="129"/>
      <c r="E93" s="141"/>
      <c r="F93" s="137"/>
      <c r="G93" s="141"/>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row>
    <row r="94" spans="3:30">
      <c r="C94" s="129"/>
      <c r="D94" s="129"/>
      <c r="E94" s="141"/>
      <c r="F94" s="137"/>
      <c r="G94" s="141"/>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row>
    <row r="95" spans="3:30">
      <c r="C95" s="129"/>
      <c r="D95" s="129"/>
      <c r="E95" s="141"/>
      <c r="F95" s="137"/>
      <c r="G95" s="141"/>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row>
    <row r="96" spans="3:30">
      <c r="C96" s="129"/>
      <c r="D96" s="129"/>
      <c r="E96" s="141"/>
      <c r="F96" s="137"/>
      <c r="G96" s="141"/>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row>
    <row r="97" spans="3:30">
      <c r="C97" s="129"/>
      <c r="D97" s="129"/>
      <c r="E97" s="141"/>
      <c r="F97" s="137"/>
      <c r="G97" s="141"/>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row>
    <row r="98" spans="3:30">
      <c r="C98" s="129"/>
      <c r="D98" s="129"/>
      <c r="E98" s="141"/>
      <c r="F98" s="137"/>
      <c r="G98" s="141"/>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row>
    <row r="99" spans="3:30">
      <c r="C99" s="129"/>
      <c r="D99" s="129"/>
      <c r="E99" s="141"/>
      <c r="F99" s="137"/>
      <c r="G99" s="141"/>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row>
    <row r="100" spans="3:30">
      <c r="C100" s="129"/>
      <c r="D100" s="129"/>
      <c r="E100" s="141"/>
      <c r="F100" s="137"/>
      <c r="G100" s="141"/>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row>
    <row r="101" spans="3:30">
      <c r="C101" s="129"/>
      <c r="D101" s="129"/>
      <c r="E101" s="141"/>
      <c r="F101" s="137"/>
      <c r="G101" s="141"/>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row>
    <row r="102" spans="3:30">
      <c r="C102" s="129"/>
      <c r="D102" s="129"/>
      <c r="E102" s="141"/>
      <c r="F102" s="137"/>
      <c r="G102" s="141"/>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row>
    <row r="103" spans="3:30">
      <c r="C103" s="129"/>
      <c r="D103" s="129"/>
      <c r="E103" s="141"/>
      <c r="F103" s="137"/>
      <c r="G103" s="141"/>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row>
    <row r="104" spans="3:30">
      <c r="C104" s="129"/>
      <c r="D104" s="129"/>
      <c r="E104" s="141"/>
      <c r="F104" s="137"/>
      <c r="G104" s="141"/>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row>
    <row r="105" spans="3:30">
      <c r="C105" s="129"/>
      <c r="D105" s="129"/>
      <c r="E105" s="141"/>
      <c r="F105" s="137"/>
      <c r="G105" s="141"/>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row>
    <row r="106" spans="3:30">
      <c r="C106" s="129"/>
      <c r="D106" s="129"/>
      <c r="E106" s="141"/>
      <c r="F106" s="137"/>
      <c r="G106" s="141"/>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row>
    <row r="107" spans="3:30">
      <c r="C107" s="129"/>
      <c r="D107" s="129"/>
      <c r="E107" s="141"/>
      <c r="F107" s="137"/>
      <c r="G107" s="141"/>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row>
    <row r="108" spans="3:30">
      <c r="C108" s="129"/>
      <c r="D108" s="129"/>
      <c r="E108" s="141"/>
      <c r="F108" s="137"/>
      <c r="G108" s="141"/>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row>
    <row r="109" spans="3:30">
      <c r="C109" s="129"/>
      <c r="D109" s="129"/>
      <c r="E109" s="141"/>
      <c r="F109" s="137"/>
      <c r="G109" s="141"/>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row>
    <row r="110" spans="3:30">
      <c r="C110" s="129"/>
      <c r="D110" s="129"/>
      <c r="E110" s="141"/>
      <c r="F110" s="137"/>
      <c r="G110" s="141"/>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row>
    <row r="111" spans="3:30">
      <c r="C111" s="129"/>
      <c r="D111" s="129"/>
      <c r="E111" s="141"/>
      <c r="F111" s="137"/>
      <c r="G111" s="141"/>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row>
    <row r="112" spans="3:30">
      <c r="C112" s="129"/>
      <c r="D112" s="129"/>
      <c r="E112" s="141"/>
      <c r="F112" s="137"/>
      <c r="G112" s="141"/>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row>
    <row r="113" spans="3:30">
      <c r="C113" s="129"/>
      <c r="D113" s="129"/>
      <c r="E113" s="141"/>
      <c r="F113" s="137"/>
      <c r="G113" s="141"/>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row>
    <row r="114" spans="3:30">
      <c r="C114" s="129"/>
      <c r="D114" s="129"/>
      <c r="E114" s="141"/>
      <c r="F114" s="137"/>
      <c r="G114" s="141"/>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row>
    <row r="115" spans="3:30">
      <c r="C115" s="129"/>
      <c r="D115" s="129"/>
      <c r="E115" s="141"/>
      <c r="F115" s="137"/>
      <c r="G115" s="141"/>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row>
    <row r="116" spans="3:30">
      <c r="C116" s="129"/>
      <c r="D116" s="129"/>
      <c r="E116" s="141"/>
      <c r="F116" s="137"/>
      <c r="G116" s="141"/>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row>
    <row r="117" spans="3:30">
      <c r="C117" s="129"/>
      <c r="D117" s="129"/>
      <c r="E117" s="141"/>
      <c r="F117" s="137"/>
      <c r="G117" s="141"/>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row>
    <row r="118" spans="3:30">
      <c r="C118" s="129"/>
      <c r="D118" s="129"/>
      <c r="E118" s="141"/>
      <c r="F118" s="137"/>
      <c r="G118" s="141"/>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row>
    <row r="119" spans="3:30">
      <c r="C119" s="129"/>
      <c r="D119" s="129"/>
      <c r="E119" s="141"/>
      <c r="F119" s="137"/>
      <c r="G119" s="141"/>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row>
    <row r="120" spans="3:30">
      <c r="C120" s="129"/>
      <c r="D120" s="129"/>
      <c r="E120" s="141"/>
      <c r="F120" s="137"/>
      <c r="G120" s="141"/>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row>
    <row r="121" spans="3:30">
      <c r="C121" s="129"/>
      <c r="D121" s="129"/>
      <c r="E121" s="141"/>
      <c r="F121" s="137"/>
      <c r="G121" s="141"/>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row>
    <row r="122" spans="3:30">
      <c r="C122" s="129"/>
      <c r="D122" s="129"/>
      <c r="E122" s="141"/>
      <c r="F122" s="137"/>
      <c r="G122" s="141"/>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row>
    <row r="123" spans="3:30">
      <c r="C123" s="129"/>
      <c r="D123" s="129"/>
      <c r="E123" s="141"/>
      <c r="F123" s="137"/>
      <c r="G123" s="141"/>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row>
    <row r="124" spans="3:30">
      <c r="C124" s="129"/>
      <c r="D124" s="129"/>
      <c r="E124" s="141"/>
      <c r="F124" s="137"/>
      <c r="G124" s="141"/>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row>
    <row r="125" spans="3:30">
      <c r="C125" s="129"/>
      <c r="D125" s="129"/>
      <c r="E125" s="141"/>
      <c r="F125" s="137"/>
      <c r="G125" s="141"/>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row>
    <row r="126" spans="3:30">
      <c r="C126" s="129"/>
      <c r="D126" s="129"/>
      <c r="E126" s="141"/>
      <c r="F126" s="137"/>
      <c r="G126" s="141"/>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row>
    <row r="127" spans="3:30">
      <c r="C127" s="129"/>
      <c r="D127" s="129"/>
      <c r="E127" s="141"/>
      <c r="F127" s="137"/>
      <c r="G127" s="141"/>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row>
    <row r="128" spans="3:30">
      <c r="C128" s="129"/>
      <c r="D128" s="129"/>
      <c r="E128" s="141"/>
      <c r="F128" s="137"/>
      <c r="G128" s="141"/>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row>
    <row r="129" spans="3:30">
      <c r="C129" s="129"/>
      <c r="D129" s="129"/>
      <c r="E129" s="141"/>
      <c r="F129" s="137"/>
      <c r="G129" s="141"/>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row>
    <row r="130" spans="3:30">
      <c r="C130" s="129"/>
      <c r="D130" s="129"/>
      <c r="E130" s="141"/>
      <c r="F130" s="137"/>
      <c r="G130" s="141"/>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row>
    <row r="131" spans="3:30">
      <c r="C131" s="129"/>
      <c r="D131" s="129"/>
      <c r="E131" s="141"/>
      <c r="F131" s="137"/>
      <c r="G131" s="141"/>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row>
    <row r="132" spans="3:30">
      <c r="C132" s="129"/>
      <c r="D132" s="129"/>
      <c r="E132" s="141"/>
      <c r="F132" s="137"/>
      <c r="G132" s="141"/>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row>
    <row r="133" spans="3:30">
      <c r="C133" s="129"/>
      <c r="D133" s="129"/>
      <c r="E133" s="141"/>
      <c r="F133" s="137"/>
      <c r="G133" s="141"/>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row>
    <row r="134" spans="3:30">
      <c r="C134" s="129"/>
      <c r="D134" s="129"/>
      <c r="E134" s="141"/>
      <c r="F134" s="137"/>
      <c r="G134" s="141"/>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row>
    <row r="135" spans="3:30">
      <c r="C135" s="129"/>
      <c r="D135" s="129"/>
      <c r="E135" s="141"/>
      <c r="F135" s="137"/>
      <c r="G135" s="141"/>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row>
    <row r="136" spans="3:30">
      <c r="C136" s="129"/>
      <c r="D136" s="129"/>
      <c r="E136" s="141"/>
      <c r="F136" s="137"/>
      <c r="G136" s="141"/>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row>
    <row r="137" spans="3:30">
      <c r="C137" s="129"/>
      <c r="D137" s="129"/>
      <c r="E137" s="141"/>
      <c r="F137" s="137"/>
      <c r="G137" s="141"/>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row>
    <row r="138" spans="3:30">
      <c r="C138" s="129"/>
      <c r="D138" s="129"/>
      <c r="E138" s="141"/>
      <c r="F138" s="137"/>
      <c r="G138" s="141"/>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row>
    <row r="139" spans="3:30">
      <c r="C139" s="129"/>
      <c r="D139" s="129"/>
      <c r="E139" s="141"/>
      <c r="F139" s="137"/>
      <c r="G139" s="141"/>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row>
    <row r="140" spans="3:30">
      <c r="C140" s="129"/>
      <c r="D140" s="129"/>
      <c r="E140" s="141"/>
      <c r="F140" s="137"/>
      <c r="G140" s="141"/>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row>
    <row r="141" spans="3:30">
      <c r="C141" s="129"/>
      <c r="D141" s="129"/>
      <c r="E141" s="141"/>
      <c r="F141" s="137"/>
      <c r="G141" s="141"/>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row>
    <row r="142" spans="3:30">
      <c r="C142" s="129"/>
      <c r="D142" s="129"/>
      <c r="E142" s="141"/>
      <c r="F142" s="137"/>
      <c r="G142" s="141"/>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row>
    <row r="143" spans="3:30">
      <c r="C143" s="129"/>
      <c r="D143" s="129"/>
      <c r="E143" s="141"/>
      <c r="F143" s="137"/>
      <c r="G143" s="141"/>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row>
    <row r="144" spans="3:30">
      <c r="C144" s="129"/>
      <c r="D144" s="129"/>
      <c r="E144" s="141"/>
      <c r="F144" s="137"/>
      <c r="G144" s="141"/>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row>
    <row r="145" spans="3:30">
      <c r="C145" s="129"/>
      <c r="D145" s="129"/>
      <c r="E145" s="141"/>
      <c r="F145" s="137"/>
      <c r="G145" s="141"/>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row>
    <row r="146" spans="3:30">
      <c r="C146" s="129"/>
      <c r="D146" s="129"/>
      <c r="E146" s="141"/>
      <c r="F146" s="137"/>
      <c r="G146" s="141"/>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row>
    <row r="147" spans="3:30">
      <c r="C147" s="129"/>
      <c r="D147" s="129"/>
      <c r="E147" s="141"/>
      <c r="F147" s="137"/>
      <c r="G147" s="141"/>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row>
    <row r="148" spans="3:30">
      <c r="C148" s="129"/>
      <c r="D148" s="129"/>
      <c r="E148" s="141"/>
      <c r="F148" s="137"/>
      <c r="G148" s="141"/>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row>
    <row r="149" spans="3:30">
      <c r="C149" s="129"/>
      <c r="D149" s="129"/>
      <c r="E149" s="141"/>
      <c r="F149" s="137"/>
      <c r="G149" s="141"/>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row>
    <row r="150" spans="3:30">
      <c r="C150" s="129"/>
      <c r="D150" s="129"/>
      <c r="E150" s="141"/>
      <c r="F150" s="137"/>
      <c r="G150" s="141"/>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row>
    <row r="151" spans="3:30">
      <c r="C151" s="129"/>
      <c r="D151" s="129"/>
      <c r="E151" s="141"/>
      <c r="F151" s="137"/>
      <c r="G151" s="141"/>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row>
    <row r="152" spans="3:30">
      <c r="C152" s="129"/>
      <c r="D152" s="129"/>
      <c r="E152" s="141"/>
      <c r="F152" s="137"/>
      <c r="G152" s="141"/>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row>
    <row r="153" spans="3:30">
      <c r="C153" s="129"/>
      <c r="D153" s="129"/>
      <c r="E153" s="141"/>
      <c r="F153" s="137"/>
      <c r="G153" s="141"/>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row>
    <row r="154" spans="3:30">
      <c r="C154" s="129"/>
      <c r="D154" s="129"/>
      <c r="E154" s="141"/>
      <c r="F154" s="137"/>
      <c r="G154" s="141"/>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row>
    <row r="155" spans="3:30">
      <c r="C155" s="129"/>
      <c r="D155" s="129"/>
      <c r="E155" s="141"/>
      <c r="F155" s="137"/>
      <c r="G155" s="141"/>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row>
    <row r="156" spans="3:30">
      <c r="C156" s="129"/>
      <c r="D156" s="129"/>
      <c r="E156" s="141"/>
      <c r="F156" s="137"/>
      <c r="G156" s="141"/>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row>
    <row r="157" spans="3:30">
      <c r="C157" s="129"/>
      <c r="D157" s="129"/>
      <c r="E157" s="141"/>
      <c r="F157" s="137"/>
      <c r="G157" s="141"/>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row>
    <row r="158" spans="3:30">
      <c r="C158" s="129"/>
      <c r="D158" s="129"/>
      <c r="E158" s="141"/>
      <c r="F158" s="137"/>
      <c r="G158" s="141"/>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row>
    <row r="159" spans="3:30">
      <c r="C159" s="129"/>
      <c r="D159" s="129"/>
      <c r="E159" s="141"/>
      <c r="F159" s="137"/>
      <c r="G159" s="141"/>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row>
    <row r="160" spans="3:30">
      <c r="C160" s="129"/>
      <c r="D160" s="129"/>
      <c r="E160" s="141"/>
      <c r="F160" s="137"/>
      <c r="G160" s="141"/>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row>
    <row r="161" spans="3:30">
      <c r="C161" s="129"/>
      <c r="D161" s="129"/>
      <c r="E161" s="141"/>
      <c r="F161" s="137"/>
      <c r="G161" s="141"/>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row>
    <row r="162" spans="3:30">
      <c r="C162" s="129"/>
      <c r="D162" s="129"/>
      <c r="E162" s="141"/>
      <c r="F162" s="137"/>
      <c r="G162" s="141"/>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row>
    <row r="163" spans="3:30">
      <c r="C163" s="129"/>
      <c r="D163" s="129"/>
      <c r="E163" s="141"/>
      <c r="F163" s="137"/>
      <c r="G163" s="141"/>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row>
    <row r="164" spans="3:30">
      <c r="C164" s="129"/>
      <c r="D164" s="129"/>
      <c r="E164" s="141"/>
      <c r="F164" s="137"/>
      <c r="G164" s="141"/>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row>
    <row r="165" spans="3:30">
      <c r="C165" s="129"/>
      <c r="D165" s="129"/>
      <c r="E165" s="141"/>
      <c r="F165" s="137"/>
      <c r="G165" s="141"/>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row>
    <row r="166" spans="3:30">
      <c r="C166" s="129"/>
      <c r="D166" s="129"/>
      <c r="E166" s="141"/>
      <c r="F166" s="137"/>
      <c r="G166" s="141"/>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row>
    <row r="167" spans="3:30">
      <c r="C167" s="129"/>
      <c r="D167" s="129"/>
      <c r="E167" s="141"/>
      <c r="F167" s="137"/>
      <c r="G167" s="141"/>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row>
    <row r="168" spans="3:30">
      <c r="C168" s="129"/>
      <c r="D168" s="129"/>
      <c r="E168" s="141"/>
      <c r="F168" s="137"/>
      <c r="G168" s="141"/>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row>
    <row r="169" spans="3:30">
      <c r="C169" s="129"/>
      <c r="D169" s="129"/>
      <c r="E169" s="141"/>
      <c r="F169" s="137"/>
      <c r="G169" s="141"/>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row>
    <row r="170" spans="3:30">
      <c r="C170" s="129"/>
      <c r="D170" s="129"/>
      <c r="E170" s="141"/>
      <c r="F170" s="137"/>
      <c r="G170" s="141"/>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row>
    <row r="171" spans="3:30">
      <c r="C171" s="129"/>
      <c r="D171" s="129"/>
      <c r="E171" s="141"/>
      <c r="F171" s="137"/>
      <c r="G171" s="141"/>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row>
    <row r="172" spans="3:30">
      <c r="C172" s="129"/>
      <c r="D172" s="129"/>
      <c r="E172" s="141"/>
      <c r="F172" s="137"/>
      <c r="G172" s="141"/>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row>
    <row r="173" spans="3:30">
      <c r="C173" s="129"/>
      <c r="D173" s="129"/>
      <c r="E173" s="141"/>
      <c r="F173" s="137"/>
      <c r="G173" s="141"/>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row>
    <row r="174" spans="3:30">
      <c r="C174" s="129"/>
      <c r="D174" s="129"/>
      <c r="E174" s="141"/>
      <c r="F174" s="137"/>
      <c r="G174" s="141"/>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row>
    <row r="175" spans="3:30">
      <c r="C175" s="129"/>
      <c r="D175" s="129"/>
      <c r="E175" s="141"/>
      <c r="F175" s="137"/>
      <c r="G175" s="141"/>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row>
    <row r="176" spans="3:30">
      <c r="C176" s="129"/>
      <c r="D176" s="129"/>
      <c r="E176" s="141"/>
      <c r="F176" s="137"/>
      <c r="G176" s="141"/>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row>
    <row r="177" spans="3:30">
      <c r="C177" s="129"/>
      <c r="D177" s="129"/>
      <c r="E177" s="141"/>
      <c r="F177" s="137"/>
      <c r="G177" s="141"/>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row>
    <row r="178" spans="3:30">
      <c r="C178" s="129"/>
      <c r="D178" s="129"/>
      <c r="E178" s="141"/>
      <c r="F178" s="137"/>
      <c r="G178" s="141"/>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row>
    <row r="179" spans="3:30">
      <c r="C179" s="129"/>
      <c r="D179" s="129"/>
      <c r="E179" s="141"/>
      <c r="F179" s="137"/>
      <c r="G179" s="141"/>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row>
    <row r="180" spans="3:30">
      <c r="C180" s="129"/>
      <c r="D180" s="129"/>
      <c r="E180" s="141"/>
      <c r="F180" s="137"/>
      <c r="G180" s="141"/>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row>
    <row r="181" spans="3:30">
      <c r="C181" s="129"/>
      <c r="D181" s="129"/>
      <c r="E181" s="141"/>
      <c r="F181" s="137"/>
      <c r="G181" s="141"/>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row>
    <row r="182" spans="3:30">
      <c r="C182" s="129"/>
      <c r="D182" s="129"/>
      <c r="E182" s="141"/>
      <c r="F182" s="137"/>
      <c r="G182" s="141"/>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row>
    <row r="183" spans="3:30">
      <c r="C183" s="129"/>
      <c r="D183" s="129"/>
      <c r="E183" s="141"/>
      <c r="F183" s="137"/>
      <c r="G183" s="141"/>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row>
    <row r="184" spans="3:30">
      <c r="C184" s="129"/>
      <c r="D184" s="129"/>
      <c r="E184" s="141"/>
      <c r="F184" s="137"/>
      <c r="G184" s="141"/>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row>
    <row r="185" spans="3:30">
      <c r="C185" s="129"/>
      <c r="D185" s="129"/>
      <c r="E185" s="141"/>
      <c r="F185" s="137"/>
      <c r="G185" s="141"/>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row>
    <row r="186" spans="3:30">
      <c r="C186" s="129"/>
      <c r="D186" s="129"/>
      <c r="E186" s="141"/>
      <c r="F186" s="137"/>
      <c r="G186" s="141"/>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row>
    <row r="187" spans="3:30">
      <c r="C187" s="129"/>
      <c r="D187" s="129"/>
      <c r="E187" s="141"/>
      <c r="F187" s="137"/>
      <c r="G187" s="141"/>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row>
    <row r="188" spans="3:30">
      <c r="C188" s="129"/>
      <c r="D188" s="129"/>
      <c r="E188" s="141"/>
      <c r="F188" s="137"/>
      <c r="G188" s="141"/>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row>
    <row r="189" spans="3:30">
      <c r="C189" s="129"/>
      <c r="D189" s="129"/>
      <c r="E189" s="141"/>
      <c r="F189" s="137"/>
      <c r="G189" s="141"/>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row>
    <row r="190" spans="3:30">
      <c r="C190" s="129"/>
      <c r="D190" s="129"/>
      <c r="E190" s="141"/>
      <c r="F190" s="137"/>
      <c r="G190" s="141"/>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row>
    <row r="191" spans="3:30">
      <c r="C191" s="129"/>
      <c r="D191" s="129"/>
      <c r="E191" s="141"/>
      <c r="F191" s="137"/>
      <c r="G191" s="141"/>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row>
    <row r="192" spans="3:30">
      <c r="C192" s="129"/>
      <c r="D192" s="129"/>
      <c r="E192" s="141"/>
      <c r="F192" s="137"/>
      <c r="G192" s="141"/>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row>
    <row r="193" spans="3:30">
      <c r="C193" s="129"/>
      <c r="D193" s="129"/>
      <c r="E193" s="141"/>
      <c r="F193" s="137"/>
      <c r="G193" s="141"/>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row>
    <row r="194" spans="3:30">
      <c r="C194" s="129"/>
      <c r="D194" s="129"/>
      <c r="E194" s="141"/>
      <c r="F194" s="137"/>
      <c r="G194" s="141"/>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row>
    <row r="195" spans="3:30">
      <c r="C195" s="129"/>
      <c r="D195" s="129"/>
      <c r="E195" s="141"/>
      <c r="F195" s="137"/>
      <c r="G195" s="141"/>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row>
    <row r="196" spans="3:30">
      <c r="C196" s="129"/>
      <c r="D196" s="129"/>
      <c r="E196" s="141"/>
      <c r="F196" s="137"/>
      <c r="G196" s="141"/>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row>
    <row r="197" spans="3:30">
      <c r="C197" s="129"/>
      <c r="D197" s="129"/>
      <c r="E197" s="141"/>
      <c r="F197" s="137"/>
      <c r="G197" s="141"/>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row>
    <row r="198" spans="3:30">
      <c r="C198" s="129"/>
      <c r="D198" s="129"/>
      <c r="E198" s="141"/>
      <c r="F198" s="137"/>
      <c r="G198" s="141"/>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row>
    <row r="199" spans="3:30">
      <c r="C199" s="129"/>
      <c r="D199" s="129"/>
      <c r="E199" s="141"/>
      <c r="F199" s="137"/>
      <c r="G199" s="141"/>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row>
    <row r="200" spans="3:30">
      <c r="C200" s="129"/>
      <c r="D200" s="129"/>
      <c r="E200" s="141"/>
      <c r="F200" s="137"/>
      <c r="G200" s="141"/>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row>
    <row r="201" spans="3:30">
      <c r="C201" s="129"/>
      <c r="D201" s="129"/>
      <c r="E201" s="141"/>
      <c r="F201" s="137"/>
      <c r="G201" s="141"/>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row>
    <row r="202" spans="3:30">
      <c r="C202" s="129"/>
      <c r="D202" s="129"/>
      <c r="E202" s="141"/>
      <c r="F202" s="137"/>
      <c r="G202" s="141"/>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row>
    <row r="203" spans="3:30">
      <c r="C203" s="129"/>
      <c r="D203" s="129"/>
      <c r="E203" s="141"/>
      <c r="F203" s="137"/>
      <c r="G203" s="141"/>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row>
    <row r="204" spans="3:30">
      <c r="C204" s="129"/>
      <c r="D204" s="129"/>
      <c r="E204" s="141"/>
      <c r="F204" s="137"/>
      <c r="G204" s="141"/>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row>
    <row r="205" spans="3:30">
      <c r="C205" s="129"/>
      <c r="D205" s="129"/>
      <c r="E205" s="141"/>
      <c r="F205" s="137"/>
      <c r="G205" s="141"/>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row>
    <row r="206" spans="3:30">
      <c r="C206" s="129"/>
      <c r="D206" s="129"/>
      <c r="E206" s="141"/>
      <c r="F206" s="137"/>
      <c r="G206" s="141"/>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row>
    <row r="207" spans="3:30">
      <c r="C207" s="129"/>
      <c r="D207" s="129"/>
      <c r="E207" s="141"/>
      <c r="F207" s="137"/>
      <c r="G207" s="141"/>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row>
    <row r="208" spans="3:30">
      <c r="C208" s="129"/>
      <c r="D208" s="129"/>
      <c r="E208" s="141"/>
      <c r="F208" s="137"/>
      <c r="G208" s="141"/>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row>
    <row r="209" spans="3:30">
      <c r="C209" s="129"/>
      <c r="D209" s="129"/>
      <c r="E209" s="141"/>
      <c r="F209" s="137"/>
      <c r="G209" s="141"/>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row>
    <row r="210" spans="3:30">
      <c r="C210" s="129"/>
      <c r="D210" s="129"/>
      <c r="E210" s="141"/>
      <c r="F210" s="137"/>
      <c r="G210" s="141"/>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row>
    <row r="211" spans="3:30">
      <c r="C211" s="129"/>
      <c r="D211" s="129"/>
      <c r="E211" s="141"/>
      <c r="F211" s="137"/>
      <c r="G211" s="141"/>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row>
    <row r="212" spans="3:30">
      <c r="C212" s="129"/>
      <c r="D212" s="129"/>
      <c r="E212" s="141"/>
      <c r="F212" s="137"/>
      <c r="G212" s="141"/>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row>
    <row r="213" spans="3:30">
      <c r="C213" s="126"/>
      <c r="D213" s="126"/>
      <c r="E213" s="126"/>
      <c r="F213" s="138"/>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row>
    <row r="214" spans="3:30">
      <c r="C214" s="126"/>
      <c r="D214" s="126"/>
      <c r="E214" s="126"/>
      <c r="F214" s="138"/>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row>
    <row r="215" spans="3:30">
      <c r="C215" s="126"/>
      <c r="D215" s="126"/>
      <c r="E215" s="126"/>
      <c r="F215" s="138"/>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row>
    <row r="216" spans="3:30">
      <c r="C216" s="126"/>
      <c r="D216" s="126"/>
      <c r="E216" s="126"/>
      <c r="F216" s="138"/>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row>
    <row r="217" spans="3:30">
      <c r="C217" s="126"/>
      <c r="D217" s="126"/>
      <c r="E217" s="126"/>
      <c r="F217" s="138"/>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row>
    <row r="218" spans="3:30">
      <c r="C218" s="126"/>
      <c r="D218" s="126"/>
      <c r="E218" s="126"/>
      <c r="F218" s="138"/>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row>
    <row r="219" spans="3:30">
      <c r="C219" s="126"/>
      <c r="D219" s="126"/>
      <c r="E219" s="126"/>
      <c r="F219" s="138"/>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row>
    <row r="220" spans="3:30">
      <c r="C220" s="126"/>
      <c r="D220" s="126"/>
      <c r="E220" s="126"/>
      <c r="F220" s="138"/>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row>
    <row r="221" spans="3:30">
      <c r="C221" s="126"/>
      <c r="D221" s="126"/>
      <c r="E221" s="126"/>
      <c r="F221" s="138"/>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row>
    <row r="222" spans="3:30">
      <c r="C222" s="126"/>
      <c r="D222" s="126"/>
      <c r="E222" s="126"/>
      <c r="F222" s="138"/>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row>
    <row r="223" spans="3:30">
      <c r="C223" s="126"/>
      <c r="D223" s="126"/>
      <c r="E223" s="126"/>
      <c r="F223" s="138"/>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row>
    <row r="224" spans="3:30">
      <c r="C224" s="126"/>
      <c r="D224" s="126"/>
      <c r="E224" s="126"/>
      <c r="F224" s="138"/>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row>
    <row r="225" spans="3:30">
      <c r="C225" s="126"/>
      <c r="D225" s="126"/>
      <c r="E225" s="126"/>
      <c r="F225" s="138"/>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row>
    <row r="226" spans="3:30">
      <c r="C226" s="126"/>
      <c r="D226" s="126"/>
      <c r="E226" s="126"/>
      <c r="F226" s="138"/>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row>
    <row r="227" spans="3:30">
      <c r="C227" s="126"/>
      <c r="D227" s="126"/>
      <c r="E227" s="126"/>
      <c r="F227" s="138"/>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row>
    <row r="228" spans="3:30">
      <c r="C228" s="126"/>
      <c r="D228" s="126"/>
      <c r="E228" s="126"/>
      <c r="F228" s="138"/>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row>
    <row r="229" spans="3:30">
      <c r="C229" s="126"/>
      <c r="D229" s="126"/>
      <c r="E229" s="126"/>
      <c r="F229" s="138"/>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row>
    <row r="230" spans="3:30">
      <c r="C230" s="126"/>
      <c r="D230" s="126"/>
      <c r="E230" s="126"/>
      <c r="F230" s="138"/>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row>
    <row r="231" spans="3:30">
      <c r="C231" s="126"/>
      <c r="D231" s="126"/>
      <c r="E231" s="126"/>
      <c r="F231" s="138"/>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row>
    <row r="232" spans="3:30">
      <c r="C232" s="126"/>
      <c r="D232" s="126"/>
      <c r="E232" s="126"/>
      <c r="F232" s="138"/>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row>
    <row r="233" spans="3:30">
      <c r="C233" s="126"/>
      <c r="D233" s="126"/>
      <c r="E233" s="126"/>
      <c r="F233" s="138"/>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row>
    <row r="234" spans="3:30">
      <c r="C234" s="126"/>
      <c r="D234" s="126"/>
      <c r="E234" s="126"/>
      <c r="F234" s="138"/>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row>
    <row r="235" spans="3:30">
      <c r="C235" s="126"/>
      <c r="D235" s="126"/>
      <c r="E235" s="126"/>
      <c r="F235" s="138"/>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row>
    <row r="236" spans="3:30">
      <c r="C236" s="126"/>
      <c r="D236" s="126"/>
      <c r="E236" s="126"/>
      <c r="F236" s="138"/>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row>
    <row r="237" spans="3:30">
      <c r="C237" s="126"/>
      <c r="D237" s="126"/>
      <c r="E237" s="126"/>
      <c r="F237" s="138"/>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row>
    <row r="238" spans="3:30">
      <c r="C238" s="126"/>
      <c r="D238" s="126"/>
      <c r="E238" s="126"/>
      <c r="F238" s="138"/>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row>
    <row r="239" spans="3:30">
      <c r="C239" s="126"/>
      <c r="D239" s="126"/>
      <c r="E239" s="126"/>
      <c r="F239" s="138"/>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row>
    <row r="240" spans="3:30">
      <c r="C240" s="126"/>
      <c r="D240" s="126"/>
      <c r="E240" s="126"/>
      <c r="F240" s="138"/>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row>
    <row r="241" spans="3:30">
      <c r="C241" s="126"/>
      <c r="D241" s="126"/>
      <c r="E241" s="126"/>
      <c r="F241" s="138"/>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row>
    <row r="242" spans="3:30">
      <c r="C242" s="126"/>
      <c r="D242" s="126"/>
      <c r="E242" s="126"/>
      <c r="F242" s="138"/>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row>
    <row r="243" spans="3:30">
      <c r="C243" s="126"/>
      <c r="D243" s="126"/>
      <c r="E243" s="126"/>
      <c r="F243" s="138"/>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row>
    <row r="244" spans="3:30">
      <c r="C244" s="126"/>
      <c r="D244" s="126"/>
      <c r="E244" s="126"/>
      <c r="F244" s="138"/>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row>
    <row r="245" spans="3:30">
      <c r="C245" s="126"/>
      <c r="D245" s="126"/>
      <c r="E245" s="126"/>
      <c r="F245" s="138"/>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row>
    <row r="246" spans="3:30">
      <c r="C246" s="126"/>
      <c r="D246" s="126"/>
      <c r="E246" s="126"/>
      <c r="F246" s="138"/>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row>
    <row r="247" spans="3:30">
      <c r="C247" s="126"/>
      <c r="D247" s="126"/>
      <c r="E247" s="126"/>
      <c r="F247" s="138"/>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row>
    <row r="248" spans="3:30">
      <c r="C248" s="126"/>
      <c r="D248" s="126"/>
      <c r="E248" s="126"/>
      <c r="F248" s="138"/>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row>
    <row r="249" spans="3:30">
      <c r="C249" s="126"/>
      <c r="D249" s="126"/>
      <c r="E249" s="126"/>
      <c r="F249" s="138"/>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row>
    <row r="250" spans="3:30">
      <c r="C250" s="126"/>
      <c r="D250" s="126"/>
      <c r="E250" s="126"/>
      <c r="F250" s="138"/>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row>
    <row r="251" spans="3:30">
      <c r="C251" s="126"/>
      <c r="D251" s="126"/>
      <c r="E251" s="126"/>
      <c r="F251" s="138"/>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row>
    <row r="252" spans="3:30">
      <c r="C252" s="126"/>
      <c r="D252" s="126"/>
      <c r="E252" s="126"/>
      <c r="F252" s="138"/>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row>
    <row r="253" spans="3:30">
      <c r="C253" s="126"/>
      <c r="D253" s="126"/>
      <c r="E253" s="126"/>
      <c r="F253" s="138"/>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row>
    <row r="254" spans="3:30">
      <c r="C254" s="126"/>
      <c r="D254" s="126"/>
      <c r="E254" s="126"/>
      <c r="F254" s="138"/>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row>
    <row r="255" spans="3:30">
      <c r="C255" s="126"/>
      <c r="D255" s="126"/>
      <c r="E255" s="126"/>
      <c r="F255" s="138"/>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row>
    <row r="256" spans="3:30">
      <c r="C256" s="126"/>
      <c r="D256" s="126"/>
      <c r="E256" s="126"/>
      <c r="F256" s="138"/>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row>
    <row r="257" spans="3:30">
      <c r="C257" s="126"/>
      <c r="D257" s="126"/>
      <c r="E257" s="126"/>
      <c r="F257" s="138"/>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row>
    <row r="258" spans="3:30">
      <c r="C258" s="126"/>
      <c r="D258" s="126"/>
      <c r="E258" s="126"/>
      <c r="F258" s="138"/>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row>
    <row r="259" spans="3:30">
      <c r="C259" s="126"/>
      <c r="D259" s="126"/>
      <c r="E259" s="126"/>
      <c r="F259" s="138"/>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row>
    <row r="260" spans="3:30">
      <c r="C260" s="126"/>
      <c r="D260" s="126"/>
      <c r="E260" s="126"/>
      <c r="F260" s="138"/>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row>
    <row r="261" spans="3:30">
      <c r="C261" s="126"/>
      <c r="D261" s="126"/>
      <c r="E261" s="126"/>
      <c r="F261" s="138"/>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row>
    <row r="262" spans="3:30">
      <c r="C262" s="126"/>
      <c r="D262" s="126"/>
      <c r="E262" s="126"/>
      <c r="F262" s="138"/>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row>
    <row r="263" spans="3:30">
      <c r="C263" s="126"/>
      <c r="D263" s="126"/>
      <c r="E263" s="126"/>
      <c r="F263" s="138"/>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row>
    <row r="264" spans="3:30">
      <c r="C264" s="126"/>
      <c r="D264" s="126"/>
      <c r="E264" s="126"/>
      <c r="F264" s="138"/>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row>
    <row r="265" spans="3:30">
      <c r="C265" s="126"/>
      <c r="D265" s="126"/>
      <c r="E265" s="126"/>
      <c r="F265" s="138"/>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row>
    <row r="266" spans="3:30">
      <c r="C266" s="126"/>
      <c r="D266" s="126"/>
      <c r="E266" s="126"/>
      <c r="F266" s="138"/>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row>
    <row r="267" spans="3:30">
      <c r="C267" s="126"/>
      <c r="D267" s="126"/>
      <c r="E267" s="126"/>
      <c r="F267" s="138"/>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row>
    <row r="268" spans="3:30">
      <c r="C268" s="126"/>
      <c r="D268" s="126"/>
      <c r="E268" s="126"/>
      <c r="F268" s="138"/>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row>
    <row r="269" spans="3:30">
      <c r="C269" s="126"/>
      <c r="D269" s="126"/>
      <c r="E269" s="126"/>
      <c r="F269" s="138"/>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row>
    <row r="270" spans="3:30">
      <c r="C270" s="126"/>
      <c r="D270" s="126"/>
      <c r="E270" s="126"/>
      <c r="F270" s="138"/>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row>
    <row r="271" spans="3:30">
      <c r="C271" s="126"/>
      <c r="D271" s="126"/>
      <c r="E271" s="126"/>
      <c r="F271" s="138"/>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row>
    <row r="272" spans="3:30">
      <c r="C272" s="126"/>
      <c r="D272" s="126"/>
      <c r="E272" s="126"/>
      <c r="F272" s="138"/>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row>
    <row r="273" spans="3:30">
      <c r="C273" s="126"/>
      <c r="D273" s="126"/>
      <c r="E273" s="126"/>
      <c r="F273" s="138"/>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row>
    <row r="274" spans="3:30">
      <c r="C274" s="126"/>
      <c r="D274" s="126"/>
      <c r="E274" s="126"/>
      <c r="F274" s="138"/>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row>
    <row r="275" spans="3:30">
      <c r="C275" s="126"/>
      <c r="D275" s="126"/>
      <c r="E275" s="126"/>
      <c r="F275" s="138"/>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row>
    <row r="276" spans="3:30">
      <c r="C276" s="126"/>
      <c r="D276" s="126"/>
      <c r="E276" s="126"/>
      <c r="F276" s="138"/>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row>
    <row r="277" spans="3:30">
      <c r="C277" s="126"/>
      <c r="D277" s="126"/>
      <c r="E277" s="126"/>
      <c r="F277" s="138"/>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row>
    <row r="278" spans="3:30">
      <c r="C278" s="126"/>
      <c r="D278" s="126"/>
      <c r="E278" s="126"/>
      <c r="F278" s="138"/>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row>
    <row r="279" spans="3:30">
      <c r="C279" s="126"/>
      <c r="D279" s="126"/>
      <c r="E279" s="126"/>
      <c r="F279" s="138"/>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row>
    <row r="280" spans="3:30">
      <c r="C280" s="126"/>
      <c r="D280" s="126"/>
      <c r="E280" s="126"/>
      <c r="F280" s="138"/>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row>
    <row r="281" spans="3:30">
      <c r="C281" s="126"/>
      <c r="D281" s="126"/>
      <c r="E281" s="126"/>
      <c r="F281" s="138"/>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row>
    <row r="282" spans="3:30">
      <c r="C282" s="126"/>
      <c r="D282" s="126"/>
      <c r="E282" s="126"/>
      <c r="F282" s="138"/>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row>
    <row r="283" spans="3:30">
      <c r="C283" s="126"/>
      <c r="D283" s="126"/>
      <c r="E283" s="126"/>
      <c r="F283" s="138"/>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row>
    <row r="284" spans="3:30">
      <c r="C284" s="126"/>
      <c r="D284" s="126"/>
      <c r="E284" s="126"/>
      <c r="F284" s="138"/>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row>
    <row r="285" spans="3:30">
      <c r="C285" s="126"/>
      <c r="D285" s="126"/>
      <c r="E285" s="126"/>
      <c r="F285" s="138"/>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row>
    <row r="286" spans="3:30">
      <c r="C286" s="126"/>
      <c r="D286" s="126"/>
      <c r="E286" s="126"/>
      <c r="F286" s="138"/>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row>
    <row r="287" spans="3:30">
      <c r="C287" s="126"/>
      <c r="D287" s="126"/>
      <c r="E287" s="126"/>
      <c r="F287" s="138"/>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row>
    <row r="288" spans="3:30">
      <c r="C288" s="126"/>
      <c r="D288" s="126"/>
      <c r="E288" s="126"/>
      <c r="F288" s="138"/>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row>
    <row r="289" spans="3:30">
      <c r="C289" s="126"/>
      <c r="D289" s="126"/>
      <c r="E289" s="126"/>
      <c r="F289" s="138"/>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row>
    <row r="290" spans="3:30">
      <c r="C290" s="126"/>
      <c r="D290" s="126"/>
      <c r="E290" s="126"/>
      <c r="F290" s="138"/>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row>
    <row r="291" spans="3:30">
      <c r="C291" s="126"/>
      <c r="D291" s="126"/>
      <c r="E291" s="126"/>
      <c r="F291" s="138"/>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row>
    <row r="292" spans="3:30">
      <c r="C292" s="126"/>
      <c r="D292" s="126"/>
      <c r="E292" s="126"/>
      <c r="F292" s="138"/>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row>
    <row r="293" spans="3:30">
      <c r="C293" s="126"/>
      <c r="D293" s="126"/>
      <c r="E293" s="126"/>
      <c r="F293" s="138"/>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row>
    <row r="294" spans="3:30">
      <c r="C294" s="126"/>
      <c r="D294" s="126"/>
      <c r="E294" s="126"/>
      <c r="F294" s="138"/>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row>
    <row r="295" spans="3:30">
      <c r="C295" s="126"/>
      <c r="D295" s="126"/>
      <c r="E295" s="126"/>
      <c r="F295" s="138"/>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row>
    <row r="296" spans="3:30">
      <c r="C296" s="126"/>
      <c r="D296" s="126"/>
      <c r="E296" s="126"/>
      <c r="F296" s="138"/>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row>
    <row r="297" spans="3:30">
      <c r="C297" s="126"/>
      <c r="D297" s="126"/>
      <c r="E297" s="126"/>
      <c r="F297" s="138"/>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row>
    <row r="298" spans="3:30">
      <c r="C298" s="126"/>
      <c r="D298" s="126"/>
      <c r="E298" s="126"/>
      <c r="F298" s="138"/>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row>
    <row r="299" spans="3:30">
      <c r="C299" s="126"/>
      <c r="D299" s="126"/>
      <c r="E299" s="126"/>
      <c r="F299" s="138"/>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row>
    <row r="300" spans="3:30">
      <c r="C300" s="126"/>
      <c r="D300" s="126"/>
      <c r="E300" s="126"/>
      <c r="F300" s="138"/>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row>
    <row r="301" spans="3:30">
      <c r="C301" s="126"/>
      <c r="D301" s="126"/>
      <c r="E301" s="126"/>
      <c r="F301" s="138"/>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row>
    <row r="302" spans="3:30">
      <c r="C302" s="126"/>
      <c r="D302" s="126"/>
      <c r="E302" s="126"/>
      <c r="F302" s="138"/>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row>
    <row r="303" spans="3:30">
      <c r="C303" s="126"/>
      <c r="D303" s="126"/>
      <c r="E303" s="126"/>
      <c r="F303" s="138"/>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row>
    <row r="304" spans="3:30">
      <c r="C304" s="126"/>
      <c r="D304" s="126"/>
      <c r="E304" s="126"/>
      <c r="F304" s="138"/>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row>
    <row r="305" spans="3:30">
      <c r="C305" s="126"/>
      <c r="D305" s="126"/>
      <c r="E305" s="126"/>
      <c r="F305" s="138"/>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row>
    <row r="306" spans="3:30">
      <c r="C306" s="126"/>
      <c r="D306" s="126"/>
      <c r="E306" s="126"/>
      <c r="F306" s="138"/>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row>
    <row r="307" spans="3:30">
      <c r="C307" s="126"/>
      <c r="D307" s="126"/>
      <c r="E307" s="126"/>
      <c r="F307" s="138"/>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row>
    <row r="308" spans="3:30">
      <c r="C308" s="126"/>
      <c r="D308" s="126"/>
      <c r="E308" s="126"/>
      <c r="F308" s="138"/>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row>
    <row r="309" spans="3:30">
      <c r="C309" s="126"/>
      <c r="D309" s="126"/>
      <c r="E309" s="126"/>
      <c r="F309" s="138"/>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row>
    <row r="310" spans="3:30">
      <c r="C310" s="126"/>
      <c r="D310" s="126"/>
      <c r="E310" s="126"/>
      <c r="F310" s="138"/>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row>
    <row r="311" spans="3:30">
      <c r="C311" s="126"/>
      <c r="D311" s="126"/>
      <c r="E311" s="126"/>
      <c r="F311" s="138"/>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row>
    <row r="312" spans="3:30">
      <c r="C312" s="126"/>
      <c r="D312" s="126"/>
      <c r="E312" s="126"/>
      <c r="F312" s="138"/>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row>
    <row r="313" spans="3:30">
      <c r="C313" s="126"/>
      <c r="D313" s="126"/>
      <c r="E313" s="126"/>
      <c r="F313" s="138"/>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row>
    <row r="314" spans="3:30">
      <c r="C314" s="126"/>
      <c r="D314" s="126"/>
      <c r="E314" s="126"/>
      <c r="F314" s="138"/>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row>
    <row r="315" spans="3:30">
      <c r="C315" s="126"/>
      <c r="D315" s="126"/>
      <c r="E315" s="126"/>
      <c r="F315" s="138"/>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row>
    <row r="316" spans="3:30">
      <c r="C316" s="126"/>
      <c r="D316" s="126"/>
      <c r="E316" s="126"/>
      <c r="F316" s="138"/>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row>
    <row r="317" spans="3:30">
      <c r="C317" s="126"/>
      <c r="D317" s="126"/>
      <c r="E317" s="126"/>
      <c r="F317" s="138"/>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row>
    <row r="318" spans="3:30">
      <c r="C318" s="126"/>
      <c r="D318" s="126"/>
      <c r="E318" s="126"/>
      <c r="F318" s="138"/>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row>
    <row r="319" spans="3:30">
      <c r="C319" s="126"/>
      <c r="D319" s="126"/>
      <c r="E319" s="126"/>
      <c r="F319" s="138"/>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row>
    <row r="320" spans="3:30">
      <c r="C320" s="126"/>
      <c r="D320" s="126"/>
      <c r="E320" s="126"/>
      <c r="F320" s="138"/>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row>
    <row r="321" spans="3:30">
      <c r="C321" s="126"/>
      <c r="D321" s="126"/>
      <c r="E321" s="126"/>
      <c r="F321" s="138"/>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row>
    <row r="322" spans="3:30">
      <c r="C322" s="126"/>
      <c r="D322" s="126"/>
      <c r="E322" s="126"/>
      <c r="F322" s="138"/>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row>
    <row r="323" spans="3:30">
      <c r="C323" s="126"/>
      <c r="D323" s="126"/>
      <c r="E323" s="126"/>
      <c r="F323" s="138"/>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row>
    <row r="324" spans="3:30">
      <c r="C324" s="126"/>
      <c r="D324" s="126"/>
      <c r="E324" s="126"/>
      <c r="F324" s="138"/>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row>
    <row r="325" spans="3:30">
      <c r="C325" s="126"/>
      <c r="D325" s="126"/>
      <c r="E325" s="126"/>
      <c r="F325" s="138"/>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row>
    <row r="326" spans="3:30">
      <c r="C326" s="126"/>
      <c r="D326" s="126"/>
      <c r="E326" s="126"/>
      <c r="F326" s="138"/>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row>
    <row r="327" spans="3:30">
      <c r="C327" s="126"/>
      <c r="D327" s="126"/>
      <c r="E327" s="126"/>
      <c r="F327" s="138"/>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row>
    <row r="328" spans="3:30">
      <c r="C328" s="126"/>
      <c r="D328" s="126"/>
      <c r="E328" s="126"/>
      <c r="F328" s="138"/>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row>
    <row r="329" spans="3:30">
      <c r="C329" s="126"/>
      <c r="D329" s="126"/>
      <c r="E329" s="126"/>
      <c r="F329" s="138"/>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row>
    <row r="330" spans="3:30">
      <c r="C330" s="126"/>
      <c r="D330" s="126"/>
      <c r="E330" s="126"/>
      <c r="F330" s="138"/>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row>
    <row r="331" spans="3:30">
      <c r="C331" s="126"/>
      <c r="D331" s="126"/>
      <c r="E331" s="126"/>
      <c r="F331" s="138"/>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row>
    <row r="332" spans="3:30">
      <c r="C332" s="126"/>
      <c r="D332" s="126"/>
      <c r="E332" s="126"/>
      <c r="F332" s="138"/>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row>
    <row r="333" spans="3:30">
      <c r="C333" s="126"/>
      <c r="D333" s="126"/>
      <c r="E333" s="126"/>
      <c r="F333" s="138"/>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row>
    <row r="334" spans="3:30">
      <c r="C334" s="126"/>
      <c r="D334" s="126"/>
      <c r="E334" s="126"/>
      <c r="F334" s="138"/>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row>
    <row r="335" spans="3:30">
      <c r="C335" s="126"/>
      <c r="D335" s="126"/>
      <c r="E335" s="126"/>
      <c r="F335" s="138"/>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row>
    <row r="336" spans="3:30">
      <c r="C336" s="126"/>
      <c r="D336" s="126"/>
      <c r="E336" s="126"/>
      <c r="F336" s="138"/>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row>
    <row r="337" spans="3:30">
      <c r="C337" s="126"/>
      <c r="D337" s="126"/>
      <c r="E337" s="126"/>
      <c r="F337" s="138"/>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row>
    <row r="338" spans="3:30">
      <c r="C338" s="126"/>
      <c r="D338" s="126"/>
      <c r="E338" s="126"/>
      <c r="F338" s="138"/>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row>
    <row r="339" spans="3:30">
      <c r="C339" s="126"/>
      <c r="D339" s="126"/>
      <c r="E339" s="126"/>
      <c r="F339" s="138"/>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row>
    <row r="340" spans="3:30">
      <c r="C340" s="126"/>
      <c r="D340" s="126"/>
      <c r="E340" s="126"/>
      <c r="F340" s="138"/>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row>
    <row r="341" spans="3:30">
      <c r="C341" s="126"/>
      <c r="D341" s="126"/>
      <c r="E341" s="126"/>
      <c r="F341" s="138"/>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row>
    <row r="342" spans="3:30">
      <c r="C342" s="126"/>
      <c r="D342" s="126"/>
      <c r="E342" s="126"/>
      <c r="F342" s="138"/>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row>
    <row r="343" spans="3:30">
      <c r="C343" s="126"/>
      <c r="D343" s="126"/>
      <c r="E343" s="126"/>
      <c r="F343" s="138"/>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row>
    <row r="344" spans="3:30">
      <c r="C344" s="126"/>
      <c r="D344" s="126"/>
      <c r="E344" s="126"/>
      <c r="F344" s="138"/>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row>
    <row r="345" spans="3:30">
      <c r="C345" s="126"/>
      <c r="D345" s="126"/>
      <c r="E345" s="126"/>
      <c r="F345" s="138"/>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row>
    <row r="346" spans="3:30">
      <c r="C346" s="126"/>
      <c r="D346" s="126"/>
      <c r="E346" s="126"/>
      <c r="F346" s="138"/>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row>
    <row r="347" spans="3:30">
      <c r="C347" s="126"/>
      <c r="D347" s="126"/>
      <c r="E347" s="126"/>
      <c r="F347" s="138"/>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row>
    <row r="348" spans="3:30">
      <c r="C348" s="126"/>
      <c r="D348" s="126"/>
      <c r="E348" s="126"/>
      <c r="F348" s="138"/>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row>
    <row r="349" spans="3:30">
      <c r="C349" s="126"/>
      <c r="D349" s="126"/>
      <c r="E349" s="126"/>
      <c r="F349" s="138"/>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row>
    <row r="350" spans="3:30">
      <c r="C350" s="126"/>
      <c r="D350" s="126"/>
      <c r="E350" s="126"/>
      <c r="F350" s="138"/>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row>
    <row r="351" spans="3:30">
      <c r="C351" s="126"/>
      <c r="D351" s="126"/>
      <c r="E351" s="126"/>
      <c r="F351" s="138"/>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row>
    <row r="352" spans="3:30">
      <c r="C352" s="126"/>
      <c r="D352" s="126"/>
      <c r="E352" s="126"/>
      <c r="F352" s="138"/>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row>
    <row r="353" spans="3:30">
      <c r="C353" s="126"/>
      <c r="D353" s="126"/>
      <c r="E353" s="126"/>
      <c r="F353" s="138"/>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row>
    <row r="354" spans="3:30">
      <c r="C354" s="126"/>
      <c r="D354" s="126"/>
      <c r="E354" s="126"/>
      <c r="F354" s="138"/>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row>
    <row r="355" spans="3:30">
      <c r="C355" s="126"/>
      <c r="D355" s="126"/>
      <c r="E355" s="126"/>
      <c r="F355" s="138"/>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row>
    <row r="356" spans="3:30">
      <c r="C356" s="126"/>
      <c r="D356" s="126"/>
      <c r="E356" s="126"/>
      <c r="F356" s="138"/>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row>
    <row r="357" spans="3:30">
      <c r="C357" s="126"/>
      <c r="D357" s="126"/>
      <c r="E357" s="126"/>
      <c r="F357" s="138"/>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row>
    <row r="358" spans="3:30">
      <c r="C358" s="126"/>
      <c r="D358" s="126"/>
      <c r="E358" s="126"/>
      <c r="F358" s="138"/>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row>
    <row r="359" spans="3:30">
      <c r="C359" s="126"/>
      <c r="D359" s="126"/>
      <c r="E359" s="126"/>
      <c r="F359" s="138"/>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row>
    <row r="360" spans="3:30">
      <c r="C360" s="126"/>
      <c r="D360" s="126"/>
      <c r="E360" s="126"/>
      <c r="F360" s="138"/>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row>
    <row r="361" spans="3:30">
      <c r="C361" s="126"/>
      <c r="D361" s="126"/>
      <c r="E361" s="126"/>
      <c r="F361" s="138"/>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row>
    <row r="362" spans="3:30">
      <c r="C362" s="126"/>
      <c r="D362" s="126"/>
      <c r="E362" s="126"/>
      <c r="F362" s="138"/>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row>
    <row r="363" spans="3:30">
      <c r="C363" s="126"/>
      <c r="D363" s="126"/>
      <c r="E363" s="126"/>
      <c r="F363" s="138"/>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row>
    <row r="364" spans="3:30">
      <c r="C364" s="126"/>
      <c r="D364" s="126"/>
      <c r="E364" s="126"/>
      <c r="F364" s="138"/>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row>
    <row r="365" spans="3:30">
      <c r="C365" s="126"/>
      <c r="D365" s="126"/>
      <c r="E365" s="126"/>
      <c r="F365" s="138"/>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row>
    <row r="366" spans="3:30">
      <c r="C366" s="126"/>
      <c r="D366" s="126"/>
      <c r="E366" s="126"/>
      <c r="F366" s="138"/>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row>
    <row r="367" spans="3:30">
      <c r="C367" s="126"/>
      <c r="D367" s="126"/>
      <c r="E367" s="126"/>
      <c r="F367" s="138"/>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row>
    <row r="368" spans="3:30">
      <c r="C368" s="126"/>
      <c r="D368" s="126"/>
      <c r="E368" s="126"/>
      <c r="F368" s="138"/>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row>
    <row r="369" spans="3:30">
      <c r="C369" s="126"/>
      <c r="D369" s="126"/>
      <c r="E369" s="126"/>
      <c r="F369" s="138"/>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row>
    <row r="370" spans="3:30">
      <c r="C370" s="126"/>
      <c r="D370" s="126"/>
      <c r="E370" s="126"/>
      <c r="F370" s="138"/>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row>
    <row r="371" spans="3:30">
      <c r="C371" s="126"/>
      <c r="D371" s="126"/>
      <c r="E371" s="126"/>
      <c r="F371" s="138"/>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row>
    <row r="372" spans="3:30">
      <c r="C372" s="126"/>
      <c r="D372" s="126"/>
      <c r="E372" s="126"/>
      <c r="F372" s="138"/>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row>
    <row r="373" spans="3:30">
      <c r="C373" s="126"/>
      <c r="D373" s="126"/>
      <c r="E373" s="126"/>
      <c r="F373" s="138"/>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row>
    <row r="374" spans="3:30">
      <c r="C374" s="126"/>
      <c r="D374" s="126"/>
      <c r="E374" s="126"/>
      <c r="F374" s="138"/>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row>
    <row r="375" spans="3:30">
      <c r="C375" s="126"/>
      <c r="D375" s="126"/>
      <c r="E375" s="126"/>
      <c r="F375" s="138"/>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row>
    <row r="376" spans="3:30">
      <c r="C376" s="126"/>
      <c r="D376" s="126"/>
      <c r="E376" s="126"/>
      <c r="F376" s="138"/>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row>
    <row r="377" spans="3:30">
      <c r="C377" s="126"/>
      <c r="D377" s="126"/>
      <c r="E377" s="126"/>
      <c r="F377" s="138"/>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row>
    <row r="378" spans="3:30">
      <c r="C378" s="126"/>
      <c r="D378" s="126"/>
      <c r="E378" s="126"/>
      <c r="F378" s="138"/>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row>
    <row r="379" spans="3:30">
      <c r="C379" s="126"/>
      <c r="D379" s="126"/>
      <c r="E379" s="126"/>
      <c r="F379" s="138"/>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row>
    <row r="380" spans="3:30">
      <c r="C380" s="126"/>
      <c r="D380" s="126"/>
      <c r="E380" s="126"/>
      <c r="F380" s="138"/>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row>
    <row r="381" spans="3:30">
      <c r="C381" s="126"/>
      <c r="D381" s="126"/>
      <c r="E381" s="126"/>
      <c r="F381" s="138"/>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row>
    <row r="382" spans="3:30">
      <c r="C382" s="126"/>
      <c r="D382" s="126"/>
      <c r="E382" s="126"/>
      <c r="F382" s="138"/>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row>
    <row r="383" spans="3:30">
      <c r="C383" s="126"/>
      <c r="D383" s="126"/>
      <c r="E383" s="126"/>
      <c r="F383" s="138"/>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row>
    <row r="384" spans="3:30">
      <c r="C384" s="126"/>
      <c r="D384" s="126"/>
      <c r="E384" s="126"/>
      <c r="F384" s="138"/>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row>
    <row r="385" spans="3:30">
      <c r="C385" s="126"/>
      <c r="D385" s="126"/>
      <c r="E385" s="126"/>
      <c r="F385" s="138"/>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row>
    <row r="386" spans="3:30">
      <c r="C386" s="126"/>
      <c r="D386" s="126"/>
      <c r="E386" s="126"/>
      <c r="F386" s="138"/>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row>
    <row r="387" spans="3:30">
      <c r="C387" s="126"/>
      <c r="D387" s="126"/>
      <c r="E387" s="126"/>
      <c r="F387" s="138"/>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row>
    <row r="388" spans="3:30">
      <c r="C388" s="126"/>
      <c r="D388" s="126"/>
      <c r="E388" s="126"/>
      <c r="F388" s="138"/>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row>
    <row r="389" spans="3:30">
      <c r="C389" s="126"/>
      <c r="D389" s="126"/>
      <c r="E389" s="126"/>
      <c r="F389" s="138"/>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row>
    <row r="390" spans="3:30">
      <c r="C390" s="126"/>
      <c r="D390" s="126"/>
      <c r="E390" s="126"/>
      <c r="F390" s="138"/>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row>
    <row r="391" spans="3:30">
      <c r="C391" s="126"/>
      <c r="D391" s="126"/>
      <c r="E391" s="126"/>
      <c r="F391" s="138"/>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row>
    <row r="392" spans="3:30">
      <c r="C392" s="126"/>
      <c r="D392" s="126"/>
      <c r="E392" s="126"/>
      <c r="F392" s="138"/>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row>
    <row r="393" spans="3:30">
      <c r="C393" s="126"/>
      <c r="D393" s="126"/>
      <c r="E393" s="126"/>
      <c r="F393" s="138"/>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row>
    <row r="394" spans="3:30">
      <c r="C394" s="126"/>
      <c r="D394" s="126"/>
      <c r="E394" s="126"/>
      <c r="F394" s="138"/>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row>
    <row r="395" spans="3:30">
      <c r="C395" s="126"/>
      <c r="D395" s="126"/>
      <c r="E395" s="126"/>
      <c r="F395" s="138"/>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row>
    <row r="396" spans="3:30">
      <c r="C396" s="126"/>
      <c r="D396" s="126"/>
      <c r="E396" s="126"/>
      <c r="F396" s="138"/>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row>
    <row r="397" spans="3:30">
      <c r="C397" s="126"/>
      <c r="D397" s="126"/>
      <c r="E397" s="126"/>
      <c r="F397" s="138"/>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row>
    <row r="398" spans="3:30">
      <c r="C398" s="126"/>
      <c r="D398" s="126"/>
      <c r="E398" s="126"/>
      <c r="F398" s="138"/>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row>
    <row r="399" spans="3:30">
      <c r="C399" s="126"/>
      <c r="D399" s="126"/>
      <c r="E399" s="126"/>
      <c r="F399" s="138"/>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row>
    <row r="400" spans="3:30">
      <c r="C400" s="126"/>
      <c r="D400" s="126"/>
      <c r="E400" s="126"/>
      <c r="F400" s="138"/>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row>
    <row r="401" spans="3:30">
      <c r="C401" s="126"/>
      <c r="D401" s="126"/>
      <c r="E401" s="126"/>
      <c r="F401" s="138"/>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row>
    <row r="402" spans="3:30">
      <c r="C402" s="126"/>
      <c r="D402" s="126"/>
      <c r="E402" s="126"/>
      <c r="F402" s="138"/>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row>
    <row r="403" spans="3:30">
      <c r="C403" s="126"/>
      <c r="D403" s="126"/>
      <c r="E403" s="126"/>
      <c r="F403" s="138"/>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row>
    <row r="404" spans="3:30">
      <c r="C404" s="126"/>
      <c r="D404" s="126"/>
      <c r="E404" s="126"/>
      <c r="F404" s="138"/>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row>
    <row r="405" spans="3:30">
      <c r="C405" s="126"/>
      <c r="D405" s="126"/>
      <c r="E405" s="126"/>
      <c r="F405" s="138"/>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row>
    <row r="406" spans="3:30">
      <c r="C406" s="126"/>
      <c r="D406" s="126"/>
      <c r="E406" s="126"/>
      <c r="F406" s="138"/>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row>
    <row r="407" spans="3:30">
      <c r="C407" s="126"/>
      <c r="D407" s="126"/>
      <c r="E407" s="126"/>
      <c r="F407" s="138"/>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row>
    <row r="408" spans="3:30">
      <c r="C408" s="126"/>
      <c r="D408" s="126"/>
      <c r="E408" s="126"/>
      <c r="F408" s="138"/>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row>
    <row r="409" spans="3:30">
      <c r="C409" s="126"/>
      <c r="D409" s="126"/>
      <c r="E409" s="126"/>
      <c r="F409" s="138"/>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row>
    <row r="410" spans="3:30">
      <c r="C410" s="126"/>
      <c r="D410" s="126"/>
      <c r="E410" s="126"/>
      <c r="F410" s="138"/>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row>
    <row r="411" spans="3:30">
      <c r="C411" s="126"/>
      <c r="D411" s="126"/>
      <c r="E411" s="126"/>
      <c r="F411" s="138"/>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row>
    <row r="412" spans="3:30">
      <c r="C412" s="126"/>
      <c r="D412" s="126"/>
      <c r="E412" s="126"/>
      <c r="F412" s="138"/>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row>
    <row r="413" spans="3:30">
      <c r="C413" s="126"/>
      <c r="D413" s="126"/>
      <c r="E413" s="126"/>
      <c r="F413" s="138"/>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row>
    <row r="414" spans="3:30">
      <c r="C414" s="126"/>
      <c r="D414" s="126"/>
      <c r="E414" s="126"/>
      <c r="F414" s="138"/>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row>
    <row r="415" spans="3:30">
      <c r="C415" s="126"/>
      <c r="D415" s="126"/>
      <c r="E415" s="126"/>
      <c r="F415" s="138"/>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row>
    <row r="416" spans="3:30">
      <c r="C416" s="126"/>
      <c r="D416" s="126"/>
      <c r="E416" s="126"/>
      <c r="F416" s="138"/>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row>
    <row r="417" spans="3:30">
      <c r="C417" s="126"/>
      <c r="D417" s="126"/>
      <c r="E417" s="126"/>
      <c r="F417" s="138"/>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row>
    <row r="418" spans="3:30">
      <c r="C418" s="126"/>
      <c r="D418" s="126"/>
      <c r="E418" s="126"/>
      <c r="F418" s="138"/>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row>
    <row r="419" spans="3:30">
      <c r="C419" s="126"/>
      <c r="D419" s="126"/>
      <c r="E419" s="126"/>
      <c r="F419" s="138"/>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row>
    <row r="420" spans="3:30">
      <c r="C420" s="126"/>
      <c r="D420" s="126"/>
      <c r="E420" s="126"/>
      <c r="F420" s="138"/>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row>
    <row r="421" spans="3:30">
      <c r="C421" s="126"/>
      <c r="D421" s="126"/>
      <c r="E421" s="126"/>
      <c r="F421" s="138"/>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row>
    <row r="422" spans="3:30">
      <c r="C422" s="126"/>
      <c r="D422" s="126"/>
      <c r="E422" s="126"/>
      <c r="F422" s="138"/>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row>
    <row r="423" spans="3:30">
      <c r="C423" s="126"/>
      <c r="D423" s="126"/>
      <c r="E423" s="126"/>
      <c r="F423" s="138"/>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row>
    <row r="424" spans="3:30">
      <c r="C424" s="126"/>
      <c r="D424" s="126"/>
      <c r="E424" s="126"/>
      <c r="F424" s="138"/>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row>
    <row r="425" spans="3:30">
      <c r="C425" s="126"/>
      <c r="D425" s="126"/>
      <c r="E425" s="126"/>
      <c r="F425" s="138"/>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row>
    <row r="426" spans="3:30">
      <c r="C426" s="126"/>
      <c r="D426" s="126"/>
      <c r="E426" s="126"/>
      <c r="F426" s="138"/>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row>
    <row r="427" spans="3:30">
      <c r="C427" s="126"/>
      <c r="D427" s="126"/>
      <c r="E427" s="126"/>
      <c r="F427" s="138"/>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row>
    <row r="428" spans="3:30">
      <c r="C428" s="126"/>
      <c r="D428" s="126"/>
      <c r="E428" s="126"/>
      <c r="F428" s="138"/>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row>
    <row r="429" spans="3:30">
      <c r="C429" s="126"/>
      <c r="D429" s="126"/>
      <c r="E429" s="126"/>
      <c r="F429" s="138"/>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row>
    <row r="430" spans="3:30">
      <c r="C430" s="126"/>
      <c r="D430" s="126"/>
      <c r="E430" s="126"/>
      <c r="F430" s="138"/>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row>
    <row r="431" spans="3:30">
      <c r="C431" s="126"/>
      <c r="D431" s="126"/>
      <c r="E431" s="126"/>
      <c r="F431" s="138"/>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row>
    <row r="432" spans="3:30">
      <c r="C432" s="126"/>
      <c r="D432" s="126"/>
      <c r="E432" s="126"/>
      <c r="F432" s="138"/>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row>
    <row r="433" spans="3:30">
      <c r="C433" s="126"/>
      <c r="D433" s="126"/>
      <c r="E433" s="126"/>
      <c r="F433" s="138"/>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row>
    <row r="434" spans="3:30">
      <c r="C434" s="126"/>
      <c r="D434" s="126"/>
      <c r="E434" s="126"/>
      <c r="F434" s="138"/>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row>
    <row r="435" spans="3:30">
      <c r="C435" s="126"/>
      <c r="D435" s="126"/>
      <c r="E435" s="126"/>
      <c r="F435" s="138"/>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row>
    <row r="436" spans="3:30">
      <c r="C436" s="126"/>
      <c r="D436" s="126"/>
      <c r="E436" s="126"/>
      <c r="F436" s="138"/>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row>
    <row r="437" spans="3:30">
      <c r="C437" s="126"/>
      <c r="D437" s="126"/>
      <c r="E437" s="126"/>
      <c r="F437" s="138"/>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row>
    <row r="438" spans="3:30">
      <c r="C438" s="126"/>
      <c r="D438" s="126"/>
      <c r="E438" s="126"/>
      <c r="F438" s="138"/>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row>
    <row r="439" spans="3:30">
      <c r="C439" s="126"/>
      <c r="D439" s="126"/>
      <c r="E439" s="126"/>
      <c r="F439" s="138"/>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row>
    <row r="440" spans="3:30">
      <c r="C440" s="126"/>
      <c r="D440" s="126"/>
      <c r="E440" s="126"/>
      <c r="F440" s="138"/>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row>
    <row r="441" spans="3:30">
      <c r="C441" s="126"/>
      <c r="D441" s="126"/>
      <c r="E441" s="126"/>
      <c r="F441" s="138"/>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row>
    <row r="442" spans="3:30">
      <c r="C442" s="126"/>
      <c r="D442" s="126"/>
      <c r="E442" s="126"/>
      <c r="F442" s="138"/>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row>
    <row r="443" spans="3:30">
      <c r="C443" s="126"/>
      <c r="D443" s="126"/>
      <c r="E443" s="126"/>
      <c r="F443" s="138"/>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row>
    <row r="444" spans="3:30">
      <c r="C444" s="126"/>
      <c r="D444" s="126"/>
      <c r="E444" s="126"/>
      <c r="F444" s="138"/>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row>
    <row r="445" spans="3:30">
      <c r="C445" s="126"/>
      <c r="D445" s="126"/>
      <c r="E445" s="126"/>
      <c r="F445" s="138"/>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row>
    <row r="446" spans="3:30">
      <c r="C446" s="126"/>
      <c r="D446" s="126"/>
      <c r="E446" s="126"/>
      <c r="F446" s="138"/>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row>
    <row r="447" spans="3:30">
      <c r="C447" s="126"/>
      <c r="D447" s="126"/>
      <c r="E447" s="126"/>
      <c r="F447" s="138"/>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row>
    <row r="448" spans="3:30">
      <c r="C448" s="126"/>
      <c r="D448" s="126"/>
      <c r="E448" s="126"/>
      <c r="F448" s="138"/>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row>
    <row r="449" spans="3:30">
      <c r="C449" s="126"/>
      <c r="D449" s="126"/>
      <c r="E449" s="126"/>
      <c r="F449" s="138"/>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row>
    <row r="450" spans="3:30">
      <c r="C450" s="126"/>
      <c r="D450" s="126"/>
      <c r="E450" s="126"/>
      <c r="F450" s="138"/>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row>
    <row r="451" spans="3:30">
      <c r="C451" s="126"/>
      <c r="D451" s="126"/>
      <c r="E451" s="126"/>
      <c r="F451" s="138"/>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row>
    <row r="452" spans="3:30">
      <c r="C452" s="126"/>
      <c r="D452" s="126"/>
      <c r="E452" s="126"/>
      <c r="F452" s="138"/>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row>
    <row r="453" spans="3:30">
      <c r="C453" s="126"/>
      <c r="D453" s="126"/>
      <c r="E453" s="126"/>
      <c r="F453" s="138"/>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row>
    <row r="454" spans="3:30">
      <c r="C454" s="126"/>
      <c r="D454" s="126"/>
      <c r="E454" s="126"/>
      <c r="F454" s="138"/>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row>
    <row r="455" spans="3:30">
      <c r="C455" s="126"/>
      <c r="D455" s="126"/>
      <c r="E455" s="126"/>
      <c r="F455" s="138"/>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row>
    <row r="456" spans="3:30">
      <c r="C456" s="126"/>
      <c r="D456" s="126"/>
      <c r="E456" s="126"/>
      <c r="F456" s="138"/>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row>
    <row r="457" spans="3:30">
      <c r="C457" s="126"/>
      <c r="D457" s="126"/>
      <c r="E457" s="126"/>
      <c r="F457" s="138"/>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row>
    <row r="458" spans="3:30">
      <c r="C458" s="126"/>
      <c r="D458" s="126"/>
      <c r="E458" s="126"/>
      <c r="F458" s="138"/>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row>
    <row r="459" spans="3:30">
      <c r="C459" s="126"/>
      <c r="D459" s="126"/>
      <c r="E459" s="126"/>
      <c r="F459" s="138"/>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row>
    <row r="460" spans="3:30">
      <c r="C460" s="126"/>
      <c r="D460" s="126"/>
      <c r="E460" s="126"/>
      <c r="F460" s="138"/>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row>
    <row r="461" spans="3:30">
      <c r="C461" s="126"/>
      <c r="D461" s="126"/>
      <c r="E461" s="126"/>
      <c r="F461" s="138"/>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row>
    <row r="462" spans="3:30">
      <c r="C462" s="126"/>
      <c r="D462" s="126"/>
      <c r="E462" s="126"/>
      <c r="F462" s="138"/>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row>
    <row r="463" spans="3:30">
      <c r="C463" s="126"/>
      <c r="D463" s="126"/>
      <c r="E463" s="126"/>
      <c r="F463" s="138"/>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row>
    <row r="464" spans="3:30">
      <c r="C464" s="126"/>
      <c r="D464" s="126"/>
      <c r="E464" s="126"/>
      <c r="F464" s="138"/>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row>
    <row r="465" spans="3:30">
      <c r="C465" s="126"/>
      <c r="D465" s="126"/>
      <c r="E465" s="126"/>
      <c r="F465" s="138"/>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row>
    <row r="466" spans="3:30">
      <c r="C466" s="126"/>
      <c r="D466" s="126"/>
      <c r="E466" s="126"/>
      <c r="F466" s="138"/>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row>
    <row r="467" spans="3:30">
      <c r="C467" s="126"/>
      <c r="D467" s="126"/>
      <c r="E467" s="126"/>
      <c r="F467" s="138"/>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row>
    <row r="468" spans="3:30">
      <c r="C468" s="126"/>
      <c r="D468" s="126"/>
      <c r="E468" s="126"/>
      <c r="F468" s="138"/>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row>
    <row r="469" spans="3:30">
      <c r="C469" s="126"/>
      <c r="D469" s="126"/>
      <c r="E469" s="126"/>
      <c r="F469" s="138"/>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row>
    <row r="470" spans="3:30">
      <c r="C470" s="126"/>
      <c r="D470" s="126"/>
      <c r="E470" s="126"/>
      <c r="F470" s="138"/>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row>
    <row r="471" spans="3:30">
      <c r="C471" s="126"/>
      <c r="D471" s="126"/>
      <c r="E471" s="126"/>
      <c r="F471" s="138"/>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row>
    <row r="472" spans="3:30">
      <c r="C472" s="126"/>
      <c r="D472" s="126"/>
      <c r="E472" s="126"/>
      <c r="F472" s="138"/>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row>
    <row r="473" spans="3:30">
      <c r="C473" s="126"/>
      <c r="D473" s="126"/>
      <c r="E473" s="126"/>
      <c r="F473" s="138"/>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row>
    <row r="474" spans="3:30">
      <c r="C474" s="126"/>
      <c r="D474" s="126"/>
      <c r="E474" s="126"/>
      <c r="F474" s="138"/>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row>
    <row r="475" spans="3:30">
      <c r="C475" s="126"/>
      <c r="D475" s="126"/>
      <c r="E475" s="126"/>
      <c r="F475" s="138"/>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row>
    <row r="476" spans="3:30">
      <c r="C476" s="126"/>
      <c r="D476" s="126"/>
      <c r="E476" s="126"/>
      <c r="F476" s="138"/>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row>
    <row r="477" spans="3:30">
      <c r="C477" s="126"/>
      <c r="D477" s="126"/>
      <c r="E477" s="126"/>
      <c r="F477" s="138"/>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row>
    <row r="478" spans="3:30">
      <c r="C478" s="126"/>
      <c r="D478" s="126"/>
      <c r="E478" s="126"/>
      <c r="F478" s="138"/>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row>
    <row r="479" spans="3:30">
      <c r="C479" s="126"/>
      <c r="D479" s="126"/>
      <c r="E479" s="126"/>
      <c r="F479" s="138"/>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row>
    <row r="480" spans="3:30">
      <c r="C480" s="126"/>
      <c r="D480" s="126"/>
      <c r="E480" s="126"/>
      <c r="F480" s="138"/>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row>
    <row r="481" spans="3:30">
      <c r="C481" s="126"/>
      <c r="D481" s="126"/>
      <c r="E481" s="126"/>
      <c r="F481" s="138"/>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row>
    <row r="482" spans="3:30">
      <c r="C482" s="126"/>
      <c r="D482" s="126"/>
      <c r="E482" s="126"/>
      <c r="F482" s="138"/>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row>
    <row r="483" spans="3:30">
      <c r="C483" s="126"/>
      <c r="D483" s="126"/>
      <c r="E483" s="126"/>
      <c r="F483" s="138"/>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row>
    <row r="484" spans="3:30">
      <c r="C484" s="126"/>
      <c r="D484" s="126"/>
      <c r="E484" s="126"/>
      <c r="F484" s="138"/>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row>
    <row r="485" spans="3:30">
      <c r="C485" s="126"/>
      <c r="D485" s="126"/>
      <c r="E485" s="126"/>
      <c r="F485" s="138"/>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row>
    <row r="486" spans="3:30">
      <c r="C486" s="126"/>
      <c r="D486" s="126"/>
      <c r="E486" s="126"/>
      <c r="F486" s="138"/>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row>
    <row r="487" spans="3:30">
      <c r="C487" s="126"/>
      <c r="D487" s="126"/>
      <c r="E487" s="126"/>
      <c r="F487" s="138"/>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row>
    <row r="488" spans="3:30">
      <c r="C488" s="126"/>
      <c r="D488" s="126"/>
      <c r="E488" s="126"/>
      <c r="F488" s="138"/>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row>
    <row r="489" spans="3:30">
      <c r="C489" s="126"/>
      <c r="D489" s="126"/>
      <c r="E489" s="126"/>
      <c r="F489" s="138"/>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row>
    <row r="490" spans="3:30">
      <c r="C490" s="126"/>
      <c r="D490" s="126"/>
      <c r="E490" s="126"/>
      <c r="F490" s="138"/>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row>
    <row r="491" spans="3:30">
      <c r="C491" s="126"/>
      <c r="D491" s="126"/>
      <c r="E491" s="126"/>
      <c r="F491" s="138"/>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row>
    <row r="492" spans="3:30">
      <c r="C492" s="126"/>
      <c r="D492" s="126"/>
      <c r="E492" s="126"/>
      <c r="F492" s="138"/>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row>
    <row r="493" spans="3:30">
      <c r="C493" s="126"/>
      <c r="D493" s="126"/>
      <c r="E493" s="126"/>
      <c r="F493" s="138"/>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row>
    <row r="494" spans="3:30">
      <c r="C494" s="126"/>
      <c r="D494" s="126"/>
      <c r="E494" s="126"/>
      <c r="F494" s="138"/>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row>
    <row r="495" spans="3:30">
      <c r="C495" s="126"/>
      <c r="D495" s="126"/>
      <c r="E495" s="126"/>
      <c r="F495" s="138"/>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row>
    <row r="496" spans="3:30">
      <c r="C496" s="126"/>
      <c r="D496" s="126"/>
      <c r="E496" s="126"/>
      <c r="F496" s="138"/>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row>
    <row r="497" spans="3:30">
      <c r="C497" s="126"/>
      <c r="D497" s="126"/>
      <c r="E497" s="126"/>
      <c r="F497" s="138"/>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row>
    <row r="498" spans="3:30">
      <c r="C498" s="126"/>
      <c r="D498" s="126"/>
      <c r="E498" s="126"/>
      <c r="F498" s="138"/>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row>
    <row r="499" spans="3:30">
      <c r="C499" s="126"/>
      <c r="D499" s="126"/>
      <c r="E499" s="126"/>
      <c r="F499" s="138"/>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row>
    <row r="500" spans="3:30">
      <c r="C500" s="126"/>
      <c r="D500" s="126"/>
      <c r="E500" s="126"/>
      <c r="F500" s="138"/>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row>
    <row r="501" spans="3:30">
      <c r="C501" s="126"/>
      <c r="D501" s="126"/>
      <c r="E501" s="126"/>
      <c r="F501" s="138"/>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row>
    <row r="502" spans="3:30">
      <c r="C502" s="126"/>
      <c r="D502" s="126"/>
      <c r="E502" s="126"/>
      <c r="F502" s="138"/>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row>
    <row r="503" spans="3:30">
      <c r="C503" s="126"/>
      <c r="D503" s="126"/>
      <c r="E503" s="126"/>
      <c r="F503" s="138"/>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row>
    <row r="504" spans="3:30">
      <c r="C504" s="126"/>
      <c r="D504" s="126"/>
      <c r="E504" s="126"/>
      <c r="F504" s="138"/>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row>
    <row r="505" spans="3:30">
      <c r="C505" s="126"/>
      <c r="D505" s="126"/>
      <c r="E505" s="126"/>
      <c r="F505" s="138"/>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row>
    <row r="506" spans="3:30">
      <c r="C506" s="126"/>
      <c r="D506" s="126"/>
      <c r="E506" s="126"/>
      <c r="F506" s="138"/>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row>
    <row r="507" spans="3:30">
      <c r="C507" s="126"/>
      <c r="D507" s="126"/>
      <c r="E507" s="126"/>
      <c r="F507" s="138"/>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row>
    <row r="508" spans="3:30">
      <c r="C508" s="126"/>
      <c r="D508" s="126"/>
      <c r="E508" s="126"/>
      <c r="F508" s="138"/>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row>
    <row r="509" spans="3:30">
      <c r="C509" s="126"/>
      <c r="D509" s="126"/>
      <c r="E509" s="126"/>
      <c r="F509" s="138"/>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row>
    <row r="510" spans="3:30">
      <c r="C510" s="126"/>
      <c r="D510" s="126"/>
      <c r="E510" s="126"/>
      <c r="F510" s="138"/>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row>
    <row r="511" spans="3:30">
      <c r="C511" s="126"/>
      <c r="D511" s="126"/>
      <c r="E511" s="126"/>
      <c r="F511" s="138"/>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row>
    <row r="512" spans="3:30">
      <c r="C512" s="126"/>
      <c r="D512" s="126"/>
      <c r="E512" s="126"/>
      <c r="F512" s="138"/>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row>
    <row r="513" spans="3:30">
      <c r="C513" s="126"/>
      <c r="D513" s="126"/>
      <c r="E513" s="126"/>
      <c r="F513" s="138"/>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row>
    <row r="514" spans="3:30">
      <c r="C514" s="126"/>
      <c r="D514" s="126"/>
      <c r="E514" s="126"/>
      <c r="F514" s="138"/>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row>
    <row r="515" spans="3:30">
      <c r="C515" s="126"/>
      <c r="D515" s="126"/>
      <c r="E515" s="126"/>
      <c r="F515" s="138"/>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row>
    <row r="516" spans="3:30">
      <c r="C516" s="126"/>
      <c r="D516" s="126"/>
      <c r="E516" s="126"/>
      <c r="F516" s="138"/>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row>
    <row r="517" spans="3:30">
      <c r="C517" s="126"/>
      <c r="D517" s="126"/>
      <c r="E517" s="126"/>
      <c r="F517" s="138"/>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row>
    <row r="518" spans="3:30">
      <c r="C518" s="126"/>
      <c r="D518" s="126"/>
      <c r="E518" s="126"/>
      <c r="F518" s="138"/>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row>
    <row r="519" spans="3:30">
      <c r="C519" s="126"/>
      <c r="D519" s="126"/>
      <c r="E519" s="126"/>
      <c r="F519" s="138"/>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row>
    <row r="520" spans="3:30">
      <c r="C520" s="126"/>
      <c r="D520" s="126"/>
      <c r="E520" s="126"/>
      <c r="F520" s="138"/>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row>
    <row r="521" spans="3:30">
      <c r="C521" s="126"/>
      <c r="D521" s="126"/>
      <c r="E521" s="126"/>
      <c r="F521" s="138"/>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row>
    <row r="522" spans="3:30">
      <c r="C522" s="126"/>
      <c r="D522" s="126"/>
      <c r="E522" s="126"/>
      <c r="F522" s="138"/>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row>
    <row r="523" spans="3:30">
      <c r="C523" s="126"/>
      <c r="D523" s="126"/>
      <c r="E523" s="126"/>
      <c r="F523" s="138"/>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row>
    <row r="524" spans="3:30">
      <c r="C524" s="126"/>
      <c r="D524" s="126"/>
      <c r="E524" s="126"/>
      <c r="F524" s="138"/>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row>
    <row r="525" spans="3:30">
      <c r="C525" s="126"/>
      <c r="D525" s="126"/>
      <c r="E525" s="126"/>
      <c r="F525" s="138"/>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row>
    <row r="526" spans="3:30">
      <c r="C526" s="126"/>
      <c r="D526" s="126"/>
      <c r="E526" s="126"/>
      <c r="F526" s="138"/>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row>
    <row r="527" spans="3:30">
      <c r="C527" s="126"/>
      <c r="D527" s="126"/>
      <c r="E527" s="126"/>
      <c r="F527" s="138"/>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row>
    <row r="528" spans="3:30">
      <c r="C528" s="126"/>
      <c r="D528" s="126"/>
      <c r="E528" s="126"/>
      <c r="F528" s="138"/>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row>
    <row r="529" spans="3:30">
      <c r="C529" s="126"/>
      <c r="D529" s="126"/>
      <c r="E529" s="126"/>
      <c r="F529" s="138"/>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row>
    <row r="530" spans="3:30">
      <c r="C530" s="126"/>
      <c r="D530" s="126"/>
      <c r="E530" s="126"/>
      <c r="F530" s="138"/>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row>
    <row r="531" spans="3:30">
      <c r="C531" s="126"/>
      <c r="D531" s="126"/>
      <c r="E531" s="126"/>
      <c r="F531" s="138"/>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row>
    <row r="532" spans="3:30">
      <c r="C532" s="126"/>
      <c r="D532" s="126"/>
      <c r="E532" s="126"/>
      <c r="F532" s="138"/>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row>
    <row r="533" spans="3:30">
      <c r="C533" s="126"/>
      <c r="D533" s="126"/>
      <c r="E533" s="126"/>
      <c r="F533" s="138"/>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row>
    <row r="534" spans="3:30">
      <c r="C534" s="126"/>
      <c r="D534" s="126"/>
      <c r="E534" s="126"/>
      <c r="F534" s="138"/>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row>
    <row r="535" spans="3:30">
      <c r="C535" s="126"/>
      <c r="D535" s="126"/>
      <c r="E535" s="126"/>
      <c r="F535" s="138"/>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row>
    <row r="536" spans="3:30">
      <c r="C536" s="126"/>
      <c r="D536" s="126"/>
      <c r="E536" s="126"/>
      <c r="F536" s="138"/>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row>
    <row r="537" spans="3:30">
      <c r="C537" s="126"/>
      <c r="D537" s="126"/>
      <c r="E537" s="126"/>
      <c r="F537" s="138"/>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row>
    <row r="538" spans="3:30">
      <c r="C538" s="126"/>
      <c r="D538" s="126"/>
      <c r="E538" s="126"/>
      <c r="F538" s="138"/>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row>
    <row r="539" spans="3:30">
      <c r="C539" s="126"/>
      <c r="D539" s="126"/>
      <c r="E539" s="126"/>
      <c r="F539" s="138"/>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row>
    <row r="540" spans="3:30">
      <c r="C540" s="126"/>
      <c r="D540" s="126"/>
      <c r="E540" s="126"/>
      <c r="F540" s="138"/>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row>
    <row r="541" spans="3:30">
      <c r="C541" s="126"/>
      <c r="D541" s="126"/>
      <c r="E541" s="126"/>
      <c r="F541" s="138"/>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row>
    <row r="542" spans="3:30">
      <c r="C542" s="126"/>
      <c r="D542" s="126"/>
      <c r="E542" s="126"/>
      <c r="F542" s="138"/>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row>
    <row r="543" spans="3:30">
      <c r="C543" s="126"/>
      <c r="D543" s="126"/>
      <c r="E543" s="126"/>
      <c r="F543" s="138"/>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row>
    <row r="544" spans="3:30">
      <c r="C544" s="126"/>
      <c r="D544" s="126"/>
      <c r="E544" s="126"/>
      <c r="F544" s="138"/>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row>
    <row r="545" spans="3:30">
      <c r="C545" s="126"/>
      <c r="D545" s="126"/>
      <c r="E545" s="126"/>
      <c r="F545" s="138"/>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row>
    <row r="546" spans="3:30">
      <c r="C546" s="126"/>
      <c r="D546" s="126"/>
      <c r="E546" s="126"/>
      <c r="F546" s="138"/>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row>
    <row r="547" spans="3:30">
      <c r="C547" s="126"/>
      <c r="D547" s="126"/>
      <c r="E547" s="126"/>
      <c r="F547" s="138"/>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row>
    <row r="548" spans="3:30">
      <c r="C548" s="126"/>
      <c r="D548" s="126"/>
      <c r="E548" s="126"/>
      <c r="F548" s="138"/>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row>
    <row r="549" spans="3:30">
      <c r="C549" s="126"/>
      <c r="D549" s="126"/>
      <c r="E549" s="126"/>
      <c r="F549" s="138"/>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row>
    <row r="550" spans="3:30">
      <c r="C550" s="126"/>
      <c r="D550" s="126"/>
      <c r="E550" s="126"/>
      <c r="F550" s="138"/>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row>
    <row r="551" spans="3:30">
      <c r="C551" s="126"/>
      <c r="D551" s="126"/>
      <c r="E551" s="126"/>
      <c r="F551" s="138"/>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row>
    <row r="552" spans="3:30">
      <c r="C552" s="126"/>
      <c r="D552" s="126"/>
      <c r="E552" s="126"/>
      <c r="F552" s="138"/>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row>
    <row r="553" spans="3:30">
      <c r="C553" s="126"/>
      <c r="D553" s="126"/>
      <c r="E553" s="126"/>
      <c r="F553" s="138"/>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row>
    <row r="554" spans="3:30">
      <c r="C554" s="126"/>
      <c r="D554" s="126"/>
      <c r="E554" s="126"/>
      <c r="F554" s="138"/>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row>
    <row r="555" spans="3:30">
      <c r="C555" s="126"/>
      <c r="D555" s="126"/>
      <c r="E555" s="126"/>
      <c r="F555" s="138"/>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row>
    <row r="556" spans="3:30">
      <c r="C556" s="126"/>
      <c r="D556" s="126"/>
      <c r="E556" s="126"/>
      <c r="F556" s="138"/>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row>
    <row r="557" spans="3:30">
      <c r="C557" s="126"/>
      <c r="D557" s="126"/>
      <c r="E557" s="126"/>
      <c r="F557" s="138"/>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row>
    <row r="558" spans="3:30">
      <c r="C558" s="126"/>
      <c r="D558" s="126"/>
      <c r="E558" s="126"/>
      <c r="F558" s="138"/>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row>
    <row r="559" spans="3:30">
      <c r="C559" s="126"/>
      <c r="D559" s="126"/>
      <c r="E559" s="126"/>
      <c r="F559" s="138"/>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row>
    <row r="560" spans="3:30">
      <c r="C560" s="126"/>
      <c r="D560" s="126"/>
      <c r="E560" s="126"/>
      <c r="F560" s="138"/>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row>
    <row r="561" spans="3:30">
      <c r="C561" s="126"/>
      <c r="D561" s="126"/>
      <c r="E561" s="126"/>
      <c r="F561" s="138"/>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row>
    <row r="562" spans="3:30">
      <c r="C562" s="126"/>
      <c r="D562" s="126"/>
      <c r="E562" s="126"/>
      <c r="F562" s="138"/>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row>
    <row r="563" spans="3:30">
      <c r="C563" s="126"/>
      <c r="D563" s="126"/>
      <c r="E563" s="126"/>
      <c r="F563" s="138"/>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row>
    <row r="564" spans="3:30">
      <c r="C564" s="126"/>
      <c r="D564" s="126"/>
      <c r="E564" s="126"/>
      <c r="F564" s="138"/>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row>
    <row r="565" spans="3:30">
      <c r="C565" s="126"/>
      <c r="D565" s="126"/>
      <c r="E565" s="126"/>
      <c r="F565" s="138"/>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row>
    <row r="566" spans="3:30">
      <c r="C566" s="126"/>
      <c r="D566" s="126"/>
      <c r="E566" s="126"/>
      <c r="F566" s="138"/>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row>
    <row r="567" spans="3:30">
      <c r="C567" s="126"/>
      <c r="D567" s="126"/>
      <c r="E567" s="126"/>
      <c r="F567" s="138"/>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row>
    <row r="568" spans="3:30">
      <c r="C568" s="126"/>
      <c r="D568" s="126"/>
      <c r="E568" s="126"/>
      <c r="F568" s="138"/>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row>
    <row r="569" spans="3:30">
      <c r="C569" s="126"/>
      <c r="D569" s="126"/>
      <c r="E569" s="126"/>
      <c r="F569" s="138"/>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row>
    <row r="570" spans="3:30">
      <c r="C570" s="126"/>
      <c r="D570" s="126"/>
      <c r="E570" s="126"/>
      <c r="F570" s="138"/>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row>
    <row r="571" spans="3:30">
      <c r="C571" s="126"/>
      <c r="D571" s="126"/>
      <c r="E571" s="126"/>
      <c r="F571" s="138"/>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row>
    <row r="572" spans="3:30">
      <c r="C572" s="126"/>
      <c r="D572" s="126"/>
      <c r="E572" s="126"/>
      <c r="F572" s="138"/>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row>
    <row r="573" spans="3:30">
      <c r="C573" s="126"/>
      <c r="D573" s="126"/>
      <c r="E573" s="126"/>
      <c r="F573" s="138"/>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row>
    <row r="574" spans="3:30">
      <c r="C574" s="126"/>
      <c r="D574" s="126"/>
      <c r="E574" s="126"/>
      <c r="F574" s="138"/>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row>
    <row r="575" spans="3:30">
      <c r="C575" s="126"/>
      <c r="D575" s="126"/>
      <c r="E575" s="126"/>
      <c r="F575" s="138"/>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row>
    <row r="576" spans="3:30">
      <c r="C576" s="126"/>
      <c r="D576" s="126"/>
      <c r="E576" s="126"/>
      <c r="F576" s="138"/>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row>
    <row r="577" spans="3:30">
      <c r="C577" s="126"/>
      <c r="D577" s="126"/>
      <c r="E577" s="126"/>
      <c r="F577" s="138"/>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row>
    <row r="578" spans="3:30">
      <c r="C578" s="126"/>
      <c r="D578" s="126"/>
      <c r="E578" s="126"/>
      <c r="F578" s="138"/>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row>
    <row r="579" spans="3:30">
      <c r="C579" s="126"/>
      <c r="D579" s="126"/>
      <c r="E579" s="126"/>
      <c r="F579" s="138"/>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row>
    <row r="580" spans="3:30">
      <c r="C580" s="126"/>
      <c r="D580" s="126"/>
      <c r="E580" s="126"/>
      <c r="F580" s="138"/>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row>
    <row r="581" spans="3:30">
      <c r="C581" s="126"/>
      <c r="D581" s="126"/>
      <c r="E581" s="126"/>
      <c r="F581" s="138"/>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row>
    <row r="582" spans="3:30">
      <c r="C582" s="126"/>
      <c r="D582" s="126"/>
      <c r="E582" s="126"/>
      <c r="F582" s="138"/>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row>
    <row r="583" spans="3:30">
      <c r="C583" s="126"/>
      <c r="D583" s="126"/>
      <c r="E583" s="126"/>
      <c r="F583" s="138"/>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row>
    <row r="584" spans="3:30">
      <c r="C584" s="126"/>
      <c r="D584" s="126"/>
      <c r="E584" s="126"/>
      <c r="F584" s="138"/>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row>
    <row r="585" spans="3:30">
      <c r="C585" s="126"/>
      <c r="D585" s="126"/>
      <c r="E585" s="126"/>
      <c r="F585" s="138"/>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row>
    <row r="586" spans="3:30">
      <c r="C586" s="126"/>
      <c r="D586" s="126"/>
      <c r="E586" s="126"/>
      <c r="F586" s="138"/>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row>
    <row r="587" spans="3:30">
      <c r="C587" s="126"/>
      <c r="D587" s="126"/>
      <c r="E587" s="126"/>
      <c r="F587" s="138"/>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row>
    <row r="588" spans="3:30">
      <c r="C588" s="126"/>
      <c r="D588" s="126"/>
      <c r="E588" s="126"/>
      <c r="F588" s="138"/>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row>
    <row r="589" spans="3:30">
      <c r="C589" s="126"/>
      <c r="D589" s="126"/>
      <c r="E589" s="126"/>
      <c r="F589" s="138"/>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row>
    <row r="590" spans="3:30">
      <c r="C590" s="126"/>
      <c r="D590" s="126"/>
      <c r="E590" s="126"/>
      <c r="F590" s="138"/>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row>
    <row r="591" spans="3:30">
      <c r="C591" s="126"/>
      <c r="D591" s="126"/>
      <c r="E591" s="126"/>
      <c r="F591" s="138"/>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row>
    <row r="592" spans="3:30">
      <c r="C592" s="126"/>
      <c r="D592" s="126"/>
      <c r="E592" s="126"/>
      <c r="F592" s="138"/>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row>
    <row r="593" spans="3:30">
      <c r="C593" s="126"/>
      <c r="D593" s="126"/>
      <c r="E593" s="126"/>
      <c r="F593" s="138"/>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row>
    <row r="594" spans="3:30">
      <c r="C594" s="126"/>
      <c r="D594" s="126"/>
      <c r="E594" s="126"/>
      <c r="F594" s="138"/>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row>
    <row r="595" spans="3:30">
      <c r="C595" s="126"/>
      <c r="D595" s="126"/>
      <c r="E595" s="126"/>
      <c r="F595" s="138"/>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row>
    <row r="596" spans="3:30">
      <c r="C596" s="126"/>
      <c r="D596" s="126"/>
      <c r="E596" s="126"/>
      <c r="F596" s="138"/>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row>
    <row r="597" spans="3:30">
      <c r="C597" s="126"/>
      <c r="D597" s="126"/>
      <c r="E597" s="126"/>
      <c r="F597" s="138"/>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row>
    <row r="598" spans="3:30">
      <c r="C598" s="126"/>
      <c r="D598" s="126"/>
      <c r="E598" s="126"/>
      <c r="F598" s="138"/>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row>
    <row r="599" spans="3:30">
      <c r="C599" s="126"/>
      <c r="D599" s="126"/>
      <c r="E599" s="126"/>
      <c r="F599" s="138"/>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row>
    <row r="600" spans="3:30">
      <c r="C600" s="126"/>
      <c r="D600" s="126"/>
      <c r="E600" s="126"/>
      <c r="F600" s="138"/>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row>
    <row r="601" spans="3:30">
      <c r="C601" s="126"/>
      <c r="D601" s="126"/>
      <c r="E601" s="126"/>
      <c r="F601" s="138"/>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row>
    <row r="602" spans="3:30">
      <c r="C602" s="126"/>
      <c r="D602" s="126"/>
      <c r="E602" s="126"/>
      <c r="F602" s="138"/>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row>
    <row r="603" spans="3:30">
      <c r="C603" s="126"/>
      <c r="D603" s="126"/>
      <c r="E603" s="126"/>
      <c r="F603" s="138"/>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row>
    <row r="604" spans="3:30">
      <c r="C604" s="126"/>
      <c r="D604" s="126"/>
      <c r="E604" s="126"/>
      <c r="F604" s="138"/>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row>
    <row r="605" spans="3:30">
      <c r="C605" s="126"/>
      <c r="D605" s="126"/>
      <c r="E605" s="126"/>
      <c r="F605" s="138"/>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row>
    <row r="606" spans="3:30">
      <c r="C606" s="126"/>
      <c r="D606" s="126"/>
      <c r="E606" s="126"/>
      <c r="F606" s="138"/>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row>
    <row r="607" spans="3:30">
      <c r="C607" s="126"/>
      <c r="D607" s="126"/>
      <c r="E607" s="126"/>
      <c r="F607" s="138"/>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row>
    <row r="608" spans="3:30">
      <c r="C608" s="126"/>
      <c r="D608" s="126"/>
      <c r="E608" s="126"/>
      <c r="F608" s="138"/>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row>
    <row r="609" spans="3:30">
      <c r="C609" s="126"/>
      <c r="D609" s="126"/>
      <c r="E609" s="126"/>
      <c r="F609" s="138"/>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row>
    <row r="610" spans="3:30">
      <c r="C610" s="126"/>
      <c r="D610" s="126"/>
      <c r="E610" s="126"/>
      <c r="F610" s="138"/>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row>
    <row r="611" spans="3:30">
      <c r="C611" s="126"/>
      <c r="D611" s="126"/>
      <c r="E611" s="126"/>
      <c r="F611" s="138"/>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row>
    <row r="612" spans="3:30">
      <c r="C612" s="126"/>
      <c r="D612" s="126"/>
      <c r="E612" s="126"/>
      <c r="F612" s="138"/>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row>
    <row r="613" spans="3:30">
      <c r="C613" s="126"/>
      <c r="D613" s="126"/>
      <c r="E613" s="126"/>
      <c r="F613" s="138"/>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row>
    <row r="614" spans="3:30">
      <c r="C614" s="126"/>
      <c r="D614" s="126"/>
      <c r="E614" s="126"/>
      <c r="F614" s="138"/>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row>
    <row r="615" spans="3:30">
      <c r="C615" s="126"/>
      <c r="D615" s="126"/>
      <c r="E615" s="126"/>
      <c r="F615" s="138"/>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row>
    <row r="616" spans="3:30">
      <c r="C616" s="126"/>
      <c r="D616" s="126"/>
      <c r="E616" s="126"/>
      <c r="F616" s="138"/>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row>
    <row r="617" spans="3:30">
      <c r="C617" s="126"/>
      <c r="D617" s="126"/>
      <c r="E617" s="126"/>
      <c r="F617" s="138"/>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row>
    <row r="618" spans="3:30">
      <c r="C618" s="126"/>
      <c r="D618" s="126"/>
      <c r="E618" s="126"/>
      <c r="F618" s="138"/>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row>
    <row r="619" spans="3:30">
      <c r="C619" s="126"/>
      <c r="D619" s="126"/>
      <c r="E619" s="126"/>
      <c r="F619" s="138"/>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row>
    <row r="620" spans="3:30">
      <c r="C620" s="126"/>
      <c r="D620" s="126"/>
      <c r="E620" s="126"/>
      <c r="F620" s="138"/>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row>
    <row r="621" spans="3:30">
      <c r="C621" s="126"/>
      <c r="D621" s="126"/>
      <c r="E621" s="126"/>
      <c r="F621" s="138"/>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row>
    <row r="622" spans="3:30">
      <c r="C622" s="126"/>
      <c r="D622" s="126"/>
      <c r="E622" s="126"/>
      <c r="F622" s="138"/>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row>
    <row r="623" spans="3:30">
      <c r="C623" s="126"/>
      <c r="D623" s="126"/>
      <c r="E623" s="126"/>
      <c r="F623" s="138"/>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row>
    <row r="624" spans="3:30">
      <c r="C624" s="126"/>
      <c r="D624" s="126"/>
      <c r="E624" s="126"/>
      <c r="F624" s="138"/>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row>
    <row r="625" spans="3:30">
      <c r="C625" s="126"/>
      <c r="D625" s="126"/>
      <c r="E625" s="126"/>
      <c r="F625" s="138"/>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row>
    <row r="626" spans="3:30">
      <c r="C626" s="126"/>
      <c r="D626" s="126"/>
      <c r="E626" s="126"/>
      <c r="F626" s="138"/>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row>
    <row r="627" spans="3:30">
      <c r="C627" s="126"/>
      <c r="D627" s="126"/>
      <c r="E627" s="126"/>
      <c r="F627" s="138"/>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row>
    <row r="628" spans="3:30">
      <c r="C628" s="126"/>
      <c r="D628" s="126"/>
      <c r="E628" s="126"/>
      <c r="F628" s="138"/>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row>
    <row r="629" spans="3:30">
      <c r="C629" s="126"/>
      <c r="D629" s="126"/>
      <c r="E629" s="126"/>
      <c r="F629" s="138"/>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row>
    <row r="630" spans="3:30">
      <c r="C630" s="126"/>
      <c r="D630" s="126"/>
      <c r="E630" s="126"/>
      <c r="F630" s="138"/>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row>
    <row r="631" spans="3:30">
      <c r="C631" s="126"/>
      <c r="D631" s="126"/>
      <c r="E631" s="126"/>
      <c r="F631" s="138"/>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row>
    <row r="632" spans="3:30">
      <c r="C632" s="126"/>
      <c r="D632" s="126"/>
      <c r="E632" s="126"/>
      <c r="F632" s="138"/>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row>
    <row r="633" spans="3:30">
      <c r="C633" s="126"/>
      <c r="D633" s="126"/>
      <c r="E633" s="126"/>
      <c r="F633" s="138"/>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row>
    <row r="634" spans="3:30">
      <c r="C634" s="126"/>
      <c r="D634" s="126"/>
      <c r="E634" s="126"/>
      <c r="F634" s="138"/>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row>
    <row r="635" spans="3:30">
      <c r="C635" s="126"/>
      <c r="D635" s="126"/>
      <c r="E635" s="126"/>
      <c r="F635" s="138"/>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row>
    <row r="636" spans="3:30">
      <c r="C636" s="126"/>
      <c r="D636" s="126"/>
      <c r="E636" s="126"/>
      <c r="F636" s="138"/>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row>
    <row r="637" spans="3:30">
      <c r="C637" s="126"/>
      <c r="D637" s="126"/>
      <c r="E637" s="126"/>
      <c r="F637" s="138"/>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row>
    <row r="638" spans="3:30">
      <c r="C638" s="126"/>
      <c r="D638" s="126"/>
      <c r="E638" s="126"/>
      <c r="F638" s="138"/>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row>
    <row r="639" spans="3:30">
      <c r="C639" s="126"/>
      <c r="D639" s="126"/>
      <c r="E639" s="126"/>
      <c r="F639" s="138"/>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row>
    <row r="640" spans="3:30">
      <c r="C640" s="126"/>
      <c r="D640" s="126"/>
      <c r="E640" s="126"/>
      <c r="F640" s="138"/>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row>
    <row r="641" spans="3:30">
      <c r="C641" s="126"/>
      <c r="D641" s="126"/>
      <c r="E641" s="126"/>
      <c r="F641" s="138"/>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row>
    <row r="642" spans="3:30">
      <c r="C642" s="126"/>
      <c r="D642" s="126"/>
      <c r="E642" s="126"/>
      <c r="F642" s="138"/>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row>
    <row r="643" spans="3:30">
      <c r="C643" s="126"/>
      <c r="D643" s="126"/>
      <c r="E643" s="126"/>
      <c r="F643" s="138"/>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row>
    <row r="644" spans="3:30">
      <c r="C644" s="126"/>
      <c r="D644" s="126"/>
      <c r="E644" s="126"/>
      <c r="F644" s="138"/>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row>
    <row r="645" spans="3:30">
      <c r="C645" s="126"/>
      <c r="D645" s="126"/>
      <c r="E645" s="126"/>
      <c r="F645" s="138"/>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row>
    <row r="646" spans="3:30">
      <c r="C646" s="126"/>
      <c r="D646" s="126"/>
      <c r="E646" s="126"/>
      <c r="F646" s="138"/>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row>
    <row r="647" spans="3:30">
      <c r="C647" s="126"/>
      <c r="D647" s="126"/>
      <c r="E647" s="126"/>
      <c r="F647" s="138"/>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row>
    <row r="648" spans="3:30">
      <c r="C648" s="126"/>
      <c r="D648" s="126"/>
      <c r="E648" s="126"/>
      <c r="F648" s="138"/>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row>
    <row r="649" spans="3:30">
      <c r="C649" s="126"/>
      <c r="D649" s="126"/>
      <c r="E649" s="126"/>
      <c r="F649" s="138"/>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row>
    <row r="650" spans="3:30">
      <c r="C650" s="126"/>
      <c r="D650" s="126"/>
      <c r="E650" s="126"/>
      <c r="F650" s="138"/>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row>
    <row r="651" spans="3:30">
      <c r="C651" s="126"/>
      <c r="D651" s="126"/>
      <c r="E651" s="126"/>
      <c r="F651" s="138"/>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row>
    <row r="652" spans="3:30">
      <c r="C652" s="126"/>
      <c r="D652" s="126"/>
      <c r="E652" s="126"/>
      <c r="F652" s="138"/>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row>
    <row r="653" spans="3:30">
      <c r="C653" s="126"/>
      <c r="D653" s="126"/>
      <c r="E653" s="126"/>
      <c r="F653" s="138"/>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row>
    <row r="654" spans="3:30">
      <c r="C654" s="126"/>
      <c r="D654" s="126"/>
      <c r="E654" s="126"/>
      <c r="F654" s="138"/>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row>
    <row r="655" spans="3:30">
      <c r="C655" s="126"/>
      <c r="D655" s="126"/>
      <c r="E655" s="126"/>
      <c r="F655" s="138"/>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row>
    <row r="656" spans="3:30">
      <c r="C656" s="126"/>
      <c r="D656" s="126"/>
      <c r="E656" s="126"/>
      <c r="F656" s="138"/>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row>
    <row r="657" spans="3:30">
      <c r="C657" s="126"/>
      <c r="D657" s="126"/>
      <c r="E657" s="126"/>
      <c r="F657" s="138"/>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row>
    <row r="658" spans="3:30">
      <c r="C658" s="126"/>
      <c r="D658" s="126"/>
      <c r="E658" s="126"/>
      <c r="F658" s="138"/>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row>
    <row r="659" spans="3:30">
      <c r="C659" s="126"/>
      <c r="D659" s="126"/>
      <c r="E659" s="126"/>
      <c r="F659" s="138"/>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row>
    <row r="660" spans="3:30">
      <c r="C660" s="126"/>
      <c r="D660" s="126"/>
      <c r="E660" s="126"/>
      <c r="F660" s="138"/>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row>
    <row r="661" spans="3:30">
      <c r="C661" s="126"/>
      <c r="D661" s="126"/>
      <c r="E661" s="126"/>
      <c r="F661" s="138"/>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row>
    <row r="662" spans="3:30">
      <c r="C662" s="126"/>
      <c r="D662" s="126"/>
      <c r="E662" s="126"/>
      <c r="F662" s="138"/>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row>
    <row r="663" spans="3:30">
      <c r="C663" s="126"/>
      <c r="D663" s="126"/>
      <c r="E663" s="126"/>
      <c r="F663" s="138"/>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row>
    <row r="664" spans="3:30">
      <c r="C664" s="126"/>
      <c r="D664" s="126"/>
      <c r="E664" s="126"/>
      <c r="F664" s="138"/>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row>
    <row r="665" spans="3:30">
      <c r="C665" s="126"/>
      <c r="D665" s="126"/>
      <c r="E665" s="126"/>
      <c r="F665" s="138"/>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row>
    <row r="666" spans="3:30">
      <c r="C666" s="126"/>
      <c r="D666" s="126"/>
      <c r="E666" s="126"/>
      <c r="F666" s="138"/>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row>
    <row r="667" spans="3:30">
      <c r="C667" s="126"/>
      <c r="D667" s="126"/>
      <c r="E667" s="126"/>
      <c r="F667" s="138"/>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row>
    <row r="668" spans="3:30">
      <c r="C668" s="126"/>
      <c r="D668" s="126"/>
      <c r="E668" s="126"/>
      <c r="F668" s="138"/>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row>
    <row r="669" spans="3:30">
      <c r="C669" s="126"/>
      <c r="D669" s="126"/>
      <c r="E669" s="126"/>
      <c r="F669" s="138"/>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row>
    <row r="670" spans="3:30">
      <c r="C670" s="126"/>
      <c r="D670" s="126"/>
      <c r="E670" s="126"/>
      <c r="F670" s="138"/>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row>
    <row r="671" spans="3:30">
      <c r="C671" s="126"/>
      <c r="D671" s="126"/>
      <c r="E671" s="126"/>
      <c r="F671" s="138"/>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row>
    <row r="672" spans="3:30">
      <c r="C672" s="126"/>
      <c r="D672" s="126"/>
      <c r="E672" s="126"/>
      <c r="F672" s="138"/>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row>
    <row r="673" spans="3:30">
      <c r="C673" s="126"/>
      <c r="D673" s="126"/>
      <c r="E673" s="126"/>
      <c r="F673" s="138"/>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row>
    <row r="674" spans="3:30">
      <c r="C674" s="126"/>
      <c r="D674" s="126"/>
      <c r="E674" s="126"/>
      <c r="F674" s="138"/>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row>
    <row r="675" spans="3:30">
      <c r="C675" s="126"/>
      <c r="D675" s="126"/>
      <c r="E675" s="126"/>
      <c r="F675" s="138"/>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row>
    <row r="676" spans="3:30">
      <c r="C676" s="126"/>
      <c r="D676" s="126"/>
      <c r="E676" s="126"/>
      <c r="F676" s="138"/>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row>
    <row r="677" spans="3:30">
      <c r="C677" s="126"/>
      <c r="D677" s="126"/>
      <c r="E677" s="126"/>
      <c r="F677" s="138"/>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row>
    <row r="678" spans="3:30">
      <c r="C678" s="126"/>
      <c r="D678" s="126"/>
      <c r="E678" s="126"/>
      <c r="F678" s="138"/>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row>
    <row r="679" spans="3:30">
      <c r="C679" s="126"/>
      <c r="D679" s="126"/>
      <c r="E679" s="126"/>
      <c r="F679" s="138"/>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row>
    <row r="680" spans="3:30">
      <c r="C680" s="126"/>
      <c r="D680" s="126"/>
      <c r="E680" s="126"/>
      <c r="F680" s="138"/>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row>
    <row r="681" spans="3:30">
      <c r="C681" s="126"/>
      <c r="D681" s="126"/>
      <c r="E681" s="126"/>
      <c r="F681" s="138"/>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row>
    <row r="682" spans="3:30">
      <c r="C682" s="126"/>
      <c r="D682" s="126"/>
      <c r="E682" s="126"/>
      <c r="F682" s="138"/>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row>
    <row r="683" spans="3:30">
      <c r="C683" s="126"/>
      <c r="D683" s="126"/>
      <c r="E683" s="126"/>
      <c r="F683" s="138"/>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row>
    <row r="684" spans="3:30">
      <c r="C684" s="126"/>
      <c r="D684" s="126"/>
      <c r="E684" s="126"/>
      <c r="F684" s="138"/>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row>
    <row r="685" spans="3:30">
      <c r="C685" s="126"/>
      <c r="D685" s="126"/>
      <c r="E685" s="126"/>
      <c r="F685" s="138"/>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row>
    <row r="686" spans="3:30">
      <c r="C686" s="126"/>
      <c r="D686" s="126"/>
      <c r="E686" s="126"/>
      <c r="F686" s="138"/>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row>
    <row r="687" spans="3:30">
      <c r="C687" s="126"/>
      <c r="D687" s="126"/>
      <c r="E687" s="126"/>
      <c r="F687" s="138"/>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row>
    <row r="688" spans="3:30">
      <c r="C688" s="126"/>
      <c r="D688" s="126"/>
      <c r="E688" s="126"/>
      <c r="F688" s="138"/>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row>
    <row r="689" spans="3:30">
      <c r="C689" s="126"/>
      <c r="D689" s="126"/>
      <c r="E689" s="126"/>
      <c r="F689" s="138"/>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row>
    <row r="690" spans="3:30">
      <c r="C690" s="126"/>
      <c r="D690" s="126"/>
      <c r="E690" s="126"/>
      <c r="F690" s="138"/>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row>
    <row r="691" spans="3:30">
      <c r="C691" s="126"/>
      <c r="D691" s="126"/>
      <c r="E691" s="126"/>
      <c r="F691" s="138"/>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row>
    <row r="692" spans="3:30">
      <c r="C692" s="126"/>
      <c r="D692" s="126"/>
      <c r="E692" s="126"/>
      <c r="F692" s="138"/>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row>
    <row r="693" spans="3:30">
      <c r="C693" s="126"/>
      <c r="D693" s="126"/>
      <c r="E693" s="126"/>
      <c r="F693" s="138"/>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row>
    <row r="694" spans="3:30">
      <c r="C694" s="126"/>
      <c r="D694" s="126"/>
      <c r="E694" s="126"/>
      <c r="F694" s="138"/>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row>
    <row r="695" spans="3:30">
      <c r="C695" s="126"/>
      <c r="D695" s="126"/>
      <c r="E695" s="126"/>
      <c r="F695" s="138"/>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row>
    <row r="696" spans="3:30">
      <c r="C696" s="126"/>
      <c r="D696" s="126"/>
      <c r="E696" s="126"/>
      <c r="F696" s="138"/>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row>
    <row r="697" spans="3:30">
      <c r="C697" s="126"/>
      <c r="D697" s="126"/>
      <c r="E697" s="126"/>
      <c r="F697" s="138"/>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row>
    <row r="698" spans="3:30">
      <c r="C698" s="126"/>
      <c r="D698" s="126"/>
      <c r="E698" s="126"/>
      <c r="F698" s="138"/>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row>
    <row r="699" spans="3:30">
      <c r="C699" s="126"/>
      <c r="D699" s="126"/>
      <c r="E699" s="126"/>
      <c r="F699" s="138"/>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row>
    <row r="700" spans="3:30">
      <c r="C700" s="126"/>
      <c r="D700" s="126"/>
      <c r="E700" s="126"/>
      <c r="F700" s="138"/>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row>
    <row r="701" spans="3:30">
      <c r="C701" s="126"/>
      <c r="D701" s="126"/>
      <c r="E701" s="126"/>
      <c r="F701" s="138"/>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row>
    <row r="702" spans="3:30">
      <c r="C702" s="126"/>
      <c r="D702" s="126"/>
      <c r="E702" s="126"/>
      <c r="F702" s="138"/>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row>
    <row r="703" spans="3:30">
      <c r="C703" s="126"/>
      <c r="D703" s="126"/>
      <c r="E703" s="126"/>
      <c r="F703" s="138"/>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row>
    <row r="704" spans="3:30">
      <c r="C704" s="126"/>
      <c r="D704" s="126"/>
      <c r="E704" s="126"/>
      <c r="F704" s="138"/>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row>
    <row r="705" spans="3:30">
      <c r="C705" s="126"/>
      <c r="D705" s="126"/>
      <c r="E705" s="126"/>
      <c r="F705" s="138"/>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row>
    <row r="706" spans="3:30">
      <c r="C706" s="126"/>
      <c r="D706" s="126"/>
      <c r="E706" s="126"/>
      <c r="F706" s="138"/>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row>
    <row r="707" spans="3:30">
      <c r="C707" s="126"/>
      <c r="D707" s="126"/>
      <c r="E707" s="126"/>
      <c r="F707" s="138"/>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row>
    <row r="708" spans="3:30">
      <c r="C708" s="126"/>
      <c r="D708" s="126"/>
      <c r="E708" s="126"/>
      <c r="F708" s="138"/>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row>
    <row r="709" spans="3:30">
      <c r="C709" s="126"/>
      <c r="D709" s="126"/>
      <c r="E709" s="126"/>
      <c r="F709" s="138"/>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row>
    <row r="710" spans="3:30">
      <c r="C710" s="126"/>
      <c r="D710" s="126"/>
      <c r="E710" s="126"/>
      <c r="F710" s="138"/>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row>
    <row r="711" spans="3:30">
      <c r="C711" s="126"/>
      <c r="D711" s="126"/>
      <c r="E711" s="126"/>
      <c r="F711" s="138"/>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row>
    <row r="712" spans="3:30">
      <c r="C712" s="126"/>
      <c r="D712" s="126"/>
      <c r="E712" s="126"/>
      <c r="F712" s="138"/>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row>
    <row r="713" spans="3:30">
      <c r="C713" s="126"/>
      <c r="D713" s="126"/>
      <c r="E713" s="126"/>
      <c r="F713" s="138"/>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row>
    <row r="714" spans="3:30">
      <c r="C714" s="126"/>
      <c r="D714" s="126"/>
      <c r="E714" s="126"/>
      <c r="F714" s="138"/>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row>
    <row r="715" spans="3:30">
      <c r="C715" s="126"/>
      <c r="D715" s="126"/>
      <c r="E715" s="126"/>
      <c r="F715" s="138"/>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row>
    <row r="716" spans="3:30">
      <c r="C716" s="126"/>
      <c r="D716" s="126"/>
      <c r="E716" s="126"/>
      <c r="F716" s="138"/>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row>
    <row r="717" spans="3:30">
      <c r="C717" s="126"/>
      <c r="D717" s="126"/>
      <c r="E717" s="126"/>
      <c r="F717" s="138"/>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row>
    <row r="718" spans="3:30">
      <c r="C718" s="126"/>
      <c r="D718" s="126"/>
      <c r="E718" s="126"/>
      <c r="F718" s="138"/>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row>
    <row r="719" spans="3:30">
      <c r="C719" s="126"/>
      <c r="D719" s="126"/>
      <c r="E719" s="126"/>
      <c r="F719" s="138"/>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row>
    <row r="720" spans="3:30">
      <c r="C720" s="126"/>
      <c r="D720" s="126"/>
      <c r="E720" s="126"/>
      <c r="F720" s="138"/>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row>
    <row r="721" spans="3:30">
      <c r="C721" s="126"/>
      <c r="D721" s="126"/>
      <c r="E721" s="126"/>
      <c r="F721" s="138"/>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row>
    <row r="722" spans="3:30">
      <c r="C722" s="126"/>
      <c r="D722" s="126"/>
      <c r="E722" s="126"/>
      <c r="F722" s="138"/>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row>
    <row r="723" spans="3:30">
      <c r="C723" s="126"/>
      <c r="D723" s="126"/>
      <c r="E723" s="126"/>
      <c r="F723" s="138"/>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row>
    <row r="724" spans="3:30">
      <c r="C724" s="126"/>
      <c r="D724" s="126"/>
      <c r="E724" s="126"/>
      <c r="F724" s="138"/>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row>
    <row r="725" spans="3:30">
      <c r="C725" s="126"/>
      <c r="D725" s="126"/>
      <c r="E725" s="126"/>
      <c r="F725" s="138"/>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row>
    <row r="726" spans="3:30">
      <c r="C726" s="126"/>
      <c r="D726" s="126"/>
      <c r="E726" s="126"/>
      <c r="F726" s="138"/>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row>
    <row r="727" spans="3:30">
      <c r="C727" s="126"/>
      <c r="D727" s="126"/>
      <c r="E727" s="126"/>
      <c r="F727" s="138"/>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row>
    <row r="728" spans="3:30">
      <c r="C728" s="126"/>
      <c r="D728" s="126"/>
      <c r="E728" s="126"/>
      <c r="F728" s="138"/>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row>
    <row r="729" spans="3:30">
      <c r="C729" s="126"/>
      <c r="D729" s="126"/>
      <c r="E729" s="126"/>
      <c r="F729" s="138"/>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row>
    <row r="730" spans="3:30">
      <c r="C730" s="126"/>
      <c r="D730" s="126"/>
      <c r="E730" s="126"/>
      <c r="F730" s="138"/>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row>
    <row r="731" spans="3:30">
      <c r="C731" s="126"/>
      <c r="D731" s="126"/>
      <c r="E731" s="126"/>
      <c r="F731" s="138"/>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row>
    <row r="732" spans="3:30">
      <c r="C732" s="126"/>
      <c r="D732" s="126"/>
      <c r="E732" s="126"/>
      <c r="F732" s="138"/>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row>
    <row r="733" spans="3:30">
      <c r="C733" s="126"/>
      <c r="D733" s="126"/>
      <c r="E733" s="126"/>
      <c r="F733" s="138"/>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row>
    <row r="734" spans="3:30">
      <c r="C734" s="126"/>
      <c r="D734" s="126"/>
      <c r="E734" s="126"/>
      <c r="F734" s="138"/>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row>
    <row r="735" spans="3:30">
      <c r="C735" s="126"/>
      <c r="D735" s="126"/>
      <c r="E735" s="126"/>
      <c r="F735" s="138"/>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row>
    <row r="736" spans="3:30">
      <c r="C736" s="126"/>
      <c r="D736" s="126"/>
      <c r="E736" s="126"/>
      <c r="F736" s="138"/>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row>
    <row r="737" spans="3:30">
      <c r="C737" s="126"/>
      <c r="D737" s="126"/>
      <c r="E737" s="126"/>
      <c r="F737" s="138"/>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row>
    <row r="738" spans="3:30">
      <c r="C738" s="126"/>
      <c r="D738" s="126"/>
      <c r="E738" s="126"/>
      <c r="F738" s="138"/>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row>
    <row r="739" spans="3:30">
      <c r="C739" s="126"/>
      <c r="D739" s="126"/>
      <c r="E739" s="126"/>
      <c r="F739" s="138"/>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row>
    <row r="740" spans="3:30">
      <c r="C740" s="126"/>
      <c r="D740" s="126"/>
      <c r="E740" s="126"/>
      <c r="F740" s="138"/>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row>
    <row r="741" spans="3:30">
      <c r="C741" s="126"/>
      <c r="D741" s="126"/>
      <c r="E741" s="126"/>
      <c r="F741" s="138"/>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row>
    <row r="742" spans="3:30">
      <c r="C742" s="126"/>
      <c r="D742" s="126"/>
      <c r="E742" s="126"/>
      <c r="F742" s="138"/>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row>
    <row r="743" spans="3:30">
      <c r="C743" s="126"/>
      <c r="D743" s="126"/>
      <c r="E743" s="126"/>
      <c r="F743" s="138"/>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row>
    <row r="744" spans="3:30">
      <c r="C744" s="126"/>
      <c r="D744" s="126"/>
      <c r="E744" s="126"/>
      <c r="F744" s="138"/>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row>
    <row r="745" spans="3:30">
      <c r="C745" s="126"/>
      <c r="D745" s="126"/>
      <c r="E745" s="126"/>
      <c r="F745" s="138"/>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row>
    <row r="746" spans="3:30">
      <c r="C746" s="126"/>
      <c r="D746" s="126"/>
      <c r="E746" s="126"/>
      <c r="F746" s="138"/>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row>
    <row r="747" spans="3:30">
      <c r="C747" s="126"/>
      <c r="D747" s="126"/>
      <c r="E747" s="126"/>
      <c r="F747" s="138"/>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row>
    <row r="748" spans="3:30">
      <c r="C748" s="126"/>
      <c r="D748" s="126"/>
      <c r="E748" s="126"/>
      <c r="F748" s="138"/>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row>
    <row r="749" spans="3:30">
      <c r="C749" s="126"/>
      <c r="D749" s="126"/>
      <c r="E749" s="126"/>
      <c r="F749" s="138"/>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row>
    <row r="750" spans="3:30">
      <c r="C750" s="126"/>
      <c r="D750" s="126"/>
      <c r="E750" s="126"/>
      <c r="F750" s="138"/>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row>
    <row r="751" spans="3:30">
      <c r="C751" s="126"/>
      <c r="D751" s="126"/>
      <c r="E751" s="126"/>
      <c r="F751" s="138"/>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row>
    <row r="752" spans="3:30">
      <c r="C752" s="126"/>
      <c r="D752" s="126"/>
      <c r="E752" s="126"/>
      <c r="F752" s="138"/>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row>
    <row r="753" spans="3:30">
      <c r="C753" s="126"/>
      <c r="D753" s="126"/>
      <c r="E753" s="126"/>
      <c r="F753" s="138"/>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row>
    <row r="754" spans="3:30">
      <c r="C754" s="126"/>
      <c r="D754" s="126"/>
      <c r="E754" s="126"/>
      <c r="F754" s="138"/>
      <c r="G754" s="126"/>
      <c r="H754" s="126"/>
      <c r="I754" s="126"/>
      <c r="J754" s="126"/>
      <c r="K754" s="126"/>
      <c r="L754" s="126"/>
      <c r="M754" s="126"/>
      <c r="N754" s="126"/>
      <c r="O754" s="126"/>
      <c r="P754" s="126"/>
      <c r="Q754" s="126"/>
      <c r="R754" s="126"/>
      <c r="S754" s="126"/>
      <c r="T754" s="126"/>
      <c r="U754" s="126"/>
      <c r="V754" s="126"/>
      <c r="W754" s="126"/>
      <c r="X754" s="126"/>
      <c r="Y754" s="126"/>
      <c r="Z754" s="126"/>
      <c r="AA754" s="126"/>
      <c r="AB754" s="126"/>
      <c r="AC754" s="126"/>
      <c r="AD754" s="126"/>
    </row>
    <row r="755" spans="3:30">
      <c r="C755" s="126"/>
      <c r="D755" s="126"/>
      <c r="E755" s="126"/>
      <c r="F755" s="138"/>
      <c r="G755" s="126"/>
      <c r="H755" s="126"/>
      <c r="I755" s="126"/>
      <c r="J755" s="126"/>
      <c r="K755" s="126"/>
      <c r="L755" s="126"/>
      <c r="M755" s="126"/>
      <c r="N755" s="126"/>
      <c r="O755" s="126"/>
      <c r="P755" s="126"/>
      <c r="Q755" s="126"/>
      <c r="R755" s="126"/>
      <c r="S755" s="126"/>
      <c r="T755" s="126"/>
      <c r="U755" s="126"/>
      <c r="V755" s="126"/>
      <c r="W755" s="126"/>
      <c r="X755" s="126"/>
      <c r="Y755" s="126"/>
      <c r="Z755" s="126"/>
      <c r="AA755" s="126"/>
      <c r="AB755" s="126"/>
      <c r="AC755" s="126"/>
      <c r="AD755" s="126"/>
    </row>
    <row r="756" spans="3:30">
      <c r="C756" s="126"/>
      <c r="D756" s="126"/>
      <c r="E756" s="126"/>
      <c r="F756" s="138"/>
      <c r="G756" s="126"/>
      <c r="H756" s="126"/>
      <c r="I756" s="126"/>
      <c r="J756" s="126"/>
      <c r="K756" s="126"/>
      <c r="L756" s="126"/>
      <c r="M756" s="126"/>
      <c r="N756" s="126"/>
      <c r="O756" s="126"/>
      <c r="P756" s="126"/>
      <c r="Q756" s="126"/>
      <c r="R756" s="126"/>
      <c r="S756" s="126"/>
      <c r="T756" s="126"/>
      <c r="U756" s="126"/>
      <c r="V756" s="126"/>
      <c r="W756" s="126"/>
      <c r="X756" s="126"/>
      <c r="Y756" s="126"/>
      <c r="Z756" s="126"/>
      <c r="AA756" s="126"/>
      <c r="AB756" s="126"/>
      <c r="AC756" s="126"/>
      <c r="AD756" s="126"/>
    </row>
    <row r="757" spans="3:30">
      <c r="C757" s="126"/>
      <c r="D757" s="126"/>
      <c r="E757" s="126"/>
      <c r="F757" s="138"/>
      <c r="G757" s="126"/>
      <c r="H757" s="126"/>
      <c r="I757" s="126"/>
      <c r="J757" s="126"/>
      <c r="K757" s="126"/>
      <c r="L757" s="126"/>
      <c r="M757" s="126"/>
      <c r="N757" s="126"/>
      <c r="O757" s="126"/>
      <c r="P757" s="126"/>
      <c r="Q757" s="126"/>
      <c r="R757" s="126"/>
      <c r="S757" s="126"/>
      <c r="T757" s="126"/>
      <c r="U757" s="126"/>
      <c r="V757" s="126"/>
      <c r="W757" s="126"/>
      <c r="X757" s="126"/>
      <c r="Y757" s="126"/>
      <c r="Z757" s="126"/>
      <c r="AA757" s="126"/>
      <c r="AB757" s="126"/>
      <c r="AC757" s="126"/>
      <c r="AD757" s="126"/>
    </row>
    <row r="758" spans="3:30">
      <c r="C758" s="126"/>
      <c r="D758" s="126"/>
      <c r="E758" s="126"/>
      <c r="F758" s="138"/>
      <c r="G758" s="126"/>
      <c r="H758" s="126"/>
      <c r="I758" s="126"/>
      <c r="J758" s="126"/>
      <c r="K758" s="126"/>
      <c r="L758" s="126"/>
      <c r="M758" s="126"/>
      <c r="N758" s="126"/>
      <c r="O758" s="126"/>
      <c r="P758" s="126"/>
      <c r="Q758" s="126"/>
      <c r="R758" s="126"/>
      <c r="S758" s="126"/>
      <c r="T758" s="126"/>
      <c r="U758" s="126"/>
      <c r="V758" s="126"/>
      <c r="W758" s="126"/>
      <c r="X758" s="126"/>
      <c r="Y758" s="126"/>
      <c r="Z758" s="126"/>
      <c r="AA758" s="126"/>
      <c r="AB758" s="126"/>
      <c r="AC758" s="126"/>
      <c r="AD758" s="126"/>
    </row>
    <row r="759" spans="3:30">
      <c r="C759" s="126"/>
      <c r="D759" s="126"/>
      <c r="E759" s="126"/>
      <c r="F759" s="138"/>
      <c r="G759" s="126"/>
      <c r="H759" s="126"/>
      <c r="I759" s="126"/>
      <c r="J759" s="126"/>
      <c r="K759" s="126"/>
      <c r="L759" s="126"/>
      <c r="M759" s="126"/>
      <c r="N759" s="126"/>
      <c r="O759" s="126"/>
      <c r="P759" s="126"/>
      <c r="Q759" s="126"/>
      <c r="R759" s="126"/>
      <c r="S759" s="126"/>
      <c r="T759" s="126"/>
      <c r="U759" s="126"/>
      <c r="V759" s="126"/>
      <c r="W759" s="126"/>
      <c r="X759" s="126"/>
      <c r="Y759" s="126"/>
      <c r="Z759" s="126"/>
      <c r="AA759" s="126"/>
      <c r="AB759" s="126"/>
      <c r="AC759" s="126"/>
      <c r="AD759" s="126"/>
    </row>
    <row r="760" spans="3:30">
      <c r="C760" s="126"/>
      <c r="D760" s="126"/>
      <c r="E760" s="126"/>
      <c r="F760" s="138"/>
      <c r="G760" s="126"/>
      <c r="H760" s="126"/>
      <c r="I760" s="126"/>
      <c r="J760" s="126"/>
      <c r="K760" s="126"/>
      <c r="L760" s="126"/>
      <c r="M760" s="126"/>
      <c r="N760" s="126"/>
      <c r="O760" s="126"/>
      <c r="P760" s="126"/>
      <c r="Q760" s="126"/>
      <c r="R760" s="126"/>
      <c r="S760" s="126"/>
      <c r="T760" s="126"/>
      <c r="U760" s="126"/>
      <c r="V760" s="126"/>
      <c r="W760" s="126"/>
      <c r="X760" s="126"/>
      <c r="Y760" s="126"/>
      <c r="Z760" s="126"/>
      <c r="AA760" s="126"/>
      <c r="AB760" s="126"/>
      <c r="AC760" s="126"/>
      <c r="AD760" s="126"/>
    </row>
    <row r="761" spans="3:30">
      <c r="C761" s="126"/>
      <c r="D761" s="126"/>
      <c r="E761" s="126"/>
      <c r="F761" s="138"/>
      <c r="G761" s="126"/>
      <c r="H761" s="126"/>
      <c r="I761" s="126"/>
      <c r="J761" s="126"/>
      <c r="K761" s="126"/>
      <c r="L761" s="126"/>
      <c r="M761" s="126"/>
      <c r="N761" s="126"/>
      <c r="O761" s="126"/>
      <c r="P761" s="126"/>
      <c r="Q761" s="126"/>
      <c r="R761" s="126"/>
      <c r="S761" s="126"/>
      <c r="T761" s="126"/>
      <c r="U761" s="126"/>
      <c r="V761" s="126"/>
      <c r="W761" s="126"/>
      <c r="X761" s="126"/>
      <c r="Y761" s="126"/>
      <c r="Z761" s="126"/>
      <c r="AA761" s="126"/>
      <c r="AB761" s="126"/>
      <c r="AC761" s="126"/>
      <c r="AD761" s="126"/>
    </row>
    <row r="762" spans="3:30">
      <c r="C762" s="126"/>
      <c r="D762" s="126"/>
      <c r="E762" s="126"/>
      <c r="F762" s="138"/>
      <c r="G762" s="126"/>
      <c r="H762" s="126"/>
      <c r="I762" s="126"/>
      <c r="J762" s="126"/>
      <c r="K762" s="126"/>
      <c r="L762" s="126"/>
      <c r="M762" s="126"/>
      <c r="N762" s="126"/>
      <c r="O762" s="126"/>
      <c r="P762" s="126"/>
      <c r="Q762" s="126"/>
      <c r="R762" s="126"/>
      <c r="S762" s="126"/>
      <c r="T762" s="126"/>
      <c r="U762" s="126"/>
      <c r="V762" s="126"/>
      <c r="W762" s="126"/>
      <c r="X762" s="126"/>
      <c r="Y762" s="126"/>
      <c r="Z762" s="126"/>
      <c r="AA762" s="126"/>
      <c r="AB762" s="126"/>
      <c r="AC762" s="126"/>
      <c r="AD762" s="126"/>
    </row>
    <row r="763" spans="3:30">
      <c r="C763" s="126"/>
      <c r="D763" s="126"/>
      <c r="E763" s="126"/>
      <c r="F763" s="138"/>
      <c r="G763" s="126"/>
      <c r="H763" s="126"/>
      <c r="I763" s="126"/>
      <c r="J763" s="126"/>
      <c r="K763" s="126"/>
      <c r="L763" s="126"/>
      <c r="M763" s="126"/>
      <c r="N763" s="126"/>
      <c r="O763" s="126"/>
      <c r="P763" s="126"/>
      <c r="Q763" s="126"/>
      <c r="R763" s="126"/>
      <c r="S763" s="126"/>
      <c r="T763" s="126"/>
      <c r="U763" s="126"/>
      <c r="V763" s="126"/>
      <c r="W763" s="126"/>
      <c r="X763" s="126"/>
      <c r="Y763" s="126"/>
      <c r="Z763" s="126"/>
      <c r="AA763" s="126"/>
      <c r="AB763" s="126"/>
      <c r="AC763" s="126"/>
      <c r="AD763" s="126"/>
    </row>
    <row r="764" spans="3:30">
      <c r="C764" s="126"/>
      <c r="D764" s="126"/>
      <c r="E764" s="126"/>
      <c r="F764" s="138"/>
      <c r="G764" s="126"/>
      <c r="H764" s="126"/>
      <c r="I764" s="126"/>
      <c r="J764" s="126"/>
      <c r="K764" s="126"/>
      <c r="L764" s="126"/>
      <c r="M764" s="126"/>
      <c r="N764" s="126"/>
      <c r="O764" s="126"/>
      <c r="P764" s="126"/>
      <c r="Q764" s="126"/>
      <c r="R764" s="126"/>
      <c r="S764" s="126"/>
      <c r="T764" s="126"/>
      <c r="U764" s="126"/>
      <c r="V764" s="126"/>
      <c r="W764" s="126"/>
      <c r="X764" s="126"/>
      <c r="Y764" s="126"/>
      <c r="Z764" s="126"/>
      <c r="AA764" s="126"/>
      <c r="AB764" s="126"/>
      <c r="AC764" s="126"/>
      <c r="AD764" s="126"/>
    </row>
    <row r="765" spans="3:30">
      <c r="C765" s="126"/>
      <c r="D765" s="126"/>
      <c r="E765" s="126"/>
      <c r="F765" s="138"/>
      <c r="G765" s="126"/>
      <c r="H765" s="126"/>
      <c r="I765" s="126"/>
      <c r="J765" s="126"/>
      <c r="K765" s="126"/>
      <c r="L765" s="126"/>
      <c r="M765" s="126"/>
      <c r="N765" s="126"/>
      <c r="O765" s="126"/>
      <c r="P765" s="126"/>
      <c r="Q765" s="126"/>
      <c r="R765" s="126"/>
      <c r="S765" s="126"/>
      <c r="T765" s="126"/>
      <c r="U765" s="126"/>
      <c r="V765" s="126"/>
      <c r="W765" s="126"/>
      <c r="X765" s="126"/>
      <c r="Y765" s="126"/>
      <c r="Z765" s="126"/>
      <c r="AA765" s="126"/>
      <c r="AB765" s="126"/>
      <c r="AC765" s="126"/>
      <c r="AD765" s="126"/>
    </row>
    <row r="766" spans="3:30">
      <c r="C766" s="126"/>
      <c r="D766" s="126"/>
      <c r="E766" s="126"/>
      <c r="F766" s="138"/>
      <c r="G766" s="126"/>
      <c r="H766" s="126"/>
      <c r="I766" s="126"/>
      <c r="J766" s="126"/>
      <c r="K766" s="126"/>
      <c r="L766" s="126"/>
      <c r="M766" s="126"/>
      <c r="N766" s="126"/>
      <c r="O766" s="126"/>
      <c r="P766" s="126"/>
      <c r="Q766" s="126"/>
      <c r="R766" s="126"/>
      <c r="S766" s="126"/>
      <c r="T766" s="126"/>
      <c r="U766" s="126"/>
      <c r="V766" s="126"/>
      <c r="W766" s="126"/>
      <c r="X766" s="126"/>
      <c r="Y766" s="126"/>
      <c r="Z766" s="126"/>
      <c r="AA766" s="126"/>
      <c r="AB766" s="126"/>
      <c r="AC766" s="126"/>
      <c r="AD766" s="126"/>
    </row>
    <row r="767" spans="3:30">
      <c r="C767" s="126"/>
      <c r="D767" s="126"/>
      <c r="E767" s="126"/>
      <c r="F767" s="138"/>
      <c r="G767" s="126"/>
      <c r="H767" s="126"/>
      <c r="I767" s="126"/>
      <c r="J767" s="126"/>
      <c r="K767" s="126"/>
      <c r="L767" s="126"/>
      <c r="M767" s="126"/>
      <c r="N767" s="126"/>
      <c r="O767" s="126"/>
      <c r="P767" s="126"/>
      <c r="Q767" s="126"/>
      <c r="R767" s="126"/>
      <c r="S767" s="126"/>
      <c r="T767" s="126"/>
      <c r="U767" s="126"/>
      <c r="V767" s="126"/>
      <c r="W767" s="126"/>
      <c r="X767" s="126"/>
      <c r="Y767" s="126"/>
      <c r="Z767" s="126"/>
      <c r="AA767" s="126"/>
      <c r="AB767" s="126"/>
      <c r="AC767" s="126"/>
      <c r="AD767" s="126"/>
    </row>
    <row r="768" spans="3:30">
      <c r="C768" s="126"/>
      <c r="D768" s="126"/>
      <c r="E768" s="126"/>
      <c r="F768" s="138"/>
      <c r="G768" s="126"/>
      <c r="H768" s="126"/>
      <c r="I768" s="126"/>
      <c r="J768" s="126"/>
      <c r="K768" s="126"/>
      <c r="L768" s="126"/>
      <c r="M768" s="126"/>
      <c r="N768" s="126"/>
      <c r="O768" s="126"/>
      <c r="P768" s="126"/>
      <c r="Q768" s="126"/>
      <c r="R768" s="126"/>
      <c r="S768" s="126"/>
      <c r="T768" s="126"/>
      <c r="U768" s="126"/>
      <c r="V768" s="126"/>
      <c r="W768" s="126"/>
      <c r="X768" s="126"/>
      <c r="Y768" s="126"/>
      <c r="Z768" s="126"/>
      <c r="AA768" s="126"/>
      <c r="AB768" s="126"/>
      <c r="AC768" s="126"/>
      <c r="AD768" s="126"/>
    </row>
    <row r="769" spans="3:30">
      <c r="C769" s="126"/>
      <c r="D769" s="126"/>
      <c r="E769" s="126"/>
      <c r="F769" s="138"/>
      <c r="G769" s="126"/>
      <c r="H769" s="126"/>
      <c r="I769" s="126"/>
      <c r="J769" s="126"/>
      <c r="K769" s="126"/>
      <c r="L769" s="126"/>
      <c r="M769" s="126"/>
      <c r="N769" s="126"/>
      <c r="O769" s="126"/>
      <c r="P769" s="126"/>
      <c r="Q769" s="126"/>
      <c r="R769" s="126"/>
      <c r="S769" s="126"/>
      <c r="T769" s="126"/>
      <c r="U769" s="126"/>
      <c r="V769" s="126"/>
      <c r="W769" s="126"/>
      <c r="X769" s="126"/>
      <c r="Y769" s="126"/>
      <c r="Z769" s="126"/>
      <c r="AA769" s="126"/>
      <c r="AB769" s="126"/>
      <c r="AC769" s="126"/>
      <c r="AD769" s="126"/>
    </row>
    <row r="770" spans="3:30">
      <c r="C770" s="126"/>
      <c r="D770" s="126"/>
      <c r="E770" s="126"/>
      <c r="F770" s="138"/>
      <c r="G770" s="126"/>
      <c r="H770" s="126"/>
      <c r="I770" s="126"/>
      <c r="J770" s="126"/>
      <c r="K770" s="126"/>
      <c r="L770" s="126"/>
      <c r="M770" s="126"/>
      <c r="N770" s="126"/>
      <c r="O770" s="126"/>
      <c r="P770" s="126"/>
      <c r="Q770" s="126"/>
      <c r="R770" s="126"/>
      <c r="S770" s="126"/>
      <c r="T770" s="126"/>
      <c r="U770" s="126"/>
      <c r="V770" s="126"/>
      <c r="W770" s="126"/>
      <c r="X770" s="126"/>
      <c r="Y770" s="126"/>
      <c r="Z770" s="126"/>
      <c r="AA770" s="126"/>
      <c r="AB770" s="126"/>
      <c r="AC770" s="126"/>
      <c r="AD770" s="126"/>
    </row>
    <row r="771" spans="3:30">
      <c r="C771" s="126"/>
      <c r="D771" s="126"/>
      <c r="E771" s="126"/>
      <c r="F771" s="138"/>
      <c r="G771" s="126"/>
      <c r="H771" s="126"/>
      <c r="I771" s="126"/>
      <c r="J771" s="126"/>
      <c r="K771" s="126"/>
      <c r="L771" s="126"/>
      <c r="M771" s="126"/>
      <c r="N771" s="126"/>
      <c r="O771" s="126"/>
      <c r="P771" s="126"/>
      <c r="Q771" s="126"/>
      <c r="R771" s="126"/>
      <c r="S771" s="126"/>
      <c r="T771" s="126"/>
      <c r="U771" s="126"/>
      <c r="V771" s="126"/>
      <c r="W771" s="126"/>
      <c r="X771" s="126"/>
      <c r="Y771" s="126"/>
      <c r="Z771" s="126"/>
      <c r="AA771" s="126"/>
      <c r="AB771" s="126"/>
      <c r="AC771" s="126"/>
      <c r="AD771" s="126"/>
    </row>
    <row r="772" spans="3:30">
      <c r="C772" s="126"/>
      <c r="D772" s="126"/>
      <c r="E772" s="126"/>
      <c r="F772" s="138"/>
      <c r="G772" s="126"/>
      <c r="H772" s="126"/>
      <c r="I772" s="126"/>
      <c r="J772" s="126"/>
      <c r="K772" s="126"/>
      <c r="L772" s="126"/>
      <c r="M772" s="126"/>
      <c r="N772" s="126"/>
      <c r="O772" s="126"/>
      <c r="P772" s="126"/>
      <c r="Q772" s="126"/>
      <c r="R772" s="126"/>
      <c r="S772" s="126"/>
      <c r="T772" s="126"/>
      <c r="U772" s="126"/>
      <c r="V772" s="126"/>
      <c r="W772" s="126"/>
      <c r="X772" s="126"/>
      <c r="Y772" s="126"/>
      <c r="Z772" s="126"/>
      <c r="AA772" s="126"/>
      <c r="AB772" s="126"/>
      <c r="AC772" s="126"/>
      <c r="AD772" s="126"/>
    </row>
    <row r="773" spans="3:30">
      <c r="C773" s="126"/>
      <c r="D773" s="126"/>
      <c r="E773" s="126"/>
      <c r="F773" s="138"/>
      <c r="G773" s="126"/>
      <c r="H773" s="126"/>
      <c r="I773" s="126"/>
      <c r="J773" s="126"/>
      <c r="K773" s="126"/>
      <c r="L773" s="126"/>
      <c r="M773" s="126"/>
      <c r="N773" s="126"/>
      <c r="O773" s="126"/>
      <c r="P773" s="126"/>
      <c r="Q773" s="126"/>
      <c r="R773" s="126"/>
      <c r="S773" s="126"/>
      <c r="T773" s="126"/>
      <c r="U773" s="126"/>
      <c r="V773" s="126"/>
      <c r="W773" s="126"/>
      <c r="X773" s="126"/>
      <c r="Y773" s="126"/>
      <c r="Z773" s="126"/>
      <c r="AA773" s="126"/>
      <c r="AB773" s="126"/>
      <c r="AC773" s="126"/>
      <c r="AD773" s="126"/>
    </row>
    <row r="774" spans="3:30">
      <c r="C774" s="126"/>
      <c r="D774" s="126"/>
      <c r="E774" s="126"/>
      <c r="F774" s="138"/>
      <c r="G774" s="126"/>
      <c r="H774" s="126"/>
      <c r="I774" s="126"/>
      <c r="J774" s="126"/>
      <c r="K774" s="126"/>
      <c r="L774" s="126"/>
      <c r="M774" s="126"/>
      <c r="N774" s="126"/>
      <c r="O774" s="126"/>
      <c r="P774" s="126"/>
      <c r="Q774" s="126"/>
      <c r="R774" s="126"/>
      <c r="S774" s="126"/>
      <c r="T774" s="126"/>
      <c r="U774" s="126"/>
      <c r="V774" s="126"/>
      <c r="W774" s="126"/>
      <c r="X774" s="126"/>
      <c r="Y774" s="126"/>
      <c r="Z774" s="126"/>
      <c r="AA774" s="126"/>
      <c r="AB774" s="126"/>
      <c r="AC774" s="126"/>
      <c r="AD774" s="126"/>
    </row>
    <row r="775" spans="3:30">
      <c r="C775" s="126"/>
      <c r="D775" s="126"/>
      <c r="E775" s="126"/>
      <c r="F775" s="138"/>
      <c r="G775" s="126"/>
      <c r="H775" s="126"/>
      <c r="I775" s="126"/>
      <c r="J775" s="126"/>
      <c r="K775" s="126"/>
      <c r="L775" s="126"/>
      <c r="M775" s="126"/>
      <c r="N775" s="126"/>
      <c r="O775" s="126"/>
      <c r="P775" s="126"/>
      <c r="Q775" s="126"/>
      <c r="R775" s="126"/>
      <c r="S775" s="126"/>
      <c r="T775" s="126"/>
      <c r="U775" s="126"/>
      <c r="V775" s="126"/>
      <c r="W775" s="126"/>
      <c r="X775" s="126"/>
      <c r="Y775" s="126"/>
      <c r="Z775" s="126"/>
      <c r="AA775" s="126"/>
      <c r="AB775" s="126"/>
      <c r="AC775" s="126"/>
      <c r="AD775" s="126"/>
    </row>
    <row r="776" spans="3:30">
      <c r="C776" s="126"/>
      <c r="D776" s="126"/>
      <c r="E776" s="126"/>
      <c r="F776" s="138"/>
      <c r="G776" s="126"/>
      <c r="H776" s="126"/>
      <c r="I776" s="126"/>
      <c r="J776" s="126"/>
      <c r="K776" s="126"/>
      <c r="L776" s="126"/>
      <c r="M776" s="126"/>
      <c r="N776" s="126"/>
      <c r="O776" s="126"/>
      <c r="P776" s="126"/>
      <c r="Q776" s="126"/>
      <c r="R776" s="126"/>
      <c r="S776" s="126"/>
      <c r="T776" s="126"/>
      <c r="U776" s="126"/>
      <c r="V776" s="126"/>
      <c r="W776" s="126"/>
      <c r="X776" s="126"/>
      <c r="Y776" s="126"/>
      <c r="Z776" s="126"/>
      <c r="AA776" s="126"/>
      <c r="AB776" s="126"/>
      <c r="AC776" s="126"/>
      <c r="AD776" s="126"/>
    </row>
    <row r="777" spans="3:30">
      <c r="C777" s="126"/>
      <c r="D777" s="126"/>
      <c r="E777" s="126"/>
      <c r="F777" s="138"/>
      <c r="G777" s="126"/>
      <c r="H777" s="126"/>
      <c r="I777" s="126"/>
      <c r="J777" s="126"/>
      <c r="K777" s="126"/>
      <c r="L777" s="126"/>
      <c r="M777" s="126"/>
      <c r="N777" s="126"/>
      <c r="O777" s="126"/>
      <c r="P777" s="126"/>
      <c r="Q777" s="126"/>
      <c r="R777" s="126"/>
      <c r="S777" s="126"/>
      <c r="T777" s="126"/>
      <c r="U777" s="126"/>
      <c r="V777" s="126"/>
      <c r="W777" s="126"/>
      <c r="X777" s="126"/>
      <c r="Y777" s="126"/>
      <c r="Z777" s="126"/>
      <c r="AA777" s="126"/>
      <c r="AB777" s="126"/>
      <c r="AC777" s="126"/>
      <c r="AD777" s="126"/>
    </row>
    <row r="778" spans="3:30">
      <c r="C778" s="126"/>
      <c r="D778" s="126"/>
      <c r="E778" s="126"/>
      <c r="F778" s="138"/>
      <c r="G778" s="126"/>
      <c r="H778" s="126"/>
      <c r="I778" s="126"/>
      <c r="J778" s="126"/>
      <c r="K778" s="126"/>
      <c r="L778" s="126"/>
      <c r="M778" s="126"/>
      <c r="N778" s="126"/>
      <c r="O778" s="126"/>
      <c r="P778" s="126"/>
      <c r="Q778" s="126"/>
      <c r="R778" s="126"/>
      <c r="S778" s="126"/>
      <c r="T778" s="126"/>
      <c r="U778" s="126"/>
      <c r="V778" s="126"/>
      <c r="W778" s="126"/>
      <c r="X778" s="126"/>
      <c r="Y778" s="126"/>
      <c r="Z778" s="126"/>
      <c r="AA778" s="126"/>
      <c r="AB778" s="126"/>
      <c r="AC778" s="126"/>
      <c r="AD778" s="126"/>
    </row>
    <row r="779" spans="3:30">
      <c r="C779" s="126"/>
      <c r="D779" s="126"/>
      <c r="E779" s="126"/>
      <c r="F779" s="138"/>
      <c r="G779" s="126"/>
      <c r="H779" s="126"/>
      <c r="I779" s="126"/>
      <c r="J779" s="126"/>
      <c r="K779" s="126"/>
      <c r="L779" s="126"/>
      <c r="M779" s="126"/>
      <c r="N779" s="126"/>
      <c r="O779" s="126"/>
      <c r="P779" s="126"/>
      <c r="Q779" s="126"/>
      <c r="R779" s="126"/>
      <c r="S779" s="126"/>
      <c r="T779" s="126"/>
      <c r="U779" s="126"/>
      <c r="V779" s="126"/>
      <c r="W779" s="126"/>
      <c r="X779" s="126"/>
      <c r="Y779" s="126"/>
      <c r="Z779" s="126"/>
      <c r="AA779" s="126"/>
      <c r="AB779" s="126"/>
      <c r="AC779" s="126"/>
      <c r="AD779" s="126"/>
    </row>
    <row r="780" spans="3:30">
      <c r="C780" s="126"/>
      <c r="D780" s="126"/>
      <c r="E780" s="126"/>
      <c r="F780" s="138"/>
      <c r="G780" s="126"/>
      <c r="H780" s="126"/>
      <c r="I780" s="126"/>
      <c r="J780" s="126"/>
      <c r="K780" s="126"/>
      <c r="L780" s="126"/>
      <c r="M780" s="126"/>
      <c r="N780" s="126"/>
      <c r="O780" s="126"/>
      <c r="P780" s="126"/>
      <c r="Q780" s="126"/>
      <c r="R780" s="126"/>
      <c r="S780" s="126"/>
      <c r="T780" s="126"/>
      <c r="U780" s="126"/>
      <c r="V780" s="126"/>
      <c r="W780" s="126"/>
      <c r="X780" s="126"/>
      <c r="Y780" s="126"/>
      <c r="Z780" s="126"/>
      <c r="AA780" s="126"/>
      <c r="AB780" s="126"/>
      <c r="AC780" s="126"/>
      <c r="AD780" s="126"/>
    </row>
    <row r="781" spans="3:30">
      <c r="C781" s="126"/>
      <c r="D781" s="126"/>
      <c r="E781" s="126"/>
      <c r="F781" s="138"/>
      <c r="G781" s="126"/>
      <c r="H781" s="126"/>
      <c r="I781" s="126"/>
      <c r="J781" s="126"/>
      <c r="K781" s="126"/>
      <c r="L781" s="126"/>
      <c r="M781" s="126"/>
      <c r="N781" s="126"/>
      <c r="O781" s="126"/>
      <c r="P781" s="126"/>
      <c r="Q781" s="126"/>
      <c r="R781" s="126"/>
      <c r="S781" s="126"/>
      <c r="T781" s="126"/>
      <c r="U781" s="126"/>
      <c r="V781" s="126"/>
      <c r="W781" s="126"/>
      <c r="X781" s="126"/>
      <c r="Y781" s="126"/>
      <c r="Z781" s="126"/>
      <c r="AA781" s="126"/>
      <c r="AB781" s="126"/>
      <c r="AC781" s="126"/>
      <c r="AD781" s="126"/>
    </row>
    <row r="782" spans="3:30">
      <c r="C782" s="126"/>
      <c r="D782" s="126"/>
      <c r="E782" s="126"/>
      <c r="F782" s="138"/>
      <c r="G782" s="126"/>
      <c r="H782" s="126"/>
      <c r="I782" s="126"/>
      <c r="J782" s="126"/>
      <c r="K782" s="126"/>
      <c r="L782" s="126"/>
      <c r="M782" s="126"/>
      <c r="N782" s="126"/>
      <c r="O782" s="126"/>
      <c r="P782" s="126"/>
      <c r="Q782" s="126"/>
      <c r="R782" s="126"/>
      <c r="S782" s="126"/>
      <c r="T782" s="126"/>
      <c r="U782" s="126"/>
      <c r="V782" s="126"/>
      <c r="W782" s="126"/>
      <c r="X782" s="126"/>
      <c r="Y782" s="126"/>
      <c r="Z782" s="126"/>
      <c r="AA782" s="126"/>
      <c r="AB782" s="126"/>
      <c r="AC782" s="126"/>
      <c r="AD782" s="126"/>
    </row>
    <row r="783" spans="3:30">
      <c r="C783" s="126"/>
      <c r="D783" s="126"/>
      <c r="E783" s="126"/>
      <c r="F783" s="138"/>
      <c r="G783" s="126"/>
      <c r="H783" s="126"/>
      <c r="I783" s="126"/>
      <c r="J783" s="126"/>
      <c r="K783" s="126"/>
      <c r="L783" s="126"/>
      <c r="M783" s="126"/>
      <c r="N783" s="126"/>
      <c r="O783" s="126"/>
      <c r="P783" s="126"/>
      <c r="Q783" s="126"/>
      <c r="R783" s="126"/>
      <c r="S783" s="126"/>
      <c r="T783" s="126"/>
      <c r="U783" s="126"/>
      <c r="V783" s="126"/>
      <c r="W783" s="126"/>
      <c r="X783" s="126"/>
      <c r="Y783" s="126"/>
      <c r="Z783" s="126"/>
      <c r="AA783" s="126"/>
      <c r="AB783" s="126"/>
      <c r="AC783" s="126"/>
      <c r="AD783" s="126"/>
    </row>
    <row r="784" spans="3:30">
      <c r="C784" s="126"/>
      <c r="D784" s="126"/>
      <c r="E784" s="126"/>
      <c r="F784" s="138"/>
      <c r="G784" s="126"/>
      <c r="H784" s="126"/>
      <c r="I784" s="126"/>
      <c r="J784" s="126"/>
      <c r="K784" s="126"/>
      <c r="L784" s="126"/>
      <c r="M784" s="126"/>
      <c r="N784" s="126"/>
      <c r="O784" s="126"/>
      <c r="P784" s="126"/>
      <c r="Q784" s="126"/>
      <c r="R784" s="126"/>
      <c r="S784" s="126"/>
      <c r="T784" s="126"/>
      <c r="U784" s="126"/>
      <c r="V784" s="126"/>
      <c r="W784" s="126"/>
      <c r="X784" s="126"/>
      <c r="Y784" s="126"/>
      <c r="Z784" s="126"/>
      <c r="AA784" s="126"/>
      <c r="AB784" s="126"/>
      <c r="AC784" s="126"/>
      <c r="AD784" s="126"/>
    </row>
    <row r="785" spans="3:30">
      <c r="C785" s="126"/>
      <c r="D785" s="126"/>
      <c r="E785" s="126"/>
      <c r="F785" s="138"/>
      <c r="G785" s="126"/>
      <c r="H785" s="126"/>
      <c r="I785" s="126"/>
      <c r="J785" s="126"/>
      <c r="K785" s="126"/>
      <c r="L785" s="126"/>
      <c r="M785" s="126"/>
      <c r="N785" s="126"/>
      <c r="O785" s="126"/>
      <c r="P785" s="126"/>
      <c r="Q785" s="126"/>
      <c r="R785" s="126"/>
      <c r="S785" s="126"/>
      <c r="T785" s="126"/>
      <c r="U785" s="126"/>
      <c r="V785" s="126"/>
      <c r="W785" s="126"/>
      <c r="X785" s="126"/>
      <c r="Y785" s="126"/>
      <c r="Z785" s="126"/>
      <c r="AA785" s="126"/>
      <c r="AB785" s="126"/>
      <c r="AC785" s="126"/>
      <c r="AD785" s="126"/>
    </row>
    <row r="786" spans="3:30">
      <c r="C786" s="126"/>
      <c r="D786" s="126"/>
      <c r="E786" s="126"/>
      <c r="F786" s="138"/>
      <c r="G786" s="126"/>
      <c r="H786" s="126"/>
      <c r="I786" s="126"/>
      <c r="J786" s="126"/>
      <c r="K786" s="126"/>
      <c r="L786" s="126"/>
      <c r="M786" s="126"/>
      <c r="N786" s="126"/>
      <c r="O786" s="126"/>
      <c r="P786" s="126"/>
      <c r="Q786" s="126"/>
      <c r="R786" s="126"/>
      <c r="S786" s="126"/>
      <c r="T786" s="126"/>
      <c r="U786" s="126"/>
      <c r="V786" s="126"/>
      <c r="W786" s="126"/>
      <c r="X786" s="126"/>
      <c r="Y786" s="126"/>
      <c r="Z786" s="126"/>
      <c r="AA786" s="126"/>
      <c r="AB786" s="126"/>
      <c r="AC786" s="126"/>
      <c r="AD786" s="126"/>
    </row>
    <row r="787" spans="3:30">
      <c r="C787" s="126"/>
      <c r="D787" s="126"/>
      <c r="E787" s="126"/>
      <c r="F787" s="138"/>
      <c r="G787" s="126"/>
      <c r="H787" s="126"/>
      <c r="I787" s="126"/>
      <c r="J787" s="126"/>
      <c r="K787" s="126"/>
      <c r="L787" s="126"/>
      <c r="M787" s="126"/>
      <c r="N787" s="126"/>
      <c r="O787" s="126"/>
      <c r="P787" s="126"/>
      <c r="Q787" s="126"/>
      <c r="R787" s="126"/>
      <c r="S787" s="126"/>
      <c r="T787" s="126"/>
      <c r="U787" s="126"/>
      <c r="V787" s="126"/>
      <c r="W787" s="126"/>
      <c r="X787" s="126"/>
      <c r="Y787" s="126"/>
      <c r="Z787" s="126"/>
      <c r="AA787" s="126"/>
      <c r="AB787" s="126"/>
      <c r="AC787" s="126"/>
      <c r="AD787" s="126"/>
    </row>
    <row r="788" spans="3:30">
      <c r="C788" s="126"/>
      <c r="D788" s="126"/>
      <c r="E788" s="126"/>
      <c r="F788" s="138"/>
      <c r="G788" s="126"/>
      <c r="H788" s="126"/>
      <c r="I788" s="126"/>
      <c r="J788" s="126"/>
      <c r="K788" s="126"/>
      <c r="L788" s="126"/>
      <c r="M788" s="126"/>
      <c r="N788" s="126"/>
      <c r="O788" s="126"/>
      <c r="P788" s="126"/>
      <c r="Q788" s="126"/>
      <c r="R788" s="126"/>
      <c r="S788" s="126"/>
      <c r="T788" s="126"/>
      <c r="U788" s="126"/>
      <c r="V788" s="126"/>
      <c r="W788" s="126"/>
      <c r="X788" s="126"/>
      <c r="Y788" s="126"/>
      <c r="Z788" s="126"/>
      <c r="AA788" s="126"/>
      <c r="AB788" s="126"/>
      <c r="AC788" s="126"/>
      <c r="AD788" s="126"/>
    </row>
    <row r="789" spans="3:30">
      <c r="C789" s="126"/>
      <c r="D789" s="126"/>
      <c r="E789" s="126"/>
      <c r="F789" s="138"/>
      <c r="G789" s="126"/>
      <c r="H789" s="126"/>
      <c r="I789" s="126"/>
      <c r="J789" s="126"/>
      <c r="K789" s="126"/>
      <c r="L789" s="126"/>
      <c r="M789" s="126"/>
      <c r="N789" s="126"/>
      <c r="O789" s="126"/>
      <c r="P789" s="126"/>
      <c r="Q789" s="126"/>
      <c r="R789" s="126"/>
      <c r="S789" s="126"/>
      <c r="T789" s="126"/>
      <c r="U789" s="126"/>
      <c r="V789" s="126"/>
      <c r="W789" s="126"/>
      <c r="X789" s="126"/>
      <c r="Y789" s="126"/>
      <c r="Z789" s="126"/>
      <c r="AA789" s="126"/>
      <c r="AB789" s="126"/>
      <c r="AC789" s="126"/>
      <c r="AD789" s="126"/>
    </row>
    <row r="790" spans="3:30">
      <c r="C790" s="126"/>
      <c r="D790" s="126"/>
      <c r="E790" s="126"/>
      <c r="F790" s="138"/>
      <c r="G790" s="126"/>
      <c r="H790" s="126"/>
      <c r="I790" s="126"/>
      <c r="J790" s="126"/>
      <c r="K790" s="126"/>
      <c r="L790" s="126"/>
      <c r="M790" s="126"/>
      <c r="N790" s="126"/>
      <c r="O790" s="126"/>
      <c r="P790" s="126"/>
      <c r="Q790" s="126"/>
      <c r="R790" s="126"/>
      <c r="S790" s="126"/>
      <c r="T790" s="126"/>
      <c r="U790" s="126"/>
      <c r="V790" s="126"/>
      <c r="W790" s="126"/>
      <c r="X790" s="126"/>
      <c r="Y790" s="126"/>
      <c r="Z790" s="126"/>
      <c r="AA790" s="126"/>
      <c r="AB790" s="126"/>
      <c r="AC790" s="126"/>
      <c r="AD790" s="126"/>
    </row>
    <row r="791" spans="3:30">
      <c r="C791" s="126"/>
      <c r="D791" s="126"/>
      <c r="E791" s="126"/>
      <c r="F791" s="138"/>
      <c r="G791" s="126"/>
      <c r="H791" s="126"/>
      <c r="I791" s="126"/>
      <c r="J791" s="126"/>
      <c r="K791" s="126"/>
      <c r="L791" s="126"/>
      <c r="M791" s="126"/>
      <c r="N791" s="126"/>
      <c r="O791" s="126"/>
      <c r="P791" s="126"/>
      <c r="Q791" s="126"/>
      <c r="R791" s="126"/>
      <c r="S791" s="126"/>
      <c r="T791" s="126"/>
      <c r="U791" s="126"/>
      <c r="V791" s="126"/>
      <c r="W791" s="126"/>
      <c r="X791" s="126"/>
      <c r="Y791" s="126"/>
      <c r="Z791" s="126"/>
      <c r="AA791" s="126"/>
      <c r="AB791" s="126"/>
      <c r="AC791" s="126"/>
      <c r="AD791" s="126"/>
    </row>
    <row r="792" spans="3:30">
      <c r="C792" s="126"/>
      <c r="D792" s="126"/>
      <c r="E792" s="126"/>
      <c r="F792" s="138"/>
      <c r="G792" s="126"/>
      <c r="H792" s="126"/>
      <c r="I792" s="126"/>
      <c r="J792" s="126"/>
      <c r="K792" s="126"/>
      <c r="L792" s="126"/>
      <c r="M792" s="126"/>
      <c r="N792" s="126"/>
      <c r="O792" s="126"/>
      <c r="P792" s="126"/>
      <c r="Q792" s="126"/>
      <c r="R792" s="126"/>
      <c r="S792" s="126"/>
      <c r="T792" s="126"/>
      <c r="U792" s="126"/>
      <c r="V792" s="126"/>
      <c r="W792" s="126"/>
      <c r="X792" s="126"/>
      <c r="Y792" s="126"/>
      <c r="Z792" s="126"/>
      <c r="AA792" s="126"/>
      <c r="AB792" s="126"/>
      <c r="AC792" s="126"/>
      <c r="AD792" s="126"/>
    </row>
    <row r="793" spans="3:30">
      <c r="C793" s="126"/>
      <c r="D793" s="126"/>
      <c r="E793" s="126"/>
      <c r="F793" s="138"/>
      <c r="G793" s="126"/>
      <c r="H793" s="126"/>
      <c r="I793" s="126"/>
      <c r="J793" s="126"/>
      <c r="K793" s="126"/>
      <c r="L793" s="126"/>
      <c r="M793" s="126"/>
      <c r="N793" s="126"/>
      <c r="O793" s="126"/>
      <c r="P793" s="126"/>
      <c r="Q793" s="126"/>
      <c r="R793" s="126"/>
      <c r="S793" s="126"/>
      <c r="T793" s="126"/>
      <c r="U793" s="126"/>
      <c r="V793" s="126"/>
      <c r="W793" s="126"/>
      <c r="X793" s="126"/>
      <c r="Y793" s="126"/>
      <c r="Z793" s="126"/>
      <c r="AA793" s="126"/>
      <c r="AB793" s="126"/>
      <c r="AC793" s="126"/>
      <c r="AD793" s="126"/>
    </row>
    <row r="794" spans="3:30">
      <c r="C794" s="126"/>
      <c r="D794" s="126"/>
      <c r="E794" s="126"/>
      <c r="F794" s="138"/>
      <c r="G794" s="126"/>
      <c r="H794" s="126"/>
      <c r="I794" s="126"/>
      <c r="J794" s="126"/>
      <c r="K794" s="126"/>
      <c r="L794" s="126"/>
      <c r="M794" s="126"/>
      <c r="N794" s="126"/>
      <c r="O794" s="126"/>
      <c r="P794" s="126"/>
      <c r="Q794" s="126"/>
      <c r="R794" s="126"/>
      <c r="S794" s="126"/>
      <c r="T794" s="126"/>
      <c r="U794" s="126"/>
      <c r="V794" s="126"/>
      <c r="W794" s="126"/>
      <c r="X794" s="126"/>
      <c r="Y794" s="126"/>
      <c r="Z794" s="126"/>
      <c r="AA794" s="126"/>
      <c r="AB794" s="126"/>
      <c r="AC794" s="126"/>
      <c r="AD794" s="126"/>
    </row>
    <row r="795" spans="3:30">
      <c r="C795" s="126"/>
      <c r="D795" s="126"/>
      <c r="E795" s="126"/>
      <c r="F795" s="138"/>
      <c r="G795" s="126"/>
      <c r="H795" s="126"/>
      <c r="I795" s="126"/>
      <c r="J795" s="126"/>
      <c r="K795" s="126"/>
      <c r="L795" s="126"/>
      <c r="M795" s="126"/>
      <c r="N795" s="126"/>
      <c r="O795" s="126"/>
      <c r="P795" s="126"/>
      <c r="Q795" s="126"/>
      <c r="R795" s="126"/>
      <c r="S795" s="126"/>
      <c r="T795" s="126"/>
      <c r="U795" s="126"/>
      <c r="V795" s="126"/>
      <c r="W795" s="126"/>
      <c r="X795" s="126"/>
      <c r="Y795" s="126"/>
      <c r="Z795" s="126"/>
      <c r="AA795" s="126"/>
      <c r="AB795" s="126"/>
      <c r="AC795" s="126"/>
      <c r="AD795" s="126"/>
    </row>
    <row r="796" spans="3:30">
      <c r="C796" s="126"/>
      <c r="D796" s="126"/>
      <c r="E796" s="126"/>
      <c r="F796" s="138"/>
      <c r="G796" s="126"/>
      <c r="H796" s="126"/>
      <c r="I796" s="126"/>
      <c r="J796" s="126"/>
      <c r="K796" s="126"/>
      <c r="L796" s="126"/>
      <c r="M796" s="126"/>
      <c r="N796" s="126"/>
      <c r="O796" s="126"/>
      <c r="P796" s="126"/>
      <c r="Q796" s="126"/>
      <c r="R796" s="126"/>
      <c r="S796" s="126"/>
      <c r="T796" s="126"/>
      <c r="U796" s="126"/>
      <c r="V796" s="126"/>
      <c r="W796" s="126"/>
      <c r="X796" s="126"/>
      <c r="Y796" s="126"/>
      <c r="Z796" s="126"/>
      <c r="AA796" s="126"/>
      <c r="AB796" s="126"/>
      <c r="AC796" s="126"/>
      <c r="AD796" s="126"/>
    </row>
    <row r="797" spans="3:30">
      <c r="C797" s="126"/>
      <c r="D797" s="126"/>
      <c r="E797" s="126"/>
      <c r="F797" s="138"/>
      <c r="G797" s="126"/>
      <c r="H797" s="126"/>
      <c r="I797" s="126"/>
      <c r="J797" s="126"/>
      <c r="K797" s="126"/>
      <c r="L797" s="126"/>
      <c r="M797" s="126"/>
      <c r="N797" s="126"/>
      <c r="O797" s="126"/>
      <c r="P797" s="126"/>
      <c r="Q797" s="126"/>
      <c r="R797" s="126"/>
      <c r="S797" s="126"/>
      <c r="T797" s="126"/>
      <c r="U797" s="126"/>
      <c r="V797" s="126"/>
      <c r="W797" s="126"/>
      <c r="X797" s="126"/>
      <c r="Y797" s="126"/>
      <c r="Z797" s="126"/>
      <c r="AA797" s="126"/>
      <c r="AB797" s="126"/>
      <c r="AC797" s="126"/>
      <c r="AD797" s="126"/>
    </row>
    <row r="798" spans="3:30">
      <c r="C798" s="126"/>
      <c r="D798" s="126"/>
      <c r="E798" s="126"/>
      <c r="F798" s="138"/>
      <c r="G798" s="126"/>
      <c r="H798" s="126"/>
      <c r="I798" s="126"/>
      <c r="J798" s="126"/>
      <c r="K798" s="126"/>
      <c r="L798" s="126"/>
      <c r="M798" s="126"/>
      <c r="N798" s="126"/>
      <c r="O798" s="126"/>
      <c r="P798" s="126"/>
      <c r="Q798" s="126"/>
      <c r="R798" s="126"/>
      <c r="S798" s="126"/>
      <c r="T798" s="126"/>
      <c r="U798" s="126"/>
      <c r="V798" s="126"/>
      <c r="W798" s="126"/>
      <c r="X798" s="126"/>
      <c r="Y798" s="126"/>
      <c r="Z798" s="126"/>
      <c r="AA798" s="126"/>
      <c r="AB798" s="126"/>
      <c r="AC798" s="126"/>
      <c r="AD798" s="126"/>
    </row>
    <row r="799" spans="3:30">
      <c r="C799" s="126"/>
      <c r="D799" s="126"/>
      <c r="E799" s="126"/>
      <c r="F799" s="138"/>
      <c r="G799" s="126"/>
      <c r="H799" s="126"/>
      <c r="I799" s="126"/>
      <c r="J799" s="126"/>
      <c r="K799" s="126"/>
      <c r="L799" s="126"/>
      <c r="M799" s="126"/>
      <c r="N799" s="126"/>
      <c r="O799" s="126"/>
      <c r="P799" s="126"/>
      <c r="Q799" s="126"/>
      <c r="R799" s="126"/>
      <c r="S799" s="126"/>
      <c r="T799" s="126"/>
      <c r="U799" s="126"/>
      <c r="V799" s="126"/>
      <c r="W799" s="126"/>
      <c r="X799" s="126"/>
      <c r="Y799" s="126"/>
      <c r="Z799" s="126"/>
      <c r="AA799" s="126"/>
      <c r="AB799" s="126"/>
      <c r="AC799" s="126"/>
      <c r="AD799" s="126"/>
    </row>
    <row r="800" spans="3:30">
      <c r="C800" s="126"/>
      <c r="D800" s="126"/>
      <c r="E800" s="126"/>
      <c r="F800" s="138"/>
      <c r="G800" s="126"/>
      <c r="H800" s="126"/>
      <c r="I800" s="126"/>
      <c r="J800" s="126"/>
      <c r="K800" s="126"/>
      <c r="L800" s="126"/>
      <c r="M800" s="126"/>
      <c r="N800" s="126"/>
      <c r="O800" s="126"/>
      <c r="P800" s="126"/>
      <c r="Q800" s="126"/>
      <c r="R800" s="126"/>
      <c r="S800" s="126"/>
      <c r="T800" s="126"/>
      <c r="U800" s="126"/>
      <c r="V800" s="126"/>
      <c r="W800" s="126"/>
      <c r="X800" s="126"/>
      <c r="Y800" s="126"/>
      <c r="Z800" s="126"/>
      <c r="AA800" s="126"/>
      <c r="AB800" s="126"/>
      <c r="AC800" s="126"/>
      <c r="AD800" s="126"/>
    </row>
    <row r="801" spans="3:30">
      <c r="C801" s="126"/>
      <c r="D801" s="126"/>
      <c r="E801" s="126"/>
      <c r="F801" s="138"/>
      <c r="G801" s="126"/>
      <c r="H801" s="126"/>
      <c r="I801" s="126"/>
      <c r="J801" s="126"/>
      <c r="K801" s="126"/>
      <c r="L801" s="126"/>
      <c r="M801" s="126"/>
      <c r="N801" s="126"/>
      <c r="O801" s="126"/>
      <c r="P801" s="126"/>
      <c r="Q801" s="126"/>
      <c r="R801" s="126"/>
      <c r="S801" s="126"/>
      <c r="T801" s="126"/>
      <c r="U801" s="126"/>
      <c r="V801" s="126"/>
      <c r="W801" s="126"/>
      <c r="X801" s="126"/>
      <c r="Y801" s="126"/>
      <c r="Z801" s="126"/>
      <c r="AA801" s="126"/>
      <c r="AB801" s="126"/>
      <c r="AC801" s="126"/>
      <c r="AD801" s="126"/>
    </row>
    <row r="802" spans="3:30">
      <c r="C802" s="126"/>
      <c r="D802" s="126"/>
      <c r="E802" s="126"/>
      <c r="F802" s="138"/>
      <c r="G802" s="126"/>
      <c r="H802" s="126"/>
      <c r="I802" s="126"/>
      <c r="J802" s="126"/>
      <c r="K802" s="126"/>
      <c r="L802" s="126"/>
      <c r="M802" s="126"/>
      <c r="N802" s="126"/>
      <c r="O802" s="126"/>
      <c r="P802" s="126"/>
      <c r="Q802" s="126"/>
      <c r="R802" s="126"/>
      <c r="S802" s="126"/>
      <c r="T802" s="126"/>
      <c r="U802" s="126"/>
      <c r="V802" s="126"/>
      <c r="W802" s="126"/>
      <c r="X802" s="126"/>
      <c r="Y802" s="126"/>
      <c r="Z802" s="126"/>
      <c r="AA802" s="126"/>
      <c r="AB802" s="126"/>
      <c r="AC802" s="126"/>
      <c r="AD802" s="126"/>
    </row>
    <row r="803" spans="3:30">
      <c r="C803" s="126"/>
      <c r="D803" s="126"/>
      <c r="E803" s="126"/>
      <c r="F803" s="138"/>
      <c r="G803" s="126"/>
      <c r="H803" s="126"/>
      <c r="I803" s="126"/>
      <c r="J803" s="126"/>
      <c r="K803" s="126"/>
      <c r="L803" s="126"/>
      <c r="M803" s="126"/>
      <c r="N803" s="126"/>
      <c r="O803" s="126"/>
      <c r="P803" s="126"/>
      <c r="Q803" s="126"/>
      <c r="R803" s="126"/>
      <c r="S803" s="126"/>
      <c r="T803" s="126"/>
      <c r="U803" s="126"/>
      <c r="V803" s="126"/>
      <c r="W803" s="126"/>
      <c r="X803" s="126"/>
      <c r="Y803" s="126"/>
      <c r="Z803" s="126"/>
      <c r="AA803" s="126"/>
      <c r="AB803" s="126"/>
      <c r="AC803" s="126"/>
      <c r="AD803" s="126"/>
    </row>
    <row r="804" spans="3:30">
      <c r="C804" s="126"/>
      <c r="D804" s="126"/>
      <c r="E804" s="126"/>
      <c r="F804" s="138"/>
      <c r="G804" s="126"/>
      <c r="H804" s="126"/>
      <c r="I804" s="126"/>
      <c r="J804" s="126"/>
      <c r="K804" s="126"/>
      <c r="L804" s="126"/>
      <c r="M804" s="126"/>
      <c r="N804" s="126"/>
      <c r="O804" s="126"/>
      <c r="P804" s="126"/>
      <c r="Q804" s="126"/>
      <c r="R804" s="126"/>
      <c r="S804" s="126"/>
      <c r="T804" s="126"/>
      <c r="U804" s="126"/>
      <c r="V804" s="126"/>
      <c r="W804" s="126"/>
      <c r="X804" s="126"/>
      <c r="Y804" s="126"/>
      <c r="Z804" s="126"/>
      <c r="AA804" s="126"/>
      <c r="AB804" s="126"/>
      <c r="AC804" s="126"/>
      <c r="AD804" s="126"/>
    </row>
    <row r="805" spans="3:30">
      <c r="C805" s="126"/>
      <c r="D805" s="126"/>
      <c r="E805" s="126"/>
      <c r="F805" s="138"/>
      <c r="G805" s="126"/>
      <c r="H805" s="126"/>
      <c r="I805" s="126"/>
      <c r="J805" s="126"/>
      <c r="K805" s="126"/>
      <c r="L805" s="126"/>
      <c r="M805" s="126"/>
      <c r="N805" s="126"/>
      <c r="O805" s="126"/>
      <c r="P805" s="126"/>
      <c r="Q805" s="126"/>
      <c r="R805" s="126"/>
      <c r="S805" s="126"/>
      <c r="T805" s="126"/>
      <c r="U805" s="126"/>
      <c r="V805" s="126"/>
      <c r="W805" s="126"/>
      <c r="X805" s="126"/>
      <c r="Y805" s="126"/>
      <c r="Z805" s="126"/>
      <c r="AA805" s="126"/>
      <c r="AB805" s="126"/>
      <c r="AC805" s="126"/>
      <c r="AD805" s="126"/>
    </row>
    <row r="806" spans="3:30">
      <c r="C806" s="126"/>
      <c r="D806" s="126"/>
      <c r="E806" s="126"/>
      <c r="F806" s="138"/>
      <c r="G806" s="126"/>
      <c r="H806" s="126"/>
      <c r="I806" s="126"/>
      <c r="J806" s="126"/>
      <c r="K806" s="126"/>
      <c r="L806" s="126"/>
      <c r="M806" s="126"/>
      <c r="N806" s="126"/>
      <c r="O806" s="126"/>
      <c r="P806" s="126"/>
      <c r="Q806" s="126"/>
      <c r="R806" s="126"/>
      <c r="S806" s="126"/>
      <c r="T806" s="126"/>
      <c r="U806" s="126"/>
      <c r="V806" s="126"/>
      <c r="W806" s="126"/>
      <c r="X806" s="126"/>
      <c r="Y806" s="126"/>
      <c r="Z806" s="126"/>
      <c r="AA806" s="126"/>
      <c r="AB806" s="126"/>
      <c r="AC806" s="126"/>
      <c r="AD806" s="126"/>
    </row>
    <row r="807" spans="3:30">
      <c r="C807" s="126"/>
      <c r="D807" s="126"/>
      <c r="E807" s="126"/>
      <c r="F807" s="138"/>
      <c r="G807" s="126"/>
      <c r="H807" s="126"/>
      <c r="I807" s="126"/>
      <c r="J807" s="126"/>
      <c r="K807" s="126"/>
      <c r="L807" s="126"/>
      <c r="M807" s="126"/>
      <c r="N807" s="126"/>
      <c r="O807" s="126"/>
      <c r="P807" s="126"/>
      <c r="Q807" s="126"/>
      <c r="R807" s="126"/>
      <c r="S807" s="126"/>
      <c r="T807" s="126"/>
      <c r="U807" s="126"/>
      <c r="V807" s="126"/>
      <c r="W807" s="126"/>
      <c r="X807" s="126"/>
      <c r="Y807" s="126"/>
      <c r="Z807" s="126"/>
      <c r="AA807" s="126"/>
      <c r="AB807" s="126"/>
      <c r="AC807" s="126"/>
      <c r="AD807" s="126"/>
    </row>
    <row r="808" spans="3:30">
      <c r="C808" s="126"/>
      <c r="D808" s="126"/>
      <c r="E808" s="126"/>
      <c r="F808" s="138"/>
      <c r="G808" s="126"/>
      <c r="H808" s="126"/>
      <c r="I808" s="126"/>
      <c r="J808" s="126"/>
      <c r="K808" s="126"/>
      <c r="L808" s="126"/>
      <c r="M808" s="126"/>
      <c r="N808" s="126"/>
      <c r="O808" s="126"/>
      <c r="P808" s="126"/>
      <c r="Q808" s="126"/>
      <c r="R808" s="126"/>
      <c r="S808" s="126"/>
      <c r="T808" s="126"/>
      <c r="U808" s="126"/>
      <c r="V808" s="126"/>
      <c r="W808" s="126"/>
      <c r="X808" s="126"/>
      <c r="Y808" s="126"/>
      <c r="Z808" s="126"/>
      <c r="AA808" s="126"/>
      <c r="AB808" s="126"/>
      <c r="AC808" s="126"/>
      <c r="AD808" s="126"/>
    </row>
    <row r="809" spans="3:30">
      <c r="C809" s="126"/>
      <c r="D809" s="126"/>
      <c r="E809" s="126"/>
      <c r="F809" s="138"/>
      <c r="G809" s="126"/>
      <c r="H809" s="126"/>
      <c r="I809" s="126"/>
      <c r="J809" s="126"/>
      <c r="K809" s="126"/>
      <c r="L809" s="126"/>
      <c r="M809" s="126"/>
      <c r="N809" s="126"/>
      <c r="O809" s="126"/>
      <c r="P809" s="126"/>
      <c r="Q809" s="126"/>
      <c r="R809" s="126"/>
      <c r="S809" s="126"/>
      <c r="T809" s="126"/>
      <c r="U809" s="126"/>
      <c r="V809" s="126"/>
      <c r="W809" s="126"/>
      <c r="X809" s="126"/>
      <c r="Y809" s="126"/>
      <c r="Z809" s="126"/>
      <c r="AA809" s="126"/>
      <c r="AB809" s="126"/>
      <c r="AC809" s="126"/>
      <c r="AD809" s="126"/>
    </row>
    <row r="810" spans="3:30">
      <c r="C810" s="126"/>
      <c r="D810" s="126"/>
      <c r="E810" s="126"/>
      <c r="F810" s="138"/>
      <c r="G810" s="126"/>
      <c r="H810" s="126"/>
      <c r="I810" s="126"/>
      <c r="J810" s="126"/>
      <c r="K810" s="126"/>
      <c r="L810" s="126"/>
      <c r="M810" s="126"/>
      <c r="N810" s="126"/>
      <c r="O810" s="126"/>
      <c r="P810" s="126"/>
      <c r="Q810" s="126"/>
      <c r="R810" s="126"/>
      <c r="S810" s="126"/>
      <c r="T810" s="126"/>
      <c r="U810" s="126"/>
      <c r="V810" s="126"/>
      <c r="W810" s="126"/>
      <c r="X810" s="126"/>
      <c r="Y810" s="126"/>
      <c r="Z810" s="126"/>
      <c r="AA810" s="126"/>
      <c r="AB810" s="126"/>
      <c r="AC810" s="126"/>
      <c r="AD810" s="126"/>
    </row>
    <row r="811" spans="3:30">
      <c r="C811" s="126"/>
      <c r="D811" s="126"/>
      <c r="E811" s="126"/>
      <c r="F811" s="138"/>
      <c r="G811" s="126"/>
      <c r="H811" s="126"/>
      <c r="I811" s="126"/>
      <c r="J811" s="126"/>
      <c r="K811" s="126"/>
      <c r="L811" s="126"/>
      <c r="M811" s="126"/>
      <c r="N811" s="126"/>
      <c r="O811" s="126"/>
      <c r="P811" s="126"/>
      <c r="Q811" s="126"/>
      <c r="R811" s="126"/>
      <c r="S811" s="126"/>
      <c r="T811" s="126"/>
      <c r="U811" s="126"/>
      <c r="V811" s="126"/>
      <c r="W811" s="126"/>
      <c r="X811" s="126"/>
      <c r="Y811" s="126"/>
      <c r="Z811" s="126"/>
      <c r="AA811" s="126"/>
      <c r="AB811" s="126"/>
      <c r="AC811" s="126"/>
      <c r="AD811" s="126"/>
    </row>
    <row r="812" spans="3:30">
      <c r="C812" s="126"/>
      <c r="D812" s="126"/>
      <c r="E812" s="126"/>
      <c r="F812" s="138"/>
      <c r="G812" s="126"/>
      <c r="H812" s="126"/>
      <c r="I812" s="126"/>
      <c r="J812" s="126"/>
      <c r="K812" s="126"/>
      <c r="L812" s="126"/>
      <c r="M812" s="126"/>
      <c r="N812" s="126"/>
      <c r="O812" s="126"/>
      <c r="P812" s="126"/>
      <c r="Q812" s="126"/>
      <c r="R812" s="126"/>
      <c r="S812" s="126"/>
      <c r="T812" s="126"/>
      <c r="U812" s="126"/>
      <c r="V812" s="126"/>
      <c r="W812" s="126"/>
      <c r="X812" s="126"/>
      <c r="Y812" s="126"/>
      <c r="Z812" s="126"/>
      <c r="AA812" s="126"/>
      <c r="AB812" s="126"/>
      <c r="AC812" s="126"/>
      <c r="AD812" s="126"/>
    </row>
    <row r="813" spans="3:30">
      <c r="C813" s="126"/>
      <c r="D813" s="126"/>
      <c r="E813" s="126"/>
      <c r="F813" s="138"/>
      <c r="G813" s="126"/>
      <c r="H813" s="126"/>
      <c r="I813" s="126"/>
      <c r="J813" s="126"/>
      <c r="K813" s="126"/>
      <c r="L813" s="126"/>
      <c r="M813" s="126"/>
      <c r="N813" s="126"/>
      <c r="O813" s="126"/>
      <c r="P813" s="126"/>
      <c r="Q813" s="126"/>
      <c r="R813" s="126"/>
      <c r="S813" s="126"/>
      <c r="T813" s="126"/>
      <c r="U813" s="126"/>
      <c r="V813" s="126"/>
      <c r="W813" s="126"/>
      <c r="X813" s="126"/>
      <c r="Y813" s="126"/>
      <c r="Z813" s="126"/>
      <c r="AA813" s="126"/>
      <c r="AB813" s="126"/>
      <c r="AC813" s="126"/>
      <c r="AD813" s="126"/>
    </row>
    <row r="814" spans="3:30">
      <c r="C814" s="126"/>
      <c r="D814" s="126"/>
      <c r="E814" s="126"/>
      <c r="F814" s="138"/>
      <c r="G814" s="126"/>
      <c r="H814" s="126"/>
      <c r="I814" s="126"/>
      <c r="J814" s="126"/>
      <c r="K814" s="126"/>
      <c r="L814" s="126"/>
      <c r="M814" s="126"/>
      <c r="N814" s="126"/>
      <c r="O814" s="126"/>
      <c r="P814" s="126"/>
      <c r="Q814" s="126"/>
      <c r="R814" s="126"/>
      <c r="S814" s="126"/>
      <c r="T814" s="126"/>
      <c r="U814" s="126"/>
      <c r="V814" s="126"/>
      <c r="W814" s="126"/>
      <c r="X814" s="126"/>
      <c r="Y814" s="126"/>
      <c r="Z814" s="126"/>
      <c r="AA814" s="126"/>
      <c r="AB814" s="126"/>
      <c r="AC814" s="126"/>
      <c r="AD814" s="126"/>
    </row>
    <row r="815" spans="3:30">
      <c r="C815" s="126"/>
      <c r="D815" s="126"/>
      <c r="E815" s="126"/>
      <c r="F815" s="138"/>
      <c r="G815" s="126"/>
      <c r="H815" s="126"/>
      <c r="I815" s="126"/>
      <c r="J815" s="126"/>
      <c r="K815" s="126"/>
      <c r="L815" s="126"/>
      <c r="M815" s="126"/>
      <c r="N815" s="126"/>
      <c r="O815" s="126"/>
      <c r="P815" s="126"/>
      <c r="Q815" s="126"/>
      <c r="R815" s="126"/>
      <c r="S815" s="126"/>
      <c r="T815" s="126"/>
      <c r="U815" s="126"/>
      <c r="V815" s="126"/>
      <c r="W815" s="126"/>
      <c r="X815" s="126"/>
      <c r="Y815" s="126"/>
      <c r="Z815" s="126"/>
      <c r="AA815" s="126"/>
      <c r="AB815" s="126"/>
      <c r="AC815" s="126"/>
      <c r="AD815" s="126"/>
    </row>
    <row r="816" spans="3:30">
      <c r="C816" s="126"/>
      <c r="D816" s="126"/>
      <c r="E816" s="126"/>
      <c r="F816" s="138"/>
      <c r="G816" s="126"/>
      <c r="H816" s="126"/>
      <c r="I816" s="126"/>
      <c r="J816" s="126"/>
      <c r="K816" s="126"/>
      <c r="L816" s="126"/>
      <c r="M816" s="126"/>
      <c r="N816" s="126"/>
      <c r="O816" s="126"/>
      <c r="P816" s="126"/>
      <c r="Q816" s="126"/>
      <c r="R816" s="126"/>
      <c r="S816" s="126"/>
      <c r="T816" s="126"/>
      <c r="U816" s="126"/>
      <c r="V816" s="126"/>
      <c r="W816" s="126"/>
      <c r="X816" s="126"/>
      <c r="Y816" s="126"/>
      <c r="Z816" s="126"/>
      <c r="AA816" s="126"/>
      <c r="AB816" s="126"/>
      <c r="AC816" s="126"/>
      <c r="AD816" s="126"/>
    </row>
    <row r="817" spans="3:30">
      <c r="C817" s="126"/>
      <c r="D817" s="126"/>
      <c r="E817" s="126"/>
      <c r="F817" s="138"/>
      <c r="G817" s="126"/>
      <c r="H817" s="126"/>
      <c r="I817" s="126"/>
      <c r="J817" s="126"/>
      <c r="K817" s="126"/>
      <c r="L817" s="126"/>
      <c r="M817" s="126"/>
      <c r="N817" s="126"/>
      <c r="O817" s="126"/>
      <c r="P817" s="126"/>
      <c r="Q817" s="126"/>
      <c r="R817" s="126"/>
      <c r="S817" s="126"/>
      <c r="T817" s="126"/>
      <c r="U817" s="126"/>
      <c r="V817" s="126"/>
      <c r="W817" s="126"/>
      <c r="X817" s="126"/>
      <c r="Y817" s="126"/>
      <c r="Z817" s="126"/>
      <c r="AA817" s="126"/>
      <c r="AB817" s="126"/>
      <c r="AC817" s="126"/>
      <c r="AD817" s="126"/>
    </row>
    <row r="818" spans="3:30">
      <c r="C818" s="126"/>
      <c r="D818" s="126"/>
      <c r="E818" s="126"/>
      <c r="F818" s="138"/>
      <c r="G818" s="126"/>
      <c r="H818" s="126"/>
      <c r="I818" s="126"/>
      <c r="J818" s="126"/>
      <c r="K818" s="126"/>
      <c r="L818" s="126"/>
      <c r="M818" s="126"/>
      <c r="N818" s="126"/>
      <c r="O818" s="126"/>
      <c r="P818" s="126"/>
      <c r="Q818" s="126"/>
      <c r="R818" s="126"/>
      <c r="S818" s="126"/>
      <c r="T818" s="126"/>
      <c r="U818" s="126"/>
      <c r="V818" s="126"/>
      <c r="W818" s="126"/>
      <c r="X818" s="126"/>
      <c r="Y818" s="126"/>
      <c r="Z818" s="126"/>
      <c r="AA818" s="126"/>
      <c r="AB818" s="126"/>
      <c r="AC818" s="126"/>
      <c r="AD818" s="126"/>
    </row>
    <row r="819" spans="3:30">
      <c r="C819" s="126"/>
      <c r="D819" s="126"/>
      <c r="E819" s="126"/>
      <c r="F819" s="138"/>
      <c r="G819" s="126"/>
      <c r="H819" s="126"/>
      <c r="I819" s="126"/>
      <c r="J819" s="126"/>
      <c r="K819" s="126"/>
      <c r="L819" s="126"/>
      <c r="M819" s="126"/>
      <c r="N819" s="126"/>
      <c r="O819" s="126"/>
      <c r="P819" s="126"/>
      <c r="Q819" s="126"/>
      <c r="R819" s="126"/>
      <c r="S819" s="126"/>
      <c r="T819" s="126"/>
      <c r="U819" s="126"/>
      <c r="V819" s="126"/>
      <c r="W819" s="126"/>
      <c r="X819" s="126"/>
      <c r="Y819" s="126"/>
      <c r="Z819" s="126"/>
      <c r="AA819" s="126"/>
      <c r="AB819" s="126"/>
      <c r="AC819" s="126"/>
      <c r="AD819" s="126"/>
    </row>
    <row r="820" spans="3:30">
      <c r="C820" s="126"/>
      <c r="D820" s="126"/>
      <c r="E820" s="126"/>
      <c r="F820" s="138"/>
      <c r="G820" s="126"/>
      <c r="H820" s="126"/>
      <c r="I820" s="126"/>
      <c r="J820" s="126"/>
      <c r="K820" s="126"/>
      <c r="L820" s="126"/>
      <c r="M820" s="126"/>
      <c r="N820" s="126"/>
      <c r="O820" s="126"/>
      <c r="P820" s="126"/>
      <c r="Q820" s="126"/>
      <c r="R820" s="126"/>
      <c r="S820" s="126"/>
      <c r="T820" s="126"/>
      <c r="U820" s="126"/>
      <c r="V820" s="126"/>
      <c r="W820" s="126"/>
      <c r="X820" s="126"/>
      <c r="Y820" s="126"/>
      <c r="Z820" s="126"/>
      <c r="AA820" s="126"/>
      <c r="AB820" s="126"/>
      <c r="AC820" s="126"/>
      <c r="AD820" s="126"/>
    </row>
    <row r="821" spans="3:30">
      <c r="C821" s="126"/>
      <c r="D821" s="126"/>
      <c r="E821" s="126"/>
      <c r="F821" s="138"/>
      <c r="G821" s="126"/>
      <c r="H821" s="126"/>
      <c r="I821" s="126"/>
      <c r="J821" s="126"/>
      <c r="K821" s="126"/>
      <c r="L821" s="126"/>
      <c r="M821" s="126"/>
      <c r="N821" s="126"/>
      <c r="O821" s="126"/>
      <c r="P821" s="126"/>
      <c r="Q821" s="126"/>
      <c r="R821" s="126"/>
      <c r="S821" s="126"/>
      <c r="T821" s="126"/>
      <c r="U821" s="126"/>
      <c r="V821" s="126"/>
      <c r="W821" s="126"/>
      <c r="X821" s="126"/>
      <c r="Y821" s="126"/>
      <c r="Z821" s="126"/>
      <c r="AA821" s="126"/>
      <c r="AB821" s="126"/>
      <c r="AC821" s="126"/>
      <c r="AD821" s="126"/>
    </row>
    <row r="822" spans="3:30">
      <c r="C822" s="126"/>
      <c r="D822" s="126"/>
      <c r="E822" s="126"/>
      <c r="F822" s="138"/>
      <c r="G822" s="126"/>
      <c r="H822" s="126"/>
      <c r="I822" s="126"/>
      <c r="J822" s="126"/>
      <c r="K822" s="126"/>
      <c r="L822" s="126"/>
      <c r="M822" s="126"/>
      <c r="N822" s="126"/>
      <c r="O822" s="126"/>
      <c r="P822" s="126"/>
      <c r="Q822" s="126"/>
      <c r="R822" s="126"/>
      <c r="S822" s="126"/>
      <c r="T822" s="126"/>
      <c r="U822" s="126"/>
      <c r="V822" s="126"/>
      <c r="W822" s="126"/>
      <c r="X822" s="126"/>
      <c r="Y822" s="126"/>
      <c r="Z822" s="126"/>
      <c r="AA822" s="126"/>
      <c r="AB822" s="126"/>
      <c r="AC822" s="126"/>
      <c r="AD822" s="126"/>
    </row>
    <row r="823" spans="3:30">
      <c r="C823" s="126"/>
      <c r="D823" s="126"/>
      <c r="E823" s="126"/>
      <c r="F823" s="138"/>
      <c r="G823" s="126"/>
      <c r="H823" s="126"/>
      <c r="I823" s="126"/>
      <c r="J823" s="126"/>
      <c r="K823" s="126"/>
      <c r="L823" s="126"/>
      <c r="M823" s="126"/>
      <c r="N823" s="126"/>
      <c r="O823" s="126"/>
      <c r="P823" s="126"/>
      <c r="Q823" s="126"/>
      <c r="R823" s="126"/>
      <c r="S823" s="126"/>
      <c r="T823" s="126"/>
      <c r="U823" s="126"/>
      <c r="V823" s="126"/>
      <c r="W823" s="126"/>
      <c r="X823" s="126"/>
      <c r="Y823" s="126"/>
      <c r="Z823" s="126"/>
      <c r="AA823" s="126"/>
      <c r="AB823" s="126"/>
      <c r="AC823" s="126"/>
      <c r="AD823" s="126"/>
    </row>
    <row r="824" spans="3:30">
      <c r="C824" s="126"/>
      <c r="D824" s="126"/>
      <c r="E824" s="126"/>
      <c r="F824" s="138"/>
      <c r="G824" s="126"/>
      <c r="H824" s="126"/>
      <c r="I824" s="126"/>
      <c r="J824" s="126"/>
      <c r="K824" s="126"/>
      <c r="L824" s="126"/>
      <c r="M824" s="126"/>
      <c r="N824" s="126"/>
      <c r="O824" s="126"/>
      <c r="P824" s="126"/>
      <c r="Q824" s="126"/>
      <c r="R824" s="126"/>
      <c r="S824" s="126"/>
      <c r="T824" s="126"/>
      <c r="U824" s="126"/>
      <c r="V824" s="126"/>
      <c r="W824" s="126"/>
      <c r="X824" s="126"/>
      <c r="Y824" s="126"/>
      <c r="Z824" s="126"/>
      <c r="AA824" s="126"/>
      <c r="AB824" s="126"/>
      <c r="AC824" s="126"/>
      <c r="AD824" s="126"/>
    </row>
    <row r="825" spans="3:30">
      <c r="C825" s="126"/>
      <c r="D825" s="126"/>
      <c r="E825" s="126"/>
      <c r="F825" s="138"/>
      <c r="G825" s="126"/>
      <c r="H825" s="126"/>
      <c r="I825" s="126"/>
      <c r="J825" s="126"/>
      <c r="K825" s="126"/>
      <c r="L825" s="126"/>
      <c r="M825" s="126"/>
      <c r="N825" s="126"/>
      <c r="O825" s="126"/>
      <c r="P825" s="126"/>
      <c r="Q825" s="126"/>
      <c r="R825" s="126"/>
      <c r="S825" s="126"/>
      <c r="T825" s="126"/>
      <c r="U825" s="126"/>
      <c r="V825" s="126"/>
      <c r="W825" s="126"/>
      <c r="X825" s="126"/>
      <c r="Y825" s="126"/>
      <c r="Z825" s="126"/>
      <c r="AA825" s="126"/>
      <c r="AB825" s="126"/>
      <c r="AC825" s="126"/>
      <c r="AD825" s="126"/>
    </row>
    <row r="826" spans="3:30">
      <c r="C826" s="126"/>
      <c r="D826" s="126"/>
      <c r="E826" s="126"/>
      <c r="F826" s="138"/>
      <c r="G826" s="126"/>
      <c r="H826" s="126"/>
      <c r="I826" s="126"/>
      <c r="J826" s="126"/>
      <c r="K826" s="126"/>
      <c r="L826" s="126"/>
      <c r="M826" s="126"/>
      <c r="N826" s="126"/>
      <c r="O826" s="126"/>
      <c r="P826" s="126"/>
      <c r="Q826" s="126"/>
      <c r="R826" s="126"/>
      <c r="S826" s="126"/>
      <c r="T826" s="126"/>
      <c r="U826" s="126"/>
      <c r="V826" s="126"/>
      <c r="W826" s="126"/>
      <c r="X826" s="126"/>
      <c r="Y826" s="126"/>
      <c r="Z826" s="126"/>
      <c r="AA826" s="126"/>
      <c r="AB826" s="126"/>
      <c r="AC826" s="126"/>
      <c r="AD826" s="126"/>
    </row>
    <row r="827" spans="3:30">
      <c r="C827" s="126"/>
      <c r="D827" s="126"/>
      <c r="E827" s="126"/>
      <c r="F827" s="138"/>
      <c r="G827" s="126"/>
      <c r="H827" s="126"/>
      <c r="I827" s="126"/>
      <c r="J827" s="126"/>
      <c r="K827" s="126"/>
      <c r="L827" s="126"/>
      <c r="M827" s="126"/>
      <c r="N827" s="126"/>
      <c r="O827" s="126"/>
      <c r="P827" s="126"/>
      <c r="Q827" s="126"/>
      <c r="R827" s="126"/>
      <c r="S827" s="126"/>
      <c r="T827" s="126"/>
      <c r="U827" s="126"/>
      <c r="V827" s="126"/>
      <c r="W827" s="126"/>
      <c r="X827" s="126"/>
      <c r="Y827" s="126"/>
      <c r="Z827" s="126"/>
      <c r="AA827" s="126"/>
      <c r="AB827" s="126"/>
      <c r="AC827" s="126"/>
      <c r="AD827" s="126"/>
    </row>
    <row r="828" spans="3:30">
      <c r="C828" s="126"/>
      <c r="D828" s="126"/>
      <c r="E828" s="126"/>
      <c r="F828" s="138"/>
      <c r="G828" s="126"/>
      <c r="H828" s="126"/>
      <c r="I828" s="126"/>
      <c r="J828" s="126"/>
      <c r="K828" s="126"/>
      <c r="L828" s="126"/>
      <c r="M828" s="126"/>
      <c r="N828" s="126"/>
      <c r="O828" s="126"/>
      <c r="P828" s="126"/>
      <c r="Q828" s="126"/>
      <c r="R828" s="126"/>
      <c r="S828" s="126"/>
      <c r="T828" s="126"/>
      <c r="U828" s="126"/>
      <c r="V828" s="126"/>
      <c r="W828" s="126"/>
      <c r="X828" s="126"/>
      <c r="Y828" s="126"/>
      <c r="Z828" s="126"/>
      <c r="AA828" s="126"/>
      <c r="AB828" s="126"/>
      <c r="AC828" s="126"/>
      <c r="AD828" s="126"/>
    </row>
    <row r="829" spans="3:30">
      <c r="C829" s="126"/>
      <c r="D829" s="126"/>
      <c r="E829" s="126"/>
      <c r="F829" s="138"/>
      <c r="G829" s="126"/>
      <c r="H829" s="126"/>
      <c r="I829" s="126"/>
      <c r="J829" s="126"/>
      <c r="K829" s="126"/>
      <c r="L829" s="126"/>
      <c r="M829" s="126"/>
      <c r="N829" s="126"/>
      <c r="O829" s="126"/>
      <c r="P829" s="126"/>
      <c r="Q829" s="126"/>
      <c r="R829" s="126"/>
      <c r="S829" s="126"/>
      <c r="T829" s="126"/>
      <c r="U829" s="126"/>
      <c r="V829" s="126"/>
      <c r="W829" s="126"/>
      <c r="X829" s="126"/>
      <c r="Y829" s="126"/>
      <c r="Z829" s="126"/>
      <c r="AA829" s="126"/>
      <c r="AB829" s="126"/>
      <c r="AC829" s="126"/>
      <c r="AD829" s="126"/>
    </row>
    <row r="830" spans="3:30">
      <c r="C830" s="126"/>
      <c r="D830" s="126"/>
      <c r="E830" s="126"/>
      <c r="F830" s="138"/>
      <c r="G830" s="126"/>
      <c r="H830" s="126"/>
      <c r="I830" s="126"/>
      <c r="J830" s="126"/>
      <c r="K830" s="126"/>
      <c r="L830" s="126"/>
      <c r="M830" s="126"/>
      <c r="N830" s="126"/>
      <c r="O830" s="126"/>
      <c r="P830" s="126"/>
      <c r="Q830" s="126"/>
      <c r="R830" s="126"/>
      <c r="S830" s="126"/>
      <c r="T830" s="126"/>
      <c r="U830" s="126"/>
      <c r="V830" s="126"/>
      <c r="W830" s="126"/>
      <c r="X830" s="126"/>
      <c r="Y830" s="126"/>
      <c r="Z830" s="126"/>
      <c r="AA830" s="126"/>
      <c r="AB830" s="126"/>
      <c r="AC830" s="126"/>
      <c r="AD830" s="126"/>
    </row>
    <row r="831" spans="3:30">
      <c r="C831" s="126"/>
      <c r="D831" s="126"/>
      <c r="E831" s="126"/>
      <c r="F831" s="138"/>
      <c r="G831" s="126"/>
      <c r="H831" s="126"/>
      <c r="I831" s="126"/>
      <c r="J831" s="126"/>
      <c r="K831" s="126"/>
      <c r="L831" s="126"/>
      <c r="M831" s="126"/>
      <c r="N831" s="126"/>
      <c r="O831" s="126"/>
      <c r="P831" s="126"/>
      <c r="Q831" s="126"/>
      <c r="R831" s="126"/>
      <c r="S831" s="126"/>
      <c r="T831" s="126"/>
      <c r="U831" s="126"/>
      <c r="V831" s="126"/>
      <c r="W831" s="126"/>
      <c r="X831" s="126"/>
      <c r="Y831" s="126"/>
      <c r="Z831" s="126"/>
      <c r="AA831" s="126"/>
      <c r="AB831" s="126"/>
      <c r="AC831" s="126"/>
      <c r="AD831" s="126"/>
    </row>
    <row r="832" spans="3:30">
      <c r="C832" s="126"/>
      <c r="D832" s="126"/>
      <c r="E832" s="126"/>
      <c r="F832" s="138"/>
      <c r="G832" s="126"/>
      <c r="H832" s="126"/>
      <c r="I832" s="126"/>
      <c r="J832" s="126"/>
      <c r="K832" s="126"/>
      <c r="L832" s="126"/>
      <c r="M832" s="126"/>
      <c r="N832" s="126"/>
      <c r="O832" s="126"/>
      <c r="P832" s="126"/>
      <c r="Q832" s="126"/>
      <c r="R832" s="126"/>
      <c r="S832" s="126"/>
      <c r="T832" s="126"/>
      <c r="U832" s="126"/>
      <c r="V832" s="126"/>
      <c r="W832" s="126"/>
      <c r="X832" s="126"/>
      <c r="Y832" s="126"/>
      <c r="Z832" s="126"/>
      <c r="AA832" s="126"/>
      <c r="AB832" s="126"/>
      <c r="AC832" s="126"/>
      <c r="AD832" s="126"/>
    </row>
    <row r="833" spans="3:30">
      <c r="C833" s="126"/>
      <c r="D833" s="126"/>
      <c r="E833" s="126"/>
      <c r="F833" s="138"/>
      <c r="G833" s="126"/>
      <c r="H833" s="126"/>
      <c r="I833" s="126"/>
      <c r="J833" s="126"/>
      <c r="K833" s="126"/>
      <c r="L833" s="126"/>
      <c r="M833" s="126"/>
      <c r="N833" s="126"/>
      <c r="O833" s="126"/>
      <c r="P833" s="126"/>
      <c r="Q833" s="126"/>
      <c r="R833" s="126"/>
      <c r="S833" s="126"/>
      <c r="T833" s="126"/>
      <c r="U833" s="126"/>
      <c r="V833" s="126"/>
      <c r="W833" s="126"/>
      <c r="X833" s="126"/>
      <c r="Y833" s="126"/>
      <c r="Z833" s="126"/>
      <c r="AA833" s="126"/>
      <c r="AB833" s="126"/>
      <c r="AC833" s="126"/>
      <c r="AD833" s="126"/>
    </row>
    <row r="834" spans="3:30">
      <c r="C834" s="126"/>
      <c r="D834" s="126"/>
      <c r="E834" s="126"/>
      <c r="F834" s="138"/>
      <c r="G834" s="126"/>
      <c r="H834" s="126"/>
      <c r="I834" s="126"/>
      <c r="J834" s="126"/>
      <c r="K834" s="126"/>
      <c r="L834" s="126"/>
      <c r="M834" s="126"/>
      <c r="N834" s="126"/>
      <c r="O834" s="126"/>
      <c r="P834" s="126"/>
      <c r="Q834" s="126"/>
      <c r="R834" s="126"/>
      <c r="S834" s="126"/>
      <c r="T834" s="126"/>
      <c r="U834" s="126"/>
      <c r="V834" s="126"/>
      <c r="W834" s="126"/>
      <c r="X834" s="126"/>
      <c r="Y834" s="126"/>
      <c r="Z834" s="126"/>
      <c r="AA834" s="126"/>
      <c r="AB834" s="126"/>
      <c r="AC834" s="126"/>
      <c r="AD834" s="126"/>
    </row>
    <row r="835" spans="3:30">
      <c r="C835" s="126"/>
      <c r="D835" s="126"/>
      <c r="E835" s="126"/>
      <c r="F835" s="138"/>
      <c r="G835" s="126"/>
      <c r="H835" s="126"/>
      <c r="I835" s="126"/>
      <c r="J835" s="126"/>
      <c r="K835" s="126"/>
      <c r="L835" s="126"/>
      <c r="M835" s="126"/>
      <c r="N835" s="126"/>
      <c r="O835" s="126"/>
      <c r="P835" s="126"/>
      <c r="Q835" s="126"/>
      <c r="R835" s="126"/>
      <c r="S835" s="126"/>
      <c r="T835" s="126"/>
      <c r="U835" s="126"/>
      <c r="V835" s="126"/>
      <c r="W835" s="126"/>
      <c r="X835" s="126"/>
      <c r="Y835" s="126"/>
      <c r="Z835" s="126"/>
      <c r="AA835" s="126"/>
      <c r="AB835" s="126"/>
      <c r="AC835" s="126"/>
      <c r="AD835" s="126"/>
    </row>
    <row r="836" spans="3:30">
      <c r="C836" s="126"/>
      <c r="D836" s="126"/>
      <c r="E836" s="126"/>
      <c r="F836" s="138"/>
      <c r="G836" s="126"/>
      <c r="H836" s="126"/>
      <c r="I836" s="126"/>
      <c r="J836" s="126"/>
      <c r="K836" s="126"/>
      <c r="L836" s="126"/>
      <c r="M836" s="126"/>
      <c r="N836" s="126"/>
      <c r="O836" s="126"/>
      <c r="P836" s="126"/>
      <c r="Q836" s="126"/>
      <c r="R836" s="126"/>
      <c r="S836" s="126"/>
      <c r="T836" s="126"/>
      <c r="U836" s="126"/>
      <c r="V836" s="126"/>
      <c r="W836" s="126"/>
      <c r="X836" s="126"/>
      <c r="Y836" s="126"/>
      <c r="Z836" s="126"/>
      <c r="AA836" s="126"/>
      <c r="AB836" s="126"/>
      <c r="AC836" s="126"/>
      <c r="AD836" s="126"/>
    </row>
    <row r="837" spans="3:30">
      <c r="C837" s="126"/>
      <c r="D837" s="126"/>
      <c r="E837" s="126"/>
      <c r="F837" s="138"/>
      <c r="G837" s="126"/>
      <c r="H837" s="126"/>
      <c r="I837" s="126"/>
      <c r="J837" s="126"/>
      <c r="K837" s="126"/>
      <c r="L837" s="126"/>
      <c r="M837" s="126"/>
      <c r="N837" s="126"/>
      <c r="O837" s="126"/>
      <c r="P837" s="126"/>
      <c r="Q837" s="126"/>
      <c r="R837" s="126"/>
      <c r="S837" s="126"/>
      <c r="T837" s="126"/>
      <c r="U837" s="126"/>
      <c r="V837" s="126"/>
      <c r="W837" s="126"/>
      <c r="X837" s="126"/>
      <c r="Y837" s="126"/>
      <c r="Z837" s="126"/>
      <c r="AA837" s="126"/>
      <c r="AB837" s="126"/>
      <c r="AC837" s="126"/>
      <c r="AD837" s="126"/>
    </row>
    <row r="838" spans="3:30">
      <c r="C838" s="126"/>
      <c r="D838" s="126"/>
      <c r="E838" s="126"/>
      <c r="F838" s="138"/>
      <c r="G838" s="126"/>
      <c r="H838" s="126"/>
      <c r="I838" s="126"/>
      <c r="J838" s="126"/>
      <c r="K838" s="126"/>
      <c r="L838" s="126"/>
      <c r="M838" s="126"/>
      <c r="N838" s="126"/>
      <c r="O838" s="126"/>
      <c r="P838" s="126"/>
      <c r="Q838" s="126"/>
      <c r="R838" s="126"/>
      <c r="S838" s="126"/>
      <c r="T838" s="126"/>
      <c r="U838" s="126"/>
      <c r="V838" s="126"/>
      <c r="W838" s="126"/>
      <c r="X838" s="126"/>
      <c r="Y838" s="126"/>
      <c r="Z838" s="126"/>
      <c r="AA838" s="126"/>
      <c r="AB838" s="126"/>
      <c r="AC838" s="126"/>
      <c r="AD838" s="126"/>
    </row>
    <row r="839" spans="3:30">
      <c r="C839" s="126"/>
      <c r="D839" s="126"/>
      <c r="E839" s="126"/>
      <c r="F839" s="138"/>
      <c r="G839" s="126"/>
      <c r="H839" s="126"/>
      <c r="I839" s="126"/>
      <c r="J839" s="126"/>
      <c r="K839" s="126"/>
      <c r="L839" s="126"/>
      <c r="M839" s="126"/>
      <c r="N839" s="126"/>
      <c r="O839" s="126"/>
      <c r="P839" s="126"/>
      <c r="Q839" s="126"/>
      <c r="R839" s="126"/>
      <c r="S839" s="126"/>
      <c r="T839" s="126"/>
      <c r="U839" s="126"/>
      <c r="V839" s="126"/>
      <c r="W839" s="126"/>
      <c r="X839" s="126"/>
      <c r="Y839" s="126"/>
      <c r="Z839" s="126"/>
      <c r="AA839" s="126"/>
      <c r="AB839" s="126"/>
      <c r="AC839" s="126"/>
      <c r="AD839" s="126"/>
    </row>
    <row r="840" spans="3:30">
      <c r="C840" s="126"/>
      <c r="D840" s="126"/>
      <c r="E840" s="126"/>
      <c r="F840" s="138"/>
      <c r="G840" s="126"/>
      <c r="H840" s="126"/>
      <c r="I840" s="126"/>
      <c r="J840" s="126"/>
      <c r="K840" s="126"/>
      <c r="L840" s="126"/>
      <c r="M840" s="126"/>
      <c r="N840" s="126"/>
      <c r="O840" s="126"/>
      <c r="P840" s="126"/>
      <c r="Q840" s="126"/>
      <c r="R840" s="126"/>
      <c r="S840" s="126"/>
      <c r="T840" s="126"/>
      <c r="U840" s="126"/>
      <c r="V840" s="126"/>
      <c r="W840" s="126"/>
      <c r="X840" s="126"/>
      <c r="Y840" s="126"/>
      <c r="Z840" s="126"/>
      <c r="AA840" s="126"/>
      <c r="AB840" s="126"/>
      <c r="AC840" s="126"/>
      <c r="AD840" s="126"/>
    </row>
    <row r="841" spans="3:30">
      <c r="C841" s="126"/>
      <c r="D841" s="126"/>
      <c r="E841" s="126"/>
      <c r="F841" s="138"/>
      <c r="G841" s="126"/>
      <c r="H841" s="126"/>
      <c r="I841" s="126"/>
      <c r="J841" s="126"/>
      <c r="K841" s="126"/>
      <c r="L841" s="126"/>
      <c r="M841" s="126"/>
      <c r="N841" s="126"/>
      <c r="O841" s="126"/>
      <c r="P841" s="126"/>
      <c r="Q841" s="126"/>
      <c r="R841" s="126"/>
      <c r="S841" s="126"/>
      <c r="T841" s="126"/>
      <c r="U841" s="126"/>
      <c r="V841" s="126"/>
      <c r="W841" s="126"/>
      <c r="X841" s="126"/>
      <c r="Y841" s="126"/>
      <c r="Z841" s="126"/>
      <c r="AA841" s="126"/>
      <c r="AB841" s="126"/>
      <c r="AC841" s="126"/>
      <c r="AD841" s="126"/>
    </row>
    <row r="842" spans="3:30">
      <c r="C842" s="126"/>
      <c r="D842" s="126"/>
      <c r="E842" s="126"/>
      <c r="F842" s="138"/>
      <c r="G842" s="126"/>
      <c r="H842" s="126"/>
      <c r="I842" s="126"/>
      <c r="J842" s="126"/>
      <c r="K842" s="126"/>
      <c r="L842" s="126"/>
      <c r="M842" s="126"/>
      <c r="N842" s="126"/>
      <c r="O842" s="126"/>
      <c r="P842" s="126"/>
      <c r="Q842" s="126"/>
      <c r="R842" s="126"/>
      <c r="S842" s="126"/>
      <c r="T842" s="126"/>
      <c r="U842" s="126"/>
      <c r="V842" s="126"/>
      <c r="W842" s="126"/>
      <c r="X842" s="126"/>
      <c r="Y842" s="126"/>
      <c r="Z842" s="126"/>
      <c r="AA842" s="126"/>
      <c r="AB842" s="126"/>
      <c r="AC842" s="126"/>
      <c r="AD842" s="126"/>
    </row>
    <row r="843" spans="3:30">
      <c r="C843" s="126"/>
      <c r="D843" s="126"/>
      <c r="E843" s="126"/>
      <c r="F843" s="138"/>
      <c r="G843" s="126"/>
      <c r="H843" s="126"/>
      <c r="I843" s="126"/>
      <c r="J843" s="126"/>
      <c r="K843" s="126"/>
      <c r="L843" s="126"/>
      <c r="M843" s="126"/>
      <c r="N843" s="126"/>
      <c r="O843" s="126"/>
      <c r="P843" s="126"/>
      <c r="Q843" s="126"/>
      <c r="R843" s="126"/>
      <c r="S843" s="126"/>
      <c r="T843" s="126"/>
      <c r="U843" s="126"/>
      <c r="V843" s="126"/>
      <c r="W843" s="126"/>
      <c r="X843" s="126"/>
      <c r="Y843" s="126"/>
      <c r="Z843" s="126"/>
      <c r="AA843" s="126"/>
      <c r="AB843" s="126"/>
      <c r="AC843" s="126"/>
      <c r="AD843" s="126"/>
    </row>
    <row r="844" spans="3:30">
      <c r="C844" s="126"/>
      <c r="D844" s="126"/>
      <c r="E844" s="126"/>
      <c r="F844" s="138"/>
      <c r="G844" s="126"/>
      <c r="H844" s="126"/>
      <c r="I844" s="126"/>
      <c r="J844" s="126"/>
      <c r="K844" s="126"/>
      <c r="L844" s="126"/>
      <c r="M844" s="126"/>
      <c r="N844" s="126"/>
      <c r="O844" s="126"/>
      <c r="P844" s="126"/>
      <c r="Q844" s="126"/>
      <c r="R844" s="126"/>
      <c r="S844" s="126"/>
      <c r="T844" s="126"/>
      <c r="U844" s="126"/>
      <c r="V844" s="126"/>
      <c r="W844" s="126"/>
      <c r="X844" s="126"/>
      <c r="Y844" s="126"/>
      <c r="Z844" s="126"/>
      <c r="AA844" s="126"/>
      <c r="AB844" s="126"/>
      <c r="AC844" s="126"/>
      <c r="AD844" s="126"/>
    </row>
    <row r="845" spans="3:30">
      <c r="C845" s="126"/>
      <c r="D845" s="126"/>
      <c r="E845" s="126"/>
      <c r="F845" s="138"/>
      <c r="G845" s="126"/>
      <c r="H845" s="126"/>
      <c r="I845" s="126"/>
      <c r="J845" s="126"/>
      <c r="K845" s="126"/>
      <c r="L845" s="126"/>
      <c r="M845" s="126"/>
      <c r="N845" s="126"/>
      <c r="O845" s="126"/>
      <c r="P845" s="126"/>
      <c r="Q845" s="126"/>
      <c r="R845" s="126"/>
      <c r="S845" s="126"/>
      <c r="T845" s="126"/>
      <c r="U845" s="126"/>
      <c r="V845" s="126"/>
      <c r="W845" s="126"/>
      <c r="X845" s="126"/>
      <c r="Y845" s="126"/>
      <c r="Z845" s="126"/>
      <c r="AA845" s="126"/>
      <c r="AB845" s="126"/>
      <c r="AC845" s="126"/>
      <c r="AD845" s="126"/>
    </row>
    <row r="846" spans="3:30">
      <c r="C846" s="126"/>
      <c r="D846" s="126"/>
      <c r="E846" s="126"/>
      <c r="F846" s="138"/>
      <c r="G846" s="126"/>
      <c r="H846" s="126"/>
      <c r="I846" s="126"/>
      <c r="J846" s="126"/>
      <c r="K846" s="126"/>
      <c r="L846" s="126"/>
      <c r="M846" s="126"/>
      <c r="N846" s="126"/>
      <c r="O846" s="126"/>
      <c r="P846" s="126"/>
      <c r="Q846" s="126"/>
      <c r="R846" s="126"/>
      <c r="S846" s="126"/>
      <c r="T846" s="126"/>
      <c r="U846" s="126"/>
      <c r="V846" s="126"/>
      <c r="W846" s="126"/>
      <c r="X846" s="126"/>
      <c r="Y846" s="126"/>
      <c r="Z846" s="126"/>
      <c r="AA846" s="126"/>
      <c r="AB846" s="126"/>
      <c r="AC846" s="126"/>
      <c r="AD846" s="126"/>
    </row>
    <row r="847" spans="3:30">
      <c r="C847" s="126"/>
      <c r="D847" s="126"/>
      <c r="E847" s="126"/>
      <c r="F847" s="138"/>
      <c r="G847" s="126"/>
      <c r="H847" s="126"/>
      <c r="I847" s="126"/>
      <c r="J847" s="126"/>
      <c r="K847" s="126"/>
      <c r="L847" s="126"/>
      <c r="M847" s="126"/>
      <c r="N847" s="126"/>
      <c r="O847" s="126"/>
      <c r="P847" s="126"/>
      <c r="Q847" s="126"/>
      <c r="R847" s="126"/>
      <c r="S847" s="126"/>
      <c r="T847" s="126"/>
      <c r="U847" s="126"/>
      <c r="V847" s="126"/>
      <c r="W847" s="126"/>
      <c r="X847" s="126"/>
      <c r="Y847" s="126"/>
      <c r="Z847" s="126"/>
      <c r="AA847" s="126"/>
      <c r="AB847" s="126"/>
      <c r="AC847" s="126"/>
      <c r="AD847" s="126"/>
    </row>
    <row r="848" spans="3:30">
      <c r="C848" s="126"/>
      <c r="D848" s="126"/>
      <c r="E848" s="126"/>
      <c r="F848" s="138"/>
      <c r="G848" s="126"/>
      <c r="H848" s="126"/>
      <c r="I848" s="126"/>
      <c r="J848" s="126"/>
      <c r="K848" s="126"/>
      <c r="L848" s="126"/>
      <c r="M848" s="126"/>
      <c r="N848" s="126"/>
      <c r="O848" s="126"/>
      <c r="P848" s="126"/>
      <c r="Q848" s="126"/>
      <c r="R848" s="126"/>
      <c r="S848" s="126"/>
      <c r="T848" s="126"/>
      <c r="U848" s="126"/>
      <c r="V848" s="126"/>
      <c r="W848" s="126"/>
      <c r="X848" s="126"/>
      <c r="Y848" s="126"/>
      <c r="Z848" s="126"/>
      <c r="AA848" s="126"/>
      <c r="AB848" s="126"/>
      <c r="AC848" s="126"/>
      <c r="AD848" s="126"/>
    </row>
    <row r="849" spans="3:30">
      <c r="C849" s="126"/>
      <c r="D849" s="126"/>
      <c r="E849" s="126"/>
      <c r="F849" s="138"/>
      <c r="G849" s="126"/>
      <c r="H849" s="126"/>
      <c r="I849" s="126"/>
      <c r="J849" s="126"/>
      <c r="K849" s="126"/>
      <c r="L849" s="126"/>
      <c r="M849" s="126"/>
      <c r="N849" s="126"/>
      <c r="O849" s="126"/>
      <c r="P849" s="126"/>
      <c r="Q849" s="126"/>
      <c r="R849" s="126"/>
      <c r="S849" s="126"/>
      <c r="T849" s="126"/>
      <c r="U849" s="126"/>
      <c r="V849" s="126"/>
      <c r="W849" s="126"/>
      <c r="X849" s="126"/>
      <c r="Y849" s="126"/>
      <c r="Z849" s="126"/>
      <c r="AA849" s="126"/>
      <c r="AB849" s="126"/>
      <c r="AC849" s="126"/>
      <c r="AD849" s="126"/>
    </row>
    <row r="850" spans="3:30">
      <c r="C850" s="126"/>
      <c r="D850" s="126"/>
      <c r="E850" s="126"/>
      <c r="F850" s="138"/>
      <c r="G850" s="126"/>
      <c r="H850" s="126"/>
      <c r="I850" s="126"/>
      <c r="J850" s="126"/>
      <c r="K850" s="126"/>
      <c r="L850" s="126"/>
      <c r="M850" s="126"/>
      <c r="N850" s="126"/>
      <c r="O850" s="126"/>
      <c r="P850" s="126"/>
      <c r="Q850" s="126"/>
      <c r="R850" s="126"/>
      <c r="S850" s="126"/>
      <c r="T850" s="126"/>
      <c r="U850" s="126"/>
      <c r="V850" s="126"/>
      <c r="W850" s="126"/>
      <c r="X850" s="126"/>
      <c r="Y850" s="126"/>
      <c r="Z850" s="126"/>
      <c r="AA850" s="126"/>
      <c r="AB850" s="126"/>
      <c r="AC850" s="126"/>
      <c r="AD850" s="126"/>
    </row>
    <row r="851" spans="3:30">
      <c r="C851" s="126"/>
      <c r="D851" s="126"/>
      <c r="E851" s="126"/>
      <c r="F851" s="138"/>
      <c r="G851" s="126"/>
      <c r="H851" s="126"/>
      <c r="I851" s="126"/>
      <c r="J851" s="126"/>
      <c r="K851" s="126"/>
      <c r="L851" s="126"/>
      <c r="M851" s="126"/>
      <c r="N851" s="126"/>
      <c r="O851" s="126"/>
      <c r="P851" s="126"/>
      <c r="Q851" s="126"/>
      <c r="R851" s="126"/>
      <c r="S851" s="126"/>
      <c r="T851" s="126"/>
      <c r="U851" s="126"/>
      <c r="V851" s="126"/>
      <c r="W851" s="126"/>
      <c r="X851" s="126"/>
      <c r="Y851" s="126"/>
      <c r="Z851" s="126"/>
      <c r="AA851" s="126"/>
      <c r="AB851" s="126"/>
      <c r="AC851" s="126"/>
      <c r="AD851" s="126"/>
    </row>
    <row r="852" spans="3:30">
      <c r="C852" s="126"/>
      <c r="D852" s="126"/>
      <c r="E852" s="126"/>
      <c r="F852" s="138"/>
      <c r="G852" s="126"/>
      <c r="H852" s="126"/>
      <c r="I852" s="126"/>
      <c r="J852" s="126"/>
      <c r="K852" s="126"/>
      <c r="L852" s="126"/>
      <c r="M852" s="126"/>
      <c r="N852" s="126"/>
      <c r="O852" s="126"/>
      <c r="P852" s="126"/>
      <c r="Q852" s="126"/>
      <c r="R852" s="126"/>
      <c r="S852" s="126"/>
      <c r="T852" s="126"/>
      <c r="U852" s="126"/>
      <c r="V852" s="126"/>
      <c r="W852" s="126"/>
      <c r="X852" s="126"/>
      <c r="Y852" s="126"/>
      <c r="Z852" s="126"/>
      <c r="AA852" s="126"/>
      <c r="AB852" s="126"/>
      <c r="AC852" s="126"/>
      <c r="AD852" s="126"/>
    </row>
    <row r="853" spans="3:30">
      <c r="C853" s="126"/>
      <c r="D853" s="126"/>
      <c r="E853" s="126"/>
      <c r="F853" s="138"/>
      <c r="G853" s="126"/>
      <c r="H853" s="126"/>
      <c r="I853" s="126"/>
      <c r="J853" s="126"/>
      <c r="K853" s="126"/>
      <c r="L853" s="126"/>
      <c r="M853" s="126"/>
      <c r="N853" s="126"/>
      <c r="O853" s="126"/>
      <c r="P853" s="126"/>
      <c r="Q853" s="126"/>
      <c r="R853" s="126"/>
      <c r="S853" s="126"/>
      <c r="T853" s="126"/>
      <c r="U853" s="126"/>
      <c r="V853" s="126"/>
      <c r="W853" s="126"/>
      <c r="X853" s="126"/>
      <c r="Y853" s="126"/>
      <c r="Z853" s="126"/>
      <c r="AA853" s="126"/>
      <c r="AB853" s="126"/>
      <c r="AC853" s="126"/>
      <c r="AD853" s="126"/>
    </row>
    <row r="854" spans="3:30">
      <c r="C854" s="126"/>
      <c r="D854" s="126"/>
      <c r="E854" s="126"/>
      <c r="F854" s="138"/>
      <c r="G854" s="126"/>
      <c r="H854" s="126"/>
      <c r="I854" s="126"/>
      <c r="J854" s="126"/>
      <c r="K854" s="126"/>
      <c r="L854" s="126"/>
      <c r="M854" s="126"/>
      <c r="N854" s="126"/>
      <c r="O854" s="126"/>
      <c r="P854" s="126"/>
      <c r="Q854" s="126"/>
      <c r="R854" s="126"/>
      <c r="S854" s="126"/>
      <c r="T854" s="126"/>
      <c r="U854" s="126"/>
      <c r="V854" s="126"/>
      <c r="W854" s="126"/>
      <c r="X854" s="126"/>
      <c r="Y854" s="126"/>
      <c r="Z854" s="126"/>
      <c r="AA854" s="126"/>
      <c r="AB854" s="126"/>
      <c r="AC854" s="126"/>
      <c r="AD854" s="126"/>
    </row>
    <row r="855" spans="3:30">
      <c r="C855" s="126"/>
      <c r="D855" s="126"/>
      <c r="E855" s="126"/>
      <c r="F855" s="138"/>
      <c r="G855" s="126"/>
      <c r="H855" s="126"/>
      <c r="I855" s="126"/>
      <c r="J855" s="126"/>
      <c r="K855" s="126"/>
      <c r="L855" s="126"/>
      <c r="M855" s="126"/>
      <c r="N855" s="126"/>
      <c r="O855" s="126"/>
      <c r="P855" s="126"/>
      <c r="Q855" s="126"/>
      <c r="R855" s="126"/>
      <c r="S855" s="126"/>
      <c r="T855" s="126"/>
      <c r="U855" s="126"/>
      <c r="V855" s="126"/>
      <c r="W855" s="126"/>
      <c r="X855" s="126"/>
      <c r="Y855" s="126"/>
      <c r="Z855" s="126"/>
      <c r="AA855" s="126"/>
      <c r="AB855" s="126"/>
      <c r="AC855" s="126"/>
      <c r="AD855" s="126"/>
    </row>
    <row r="856" spans="3:30">
      <c r="C856" s="126"/>
      <c r="D856" s="126"/>
      <c r="E856" s="126"/>
      <c r="F856" s="138"/>
      <c r="G856" s="126"/>
      <c r="H856" s="126"/>
      <c r="I856" s="126"/>
      <c r="J856" s="126"/>
      <c r="K856" s="126"/>
      <c r="L856" s="126"/>
      <c r="M856" s="126"/>
      <c r="N856" s="126"/>
      <c r="O856" s="126"/>
      <c r="P856" s="126"/>
      <c r="Q856" s="126"/>
      <c r="R856" s="126"/>
      <c r="S856" s="126"/>
      <c r="T856" s="126"/>
      <c r="U856" s="126"/>
      <c r="V856" s="126"/>
      <c r="W856" s="126"/>
      <c r="X856" s="126"/>
      <c r="Y856" s="126"/>
      <c r="Z856" s="126"/>
      <c r="AA856" s="126"/>
      <c r="AB856" s="126"/>
      <c r="AC856" s="126"/>
      <c r="AD856" s="126"/>
    </row>
    <row r="857" spans="3:30">
      <c r="C857" s="126"/>
      <c r="D857" s="126"/>
      <c r="E857" s="126"/>
      <c r="F857" s="138"/>
      <c r="G857" s="126"/>
      <c r="H857" s="126"/>
      <c r="I857" s="126"/>
      <c r="J857" s="126"/>
      <c r="K857" s="126"/>
      <c r="L857" s="126"/>
      <c r="M857" s="126"/>
      <c r="N857" s="126"/>
      <c r="O857" s="126"/>
      <c r="P857" s="126"/>
      <c r="Q857" s="126"/>
      <c r="R857" s="126"/>
      <c r="S857" s="126"/>
      <c r="T857" s="126"/>
      <c r="U857" s="126"/>
      <c r="V857" s="126"/>
      <c r="W857" s="126"/>
      <c r="X857" s="126"/>
      <c r="Y857" s="126"/>
      <c r="Z857" s="126"/>
      <c r="AA857" s="126"/>
      <c r="AB857" s="126"/>
      <c r="AC857" s="126"/>
      <c r="AD857" s="126"/>
    </row>
    <row r="858" spans="3:30">
      <c r="C858" s="126"/>
      <c r="D858" s="126"/>
      <c r="E858" s="126"/>
      <c r="F858" s="138"/>
      <c r="G858" s="126"/>
      <c r="H858" s="126"/>
      <c r="I858" s="126"/>
      <c r="J858" s="126"/>
      <c r="K858" s="126"/>
      <c r="L858" s="126"/>
      <c r="M858" s="126"/>
      <c r="N858" s="126"/>
      <c r="O858" s="126"/>
      <c r="P858" s="126"/>
      <c r="Q858" s="126"/>
      <c r="R858" s="126"/>
      <c r="S858" s="126"/>
      <c r="T858" s="126"/>
      <c r="U858" s="126"/>
      <c r="V858" s="126"/>
      <c r="W858" s="126"/>
      <c r="X858" s="126"/>
      <c r="Y858" s="126"/>
      <c r="Z858" s="126"/>
      <c r="AA858" s="126"/>
      <c r="AB858" s="126"/>
      <c r="AC858" s="126"/>
      <c r="AD858" s="126"/>
    </row>
    <row r="859" spans="3:30">
      <c r="C859" s="126"/>
      <c r="D859" s="126"/>
      <c r="E859" s="126"/>
      <c r="F859" s="138"/>
      <c r="G859" s="126"/>
      <c r="H859" s="126"/>
      <c r="I859" s="126"/>
      <c r="J859" s="126"/>
      <c r="K859" s="126"/>
      <c r="L859" s="126"/>
      <c r="M859" s="126"/>
      <c r="N859" s="126"/>
      <c r="O859" s="126"/>
      <c r="P859" s="126"/>
      <c r="Q859" s="126"/>
      <c r="R859" s="126"/>
      <c r="S859" s="126"/>
      <c r="T859" s="126"/>
      <c r="U859" s="126"/>
      <c r="V859" s="126"/>
      <c r="W859" s="126"/>
      <c r="X859" s="126"/>
      <c r="Y859" s="126"/>
      <c r="Z859" s="126"/>
      <c r="AA859" s="126"/>
      <c r="AB859" s="126"/>
      <c r="AC859" s="126"/>
      <c r="AD859" s="126"/>
    </row>
    <row r="860" spans="3:30">
      <c r="C860" s="126"/>
      <c r="D860" s="126"/>
      <c r="E860" s="126"/>
      <c r="F860" s="138"/>
      <c r="G860" s="126"/>
      <c r="H860" s="126"/>
      <c r="I860" s="126"/>
      <c r="J860" s="126"/>
      <c r="K860" s="126"/>
      <c r="L860" s="126"/>
      <c r="M860" s="126"/>
      <c r="N860" s="126"/>
      <c r="O860" s="126"/>
      <c r="P860" s="126"/>
      <c r="Q860" s="126"/>
      <c r="R860" s="126"/>
      <c r="S860" s="126"/>
      <c r="T860" s="126"/>
      <c r="U860" s="126"/>
      <c r="V860" s="126"/>
      <c r="W860" s="126"/>
      <c r="X860" s="126"/>
      <c r="Y860" s="126"/>
      <c r="Z860" s="126"/>
      <c r="AA860" s="126"/>
      <c r="AB860" s="126"/>
      <c r="AC860" s="126"/>
      <c r="AD860" s="126"/>
    </row>
    <row r="861" spans="3:30">
      <c r="C861" s="126"/>
      <c r="D861" s="126"/>
      <c r="E861" s="126"/>
      <c r="F861" s="138"/>
      <c r="G861" s="126"/>
      <c r="H861" s="126"/>
      <c r="I861" s="126"/>
      <c r="J861" s="126"/>
      <c r="K861" s="126"/>
      <c r="L861" s="126"/>
      <c r="M861" s="126"/>
      <c r="N861" s="126"/>
      <c r="O861" s="126"/>
      <c r="P861" s="126"/>
      <c r="Q861" s="126"/>
      <c r="R861" s="126"/>
      <c r="S861" s="126"/>
      <c r="T861" s="126"/>
      <c r="U861" s="126"/>
      <c r="V861" s="126"/>
      <c r="W861" s="126"/>
      <c r="X861" s="126"/>
      <c r="Y861" s="126"/>
      <c r="Z861" s="126"/>
      <c r="AA861" s="126"/>
      <c r="AB861" s="126"/>
      <c r="AC861" s="126"/>
      <c r="AD861" s="126"/>
    </row>
    <row r="862" spans="3:30">
      <c r="C862" s="126"/>
      <c r="D862" s="126"/>
      <c r="E862" s="126"/>
      <c r="F862" s="138"/>
      <c r="G862" s="126"/>
      <c r="H862" s="126"/>
      <c r="I862" s="126"/>
      <c r="J862" s="126"/>
      <c r="K862" s="126"/>
      <c r="L862" s="126"/>
      <c r="M862" s="126"/>
      <c r="N862" s="126"/>
      <c r="O862" s="126"/>
      <c r="P862" s="126"/>
      <c r="Q862" s="126"/>
      <c r="R862" s="126"/>
      <c r="S862" s="126"/>
      <c r="T862" s="126"/>
      <c r="U862" s="126"/>
      <c r="V862" s="126"/>
      <c r="W862" s="126"/>
      <c r="X862" s="126"/>
      <c r="Y862" s="126"/>
      <c r="Z862" s="126"/>
      <c r="AA862" s="126"/>
      <c r="AB862" s="126"/>
      <c r="AC862" s="126"/>
      <c r="AD862" s="126"/>
    </row>
    <row r="863" spans="3:30">
      <c r="C863" s="126"/>
      <c r="D863" s="126"/>
      <c r="E863" s="126"/>
      <c r="F863" s="138"/>
      <c r="G863" s="126"/>
      <c r="H863" s="126"/>
      <c r="I863" s="126"/>
      <c r="J863" s="126"/>
      <c r="K863" s="126"/>
      <c r="L863" s="126"/>
      <c r="M863" s="126"/>
      <c r="N863" s="126"/>
      <c r="O863" s="126"/>
      <c r="P863" s="126"/>
      <c r="Q863" s="126"/>
      <c r="R863" s="126"/>
      <c r="S863" s="126"/>
      <c r="T863" s="126"/>
      <c r="U863" s="126"/>
      <c r="V863" s="126"/>
      <c r="W863" s="126"/>
      <c r="X863" s="126"/>
      <c r="Y863" s="126"/>
      <c r="Z863" s="126"/>
      <c r="AA863" s="126"/>
      <c r="AB863" s="126"/>
      <c r="AC863" s="126"/>
      <c r="AD863" s="126"/>
    </row>
    <row r="864" spans="3:30">
      <c r="C864" s="126"/>
      <c r="D864" s="126"/>
      <c r="E864" s="126"/>
      <c r="F864" s="138"/>
      <c r="G864" s="126"/>
      <c r="H864" s="126"/>
      <c r="I864" s="126"/>
      <c r="J864" s="126"/>
      <c r="K864" s="126"/>
      <c r="L864" s="126"/>
      <c r="M864" s="126"/>
      <c r="N864" s="126"/>
      <c r="O864" s="126"/>
      <c r="P864" s="126"/>
      <c r="Q864" s="126"/>
      <c r="R864" s="126"/>
      <c r="S864" s="126"/>
      <c r="T864" s="126"/>
      <c r="U864" s="126"/>
      <c r="V864" s="126"/>
      <c r="W864" s="126"/>
      <c r="X864" s="126"/>
      <c r="Y864" s="126"/>
      <c r="Z864" s="126"/>
      <c r="AA864" s="126"/>
      <c r="AB864" s="126"/>
      <c r="AC864" s="126"/>
      <c r="AD864" s="126"/>
    </row>
    <row r="865" spans="3:30">
      <c r="C865" s="126"/>
      <c r="D865" s="126"/>
      <c r="E865" s="126"/>
      <c r="F865" s="138"/>
      <c r="G865" s="126"/>
      <c r="H865" s="126"/>
      <c r="I865" s="126"/>
      <c r="J865" s="126"/>
      <c r="K865" s="126"/>
      <c r="L865" s="126"/>
      <c r="M865" s="126"/>
      <c r="N865" s="126"/>
      <c r="O865" s="126"/>
      <c r="P865" s="126"/>
      <c r="Q865" s="126"/>
      <c r="R865" s="126"/>
      <c r="S865" s="126"/>
      <c r="T865" s="126"/>
      <c r="U865" s="126"/>
      <c r="V865" s="126"/>
      <c r="W865" s="126"/>
      <c r="X865" s="126"/>
      <c r="Y865" s="126"/>
      <c r="Z865" s="126"/>
      <c r="AA865" s="126"/>
      <c r="AB865" s="126"/>
      <c r="AC865" s="126"/>
      <c r="AD865" s="126"/>
    </row>
    <row r="866" spans="3:30">
      <c r="C866" s="126"/>
      <c r="D866" s="126"/>
      <c r="E866" s="126"/>
      <c r="F866" s="138"/>
      <c r="G866" s="126"/>
      <c r="H866" s="126"/>
      <c r="I866" s="126"/>
      <c r="J866" s="126"/>
      <c r="K866" s="126"/>
      <c r="L866" s="126"/>
      <c r="M866" s="126"/>
      <c r="N866" s="126"/>
      <c r="O866" s="126"/>
      <c r="P866" s="126"/>
      <c r="Q866" s="126"/>
      <c r="R866" s="126"/>
      <c r="S866" s="126"/>
      <c r="T866" s="126"/>
      <c r="U866" s="126"/>
      <c r="V866" s="126"/>
      <c r="W866" s="126"/>
      <c r="X866" s="126"/>
      <c r="Y866" s="126"/>
      <c r="Z866" s="126"/>
      <c r="AA866" s="126"/>
      <c r="AB866" s="126"/>
      <c r="AC866" s="126"/>
      <c r="AD866" s="126"/>
    </row>
    <row r="867" spans="3:30">
      <c r="C867" s="126"/>
      <c r="D867" s="126"/>
      <c r="E867" s="126"/>
      <c r="F867" s="138"/>
      <c r="G867" s="126"/>
      <c r="H867" s="126"/>
      <c r="I867" s="126"/>
      <c r="J867" s="126"/>
      <c r="K867" s="126"/>
      <c r="L867" s="126"/>
      <c r="M867" s="126"/>
      <c r="N867" s="126"/>
      <c r="O867" s="126"/>
      <c r="P867" s="126"/>
      <c r="Q867" s="126"/>
      <c r="R867" s="126"/>
      <c r="S867" s="126"/>
      <c r="T867" s="126"/>
      <c r="U867" s="126"/>
      <c r="V867" s="126"/>
      <c r="W867" s="126"/>
      <c r="X867" s="126"/>
      <c r="Y867" s="126"/>
      <c r="Z867" s="126"/>
      <c r="AA867" s="126"/>
      <c r="AB867" s="126"/>
      <c r="AC867" s="126"/>
      <c r="AD867" s="126"/>
    </row>
    <row r="868" spans="3:30">
      <c r="C868" s="126"/>
      <c r="D868" s="126"/>
      <c r="E868" s="126"/>
      <c r="F868" s="138"/>
      <c r="G868" s="126"/>
      <c r="H868" s="126"/>
      <c r="I868" s="126"/>
      <c r="J868" s="126"/>
      <c r="K868" s="126"/>
      <c r="L868" s="126"/>
      <c r="M868" s="126"/>
      <c r="N868" s="126"/>
      <c r="O868" s="126"/>
      <c r="P868" s="126"/>
      <c r="Q868" s="126"/>
      <c r="R868" s="126"/>
      <c r="S868" s="126"/>
      <c r="T868" s="126"/>
      <c r="U868" s="126"/>
      <c r="V868" s="126"/>
      <c r="W868" s="126"/>
      <c r="X868" s="126"/>
      <c r="Y868" s="126"/>
      <c r="Z868" s="126"/>
      <c r="AA868" s="126"/>
      <c r="AB868" s="126"/>
      <c r="AC868" s="126"/>
      <c r="AD868" s="126"/>
    </row>
    <row r="869" spans="3:30">
      <c r="C869" s="126"/>
      <c r="D869" s="126"/>
      <c r="E869" s="126"/>
      <c r="F869" s="138"/>
      <c r="G869" s="126"/>
      <c r="H869" s="126"/>
      <c r="I869" s="126"/>
      <c r="J869" s="126"/>
      <c r="K869" s="126"/>
      <c r="L869" s="126"/>
      <c r="M869" s="126"/>
      <c r="N869" s="126"/>
      <c r="O869" s="126"/>
      <c r="P869" s="126"/>
      <c r="Q869" s="126"/>
      <c r="R869" s="126"/>
      <c r="S869" s="126"/>
      <c r="T869" s="126"/>
      <c r="U869" s="126"/>
      <c r="V869" s="126"/>
      <c r="W869" s="126"/>
      <c r="X869" s="126"/>
      <c r="Y869" s="126"/>
      <c r="Z869" s="126"/>
      <c r="AA869" s="126"/>
      <c r="AB869" s="126"/>
      <c r="AC869" s="126"/>
      <c r="AD869" s="126"/>
    </row>
    <row r="870" spans="3:30">
      <c r="C870" s="126"/>
      <c r="D870" s="126"/>
      <c r="E870" s="126"/>
      <c r="F870" s="138"/>
      <c r="G870" s="126"/>
      <c r="H870" s="126"/>
      <c r="I870" s="126"/>
      <c r="J870" s="126"/>
      <c r="K870" s="126"/>
      <c r="L870" s="126"/>
      <c r="M870" s="126"/>
      <c r="N870" s="126"/>
      <c r="O870" s="126"/>
      <c r="P870" s="126"/>
      <c r="Q870" s="126"/>
      <c r="R870" s="126"/>
      <c r="S870" s="126"/>
      <c r="T870" s="126"/>
      <c r="U870" s="126"/>
      <c r="V870" s="126"/>
      <c r="W870" s="126"/>
      <c r="X870" s="126"/>
      <c r="Y870" s="126"/>
      <c r="Z870" s="126"/>
      <c r="AA870" s="126"/>
      <c r="AB870" s="126"/>
      <c r="AC870" s="126"/>
      <c r="AD870" s="126"/>
    </row>
    <row r="871" spans="3:30">
      <c r="C871" s="126"/>
      <c r="D871" s="126"/>
      <c r="E871" s="126"/>
      <c r="F871" s="138"/>
      <c r="G871" s="126"/>
      <c r="H871" s="126"/>
      <c r="I871" s="126"/>
      <c r="J871" s="126"/>
      <c r="K871" s="126"/>
      <c r="L871" s="126"/>
      <c r="M871" s="126"/>
      <c r="N871" s="126"/>
      <c r="O871" s="126"/>
      <c r="P871" s="126"/>
      <c r="Q871" s="126"/>
      <c r="R871" s="126"/>
      <c r="S871" s="126"/>
      <c r="T871" s="126"/>
      <c r="U871" s="126"/>
      <c r="V871" s="126"/>
      <c r="W871" s="126"/>
      <c r="X871" s="126"/>
      <c r="Y871" s="126"/>
      <c r="Z871" s="126"/>
      <c r="AA871" s="126"/>
      <c r="AB871" s="126"/>
      <c r="AC871" s="126"/>
      <c r="AD871" s="126"/>
    </row>
    <row r="872" spans="3:30">
      <c r="C872" s="126"/>
      <c r="D872" s="126"/>
      <c r="E872" s="126"/>
      <c r="F872" s="138"/>
      <c r="G872" s="126"/>
      <c r="H872" s="126"/>
      <c r="I872" s="126"/>
      <c r="J872" s="126"/>
      <c r="K872" s="126"/>
      <c r="L872" s="126"/>
      <c r="M872" s="126"/>
      <c r="N872" s="126"/>
      <c r="O872" s="126"/>
      <c r="P872" s="126"/>
      <c r="Q872" s="126"/>
      <c r="R872" s="126"/>
      <c r="S872" s="126"/>
      <c r="T872" s="126"/>
      <c r="U872" s="126"/>
      <c r="V872" s="126"/>
      <c r="W872" s="126"/>
      <c r="X872" s="126"/>
      <c r="Y872" s="126"/>
      <c r="Z872" s="126"/>
      <c r="AA872" s="126"/>
      <c r="AB872" s="126"/>
      <c r="AC872" s="126"/>
      <c r="AD872" s="126"/>
    </row>
    <row r="873" spans="3:30">
      <c r="C873" s="126"/>
      <c r="D873" s="126"/>
      <c r="E873" s="126"/>
      <c r="F873" s="138"/>
      <c r="G873" s="126"/>
      <c r="H873" s="126"/>
      <c r="I873" s="126"/>
      <c r="J873" s="126"/>
      <c r="K873" s="126"/>
      <c r="L873" s="126"/>
      <c r="M873" s="126"/>
      <c r="N873" s="126"/>
      <c r="O873" s="126"/>
      <c r="P873" s="126"/>
      <c r="Q873" s="126"/>
      <c r="R873" s="126"/>
      <c r="S873" s="126"/>
      <c r="T873" s="126"/>
      <c r="U873" s="126"/>
      <c r="V873" s="126"/>
      <c r="W873" s="126"/>
      <c r="X873" s="126"/>
      <c r="Y873" s="126"/>
      <c r="Z873" s="126"/>
      <c r="AA873" s="126"/>
      <c r="AB873" s="126"/>
      <c r="AC873" s="126"/>
      <c r="AD873" s="126"/>
    </row>
    <row r="874" spans="3:30">
      <c r="C874" s="126"/>
      <c r="D874" s="126"/>
      <c r="E874" s="126"/>
      <c r="F874" s="138"/>
      <c r="G874" s="126"/>
      <c r="H874" s="126"/>
      <c r="I874" s="126"/>
      <c r="J874" s="126"/>
      <c r="K874" s="126"/>
      <c r="L874" s="126"/>
      <c r="M874" s="126"/>
      <c r="N874" s="126"/>
      <c r="O874" s="126"/>
      <c r="P874" s="126"/>
      <c r="Q874" s="126"/>
      <c r="R874" s="126"/>
      <c r="S874" s="126"/>
      <c r="T874" s="126"/>
      <c r="U874" s="126"/>
      <c r="V874" s="126"/>
      <c r="W874" s="126"/>
      <c r="X874" s="126"/>
      <c r="Y874" s="126"/>
      <c r="Z874" s="126"/>
      <c r="AA874" s="126"/>
      <c r="AB874" s="126"/>
      <c r="AC874" s="126"/>
      <c r="AD874" s="126"/>
    </row>
    <row r="875" spans="3:30">
      <c r="C875" s="126"/>
      <c r="D875" s="126"/>
      <c r="E875" s="126"/>
      <c r="F875" s="138"/>
      <c r="G875" s="126"/>
      <c r="H875" s="126"/>
      <c r="I875" s="126"/>
      <c r="J875" s="126"/>
      <c r="K875" s="126"/>
      <c r="L875" s="126"/>
      <c r="M875" s="126"/>
      <c r="N875" s="126"/>
      <c r="O875" s="126"/>
      <c r="P875" s="126"/>
      <c r="Q875" s="126"/>
      <c r="R875" s="126"/>
      <c r="S875" s="126"/>
      <c r="T875" s="126"/>
      <c r="U875" s="126"/>
      <c r="V875" s="126"/>
      <c r="W875" s="126"/>
      <c r="X875" s="126"/>
      <c r="Y875" s="126"/>
      <c r="Z875" s="126"/>
      <c r="AA875" s="126"/>
      <c r="AB875" s="126"/>
      <c r="AC875" s="126"/>
      <c r="AD875" s="126"/>
    </row>
    <row r="876" spans="3:30">
      <c r="C876" s="126"/>
      <c r="D876" s="126"/>
      <c r="E876" s="126"/>
      <c r="F876" s="138"/>
      <c r="G876" s="126"/>
      <c r="H876" s="126"/>
      <c r="I876" s="126"/>
      <c r="J876" s="126"/>
      <c r="K876" s="126"/>
      <c r="L876" s="126"/>
      <c r="M876" s="126"/>
      <c r="N876" s="126"/>
      <c r="O876" s="126"/>
      <c r="P876" s="126"/>
      <c r="Q876" s="126"/>
      <c r="R876" s="126"/>
      <c r="S876" s="126"/>
      <c r="T876" s="126"/>
      <c r="U876" s="126"/>
      <c r="V876" s="126"/>
      <c r="W876" s="126"/>
      <c r="X876" s="126"/>
      <c r="Y876" s="126"/>
      <c r="Z876" s="126"/>
      <c r="AA876" s="126"/>
      <c r="AB876" s="126"/>
      <c r="AC876" s="126"/>
      <c r="AD876" s="126"/>
    </row>
    <row r="877" spans="3:30">
      <c r="C877" s="126"/>
      <c r="D877" s="126"/>
      <c r="E877" s="126"/>
      <c r="F877" s="138"/>
      <c r="G877" s="126"/>
      <c r="H877" s="126"/>
      <c r="I877" s="126"/>
      <c r="J877" s="126"/>
      <c r="K877" s="126"/>
      <c r="L877" s="126"/>
      <c r="M877" s="126"/>
      <c r="N877" s="126"/>
      <c r="O877" s="126"/>
      <c r="P877" s="126"/>
      <c r="Q877" s="126"/>
      <c r="R877" s="126"/>
      <c r="S877" s="126"/>
      <c r="T877" s="126"/>
      <c r="U877" s="126"/>
      <c r="V877" s="126"/>
      <c r="W877" s="126"/>
      <c r="X877" s="126"/>
      <c r="Y877" s="126"/>
      <c r="Z877" s="126"/>
      <c r="AA877" s="126"/>
      <c r="AB877" s="126"/>
      <c r="AC877" s="126"/>
      <c r="AD877" s="126"/>
    </row>
    <row r="878" spans="3:30">
      <c r="C878" s="126"/>
      <c r="D878" s="126"/>
      <c r="E878" s="126"/>
      <c r="F878" s="138"/>
      <c r="G878" s="126"/>
      <c r="H878" s="126"/>
      <c r="I878" s="126"/>
      <c r="J878" s="126"/>
      <c r="K878" s="126"/>
      <c r="L878" s="126"/>
      <c r="M878" s="126"/>
      <c r="N878" s="126"/>
      <c r="O878" s="126"/>
      <c r="P878" s="126"/>
      <c r="Q878" s="126"/>
      <c r="R878" s="126"/>
      <c r="S878" s="126"/>
      <c r="T878" s="126"/>
      <c r="U878" s="126"/>
      <c r="V878" s="126"/>
      <c r="W878" s="126"/>
      <c r="X878" s="126"/>
      <c r="Y878" s="126"/>
      <c r="Z878" s="126"/>
      <c r="AA878" s="126"/>
      <c r="AB878" s="126"/>
      <c r="AC878" s="126"/>
      <c r="AD878" s="126"/>
    </row>
    <row r="879" spans="3:30">
      <c r="C879" s="126"/>
      <c r="D879" s="126"/>
      <c r="E879" s="126"/>
      <c r="F879" s="138"/>
      <c r="G879" s="126"/>
      <c r="H879" s="126"/>
      <c r="I879" s="126"/>
      <c r="J879" s="126"/>
      <c r="K879" s="126"/>
      <c r="L879" s="126"/>
      <c r="M879" s="126"/>
      <c r="N879" s="126"/>
      <c r="O879" s="126"/>
      <c r="P879" s="126"/>
      <c r="Q879" s="126"/>
      <c r="R879" s="126"/>
      <c r="S879" s="126"/>
      <c r="T879" s="126"/>
      <c r="U879" s="126"/>
      <c r="V879" s="126"/>
      <c r="W879" s="126"/>
      <c r="X879" s="126"/>
      <c r="Y879" s="126"/>
      <c r="Z879" s="126"/>
      <c r="AA879" s="126"/>
      <c r="AB879" s="126"/>
      <c r="AC879" s="126"/>
      <c r="AD879" s="126"/>
    </row>
    <row r="880" spans="3:30">
      <c r="C880" s="126"/>
      <c r="D880" s="126"/>
      <c r="E880" s="126"/>
      <c r="F880" s="138"/>
      <c r="G880" s="126"/>
      <c r="H880" s="126"/>
      <c r="I880" s="126"/>
      <c r="J880" s="126"/>
      <c r="K880" s="126"/>
      <c r="L880" s="126"/>
      <c r="M880" s="126"/>
      <c r="N880" s="126"/>
      <c r="O880" s="126"/>
      <c r="P880" s="126"/>
      <c r="Q880" s="126"/>
      <c r="R880" s="126"/>
      <c r="S880" s="126"/>
      <c r="T880" s="126"/>
      <c r="U880" s="126"/>
      <c r="V880" s="126"/>
      <c r="W880" s="126"/>
      <c r="X880" s="126"/>
      <c r="Y880" s="126"/>
      <c r="Z880" s="126"/>
      <c r="AA880" s="126"/>
      <c r="AB880" s="126"/>
      <c r="AC880" s="126"/>
      <c r="AD880" s="126"/>
    </row>
    <row r="881" spans="3:30">
      <c r="C881" s="126"/>
      <c r="D881" s="126"/>
      <c r="E881" s="126"/>
      <c r="F881" s="138"/>
      <c r="G881" s="126"/>
      <c r="H881" s="126"/>
      <c r="I881" s="126"/>
      <c r="J881" s="126"/>
      <c r="K881" s="126"/>
      <c r="L881" s="126"/>
      <c r="M881" s="126"/>
      <c r="N881" s="126"/>
      <c r="O881" s="126"/>
      <c r="P881" s="126"/>
      <c r="Q881" s="126"/>
      <c r="R881" s="126"/>
      <c r="S881" s="126"/>
      <c r="T881" s="126"/>
      <c r="U881" s="126"/>
      <c r="V881" s="126"/>
      <c r="W881" s="126"/>
      <c r="X881" s="126"/>
      <c r="Y881" s="126"/>
      <c r="Z881" s="126"/>
      <c r="AA881" s="126"/>
      <c r="AB881" s="126"/>
      <c r="AC881" s="126"/>
      <c r="AD881" s="126"/>
    </row>
    <row r="882" spans="3:30">
      <c r="C882" s="126"/>
      <c r="D882" s="126"/>
      <c r="E882" s="126"/>
      <c r="F882" s="138"/>
      <c r="G882" s="126"/>
      <c r="H882" s="126"/>
      <c r="I882" s="126"/>
      <c r="J882" s="126"/>
      <c r="K882" s="126"/>
      <c r="L882" s="126"/>
      <c r="M882" s="126"/>
      <c r="N882" s="126"/>
      <c r="O882" s="126"/>
      <c r="P882" s="126"/>
      <c r="Q882" s="126"/>
      <c r="R882" s="126"/>
      <c r="S882" s="126"/>
      <c r="T882" s="126"/>
      <c r="U882" s="126"/>
      <c r="V882" s="126"/>
      <c r="W882" s="126"/>
      <c r="X882" s="126"/>
      <c r="Y882" s="126"/>
      <c r="Z882" s="126"/>
      <c r="AA882" s="126"/>
      <c r="AB882" s="126"/>
      <c r="AC882" s="126"/>
      <c r="AD882" s="126"/>
    </row>
    <row r="883" spans="3:30">
      <c r="C883" s="126"/>
      <c r="D883" s="126"/>
      <c r="E883" s="126"/>
      <c r="F883" s="138"/>
      <c r="G883" s="126"/>
      <c r="H883" s="126"/>
      <c r="I883" s="126"/>
      <c r="J883" s="126"/>
      <c r="K883" s="126"/>
      <c r="L883" s="126"/>
      <c r="M883" s="126"/>
      <c r="N883" s="126"/>
      <c r="O883" s="126"/>
      <c r="P883" s="126"/>
      <c r="Q883" s="126"/>
      <c r="R883" s="126"/>
      <c r="S883" s="126"/>
      <c r="T883" s="126"/>
      <c r="U883" s="126"/>
      <c r="V883" s="126"/>
      <c r="W883" s="126"/>
      <c r="X883" s="126"/>
      <c r="Y883" s="126"/>
      <c r="Z883" s="126"/>
      <c r="AA883" s="126"/>
      <c r="AB883" s="126"/>
      <c r="AC883" s="126"/>
      <c r="AD883" s="126"/>
    </row>
    <row r="884" spans="3:30">
      <c r="C884" s="126"/>
      <c r="D884" s="126"/>
      <c r="E884" s="126"/>
      <c r="F884" s="138"/>
      <c r="G884" s="126"/>
      <c r="H884" s="126"/>
      <c r="I884" s="126"/>
      <c r="J884" s="126"/>
      <c r="K884" s="126"/>
      <c r="L884" s="126"/>
      <c r="M884" s="126"/>
      <c r="N884" s="126"/>
      <c r="O884" s="126"/>
      <c r="P884" s="126"/>
      <c r="Q884" s="126"/>
      <c r="R884" s="126"/>
      <c r="S884" s="126"/>
      <c r="T884" s="126"/>
      <c r="U884" s="126"/>
      <c r="V884" s="126"/>
      <c r="W884" s="126"/>
      <c r="X884" s="126"/>
      <c r="Y884" s="126"/>
      <c r="Z884" s="126"/>
      <c r="AA884" s="126"/>
      <c r="AB884" s="126"/>
      <c r="AC884" s="126"/>
      <c r="AD884" s="126"/>
    </row>
    <row r="885" spans="3:30">
      <c r="C885" s="126"/>
      <c r="D885" s="126"/>
      <c r="E885" s="126"/>
      <c r="F885" s="138"/>
      <c r="G885" s="126"/>
      <c r="H885" s="126"/>
      <c r="I885" s="126"/>
      <c r="J885" s="126"/>
      <c r="K885" s="126"/>
      <c r="L885" s="126"/>
      <c r="M885" s="126"/>
      <c r="N885" s="126"/>
      <c r="O885" s="126"/>
      <c r="P885" s="126"/>
      <c r="Q885" s="126"/>
      <c r="R885" s="126"/>
      <c r="S885" s="126"/>
      <c r="T885" s="126"/>
      <c r="U885" s="126"/>
      <c r="V885" s="126"/>
      <c r="W885" s="126"/>
      <c r="X885" s="126"/>
      <c r="Y885" s="126"/>
      <c r="Z885" s="126"/>
      <c r="AA885" s="126"/>
      <c r="AB885" s="126"/>
      <c r="AC885" s="126"/>
      <c r="AD885" s="126"/>
    </row>
    <row r="886" spans="3:30">
      <c r="C886" s="126"/>
      <c r="D886" s="126"/>
      <c r="E886" s="126"/>
      <c r="F886" s="138"/>
      <c r="G886" s="126"/>
      <c r="H886" s="126"/>
      <c r="I886" s="126"/>
      <c r="J886" s="126"/>
      <c r="K886" s="126"/>
      <c r="L886" s="126"/>
      <c r="M886" s="126"/>
      <c r="N886" s="126"/>
      <c r="O886" s="126"/>
      <c r="P886" s="126"/>
      <c r="Q886" s="126"/>
      <c r="R886" s="126"/>
      <c r="S886" s="126"/>
      <c r="T886" s="126"/>
      <c r="U886" s="126"/>
      <c r="V886" s="126"/>
      <c r="W886" s="126"/>
      <c r="X886" s="126"/>
      <c r="Y886" s="126"/>
      <c r="Z886" s="126"/>
      <c r="AA886" s="126"/>
      <c r="AB886" s="126"/>
      <c r="AC886" s="126"/>
      <c r="AD886" s="126"/>
    </row>
    <row r="887" spans="3:30">
      <c r="C887" s="126"/>
      <c r="D887" s="126"/>
      <c r="E887" s="126"/>
      <c r="F887" s="138"/>
      <c r="G887" s="126"/>
      <c r="H887" s="126"/>
      <c r="I887" s="126"/>
      <c r="J887" s="126"/>
      <c r="K887" s="126"/>
      <c r="L887" s="126"/>
      <c r="M887" s="126"/>
      <c r="N887" s="126"/>
      <c r="O887" s="126"/>
      <c r="P887" s="126"/>
      <c r="Q887" s="126"/>
      <c r="R887" s="126"/>
      <c r="S887" s="126"/>
      <c r="T887" s="126"/>
      <c r="U887" s="126"/>
      <c r="V887" s="126"/>
      <c r="W887" s="126"/>
      <c r="X887" s="126"/>
      <c r="Y887" s="126"/>
      <c r="Z887" s="126"/>
      <c r="AA887" s="126"/>
      <c r="AB887" s="126"/>
      <c r="AC887" s="126"/>
      <c r="AD887" s="126"/>
    </row>
    <row r="888" spans="3:30">
      <c r="C888" s="126"/>
      <c r="D888" s="126"/>
      <c r="E888" s="126"/>
      <c r="F888" s="138"/>
      <c r="G888" s="126"/>
      <c r="H888" s="126"/>
      <c r="I888" s="126"/>
      <c r="J888" s="126"/>
      <c r="K888" s="126"/>
      <c r="L888" s="126"/>
      <c r="M888" s="126"/>
      <c r="N888" s="126"/>
      <c r="O888" s="126"/>
      <c r="P888" s="126"/>
      <c r="Q888" s="126"/>
      <c r="R888" s="126"/>
      <c r="S888" s="126"/>
      <c r="T888" s="126"/>
      <c r="U888" s="126"/>
      <c r="V888" s="126"/>
      <c r="W888" s="126"/>
      <c r="X888" s="126"/>
      <c r="Y888" s="126"/>
      <c r="Z888" s="126"/>
      <c r="AA888" s="126"/>
      <c r="AB888" s="126"/>
      <c r="AC888" s="126"/>
      <c r="AD888" s="126"/>
    </row>
    <row r="889" spans="3:30">
      <c r="C889" s="126"/>
      <c r="D889" s="126"/>
      <c r="E889" s="126"/>
      <c r="F889" s="138"/>
      <c r="G889" s="126"/>
      <c r="H889" s="126"/>
      <c r="I889" s="126"/>
      <c r="J889" s="126"/>
      <c r="K889" s="126"/>
      <c r="L889" s="126"/>
      <c r="M889" s="126"/>
      <c r="N889" s="126"/>
      <c r="O889" s="126"/>
      <c r="P889" s="126"/>
      <c r="Q889" s="126"/>
      <c r="R889" s="126"/>
      <c r="S889" s="126"/>
      <c r="T889" s="126"/>
      <c r="U889" s="126"/>
      <c r="V889" s="126"/>
      <c r="W889" s="126"/>
      <c r="X889" s="126"/>
      <c r="Y889" s="126"/>
      <c r="Z889" s="126"/>
      <c r="AA889" s="126"/>
      <c r="AB889" s="126"/>
      <c r="AC889" s="126"/>
      <c r="AD889" s="126"/>
    </row>
    <row r="890" spans="3:30">
      <c r="C890" s="126"/>
      <c r="D890" s="126"/>
      <c r="E890" s="126"/>
      <c r="F890" s="138"/>
      <c r="G890" s="126"/>
      <c r="H890" s="126"/>
      <c r="I890" s="126"/>
      <c r="J890" s="126"/>
      <c r="K890" s="126"/>
      <c r="L890" s="126"/>
      <c r="M890" s="126"/>
      <c r="N890" s="126"/>
      <c r="O890" s="126"/>
      <c r="P890" s="126"/>
      <c r="Q890" s="126"/>
      <c r="R890" s="126"/>
      <c r="S890" s="126"/>
      <c r="T890" s="126"/>
      <c r="U890" s="126"/>
      <c r="V890" s="126"/>
      <c r="W890" s="126"/>
      <c r="X890" s="126"/>
      <c r="Y890" s="126"/>
      <c r="Z890" s="126"/>
      <c r="AA890" s="126"/>
      <c r="AB890" s="126"/>
      <c r="AC890" s="126"/>
      <c r="AD890" s="126"/>
    </row>
    <row r="891" spans="3:30">
      <c r="C891" s="126"/>
      <c r="D891" s="126"/>
      <c r="E891" s="126"/>
      <c r="F891" s="138"/>
      <c r="G891" s="126"/>
      <c r="H891" s="126"/>
      <c r="I891" s="126"/>
      <c r="J891" s="126"/>
      <c r="K891" s="126"/>
      <c r="L891" s="126"/>
      <c r="M891" s="126"/>
      <c r="N891" s="126"/>
      <c r="O891" s="126"/>
      <c r="P891" s="126"/>
      <c r="Q891" s="126"/>
      <c r="R891" s="126"/>
      <c r="S891" s="126"/>
      <c r="T891" s="126"/>
      <c r="U891" s="126"/>
      <c r="V891" s="126"/>
      <c r="W891" s="126"/>
      <c r="X891" s="126"/>
      <c r="Y891" s="126"/>
      <c r="Z891" s="126"/>
      <c r="AA891" s="126"/>
      <c r="AB891" s="126"/>
      <c r="AC891" s="126"/>
      <c r="AD891" s="126"/>
    </row>
    <row r="892" spans="3:30">
      <c r="C892" s="126"/>
      <c r="D892" s="126"/>
      <c r="E892" s="126"/>
      <c r="F892" s="138"/>
      <c r="G892" s="126"/>
      <c r="H892" s="126"/>
      <c r="I892" s="126"/>
      <c r="J892" s="126"/>
      <c r="K892" s="126"/>
      <c r="L892" s="126"/>
      <c r="M892" s="126"/>
      <c r="N892" s="126"/>
      <c r="O892" s="126"/>
      <c r="P892" s="126"/>
      <c r="Q892" s="126"/>
      <c r="R892" s="126"/>
      <c r="S892" s="126"/>
      <c r="T892" s="126"/>
      <c r="U892" s="126"/>
      <c r="V892" s="126"/>
      <c r="W892" s="126"/>
      <c r="X892" s="126"/>
      <c r="Y892" s="126"/>
      <c r="Z892" s="126"/>
      <c r="AA892" s="126"/>
      <c r="AB892" s="126"/>
      <c r="AC892" s="126"/>
      <c r="AD892" s="126"/>
    </row>
    <row r="893" spans="3:30">
      <c r="C893" s="126"/>
      <c r="D893" s="126"/>
      <c r="E893" s="126"/>
      <c r="F893" s="138"/>
      <c r="G893" s="126"/>
      <c r="H893" s="126"/>
      <c r="I893" s="126"/>
      <c r="J893" s="126"/>
      <c r="K893" s="126"/>
      <c r="L893" s="126"/>
      <c r="M893" s="126"/>
      <c r="N893" s="126"/>
      <c r="O893" s="126"/>
      <c r="P893" s="126"/>
      <c r="Q893" s="126"/>
      <c r="R893" s="126"/>
      <c r="S893" s="126"/>
      <c r="T893" s="126"/>
      <c r="U893" s="126"/>
      <c r="V893" s="126"/>
      <c r="W893" s="126"/>
      <c r="X893" s="126"/>
      <c r="Y893" s="126"/>
      <c r="Z893" s="126"/>
      <c r="AA893" s="126"/>
      <c r="AB893" s="126"/>
      <c r="AC893" s="126"/>
      <c r="AD893" s="126"/>
    </row>
    <row r="894" spans="3:30">
      <c r="C894" s="126"/>
      <c r="D894" s="126"/>
      <c r="E894" s="126"/>
      <c r="F894" s="138"/>
      <c r="G894" s="126"/>
      <c r="H894" s="126"/>
      <c r="I894" s="126"/>
      <c r="J894" s="126"/>
      <c r="K894" s="126"/>
      <c r="L894" s="126"/>
      <c r="M894" s="126"/>
      <c r="N894" s="126"/>
      <c r="O894" s="126"/>
      <c r="P894" s="126"/>
      <c r="Q894" s="126"/>
      <c r="R894" s="126"/>
      <c r="S894" s="126"/>
      <c r="T894" s="126"/>
      <c r="U894" s="126"/>
      <c r="V894" s="126"/>
      <c r="W894" s="126"/>
      <c r="X894" s="126"/>
      <c r="Y894" s="126"/>
      <c r="Z894" s="126"/>
      <c r="AA894" s="126"/>
      <c r="AB894" s="126"/>
      <c r="AC894" s="126"/>
      <c r="AD894" s="126"/>
    </row>
    <row r="895" spans="3:30">
      <c r="C895" s="126"/>
      <c r="D895" s="126"/>
      <c r="E895" s="126"/>
      <c r="F895" s="138"/>
      <c r="G895" s="126"/>
      <c r="H895" s="126"/>
      <c r="I895" s="126"/>
      <c r="J895" s="126"/>
      <c r="K895" s="126"/>
      <c r="L895" s="126"/>
      <c r="M895" s="126"/>
      <c r="N895" s="126"/>
      <c r="O895" s="126"/>
      <c r="P895" s="126"/>
      <c r="Q895" s="126"/>
      <c r="R895" s="126"/>
      <c r="S895" s="126"/>
      <c r="T895" s="126"/>
      <c r="U895" s="126"/>
      <c r="V895" s="126"/>
      <c r="W895" s="126"/>
      <c r="X895" s="126"/>
      <c r="Y895" s="126"/>
      <c r="Z895" s="126"/>
      <c r="AA895" s="126"/>
      <c r="AB895" s="126"/>
      <c r="AC895" s="126"/>
      <c r="AD895" s="126"/>
    </row>
    <row r="896" spans="3:30">
      <c r="C896" s="126"/>
      <c r="D896" s="126"/>
      <c r="E896" s="126"/>
      <c r="F896" s="138"/>
      <c r="G896" s="126"/>
      <c r="H896" s="126"/>
      <c r="I896" s="126"/>
      <c r="J896" s="126"/>
      <c r="K896" s="126"/>
      <c r="L896" s="126"/>
      <c r="M896" s="126"/>
      <c r="N896" s="126"/>
      <c r="O896" s="126"/>
      <c r="P896" s="126"/>
      <c r="Q896" s="126"/>
      <c r="R896" s="126"/>
      <c r="S896" s="126"/>
      <c r="T896" s="126"/>
      <c r="U896" s="126"/>
      <c r="V896" s="126"/>
      <c r="W896" s="126"/>
      <c r="X896" s="126"/>
      <c r="Y896" s="126"/>
      <c r="Z896" s="126"/>
      <c r="AA896" s="126"/>
      <c r="AB896" s="126"/>
      <c r="AC896" s="126"/>
      <c r="AD896" s="126"/>
    </row>
    <row r="897" spans="3:30">
      <c r="C897" s="126"/>
      <c r="D897" s="126"/>
      <c r="E897" s="126"/>
      <c r="F897" s="138"/>
      <c r="G897" s="126"/>
      <c r="H897" s="126"/>
      <c r="I897" s="126"/>
      <c r="J897" s="126"/>
      <c r="K897" s="126"/>
      <c r="L897" s="126"/>
      <c r="M897" s="126"/>
      <c r="N897" s="126"/>
      <c r="O897" s="126"/>
      <c r="P897" s="126"/>
      <c r="Q897" s="126"/>
      <c r="R897" s="126"/>
      <c r="S897" s="126"/>
      <c r="T897" s="126"/>
      <c r="U897" s="126"/>
      <c r="V897" s="126"/>
      <c r="W897" s="126"/>
      <c r="X897" s="126"/>
      <c r="Y897" s="126"/>
      <c r="Z897" s="126"/>
      <c r="AA897" s="126"/>
      <c r="AB897" s="126"/>
      <c r="AC897" s="126"/>
      <c r="AD897" s="126"/>
    </row>
    <row r="898" spans="3:30">
      <c r="C898" s="126"/>
      <c r="D898" s="126"/>
      <c r="E898" s="126"/>
      <c r="F898" s="138"/>
      <c r="G898" s="126"/>
      <c r="H898" s="126"/>
      <c r="I898" s="126"/>
      <c r="J898" s="126"/>
      <c r="K898" s="126"/>
      <c r="L898" s="126"/>
      <c r="M898" s="126"/>
      <c r="N898" s="126"/>
      <c r="O898" s="126"/>
      <c r="P898" s="126"/>
      <c r="Q898" s="126"/>
      <c r="R898" s="126"/>
      <c r="S898" s="126"/>
      <c r="T898" s="126"/>
      <c r="U898" s="126"/>
      <c r="V898" s="126"/>
      <c r="W898" s="126"/>
      <c r="X898" s="126"/>
      <c r="Y898" s="126"/>
      <c r="Z898" s="126"/>
      <c r="AA898" s="126"/>
      <c r="AB898" s="126"/>
      <c r="AC898" s="126"/>
      <c r="AD898" s="126"/>
    </row>
    <row r="899" spans="3:30">
      <c r="C899" s="126"/>
      <c r="D899" s="126"/>
      <c r="E899" s="126"/>
      <c r="F899" s="138"/>
      <c r="G899" s="126"/>
      <c r="H899" s="126"/>
      <c r="I899" s="126"/>
      <c r="J899" s="126"/>
      <c r="K899" s="126"/>
      <c r="L899" s="126"/>
      <c r="M899" s="126"/>
      <c r="N899" s="126"/>
      <c r="O899" s="126"/>
      <c r="P899" s="126"/>
      <c r="Q899" s="126"/>
      <c r="R899" s="126"/>
      <c r="S899" s="126"/>
      <c r="T899" s="126"/>
      <c r="U899" s="126"/>
      <c r="V899" s="126"/>
      <c r="W899" s="126"/>
      <c r="X899" s="126"/>
      <c r="Y899" s="126"/>
      <c r="Z899" s="126"/>
      <c r="AA899" s="126"/>
      <c r="AB899" s="126"/>
      <c r="AC899" s="126"/>
      <c r="AD899" s="126"/>
    </row>
    <row r="900" spans="3:30">
      <c r="C900" s="126"/>
      <c r="D900" s="126"/>
      <c r="E900" s="126"/>
      <c r="F900" s="138"/>
      <c r="G900" s="126"/>
      <c r="H900" s="126"/>
      <c r="I900" s="126"/>
      <c r="J900" s="126"/>
      <c r="K900" s="126"/>
      <c r="L900" s="126"/>
      <c r="M900" s="126"/>
      <c r="N900" s="126"/>
      <c r="O900" s="126"/>
      <c r="P900" s="126"/>
      <c r="Q900" s="126"/>
      <c r="R900" s="126"/>
      <c r="S900" s="126"/>
      <c r="T900" s="126"/>
      <c r="U900" s="126"/>
      <c r="V900" s="126"/>
      <c r="W900" s="126"/>
      <c r="X900" s="126"/>
      <c r="Y900" s="126"/>
      <c r="Z900" s="126"/>
      <c r="AA900" s="126"/>
      <c r="AB900" s="126"/>
      <c r="AC900" s="126"/>
      <c r="AD900" s="126"/>
    </row>
    <row r="901" spans="3:30">
      <c r="C901" s="126"/>
      <c r="D901" s="126"/>
      <c r="E901" s="126"/>
      <c r="F901" s="138"/>
      <c r="G901" s="126"/>
      <c r="H901" s="126"/>
      <c r="I901" s="126"/>
      <c r="J901" s="126"/>
      <c r="K901" s="126"/>
      <c r="L901" s="126"/>
      <c r="M901" s="126"/>
      <c r="N901" s="126"/>
      <c r="O901" s="126"/>
      <c r="P901" s="126"/>
      <c r="Q901" s="126"/>
      <c r="R901" s="126"/>
      <c r="S901" s="126"/>
      <c r="T901" s="126"/>
      <c r="U901" s="126"/>
      <c r="V901" s="126"/>
      <c r="W901" s="126"/>
      <c r="X901" s="126"/>
      <c r="Y901" s="126"/>
      <c r="Z901" s="126"/>
      <c r="AA901" s="126"/>
      <c r="AB901" s="126"/>
      <c r="AC901" s="126"/>
      <c r="AD901" s="126"/>
    </row>
    <row r="902" spans="3:30">
      <c r="C902" s="126"/>
      <c r="D902" s="126"/>
      <c r="E902" s="126"/>
      <c r="F902" s="138"/>
      <c r="G902" s="126"/>
      <c r="H902" s="126"/>
      <c r="I902" s="126"/>
      <c r="J902" s="126"/>
      <c r="K902" s="126"/>
      <c r="L902" s="126"/>
      <c r="M902" s="126"/>
      <c r="N902" s="126"/>
      <c r="O902" s="126"/>
      <c r="P902" s="126"/>
      <c r="Q902" s="126"/>
      <c r="R902" s="126"/>
      <c r="S902" s="126"/>
      <c r="T902" s="126"/>
      <c r="U902" s="126"/>
      <c r="V902" s="126"/>
      <c r="W902" s="126"/>
      <c r="X902" s="126"/>
      <c r="Y902" s="126"/>
      <c r="Z902" s="126"/>
      <c r="AA902" s="126"/>
      <c r="AB902" s="126"/>
      <c r="AC902" s="126"/>
      <c r="AD902" s="126"/>
    </row>
    <row r="903" spans="3:30">
      <c r="C903" s="126"/>
      <c r="D903" s="126"/>
      <c r="E903" s="126"/>
      <c r="F903" s="138"/>
      <c r="G903" s="126"/>
      <c r="H903" s="126"/>
      <c r="I903" s="126"/>
      <c r="J903" s="126"/>
      <c r="K903" s="126"/>
      <c r="L903" s="126"/>
      <c r="M903" s="126"/>
      <c r="N903" s="126"/>
      <c r="O903" s="126"/>
      <c r="P903" s="126"/>
      <c r="Q903" s="126"/>
      <c r="R903" s="126"/>
      <c r="S903" s="126"/>
      <c r="T903" s="126"/>
      <c r="U903" s="126"/>
      <c r="V903" s="126"/>
      <c r="W903" s="126"/>
      <c r="X903" s="126"/>
      <c r="Y903" s="126"/>
      <c r="Z903" s="126"/>
      <c r="AA903" s="126"/>
      <c r="AB903" s="126"/>
      <c r="AC903" s="126"/>
      <c r="AD903" s="126"/>
    </row>
    <row r="904" spans="3:30">
      <c r="C904" s="126"/>
      <c r="D904" s="126"/>
      <c r="E904" s="126"/>
      <c r="F904" s="138"/>
      <c r="G904" s="126"/>
      <c r="H904" s="126"/>
      <c r="I904" s="126"/>
      <c r="J904" s="126"/>
      <c r="K904" s="126"/>
      <c r="L904" s="126"/>
      <c r="M904" s="126"/>
      <c r="N904" s="126"/>
      <c r="O904" s="126"/>
      <c r="P904" s="126"/>
      <c r="Q904" s="126"/>
      <c r="R904" s="126"/>
      <c r="S904" s="126"/>
      <c r="T904" s="126"/>
      <c r="U904" s="126"/>
      <c r="V904" s="126"/>
      <c r="W904" s="126"/>
      <c r="X904" s="126"/>
      <c r="Y904" s="126"/>
      <c r="Z904" s="126"/>
      <c r="AA904" s="126"/>
      <c r="AB904" s="126"/>
      <c r="AC904" s="126"/>
      <c r="AD904" s="126"/>
    </row>
    <row r="905" spans="3:30">
      <c r="C905" s="126"/>
      <c r="D905" s="126"/>
      <c r="E905" s="126"/>
      <c r="F905" s="138"/>
      <c r="G905" s="126"/>
      <c r="H905" s="126"/>
      <c r="I905" s="126"/>
      <c r="J905" s="126"/>
      <c r="K905" s="126"/>
      <c r="L905" s="126"/>
      <c r="M905" s="126"/>
      <c r="N905" s="126"/>
      <c r="O905" s="126"/>
      <c r="P905" s="126"/>
      <c r="Q905" s="126"/>
      <c r="R905" s="126"/>
      <c r="S905" s="126"/>
      <c r="T905" s="126"/>
      <c r="U905" s="126"/>
      <c r="V905" s="126"/>
      <c r="W905" s="126"/>
      <c r="X905" s="126"/>
      <c r="Y905" s="126"/>
      <c r="Z905" s="126"/>
      <c r="AA905" s="126"/>
      <c r="AB905" s="126"/>
      <c r="AC905" s="126"/>
      <c r="AD905" s="126"/>
    </row>
    <row r="906" spans="3:30">
      <c r="C906" s="126"/>
      <c r="D906" s="126"/>
      <c r="E906" s="126"/>
      <c r="F906" s="138"/>
      <c r="G906" s="126"/>
      <c r="H906" s="126"/>
      <c r="I906" s="126"/>
      <c r="J906" s="126"/>
      <c r="K906" s="126"/>
      <c r="L906" s="126"/>
      <c r="M906" s="126"/>
      <c r="N906" s="126"/>
      <c r="O906" s="126"/>
      <c r="P906" s="126"/>
      <c r="Q906" s="126"/>
      <c r="R906" s="126"/>
      <c r="S906" s="126"/>
      <c r="T906" s="126"/>
      <c r="U906" s="126"/>
      <c r="V906" s="126"/>
      <c r="W906" s="126"/>
      <c r="X906" s="126"/>
      <c r="Y906" s="126"/>
      <c r="Z906" s="126"/>
      <c r="AA906" s="126"/>
      <c r="AB906" s="126"/>
      <c r="AC906" s="126"/>
      <c r="AD906" s="126"/>
    </row>
    <row r="907" spans="3:30">
      <c r="C907" s="126"/>
      <c r="D907" s="126"/>
      <c r="E907" s="126"/>
      <c r="F907" s="138"/>
      <c r="G907" s="126"/>
      <c r="H907" s="126"/>
      <c r="I907" s="126"/>
      <c r="J907" s="126"/>
      <c r="K907" s="126"/>
      <c r="L907" s="126"/>
      <c r="M907" s="126"/>
      <c r="N907" s="126"/>
      <c r="O907" s="126"/>
      <c r="P907" s="126"/>
      <c r="Q907" s="126"/>
      <c r="R907" s="126"/>
      <c r="S907" s="126"/>
      <c r="T907" s="126"/>
      <c r="U907" s="126"/>
      <c r="V907" s="126"/>
      <c r="W907" s="126"/>
      <c r="X907" s="126"/>
      <c r="Y907" s="126"/>
      <c r="Z907" s="126"/>
      <c r="AA907" s="126"/>
      <c r="AB907" s="126"/>
      <c r="AC907" s="126"/>
      <c r="AD907" s="126"/>
    </row>
    <row r="908" spans="3:30">
      <c r="C908" s="126"/>
      <c r="D908" s="126"/>
      <c r="E908" s="126"/>
      <c r="F908" s="138"/>
      <c r="G908" s="126"/>
      <c r="H908" s="126"/>
      <c r="I908" s="126"/>
      <c r="J908" s="126"/>
      <c r="K908" s="126"/>
      <c r="L908" s="126"/>
      <c r="M908" s="126"/>
      <c r="N908" s="126"/>
      <c r="O908" s="126"/>
      <c r="P908" s="126"/>
      <c r="Q908" s="126"/>
      <c r="R908" s="126"/>
      <c r="S908" s="126"/>
      <c r="T908" s="126"/>
      <c r="U908" s="126"/>
      <c r="V908" s="126"/>
      <c r="W908" s="126"/>
      <c r="X908" s="126"/>
      <c r="Y908" s="126"/>
      <c r="Z908" s="126"/>
      <c r="AA908" s="126"/>
      <c r="AB908" s="126"/>
      <c r="AC908" s="126"/>
      <c r="AD908" s="126"/>
    </row>
    <row r="909" spans="3:30">
      <c r="C909" s="126"/>
      <c r="D909" s="126"/>
      <c r="E909" s="126"/>
      <c r="F909" s="138"/>
      <c r="G909" s="126"/>
      <c r="H909" s="126"/>
      <c r="I909" s="126"/>
      <c r="J909" s="126"/>
      <c r="K909" s="126"/>
      <c r="L909" s="126"/>
      <c r="M909" s="126"/>
      <c r="N909" s="126"/>
      <c r="O909" s="126"/>
      <c r="P909" s="126"/>
      <c r="Q909" s="126"/>
      <c r="R909" s="126"/>
      <c r="S909" s="126"/>
      <c r="T909" s="126"/>
      <c r="U909" s="126"/>
      <c r="V909" s="126"/>
      <c r="W909" s="126"/>
      <c r="X909" s="126"/>
      <c r="Y909" s="126"/>
      <c r="Z909" s="126"/>
      <c r="AA909" s="126"/>
      <c r="AB909" s="126"/>
      <c r="AC909" s="126"/>
      <c r="AD909" s="126"/>
    </row>
    <row r="910" spans="3:30">
      <c r="C910" s="126"/>
      <c r="D910" s="126"/>
      <c r="E910" s="126"/>
      <c r="F910" s="138"/>
      <c r="G910" s="126"/>
      <c r="H910" s="126"/>
      <c r="I910" s="126"/>
      <c r="J910" s="126"/>
      <c r="K910" s="126"/>
      <c r="L910" s="126"/>
      <c r="M910" s="126"/>
      <c r="N910" s="126"/>
      <c r="O910" s="126"/>
      <c r="P910" s="126"/>
      <c r="Q910" s="126"/>
      <c r="R910" s="126"/>
      <c r="S910" s="126"/>
      <c r="T910" s="126"/>
      <c r="U910" s="126"/>
      <c r="V910" s="126"/>
      <c r="W910" s="126"/>
      <c r="X910" s="126"/>
      <c r="Y910" s="126"/>
      <c r="Z910" s="126"/>
      <c r="AA910" s="126"/>
      <c r="AB910" s="126"/>
      <c r="AC910" s="126"/>
      <c r="AD910" s="126"/>
    </row>
    <row r="911" spans="3:30">
      <c r="C911" s="126"/>
      <c r="D911" s="126"/>
      <c r="E911" s="126"/>
      <c r="F911" s="138"/>
      <c r="G911" s="126"/>
      <c r="H911" s="126"/>
      <c r="I911" s="126"/>
      <c r="J911" s="126"/>
      <c r="K911" s="126"/>
      <c r="L911" s="126"/>
      <c r="M911" s="126"/>
      <c r="N911" s="126"/>
      <c r="O911" s="126"/>
      <c r="P911" s="126"/>
      <c r="Q911" s="126"/>
      <c r="R911" s="126"/>
      <c r="S911" s="126"/>
      <c r="T911" s="126"/>
      <c r="U911" s="126"/>
      <c r="V911" s="126"/>
      <c r="W911" s="126"/>
      <c r="X911" s="126"/>
      <c r="Y911" s="126"/>
      <c r="Z911" s="126"/>
      <c r="AA911" s="126"/>
      <c r="AB911" s="126"/>
      <c r="AC911" s="126"/>
      <c r="AD911" s="126"/>
    </row>
    <row r="912" spans="3:30">
      <c r="C912" s="126"/>
      <c r="D912" s="126"/>
      <c r="E912" s="126"/>
      <c r="F912" s="138"/>
      <c r="G912" s="126"/>
      <c r="H912" s="126"/>
      <c r="I912" s="126"/>
      <c r="J912" s="126"/>
      <c r="K912" s="126"/>
      <c r="L912" s="126"/>
      <c r="M912" s="126"/>
      <c r="N912" s="126"/>
      <c r="O912" s="126"/>
      <c r="P912" s="126"/>
      <c r="Q912" s="126"/>
      <c r="R912" s="126"/>
      <c r="S912" s="126"/>
      <c r="T912" s="126"/>
      <c r="U912" s="126"/>
      <c r="V912" s="126"/>
      <c r="W912" s="126"/>
      <c r="X912" s="126"/>
      <c r="Y912" s="126"/>
      <c r="Z912" s="126"/>
      <c r="AA912" s="126"/>
      <c r="AB912" s="126"/>
      <c r="AC912" s="126"/>
      <c r="AD912" s="126"/>
    </row>
    <row r="913" spans="3:30">
      <c r="C913" s="126"/>
      <c r="D913" s="126"/>
      <c r="E913" s="126"/>
      <c r="F913" s="138"/>
      <c r="G913" s="126"/>
      <c r="H913" s="126"/>
      <c r="I913" s="126"/>
      <c r="J913" s="126"/>
      <c r="K913" s="126"/>
      <c r="L913" s="126"/>
      <c r="M913" s="126"/>
      <c r="N913" s="126"/>
      <c r="O913" s="126"/>
      <c r="P913" s="126"/>
      <c r="Q913" s="126"/>
      <c r="R913" s="126"/>
      <c r="S913" s="126"/>
      <c r="T913" s="126"/>
      <c r="U913" s="126"/>
      <c r="V913" s="126"/>
      <c r="W913" s="126"/>
      <c r="X913" s="126"/>
      <c r="Y913" s="126"/>
      <c r="Z913" s="126"/>
      <c r="AA913" s="126"/>
      <c r="AB913" s="126"/>
      <c r="AC913" s="126"/>
      <c r="AD913" s="126"/>
    </row>
    <row r="914" spans="3:30">
      <c r="C914" s="126"/>
      <c r="D914" s="126"/>
      <c r="E914" s="126"/>
      <c r="F914" s="138"/>
      <c r="G914" s="126"/>
      <c r="H914" s="126"/>
      <c r="I914" s="126"/>
      <c r="J914" s="126"/>
      <c r="K914" s="126"/>
      <c r="L914" s="126"/>
      <c r="M914" s="126"/>
      <c r="N914" s="126"/>
      <c r="O914" s="126"/>
      <c r="P914" s="126"/>
      <c r="Q914" s="126"/>
      <c r="R914" s="126"/>
      <c r="S914" s="126"/>
      <c r="T914" s="126"/>
      <c r="U914" s="126"/>
      <c r="V914" s="126"/>
      <c r="W914" s="126"/>
      <c r="X914" s="126"/>
      <c r="Y914" s="126"/>
      <c r="Z914" s="126"/>
      <c r="AA914" s="126"/>
      <c r="AB914" s="126"/>
      <c r="AC914" s="126"/>
      <c r="AD914" s="126"/>
    </row>
    <row r="915" spans="3:30">
      <c r="C915" s="126"/>
      <c r="D915" s="126"/>
      <c r="E915" s="126"/>
      <c r="F915" s="138"/>
      <c r="G915" s="126"/>
      <c r="H915" s="126"/>
      <c r="I915" s="126"/>
      <c r="J915" s="126"/>
      <c r="K915" s="126"/>
      <c r="L915" s="126"/>
      <c r="M915" s="126"/>
      <c r="N915" s="126"/>
      <c r="O915" s="126"/>
      <c r="P915" s="126"/>
      <c r="Q915" s="126"/>
      <c r="R915" s="126"/>
      <c r="S915" s="126"/>
      <c r="T915" s="126"/>
      <c r="U915" s="126"/>
      <c r="V915" s="126"/>
      <c r="W915" s="126"/>
      <c r="X915" s="126"/>
      <c r="Y915" s="126"/>
      <c r="Z915" s="126"/>
      <c r="AA915" s="126"/>
      <c r="AB915" s="126"/>
      <c r="AC915" s="126"/>
      <c r="AD915" s="126"/>
    </row>
    <row r="916" spans="3:30">
      <c r="C916" s="126"/>
      <c r="D916" s="126"/>
      <c r="E916" s="126"/>
      <c r="F916" s="138"/>
      <c r="G916" s="126"/>
      <c r="H916" s="126"/>
      <c r="I916" s="126"/>
      <c r="J916" s="126"/>
      <c r="K916" s="126"/>
      <c r="L916" s="126"/>
      <c r="M916" s="126"/>
      <c r="N916" s="126"/>
      <c r="O916" s="126"/>
      <c r="P916" s="126"/>
      <c r="Q916" s="126"/>
      <c r="R916" s="126"/>
      <c r="S916" s="126"/>
      <c r="T916" s="126"/>
      <c r="U916" s="126"/>
      <c r="V916" s="126"/>
      <c r="W916" s="126"/>
      <c r="X916" s="126"/>
      <c r="Y916" s="126"/>
      <c r="Z916" s="126"/>
      <c r="AA916" s="126"/>
      <c r="AB916" s="126"/>
      <c r="AC916" s="126"/>
      <c r="AD916" s="126"/>
    </row>
    <row r="917" spans="3:30">
      <c r="C917" s="126"/>
      <c r="D917" s="126"/>
      <c r="E917" s="126"/>
      <c r="F917" s="138"/>
      <c r="G917" s="126"/>
      <c r="H917" s="126"/>
      <c r="I917" s="126"/>
      <c r="J917" s="126"/>
      <c r="K917" s="126"/>
      <c r="L917" s="126"/>
      <c r="M917" s="126"/>
      <c r="N917" s="126"/>
      <c r="O917" s="126"/>
      <c r="P917" s="126"/>
      <c r="Q917" s="126"/>
      <c r="R917" s="126"/>
      <c r="S917" s="126"/>
      <c r="T917" s="126"/>
      <c r="U917" s="126"/>
      <c r="V917" s="126"/>
      <c r="W917" s="126"/>
      <c r="X917" s="126"/>
      <c r="Y917" s="126"/>
      <c r="Z917" s="126"/>
      <c r="AA917" s="126"/>
      <c r="AB917" s="126"/>
      <c r="AC917" s="126"/>
      <c r="AD917" s="126"/>
    </row>
    <row r="918" spans="3:30">
      <c r="C918" s="126"/>
      <c r="D918" s="126"/>
      <c r="E918" s="126"/>
      <c r="F918" s="138"/>
      <c r="G918" s="126"/>
      <c r="H918" s="126"/>
      <c r="I918" s="126"/>
      <c r="J918" s="126"/>
      <c r="K918" s="126"/>
      <c r="L918" s="126"/>
      <c r="M918" s="126"/>
      <c r="N918" s="126"/>
      <c r="O918" s="126"/>
      <c r="P918" s="126"/>
      <c r="Q918" s="126"/>
      <c r="R918" s="126"/>
      <c r="S918" s="126"/>
      <c r="T918" s="126"/>
      <c r="U918" s="126"/>
      <c r="V918" s="126"/>
      <c r="W918" s="126"/>
      <c r="X918" s="126"/>
      <c r="Y918" s="126"/>
      <c r="Z918" s="126"/>
      <c r="AA918" s="126"/>
      <c r="AB918" s="126"/>
      <c r="AC918" s="126"/>
      <c r="AD918" s="126"/>
    </row>
    <row r="919" spans="3:30">
      <c r="C919" s="126"/>
      <c r="D919" s="126"/>
      <c r="E919" s="126"/>
      <c r="F919" s="138"/>
      <c r="G919" s="126"/>
      <c r="H919" s="126"/>
      <c r="I919" s="126"/>
      <c r="J919" s="126"/>
      <c r="K919" s="126"/>
      <c r="L919" s="126"/>
      <c r="M919" s="126"/>
      <c r="N919" s="126"/>
      <c r="O919" s="126"/>
      <c r="P919" s="126"/>
      <c r="Q919" s="126"/>
      <c r="R919" s="126"/>
      <c r="S919" s="126"/>
      <c r="T919" s="126"/>
      <c r="U919" s="126"/>
      <c r="V919" s="126"/>
      <c r="W919" s="126"/>
      <c r="X919" s="126"/>
      <c r="Y919" s="126"/>
      <c r="Z919" s="126"/>
      <c r="AA919" s="126"/>
      <c r="AB919" s="126"/>
      <c r="AC919" s="126"/>
      <c r="AD919" s="126"/>
    </row>
    <row r="920" spans="3:30">
      <c r="C920" s="126"/>
      <c r="D920" s="126"/>
      <c r="E920" s="126"/>
      <c r="F920" s="138"/>
      <c r="G920" s="126"/>
      <c r="H920" s="126"/>
      <c r="I920" s="126"/>
      <c r="J920" s="126"/>
      <c r="K920" s="126"/>
      <c r="L920" s="126"/>
      <c r="M920" s="126"/>
      <c r="N920" s="126"/>
      <c r="O920" s="126"/>
      <c r="P920" s="126"/>
      <c r="Q920" s="126"/>
      <c r="R920" s="126"/>
      <c r="S920" s="126"/>
      <c r="T920" s="126"/>
      <c r="U920" s="126"/>
      <c r="V920" s="126"/>
      <c r="W920" s="126"/>
      <c r="X920" s="126"/>
      <c r="Y920" s="126"/>
      <c r="Z920" s="126"/>
      <c r="AA920" s="126"/>
      <c r="AB920" s="126"/>
      <c r="AC920" s="126"/>
      <c r="AD920" s="126"/>
    </row>
    <row r="921" spans="3:30">
      <c r="C921" s="126"/>
      <c r="D921" s="126"/>
      <c r="E921" s="126"/>
      <c r="F921" s="138"/>
      <c r="G921" s="126"/>
      <c r="H921" s="126"/>
      <c r="I921" s="126"/>
      <c r="J921" s="126"/>
      <c r="K921" s="126"/>
      <c r="L921" s="126"/>
      <c r="M921" s="126"/>
      <c r="N921" s="126"/>
      <c r="O921" s="126"/>
      <c r="P921" s="126"/>
      <c r="Q921" s="126"/>
      <c r="R921" s="126"/>
      <c r="S921" s="126"/>
      <c r="T921" s="126"/>
      <c r="U921" s="126"/>
      <c r="V921" s="126"/>
      <c r="W921" s="126"/>
      <c r="X921" s="126"/>
      <c r="Y921" s="126"/>
      <c r="Z921" s="126"/>
      <c r="AA921" s="126"/>
      <c r="AB921" s="126"/>
      <c r="AC921" s="126"/>
      <c r="AD921" s="126"/>
    </row>
    <row r="922" spans="3:30">
      <c r="C922" s="126"/>
      <c r="D922" s="126"/>
      <c r="E922" s="126"/>
      <c r="F922" s="138"/>
      <c r="G922" s="126"/>
      <c r="H922" s="126"/>
      <c r="I922" s="126"/>
      <c r="J922" s="126"/>
      <c r="K922" s="126"/>
      <c r="L922" s="126"/>
      <c r="M922" s="126"/>
      <c r="N922" s="126"/>
      <c r="O922" s="126"/>
      <c r="P922" s="126"/>
      <c r="Q922" s="126"/>
      <c r="R922" s="126"/>
      <c r="S922" s="126"/>
      <c r="T922" s="126"/>
      <c r="U922" s="126"/>
      <c r="V922" s="126"/>
      <c r="W922" s="126"/>
      <c r="X922" s="126"/>
      <c r="Y922" s="126"/>
      <c r="Z922" s="126"/>
      <c r="AA922" s="126"/>
      <c r="AB922" s="126"/>
      <c r="AC922" s="126"/>
      <c r="AD922" s="126"/>
    </row>
    <row r="923" spans="3:30">
      <c r="C923" s="126"/>
      <c r="D923" s="126"/>
      <c r="E923" s="126"/>
      <c r="F923" s="138"/>
      <c r="G923" s="126"/>
      <c r="H923" s="126"/>
      <c r="I923" s="126"/>
      <c r="J923" s="126"/>
      <c r="K923" s="126"/>
      <c r="L923" s="126"/>
      <c r="M923" s="126"/>
      <c r="N923" s="126"/>
      <c r="O923" s="126"/>
      <c r="P923" s="126"/>
      <c r="Q923" s="126"/>
      <c r="R923" s="126"/>
      <c r="S923" s="126"/>
      <c r="T923" s="126"/>
      <c r="U923" s="126"/>
      <c r="V923" s="126"/>
      <c r="W923" s="126"/>
      <c r="X923" s="126"/>
      <c r="Y923" s="126"/>
      <c r="Z923" s="126"/>
      <c r="AA923" s="126"/>
      <c r="AB923" s="126"/>
      <c r="AC923" s="126"/>
      <c r="AD923" s="126"/>
    </row>
    <row r="924" spans="3:30">
      <c r="C924" s="126"/>
      <c r="D924" s="126"/>
      <c r="E924" s="126"/>
      <c r="F924" s="138"/>
      <c r="G924" s="126"/>
      <c r="H924" s="126"/>
      <c r="I924" s="126"/>
      <c r="J924" s="126"/>
      <c r="K924" s="126"/>
      <c r="L924" s="126"/>
      <c r="M924" s="126"/>
      <c r="N924" s="126"/>
      <c r="O924" s="126"/>
      <c r="P924" s="126"/>
      <c r="Q924" s="126"/>
      <c r="R924" s="126"/>
      <c r="S924" s="126"/>
      <c r="T924" s="126"/>
      <c r="U924" s="126"/>
      <c r="V924" s="126"/>
      <c r="W924" s="126"/>
      <c r="X924" s="126"/>
      <c r="Y924" s="126"/>
      <c r="Z924" s="126"/>
      <c r="AA924" s="126"/>
      <c r="AB924" s="126"/>
      <c r="AC924" s="126"/>
      <c r="AD924" s="126"/>
    </row>
    <row r="925" spans="3:30">
      <c r="C925" s="126"/>
      <c r="D925" s="126"/>
      <c r="E925" s="126"/>
      <c r="F925" s="138"/>
      <c r="G925" s="126"/>
      <c r="H925" s="126"/>
      <c r="I925" s="126"/>
      <c r="J925" s="126"/>
      <c r="K925" s="126"/>
      <c r="L925" s="126"/>
      <c r="M925" s="126"/>
      <c r="N925" s="126"/>
      <c r="O925" s="126"/>
      <c r="P925" s="126"/>
      <c r="Q925" s="126"/>
      <c r="R925" s="126"/>
      <c r="S925" s="126"/>
      <c r="T925" s="126"/>
      <c r="U925" s="126"/>
      <c r="V925" s="126"/>
      <c r="W925" s="126"/>
      <c r="X925" s="126"/>
      <c r="Y925" s="126"/>
      <c r="Z925" s="126"/>
      <c r="AA925" s="126"/>
      <c r="AB925" s="126"/>
      <c r="AC925" s="126"/>
      <c r="AD925" s="126"/>
    </row>
    <row r="926" spans="3:30">
      <c r="C926" s="126"/>
      <c r="D926" s="126"/>
      <c r="E926" s="126"/>
      <c r="F926" s="138"/>
      <c r="G926" s="126"/>
      <c r="H926" s="126"/>
      <c r="I926" s="126"/>
      <c r="J926" s="126"/>
      <c r="K926" s="126"/>
      <c r="L926" s="126"/>
      <c r="M926" s="126"/>
      <c r="N926" s="126"/>
      <c r="O926" s="126"/>
      <c r="P926" s="126"/>
      <c r="Q926" s="126"/>
      <c r="R926" s="126"/>
      <c r="S926" s="126"/>
      <c r="T926" s="126"/>
      <c r="U926" s="126"/>
      <c r="V926" s="126"/>
      <c r="W926" s="126"/>
      <c r="X926" s="126"/>
      <c r="Y926" s="126"/>
      <c r="Z926" s="126"/>
      <c r="AA926" s="126"/>
      <c r="AB926" s="126"/>
      <c r="AC926" s="126"/>
      <c r="AD926" s="126"/>
    </row>
    <row r="927" spans="3:30">
      <c r="C927" s="126"/>
      <c r="D927" s="126"/>
      <c r="E927" s="126"/>
      <c r="F927" s="138"/>
      <c r="G927" s="126"/>
      <c r="H927" s="126"/>
      <c r="I927" s="126"/>
      <c r="J927" s="126"/>
      <c r="K927" s="126"/>
      <c r="L927" s="126"/>
      <c r="M927" s="126"/>
      <c r="N927" s="126"/>
      <c r="O927" s="126"/>
      <c r="P927" s="126"/>
      <c r="Q927" s="126"/>
      <c r="R927" s="126"/>
      <c r="S927" s="126"/>
      <c r="T927" s="126"/>
      <c r="U927" s="126"/>
      <c r="V927" s="126"/>
      <c r="W927" s="126"/>
      <c r="X927" s="126"/>
      <c r="Y927" s="126"/>
      <c r="Z927" s="126"/>
      <c r="AA927" s="126"/>
      <c r="AB927" s="126"/>
      <c r="AC927" s="126"/>
      <c r="AD927" s="126"/>
    </row>
    <row r="928" spans="3:30">
      <c r="C928" s="126"/>
      <c r="D928" s="126"/>
      <c r="E928" s="126"/>
      <c r="F928" s="138"/>
      <c r="G928" s="126"/>
      <c r="H928" s="126"/>
      <c r="I928" s="126"/>
      <c r="J928" s="126"/>
      <c r="K928" s="126"/>
      <c r="L928" s="126"/>
      <c r="M928" s="126"/>
      <c r="N928" s="126"/>
      <c r="O928" s="126"/>
      <c r="P928" s="126"/>
      <c r="Q928" s="126"/>
      <c r="R928" s="126"/>
      <c r="S928" s="126"/>
      <c r="T928" s="126"/>
      <c r="U928" s="126"/>
      <c r="V928" s="126"/>
      <c r="W928" s="126"/>
      <c r="X928" s="126"/>
      <c r="Y928" s="126"/>
      <c r="Z928" s="126"/>
      <c r="AA928" s="126"/>
      <c r="AB928" s="126"/>
      <c r="AC928" s="126"/>
      <c r="AD928" s="126"/>
    </row>
    <row r="929" spans="3:30">
      <c r="C929" s="126"/>
      <c r="D929" s="126"/>
      <c r="E929" s="126"/>
      <c r="F929" s="138"/>
      <c r="G929" s="126"/>
      <c r="H929" s="126"/>
      <c r="I929" s="126"/>
      <c r="J929" s="126"/>
      <c r="K929" s="126"/>
      <c r="L929" s="126"/>
      <c r="M929" s="126"/>
      <c r="N929" s="126"/>
      <c r="O929" s="126"/>
      <c r="P929" s="126"/>
      <c r="Q929" s="126"/>
      <c r="R929" s="126"/>
      <c r="S929" s="126"/>
      <c r="T929" s="126"/>
      <c r="U929" s="126"/>
      <c r="V929" s="126"/>
      <c r="W929" s="126"/>
      <c r="X929" s="126"/>
      <c r="Y929" s="126"/>
      <c r="Z929" s="126"/>
      <c r="AA929" s="126"/>
      <c r="AB929" s="126"/>
      <c r="AC929" s="126"/>
      <c r="AD929" s="126"/>
    </row>
    <row r="930" spans="3:30">
      <c r="C930" s="126"/>
      <c r="D930" s="126"/>
      <c r="E930" s="126"/>
      <c r="F930" s="138"/>
      <c r="G930" s="126"/>
      <c r="H930" s="126"/>
      <c r="I930" s="126"/>
      <c r="J930" s="126"/>
      <c r="K930" s="126"/>
      <c r="L930" s="126"/>
      <c r="M930" s="126"/>
      <c r="N930" s="126"/>
      <c r="O930" s="126"/>
      <c r="P930" s="126"/>
      <c r="Q930" s="126"/>
      <c r="R930" s="126"/>
      <c r="S930" s="126"/>
      <c r="T930" s="126"/>
      <c r="U930" s="126"/>
      <c r="V930" s="126"/>
      <c r="W930" s="126"/>
      <c r="X930" s="126"/>
      <c r="Y930" s="126"/>
      <c r="Z930" s="126"/>
      <c r="AA930" s="126"/>
      <c r="AB930" s="126"/>
      <c r="AC930" s="126"/>
      <c r="AD930" s="126"/>
    </row>
    <row r="931" spans="3:30">
      <c r="C931" s="126"/>
      <c r="D931" s="126"/>
      <c r="E931" s="126"/>
      <c r="F931" s="138"/>
      <c r="G931" s="126"/>
      <c r="H931" s="126"/>
      <c r="I931" s="126"/>
      <c r="J931" s="126"/>
      <c r="K931" s="126"/>
      <c r="L931" s="126"/>
      <c r="M931" s="126"/>
      <c r="N931" s="126"/>
      <c r="O931" s="126"/>
      <c r="P931" s="126"/>
      <c r="Q931" s="126"/>
      <c r="R931" s="126"/>
      <c r="S931" s="126"/>
      <c r="T931" s="126"/>
      <c r="U931" s="126"/>
      <c r="V931" s="126"/>
      <c r="W931" s="126"/>
      <c r="X931" s="126"/>
      <c r="Y931" s="126"/>
      <c r="Z931" s="126"/>
      <c r="AA931" s="126"/>
      <c r="AB931" s="126"/>
      <c r="AC931" s="126"/>
      <c r="AD931" s="126"/>
    </row>
    <row r="932" spans="3:30">
      <c r="C932" s="126"/>
      <c r="D932" s="126"/>
      <c r="E932" s="126"/>
      <c r="F932" s="138"/>
      <c r="G932" s="126"/>
      <c r="H932" s="126"/>
      <c r="I932" s="126"/>
      <c r="J932" s="126"/>
      <c r="K932" s="126"/>
      <c r="L932" s="126"/>
      <c r="M932" s="126"/>
      <c r="N932" s="126"/>
      <c r="O932" s="126"/>
      <c r="P932" s="126"/>
      <c r="Q932" s="126"/>
      <c r="R932" s="126"/>
      <c r="S932" s="126"/>
      <c r="T932" s="126"/>
      <c r="U932" s="126"/>
      <c r="V932" s="126"/>
      <c r="W932" s="126"/>
      <c r="X932" s="126"/>
      <c r="Y932" s="126"/>
      <c r="Z932" s="126"/>
      <c r="AA932" s="126"/>
      <c r="AB932" s="126"/>
      <c r="AC932" s="126"/>
      <c r="AD932" s="126"/>
    </row>
    <row r="933" spans="3:30">
      <c r="C933" s="126"/>
      <c r="D933" s="126"/>
      <c r="E933" s="126"/>
      <c r="F933" s="138"/>
      <c r="G933" s="126"/>
      <c r="H933" s="126"/>
      <c r="I933" s="126"/>
      <c r="J933" s="126"/>
      <c r="K933" s="126"/>
      <c r="L933" s="126"/>
      <c r="M933" s="126"/>
      <c r="N933" s="126"/>
      <c r="O933" s="126"/>
      <c r="P933" s="126"/>
      <c r="Q933" s="126"/>
      <c r="R933" s="126"/>
      <c r="S933" s="126"/>
      <c r="T933" s="126"/>
      <c r="U933" s="126"/>
      <c r="V933" s="126"/>
      <c r="W933" s="126"/>
      <c r="X933" s="126"/>
      <c r="Y933" s="126"/>
      <c r="Z933" s="126"/>
      <c r="AA933" s="126"/>
      <c r="AB933" s="126"/>
      <c r="AC933" s="126"/>
      <c r="AD933" s="126"/>
    </row>
    <row r="934" spans="3:30">
      <c r="C934" s="126"/>
      <c r="D934" s="126"/>
      <c r="E934" s="126"/>
      <c r="F934" s="138"/>
      <c r="G934" s="126"/>
      <c r="H934" s="126"/>
      <c r="I934" s="126"/>
      <c r="J934" s="126"/>
      <c r="K934" s="126"/>
      <c r="L934" s="126"/>
      <c r="M934" s="126"/>
      <c r="N934" s="126"/>
      <c r="O934" s="126"/>
      <c r="P934" s="126"/>
      <c r="Q934" s="126"/>
      <c r="R934" s="126"/>
      <c r="S934" s="126"/>
      <c r="T934" s="126"/>
      <c r="U934" s="126"/>
      <c r="V934" s="126"/>
      <c r="W934" s="126"/>
      <c r="X934" s="126"/>
      <c r="Y934" s="126"/>
      <c r="Z934" s="126"/>
      <c r="AA934" s="126"/>
      <c r="AB934" s="126"/>
      <c r="AC934" s="126"/>
      <c r="AD934" s="126"/>
    </row>
    <row r="935" spans="3:30">
      <c r="C935" s="126"/>
      <c r="D935" s="126"/>
      <c r="E935" s="126"/>
      <c r="F935" s="138"/>
      <c r="G935" s="126"/>
      <c r="H935" s="126"/>
      <c r="I935" s="126"/>
      <c r="J935" s="126"/>
      <c r="K935" s="126"/>
      <c r="L935" s="126"/>
      <c r="M935" s="126"/>
      <c r="N935" s="126"/>
      <c r="O935" s="126"/>
      <c r="P935" s="126"/>
      <c r="Q935" s="126"/>
      <c r="R935" s="126"/>
      <c r="S935" s="126"/>
      <c r="T935" s="126"/>
      <c r="U935" s="126"/>
      <c r="V935" s="126"/>
      <c r="W935" s="126"/>
      <c r="X935" s="126"/>
      <c r="Y935" s="126"/>
      <c r="Z935" s="126"/>
      <c r="AA935" s="126"/>
      <c r="AB935" s="126"/>
      <c r="AC935" s="126"/>
      <c r="AD935" s="126"/>
    </row>
    <row r="936" spans="3:30">
      <c r="C936" s="126"/>
      <c r="D936" s="126"/>
      <c r="E936" s="126"/>
      <c r="F936" s="138"/>
      <c r="G936" s="126"/>
      <c r="H936" s="126"/>
      <c r="I936" s="126"/>
      <c r="J936" s="126"/>
      <c r="K936" s="126"/>
      <c r="L936" s="126"/>
      <c r="M936" s="126"/>
      <c r="N936" s="126"/>
      <c r="O936" s="126"/>
      <c r="P936" s="126"/>
      <c r="Q936" s="126"/>
      <c r="R936" s="126"/>
      <c r="S936" s="126"/>
      <c r="T936" s="126"/>
      <c r="U936" s="126"/>
      <c r="V936" s="126"/>
      <c r="W936" s="126"/>
      <c r="X936" s="126"/>
      <c r="Y936" s="126"/>
      <c r="Z936" s="126"/>
      <c r="AA936" s="126"/>
      <c r="AB936" s="126"/>
      <c r="AC936" s="126"/>
      <c r="AD936" s="126"/>
    </row>
    <row r="937" spans="3:30">
      <c r="C937" s="126"/>
      <c r="D937" s="126"/>
      <c r="E937" s="126"/>
      <c r="F937" s="138"/>
      <c r="G937" s="126"/>
      <c r="H937" s="126"/>
      <c r="I937" s="126"/>
      <c r="J937" s="126"/>
      <c r="K937" s="126"/>
      <c r="L937" s="126"/>
      <c r="M937" s="126"/>
      <c r="N937" s="126"/>
      <c r="O937" s="126"/>
      <c r="P937" s="126"/>
      <c r="Q937" s="126"/>
      <c r="R937" s="126"/>
      <c r="S937" s="126"/>
      <c r="T937" s="126"/>
      <c r="U937" s="126"/>
      <c r="V937" s="126"/>
      <c r="W937" s="126"/>
      <c r="X937" s="126"/>
      <c r="Y937" s="126"/>
      <c r="Z937" s="126"/>
      <c r="AA937" s="126"/>
      <c r="AB937" s="126"/>
      <c r="AC937" s="126"/>
      <c r="AD937" s="126"/>
    </row>
    <row r="938" spans="3:30">
      <c r="C938" s="126"/>
      <c r="D938" s="126"/>
      <c r="E938" s="126"/>
      <c r="F938" s="138"/>
      <c r="G938" s="126"/>
      <c r="H938" s="126"/>
      <c r="I938" s="126"/>
      <c r="J938" s="126"/>
      <c r="K938" s="126"/>
      <c r="L938" s="126"/>
      <c r="M938" s="126"/>
      <c r="N938" s="126"/>
      <c r="O938" s="126"/>
      <c r="P938" s="126"/>
      <c r="Q938" s="126"/>
      <c r="R938" s="126"/>
      <c r="S938" s="126"/>
      <c r="T938" s="126"/>
      <c r="U938" s="126"/>
      <c r="V938" s="126"/>
      <c r="W938" s="126"/>
      <c r="X938" s="126"/>
      <c r="Y938" s="126"/>
      <c r="Z938" s="126"/>
      <c r="AA938" s="126"/>
      <c r="AB938" s="126"/>
      <c r="AC938" s="126"/>
      <c r="AD938" s="126"/>
    </row>
    <row r="939" spans="3:30">
      <c r="C939" s="126"/>
      <c r="D939" s="126"/>
      <c r="E939" s="126"/>
      <c r="F939" s="138"/>
      <c r="G939" s="126"/>
      <c r="H939" s="126"/>
      <c r="I939" s="126"/>
      <c r="J939" s="126"/>
      <c r="K939" s="126"/>
      <c r="L939" s="126"/>
      <c r="M939" s="126"/>
      <c r="N939" s="126"/>
      <c r="O939" s="126"/>
      <c r="P939" s="126"/>
      <c r="Q939" s="126"/>
      <c r="R939" s="126"/>
      <c r="S939" s="126"/>
      <c r="T939" s="126"/>
      <c r="U939" s="126"/>
      <c r="V939" s="126"/>
      <c r="W939" s="126"/>
      <c r="X939" s="126"/>
      <c r="Y939" s="126"/>
      <c r="Z939" s="126"/>
      <c r="AA939" s="126"/>
      <c r="AB939" s="126"/>
      <c r="AC939" s="126"/>
      <c r="AD939" s="126"/>
    </row>
    <row r="940" spans="3:30">
      <c r="C940" s="126"/>
      <c r="D940" s="126"/>
      <c r="E940" s="126"/>
      <c r="F940" s="138"/>
      <c r="G940" s="126"/>
      <c r="H940" s="126"/>
      <c r="I940" s="126"/>
      <c r="J940" s="126"/>
      <c r="K940" s="126"/>
      <c r="L940" s="126"/>
      <c r="M940" s="126"/>
      <c r="N940" s="126"/>
      <c r="O940" s="126"/>
      <c r="P940" s="126"/>
      <c r="Q940" s="126"/>
      <c r="R940" s="126"/>
      <c r="S940" s="126"/>
      <c r="T940" s="126"/>
      <c r="U940" s="126"/>
      <c r="V940" s="126"/>
      <c r="W940" s="126"/>
      <c r="X940" s="126"/>
      <c r="Y940" s="126"/>
      <c r="Z940" s="126"/>
      <c r="AA940" s="126"/>
      <c r="AB940" s="126"/>
      <c r="AC940" s="126"/>
      <c r="AD940" s="126"/>
    </row>
    <row r="941" spans="3:30">
      <c r="C941" s="126"/>
      <c r="D941" s="126"/>
      <c r="E941" s="126"/>
      <c r="F941" s="138"/>
      <c r="G941" s="126"/>
      <c r="H941" s="126"/>
      <c r="I941" s="126"/>
      <c r="J941" s="126"/>
      <c r="K941" s="126"/>
      <c r="L941" s="126"/>
      <c r="M941" s="126"/>
      <c r="N941" s="126"/>
      <c r="O941" s="126"/>
      <c r="P941" s="126"/>
      <c r="Q941" s="126"/>
      <c r="R941" s="126"/>
      <c r="S941" s="126"/>
      <c r="T941" s="126"/>
      <c r="U941" s="126"/>
      <c r="V941" s="126"/>
      <c r="W941" s="126"/>
      <c r="X941" s="126"/>
      <c r="Y941" s="126"/>
      <c r="Z941" s="126"/>
      <c r="AA941" s="126"/>
      <c r="AB941" s="126"/>
      <c r="AC941" s="126"/>
      <c r="AD941" s="126"/>
    </row>
    <row r="942" spans="3:30">
      <c r="C942" s="126"/>
      <c r="D942" s="126"/>
      <c r="E942" s="126"/>
      <c r="F942" s="138"/>
      <c r="G942" s="126"/>
      <c r="H942" s="126"/>
      <c r="I942" s="126"/>
      <c r="J942" s="126"/>
      <c r="K942" s="126"/>
      <c r="L942" s="126"/>
      <c r="M942" s="126"/>
      <c r="N942" s="126"/>
      <c r="O942" s="126"/>
      <c r="P942" s="126"/>
      <c r="Q942" s="126"/>
      <c r="R942" s="126"/>
      <c r="S942" s="126"/>
      <c r="T942" s="126"/>
      <c r="U942" s="126"/>
      <c r="V942" s="126"/>
      <c r="W942" s="126"/>
      <c r="X942" s="126"/>
      <c r="Y942" s="126"/>
      <c r="Z942" s="126"/>
      <c r="AA942" s="126"/>
      <c r="AB942" s="126"/>
      <c r="AC942" s="126"/>
      <c r="AD942" s="126"/>
    </row>
    <row r="943" spans="3:30">
      <c r="C943" s="126"/>
      <c r="D943" s="126"/>
      <c r="E943" s="126"/>
      <c r="F943" s="138"/>
      <c r="G943" s="126"/>
      <c r="H943" s="126"/>
      <c r="I943" s="126"/>
      <c r="J943" s="126"/>
      <c r="K943" s="126"/>
      <c r="L943" s="126"/>
      <c r="M943" s="126"/>
      <c r="N943" s="126"/>
      <c r="O943" s="126"/>
      <c r="P943" s="126"/>
      <c r="Q943" s="126"/>
      <c r="R943" s="126"/>
      <c r="S943" s="126"/>
      <c r="T943" s="126"/>
      <c r="U943" s="126"/>
      <c r="V943" s="126"/>
      <c r="W943" s="126"/>
      <c r="X943" s="126"/>
      <c r="Y943" s="126"/>
      <c r="Z943" s="126"/>
      <c r="AA943" s="126"/>
      <c r="AB943" s="126"/>
      <c r="AC943" s="126"/>
      <c r="AD943" s="126"/>
    </row>
    <row r="944" spans="3:30">
      <c r="C944" s="126"/>
      <c r="D944" s="126"/>
      <c r="E944" s="126"/>
      <c r="F944" s="138"/>
      <c r="G944" s="126"/>
      <c r="H944" s="126"/>
      <c r="I944" s="126"/>
      <c r="J944" s="126"/>
      <c r="K944" s="126"/>
      <c r="L944" s="126"/>
      <c r="M944" s="126"/>
      <c r="N944" s="126"/>
      <c r="O944" s="126"/>
      <c r="P944" s="126"/>
      <c r="Q944" s="126"/>
      <c r="R944" s="126"/>
      <c r="S944" s="126"/>
      <c r="T944" s="126"/>
      <c r="U944" s="126"/>
      <c r="V944" s="126"/>
      <c r="W944" s="126"/>
      <c r="X944" s="126"/>
      <c r="Y944" s="126"/>
      <c r="Z944" s="126"/>
      <c r="AA944" s="126"/>
      <c r="AB944" s="126"/>
      <c r="AC944" s="126"/>
      <c r="AD944" s="126"/>
    </row>
    <row r="945" spans="3:30">
      <c r="C945" s="126"/>
      <c r="D945" s="126"/>
      <c r="E945" s="126"/>
      <c r="F945" s="138"/>
      <c r="G945" s="126"/>
      <c r="H945" s="126"/>
      <c r="I945" s="126"/>
      <c r="J945" s="126"/>
      <c r="K945" s="126"/>
      <c r="L945" s="126"/>
      <c r="M945" s="126"/>
      <c r="N945" s="126"/>
      <c r="O945" s="126"/>
      <c r="P945" s="126"/>
      <c r="Q945" s="126"/>
      <c r="R945" s="126"/>
      <c r="S945" s="126"/>
      <c r="T945" s="126"/>
      <c r="U945" s="126"/>
      <c r="V945" s="126"/>
      <c r="W945" s="126"/>
      <c r="X945" s="126"/>
      <c r="Y945" s="126"/>
      <c r="Z945" s="126"/>
      <c r="AA945" s="126"/>
      <c r="AB945" s="126"/>
      <c r="AC945" s="126"/>
      <c r="AD945" s="126"/>
    </row>
    <row r="946" spans="3:30">
      <c r="C946" s="126"/>
      <c r="D946" s="126"/>
      <c r="E946" s="126"/>
      <c r="F946" s="138"/>
      <c r="G946" s="126"/>
      <c r="H946" s="126"/>
      <c r="I946" s="126"/>
      <c r="J946" s="126"/>
      <c r="K946" s="126"/>
      <c r="L946" s="126"/>
      <c r="M946" s="126"/>
      <c r="N946" s="126"/>
      <c r="O946" s="126"/>
      <c r="P946" s="126"/>
      <c r="Q946" s="126"/>
      <c r="R946" s="126"/>
      <c r="S946" s="126"/>
      <c r="T946" s="126"/>
      <c r="U946" s="126"/>
      <c r="V946" s="126"/>
      <c r="W946" s="126"/>
      <c r="X946" s="126"/>
      <c r="Y946" s="126"/>
      <c r="Z946" s="126"/>
      <c r="AA946" s="126"/>
      <c r="AB946" s="126"/>
      <c r="AC946" s="126"/>
      <c r="AD946" s="126"/>
    </row>
    <row r="947" spans="3:30">
      <c r="C947" s="126"/>
      <c r="D947" s="126"/>
      <c r="E947" s="126"/>
      <c r="F947" s="138"/>
      <c r="G947" s="126"/>
      <c r="H947" s="126"/>
      <c r="I947" s="126"/>
      <c r="J947" s="126"/>
      <c r="K947" s="126"/>
      <c r="L947" s="126"/>
      <c r="M947" s="126"/>
      <c r="N947" s="126"/>
      <c r="O947" s="126"/>
      <c r="P947" s="126"/>
      <c r="Q947" s="126"/>
      <c r="R947" s="126"/>
      <c r="S947" s="126"/>
      <c r="T947" s="126"/>
      <c r="U947" s="126"/>
      <c r="V947" s="126"/>
      <c r="W947" s="126"/>
      <c r="X947" s="126"/>
      <c r="Y947" s="126"/>
      <c r="Z947" s="126"/>
      <c r="AA947" s="126"/>
      <c r="AB947" s="126"/>
      <c r="AC947" s="126"/>
      <c r="AD947" s="126"/>
    </row>
    <row r="948" spans="3:30">
      <c r="C948" s="126"/>
      <c r="D948" s="126"/>
      <c r="E948" s="126"/>
      <c r="F948" s="138"/>
      <c r="G948" s="126"/>
      <c r="H948" s="126"/>
      <c r="I948" s="126"/>
      <c r="J948" s="126"/>
      <c r="K948" s="126"/>
      <c r="L948" s="126"/>
      <c r="M948" s="126"/>
      <c r="N948" s="126"/>
      <c r="O948" s="126"/>
      <c r="P948" s="126"/>
      <c r="Q948" s="126"/>
      <c r="R948" s="126"/>
      <c r="S948" s="126"/>
      <c r="T948" s="126"/>
      <c r="U948" s="126"/>
      <c r="V948" s="126"/>
      <c r="W948" s="126"/>
      <c r="X948" s="126"/>
      <c r="Y948" s="126"/>
      <c r="Z948" s="126"/>
      <c r="AA948" s="126"/>
      <c r="AB948" s="126"/>
      <c r="AC948" s="126"/>
      <c r="AD948" s="126"/>
    </row>
    <row r="949" spans="3:30">
      <c r="C949" s="126"/>
      <c r="D949" s="126"/>
      <c r="E949" s="126"/>
      <c r="F949" s="138"/>
      <c r="G949" s="126"/>
      <c r="H949" s="126"/>
      <c r="I949" s="126"/>
      <c r="J949" s="126"/>
      <c r="K949" s="126"/>
      <c r="L949" s="126"/>
      <c r="M949" s="126"/>
      <c r="N949" s="126"/>
      <c r="O949" s="126"/>
      <c r="P949" s="126"/>
      <c r="Q949" s="126"/>
      <c r="R949" s="126"/>
      <c r="S949" s="126"/>
      <c r="T949" s="126"/>
      <c r="U949" s="126"/>
      <c r="V949" s="126"/>
      <c r="W949" s="126"/>
      <c r="X949" s="126"/>
      <c r="Y949" s="126"/>
      <c r="Z949" s="126"/>
      <c r="AA949" s="126"/>
      <c r="AB949" s="126"/>
      <c r="AC949" s="126"/>
      <c r="AD949" s="126"/>
    </row>
    <row r="950" spans="3:30">
      <c r="C950" s="126"/>
      <c r="D950" s="126"/>
      <c r="E950" s="126"/>
      <c r="F950" s="138"/>
      <c r="G950" s="126"/>
      <c r="H950" s="126"/>
      <c r="I950" s="126"/>
      <c r="J950" s="126"/>
      <c r="K950" s="126"/>
      <c r="L950" s="126"/>
      <c r="M950" s="126"/>
      <c r="N950" s="126"/>
      <c r="O950" s="126"/>
      <c r="P950" s="126"/>
      <c r="Q950" s="126"/>
      <c r="R950" s="126"/>
      <c r="S950" s="126"/>
      <c r="T950" s="126"/>
      <c r="U950" s="126"/>
      <c r="V950" s="126"/>
      <c r="W950" s="126"/>
      <c r="X950" s="126"/>
      <c r="Y950" s="126"/>
      <c r="Z950" s="126"/>
      <c r="AA950" s="126"/>
      <c r="AB950" s="126"/>
      <c r="AC950" s="126"/>
      <c r="AD950" s="126"/>
    </row>
    <row r="951" spans="3:30">
      <c r="C951" s="126"/>
      <c r="D951" s="126"/>
      <c r="E951" s="126"/>
      <c r="F951" s="138"/>
      <c r="G951" s="126"/>
      <c r="H951" s="126"/>
      <c r="I951" s="126"/>
      <c r="J951" s="126"/>
      <c r="K951" s="126"/>
      <c r="L951" s="126"/>
      <c r="M951" s="126"/>
      <c r="N951" s="126"/>
      <c r="O951" s="126"/>
      <c r="P951" s="126"/>
      <c r="Q951" s="126"/>
      <c r="R951" s="126"/>
      <c r="S951" s="126"/>
      <c r="T951" s="126"/>
      <c r="U951" s="126"/>
      <c r="V951" s="126"/>
      <c r="W951" s="126"/>
      <c r="X951" s="126"/>
      <c r="Y951" s="126"/>
      <c r="Z951" s="126"/>
      <c r="AA951" s="126"/>
      <c r="AB951" s="126"/>
      <c r="AC951" s="126"/>
      <c r="AD951" s="126"/>
    </row>
    <row r="952" spans="3:30">
      <c r="C952" s="126"/>
      <c r="D952" s="126"/>
      <c r="E952" s="126"/>
      <c r="F952" s="138"/>
      <c r="G952" s="126"/>
      <c r="H952" s="126"/>
      <c r="I952" s="126"/>
      <c r="J952" s="126"/>
      <c r="K952" s="126"/>
      <c r="L952" s="126"/>
      <c r="M952" s="126"/>
      <c r="N952" s="126"/>
      <c r="O952" s="126"/>
      <c r="P952" s="126"/>
      <c r="Q952" s="126"/>
      <c r="R952" s="126"/>
      <c r="S952" s="126"/>
      <c r="T952" s="126"/>
      <c r="U952" s="126"/>
      <c r="V952" s="126"/>
      <c r="W952" s="126"/>
      <c r="X952" s="126"/>
      <c r="Y952" s="126"/>
      <c r="Z952" s="126"/>
      <c r="AA952" s="126"/>
      <c r="AB952" s="126"/>
      <c r="AC952" s="126"/>
      <c r="AD952" s="126"/>
    </row>
    <row r="953" spans="3:30">
      <c r="C953" s="126"/>
      <c r="D953" s="126"/>
      <c r="E953" s="126"/>
      <c r="F953" s="138"/>
      <c r="G953" s="126"/>
      <c r="H953" s="126"/>
      <c r="I953" s="126"/>
      <c r="J953" s="126"/>
      <c r="K953" s="126"/>
      <c r="L953" s="126"/>
      <c r="M953" s="126"/>
      <c r="N953" s="126"/>
      <c r="O953" s="126"/>
      <c r="P953" s="126"/>
      <c r="Q953" s="126"/>
      <c r="R953" s="126"/>
      <c r="S953" s="126"/>
      <c r="T953" s="126"/>
      <c r="U953" s="126"/>
      <c r="V953" s="126"/>
      <c r="W953" s="126"/>
      <c r="X953" s="126"/>
      <c r="Y953" s="126"/>
      <c r="Z953" s="126"/>
      <c r="AA953" s="126"/>
      <c r="AB953" s="126"/>
      <c r="AC953" s="126"/>
      <c r="AD953" s="126"/>
    </row>
    <row r="954" spans="3:30">
      <c r="C954" s="126"/>
      <c r="D954" s="126"/>
      <c r="E954" s="126"/>
      <c r="F954" s="138"/>
      <c r="G954" s="126"/>
      <c r="H954" s="126"/>
      <c r="I954" s="126"/>
      <c r="J954" s="126"/>
      <c r="K954" s="126"/>
      <c r="L954" s="126"/>
      <c r="M954" s="126"/>
      <c r="N954" s="126"/>
      <c r="O954" s="126"/>
      <c r="P954" s="126"/>
      <c r="Q954" s="126"/>
      <c r="R954" s="126"/>
      <c r="S954" s="126"/>
      <c r="T954" s="126"/>
      <c r="U954" s="126"/>
      <c r="V954" s="126"/>
      <c r="W954" s="126"/>
      <c r="X954" s="126"/>
      <c r="Y954" s="126"/>
      <c r="Z954" s="126"/>
      <c r="AA954" s="126"/>
      <c r="AB954" s="126"/>
      <c r="AC954" s="126"/>
      <c r="AD954" s="126"/>
    </row>
    <row r="955" spans="3:30">
      <c r="C955" s="126"/>
      <c r="D955" s="126"/>
      <c r="E955" s="126"/>
      <c r="F955" s="138"/>
      <c r="G955" s="126"/>
      <c r="H955" s="126"/>
      <c r="I955" s="126"/>
      <c r="J955" s="126"/>
      <c r="K955" s="126"/>
      <c r="L955" s="126"/>
      <c r="M955" s="126"/>
      <c r="N955" s="126"/>
      <c r="O955" s="126"/>
      <c r="P955" s="126"/>
      <c r="Q955" s="126"/>
      <c r="R955" s="126"/>
      <c r="S955" s="126"/>
      <c r="T955" s="126"/>
      <c r="U955" s="126"/>
      <c r="V955" s="126"/>
      <c r="W955" s="126"/>
      <c r="X955" s="126"/>
      <c r="Y955" s="126"/>
      <c r="Z955" s="126"/>
      <c r="AA955" s="126"/>
      <c r="AB955" s="126"/>
      <c r="AC955" s="126"/>
      <c r="AD955" s="126"/>
    </row>
    <row r="956" spans="3:30">
      <c r="C956" s="126"/>
      <c r="D956" s="126"/>
      <c r="E956" s="126"/>
      <c r="F956" s="138"/>
      <c r="G956" s="126"/>
      <c r="H956" s="126"/>
      <c r="I956" s="126"/>
      <c r="J956" s="126"/>
      <c r="K956" s="126"/>
      <c r="L956" s="126"/>
      <c r="M956" s="126"/>
      <c r="N956" s="126"/>
      <c r="O956" s="126"/>
      <c r="P956" s="126"/>
      <c r="Q956" s="126"/>
      <c r="R956" s="126"/>
      <c r="S956" s="126"/>
      <c r="T956" s="126"/>
      <c r="U956" s="126"/>
      <c r="V956" s="126"/>
      <c r="W956" s="126"/>
      <c r="X956" s="126"/>
      <c r="Y956" s="126"/>
      <c r="Z956" s="126"/>
      <c r="AA956" s="126"/>
      <c r="AB956" s="126"/>
      <c r="AC956" s="126"/>
      <c r="AD956" s="126"/>
    </row>
    <row r="957" spans="3:30">
      <c r="C957" s="126"/>
      <c r="D957" s="126"/>
      <c r="E957" s="126"/>
      <c r="F957" s="138"/>
      <c r="G957" s="126"/>
      <c r="H957" s="126"/>
      <c r="I957" s="126"/>
      <c r="J957" s="126"/>
      <c r="K957" s="126"/>
      <c r="L957" s="126"/>
      <c r="M957" s="126"/>
      <c r="N957" s="126"/>
      <c r="O957" s="126"/>
      <c r="P957" s="126"/>
      <c r="Q957" s="126"/>
      <c r="R957" s="126"/>
      <c r="S957" s="126"/>
      <c r="T957" s="126"/>
      <c r="U957" s="126"/>
      <c r="V957" s="126"/>
      <c r="W957" s="126"/>
      <c r="X957" s="126"/>
      <c r="Y957" s="126"/>
      <c r="Z957" s="126"/>
      <c r="AA957" s="126"/>
      <c r="AB957" s="126"/>
      <c r="AC957" s="126"/>
      <c r="AD957" s="126"/>
    </row>
    <row r="958" spans="3:30">
      <c r="C958" s="126"/>
      <c r="D958" s="126"/>
      <c r="E958" s="126"/>
      <c r="F958" s="138"/>
      <c r="G958" s="126"/>
      <c r="H958" s="126"/>
      <c r="I958" s="126"/>
      <c r="J958" s="126"/>
      <c r="K958" s="126"/>
      <c r="L958" s="126"/>
      <c r="M958" s="126"/>
      <c r="N958" s="126"/>
      <c r="O958" s="126"/>
      <c r="P958" s="126"/>
      <c r="Q958" s="126"/>
      <c r="R958" s="126"/>
      <c r="S958" s="126"/>
      <c r="T958" s="126"/>
      <c r="U958" s="126"/>
      <c r="V958" s="126"/>
      <c r="W958" s="126"/>
      <c r="X958" s="126"/>
      <c r="Y958" s="126"/>
      <c r="Z958" s="126"/>
      <c r="AA958" s="126"/>
      <c r="AB958" s="126"/>
      <c r="AC958" s="126"/>
      <c r="AD958" s="126"/>
    </row>
  </sheetData>
  <pageMargins left="0.7" right="0.7" top="0.75" bottom="0.75" header="0.3" footer="0.3"/>
  <pageSetup paperSize="9" scale="56" orientation="portrait" r:id="rId1"/>
  <drawing r:id="rId2"/>
</worksheet>
</file>

<file path=xl/worksheets/sheet11.xml><?xml version="1.0" encoding="utf-8"?>
<worksheet xmlns="http://schemas.openxmlformats.org/spreadsheetml/2006/main" xmlns:r="http://schemas.openxmlformats.org/officeDocument/2006/relationships">
  <dimension ref="B1:K27"/>
  <sheetViews>
    <sheetView view="pageBreakPreview" zoomScaleSheetLayoutView="100" workbookViewId="0">
      <selection activeCell="F22" sqref="F22"/>
    </sheetView>
  </sheetViews>
  <sheetFormatPr defaultColWidth="8.85546875" defaultRowHeight="15"/>
  <cols>
    <col min="1" max="2" width="8.85546875" style="94"/>
    <col min="3" max="3" width="3" style="94" bestFit="1" customWidth="1"/>
    <col min="4" max="6" width="30.28515625" style="94" customWidth="1"/>
    <col min="7" max="16384" width="8.85546875" style="94"/>
  </cols>
  <sheetData>
    <row r="1" spans="2:8" ht="15.75" thickBot="1"/>
    <row r="2" spans="2:8">
      <c r="B2" s="409"/>
      <c r="C2" s="410"/>
      <c r="D2" s="410"/>
      <c r="E2" s="410"/>
      <c r="F2" s="410"/>
      <c r="G2" s="411"/>
      <c r="H2" s="407"/>
    </row>
    <row r="3" spans="2:8" ht="20.25">
      <c r="B3" s="526" t="s">
        <v>386</v>
      </c>
      <c r="C3" s="527"/>
      <c r="D3" s="527"/>
      <c r="E3" s="527"/>
      <c r="F3" s="527"/>
      <c r="G3" s="528"/>
      <c r="H3" s="407"/>
    </row>
    <row r="4" spans="2:8" ht="20.25">
      <c r="B4" s="526" t="str">
        <f>'План по выручке'!B4:CZ4</f>
        <v>по франшизе "АКСИОМА"</v>
      </c>
      <c r="C4" s="527"/>
      <c r="D4" s="527"/>
      <c r="E4" s="527"/>
      <c r="F4" s="527"/>
      <c r="G4" s="528"/>
      <c r="H4" s="407"/>
    </row>
    <row r="5" spans="2:8" ht="147" customHeight="1" thickBot="1">
      <c r="B5" s="412"/>
      <c r="C5" s="408"/>
      <c r="D5" s="408"/>
      <c r="E5" s="408"/>
      <c r="F5" s="408"/>
      <c r="G5" s="413"/>
      <c r="H5" s="407"/>
    </row>
    <row r="6" spans="2:8">
      <c r="B6" s="391"/>
      <c r="C6" s="394">
        <v>1</v>
      </c>
      <c r="D6" s="395" t="s">
        <v>363</v>
      </c>
      <c r="E6" s="414" t="str">
        <f>'Входящие данные'!D10</f>
        <v>Май</v>
      </c>
      <c r="F6" s="396" t="s">
        <v>393</v>
      </c>
      <c r="G6" s="389"/>
    </row>
    <row r="7" spans="2:8">
      <c r="B7" s="391"/>
      <c r="C7" s="397">
        <f>C6+1</f>
        <v>2</v>
      </c>
      <c r="D7" s="398" t="s">
        <v>91</v>
      </c>
      <c r="E7" s="399" t="str">
        <f>'Входящие данные'!D12</f>
        <v>Полный платеж</v>
      </c>
      <c r="F7" s="400" t="s">
        <v>393</v>
      </c>
      <c r="G7" s="389"/>
    </row>
    <row r="8" spans="2:8">
      <c r="B8" s="391"/>
      <c r="C8" s="397">
        <f t="shared" ref="C8:C26" si="0">C7+1</f>
        <v>3</v>
      </c>
      <c r="D8" s="398" t="s">
        <v>364</v>
      </c>
      <c r="E8" s="415">
        <f>'Входящие данные'!D14</f>
        <v>50</v>
      </c>
      <c r="F8" s="400" t="s">
        <v>393</v>
      </c>
      <c r="G8" s="389"/>
    </row>
    <row r="9" spans="2:8">
      <c r="B9" s="391"/>
      <c r="C9" s="397">
        <f t="shared" si="0"/>
        <v>4</v>
      </c>
      <c r="D9" s="398" t="s">
        <v>387</v>
      </c>
      <c r="E9" s="415">
        <f>'Входящие данные'!D19</f>
        <v>750</v>
      </c>
      <c r="F9" s="400" t="s">
        <v>393</v>
      </c>
      <c r="G9" s="389"/>
    </row>
    <row r="10" spans="2:8" ht="30">
      <c r="B10" s="391"/>
      <c r="C10" s="397">
        <f t="shared" si="0"/>
        <v>5</v>
      </c>
      <c r="D10" s="398" t="s">
        <v>365</v>
      </c>
      <c r="E10" s="402">
        <v>0.1</v>
      </c>
      <c r="F10" s="400" t="s">
        <v>366</v>
      </c>
      <c r="G10" s="389"/>
    </row>
    <row r="11" spans="2:8">
      <c r="B11" s="391"/>
      <c r="C11" s="397">
        <f t="shared" si="0"/>
        <v>6</v>
      </c>
      <c r="D11" s="398" t="s">
        <v>388</v>
      </c>
      <c r="E11" s="416">
        <f>'Входящие данные'!D17</f>
        <v>74.63</v>
      </c>
      <c r="F11" s="400" t="s">
        <v>393</v>
      </c>
      <c r="G11" s="389"/>
    </row>
    <row r="12" spans="2:8">
      <c r="B12" s="391"/>
      <c r="C12" s="397">
        <f t="shared" si="0"/>
        <v>7</v>
      </c>
      <c r="D12" s="398" t="s">
        <v>389</v>
      </c>
      <c r="E12" s="399">
        <f>'Инвестиции на орг-цию бизнеса'!D11</f>
        <v>935000</v>
      </c>
      <c r="F12" s="400" t="s">
        <v>393</v>
      </c>
      <c r="G12" s="389"/>
    </row>
    <row r="13" spans="2:8" ht="30">
      <c r="B13" s="391"/>
      <c r="C13" s="397">
        <f t="shared" si="0"/>
        <v>8</v>
      </c>
      <c r="D13" s="398" t="s">
        <v>367</v>
      </c>
      <c r="E13" s="399" t="s">
        <v>368</v>
      </c>
      <c r="F13" s="400" t="s">
        <v>393</v>
      </c>
      <c r="G13" s="389"/>
    </row>
    <row r="14" spans="2:8">
      <c r="B14" s="391"/>
      <c r="C14" s="397">
        <f t="shared" si="0"/>
        <v>9</v>
      </c>
      <c r="D14" s="398" t="s">
        <v>369</v>
      </c>
      <c r="E14" s="399" t="s">
        <v>370</v>
      </c>
      <c r="F14" s="401"/>
      <c r="G14" s="389"/>
    </row>
    <row r="15" spans="2:8" ht="30">
      <c r="B15" s="391"/>
      <c r="C15" s="397">
        <f t="shared" si="0"/>
        <v>10</v>
      </c>
      <c r="D15" s="398" t="s">
        <v>83</v>
      </c>
      <c r="E15" s="399" t="s">
        <v>371</v>
      </c>
      <c r="F15" s="400" t="s">
        <v>393</v>
      </c>
      <c r="G15" s="389"/>
    </row>
    <row r="16" spans="2:8" ht="30">
      <c r="B16" s="391"/>
      <c r="C16" s="397">
        <f t="shared" si="0"/>
        <v>11</v>
      </c>
      <c r="D16" s="398" t="s">
        <v>372</v>
      </c>
      <c r="E16" s="417">
        <f>'Входящие данные'!D18</f>
        <v>0.34710000000000002</v>
      </c>
      <c r="F16" s="400" t="s">
        <v>393</v>
      </c>
      <c r="G16" s="389"/>
    </row>
    <row r="17" spans="2:11" ht="30">
      <c r="B17" s="391"/>
      <c r="C17" s="397">
        <f t="shared" si="0"/>
        <v>12</v>
      </c>
      <c r="D17" s="398" t="s">
        <v>409</v>
      </c>
      <c r="E17" s="417" t="str">
        <f>'Входящие данные'!D13</f>
        <v>OP-300 Maxio Ceph, 150*80 мм с цефалостатом</v>
      </c>
      <c r="F17" s="400" t="s">
        <v>393</v>
      </c>
      <c r="G17" s="389"/>
    </row>
    <row r="18" spans="2:11">
      <c r="B18" s="391"/>
      <c r="C18" s="397">
        <f t="shared" si="0"/>
        <v>13</v>
      </c>
      <c r="D18" s="398" t="s">
        <v>373</v>
      </c>
      <c r="E18" s="399" t="s">
        <v>374</v>
      </c>
      <c r="F18" s="401"/>
      <c r="G18" s="389"/>
      <c r="K18" s="387"/>
    </row>
    <row r="19" spans="2:11" ht="30">
      <c r="B19" s="391"/>
      <c r="C19" s="397">
        <f t="shared" si="0"/>
        <v>14</v>
      </c>
      <c r="D19" s="398" t="s">
        <v>375</v>
      </c>
      <c r="E19" s="399" t="s">
        <v>376</v>
      </c>
      <c r="F19" s="401"/>
      <c r="G19" s="389"/>
    </row>
    <row r="20" spans="2:11" ht="30">
      <c r="B20" s="391"/>
      <c r="C20" s="397">
        <f t="shared" si="0"/>
        <v>15</v>
      </c>
      <c r="D20" s="398" t="s">
        <v>377</v>
      </c>
      <c r="E20" s="399" t="s">
        <v>378</v>
      </c>
      <c r="F20" s="401"/>
      <c r="G20" s="389"/>
    </row>
    <row r="21" spans="2:11" ht="45">
      <c r="B21" s="391"/>
      <c r="C21" s="397">
        <f t="shared" si="0"/>
        <v>16</v>
      </c>
      <c r="D21" s="398" t="s">
        <v>379</v>
      </c>
      <c r="E21" s="399" t="s">
        <v>380</v>
      </c>
      <c r="F21" s="401"/>
      <c r="G21" s="389"/>
    </row>
    <row r="22" spans="2:11" ht="45">
      <c r="B22" s="391"/>
      <c r="C22" s="397">
        <f t="shared" si="0"/>
        <v>17</v>
      </c>
      <c r="D22" s="398" t="s">
        <v>381</v>
      </c>
      <c r="E22" s="399" t="s">
        <v>382</v>
      </c>
      <c r="F22" s="401"/>
      <c r="G22" s="389"/>
    </row>
    <row r="23" spans="2:11" ht="45">
      <c r="B23" s="391"/>
      <c r="C23" s="397">
        <f t="shared" si="0"/>
        <v>18</v>
      </c>
      <c r="D23" s="398" t="s">
        <v>383</v>
      </c>
      <c r="E23" s="399" t="s">
        <v>382</v>
      </c>
      <c r="F23" s="401"/>
      <c r="G23" s="389"/>
    </row>
    <row r="24" spans="2:11" ht="30">
      <c r="B24" s="391"/>
      <c r="C24" s="397">
        <f t="shared" si="0"/>
        <v>19</v>
      </c>
      <c r="D24" s="398" t="s">
        <v>384</v>
      </c>
      <c r="E24" s="399" t="s">
        <v>385</v>
      </c>
      <c r="F24" s="401"/>
      <c r="G24" s="389"/>
    </row>
    <row r="25" spans="2:11">
      <c r="B25" s="391"/>
      <c r="C25" s="397">
        <f t="shared" si="0"/>
        <v>20</v>
      </c>
      <c r="D25" s="398" t="s">
        <v>161</v>
      </c>
      <c r="E25" s="403">
        <f>Глосарй!I7</f>
        <v>7.2499999999999995E-2</v>
      </c>
      <c r="F25" s="401"/>
      <c r="G25" s="389"/>
    </row>
    <row r="26" spans="2:11" ht="15.75" thickBot="1">
      <c r="B26" s="391"/>
      <c r="C26" s="397">
        <f t="shared" si="0"/>
        <v>21</v>
      </c>
      <c r="D26" s="404" t="s">
        <v>156</v>
      </c>
      <c r="E26" s="405">
        <f>Глосарй!I8</f>
        <v>4.5999999999999999E-2</v>
      </c>
      <c r="F26" s="406"/>
      <c r="G26" s="389"/>
    </row>
    <row r="27" spans="2:11" ht="15.75" thickBot="1">
      <c r="B27" s="392"/>
      <c r="C27" s="393"/>
      <c r="D27" s="393"/>
      <c r="E27" s="393"/>
      <c r="F27" s="393"/>
      <c r="G27" s="390"/>
    </row>
  </sheetData>
  <mergeCells count="2">
    <mergeCell ref="B3:G3"/>
    <mergeCell ref="B4:G4"/>
  </mergeCells>
  <pageMargins left="0.7" right="0.7" top="0.75" bottom="0.75" header="0.3" footer="0.3"/>
  <pageSetup paperSize="9" scale="67" orientation="portrait" r:id="rId1"/>
  <drawing r:id="rId2"/>
</worksheet>
</file>

<file path=xl/worksheets/sheet12.xml><?xml version="1.0" encoding="utf-8"?>
<worksheet xmlns="http://schemas.openxmlformats.org/spreadsheetml/2006/main" xmlns:r="http://schemas.openxmlformats.org/officeDocument/2006/relationships">
  <dimension ref="B1:J22"/>
  <sheetViews>
    <sheetView view="pageBreakPreview" zoomScaleNormal="55" zoomScaleSheetLayoutView="100" workbookViewId="0">
      <selection activeCell="C6" sqref="C6:C11"/>
    </sheetView>
  </sheetViews>
  <sheetFormatPr defaultColWidth="9.28515625" defaultRowHeight="15" outlineLevelCol="1"/>
  <cols>
    <col min="1" max="2" width="9.28515625" style="118"/>
    <col min="3" max="3" width="28.28515625" style="118" customWidth="1"/>
    <col min="4" max="4" width="125.7109375" style="119" bestFit="1" customWidth="1"/>
    <col min="5" max="5" width="15.28515625" style="118" hidden="1" customWidth="1" outlineLevel="1"/>
    <col min="6" max="6" width="35.7109375" style="118" hidden="1" customWidth="1" outlineLevel="1"/>
    <col min="7" max="7" width="20.28515625" style="118" hidden="1" customWidth="1" outlineLevel="1"/>
    <col min="8" max="8" width="24.7109375" style="118" hidden="1" customWidth="1" outlineLevel="1"/>
    <col min="9" max="9" width="9.28515625" style="118" hidden="1" customWidth="1" outlineLevel="1"/>
    <col min="10" max="10" width="9.28515625" style="118" collapsed="1"/>
    <col min="11" max="16384" width="9.28515625" style="118"/>
  </cols>
  <sheetData>
    <row r="1" spans="2:10" ht="15.75" thickBot="1"/>
    <row r="2" spans="2:10">
      <c r="B2" s="4"/>
      <c r="C2" s="15"/>
      <c r="D2" s="15"/>
      <c r="E2" s="15"/>
      <c r="F2" s="15"/>
      <c r="G2" s="15"/>
      <c r="H2" s="15"/>
      <c r="I2" s="15"/>
      <c r="J2" s="16"/>
    </row>
    <row r="3" spans="2:10" ht="20.25">
      <c r="B3" s="487" t="s">
        <v>279</v>
      </c>
      <c r="C3" s="488"/>
      <c r="D3" s="488"/>
      <c r="E3" s="488"/>
      <c r="F3" s="488"/>
      <c r="G3" s="488"/>
      <c r="H3" s="488"/>
      <c r="I3" s="488"/>
      <c r="J3" s="489"/>
    </row>
    <row r="4" spans="2:10" ht="20.25">
      <c r="B4" s="487" t="str">
        <f>'План по выручке'!B4:CZ4</f>
        <v>по франшизе "АКСИОМА"</v>
      </c>
      <c r="C4" s="488"/>
      <c r="D4" s="488"/>
      <c r="E4" s="488"/>
      <c r="F4" s="488"/>
      <c r="G4" s="488"/>
      <c r="H4" s="488"/>
      <c r="I4" s="488"/>
      <c r="J4" s="489"/>
    </row>
    <row r="5" spans="2:10" ht="128.25" customHeight="1" thickBot="1">
      <c r="B5" s="8"/>
      <c r="C5" s="31"/>
      <c r="D5" s="31"/>
      <c r="E5" s="31"/>
      <c r="F5" s="31"/>
      <c r="G5" s="31"/>
      <c r="H5" s="31"/>
      <c r="I5" s="31"/>
      <c r="J5" s="10"/>
    </row>
    <row r="6" spans="2:10" ht="15.75">
      <c r="B6" s="8"/>
      <c r="C6" s="534" t="s">
        <v>168</v>
      </c>
      <c r="D6" s="269" t="s">
        <v>167</v>
      </c>
      <c r="E6" s="532" t="s">
        <v>166</v>
      </c>
      <c r="F6" s="532"/>
      <c r="G6" s="533"/>
      <c r="H6" s="536"/>
      <c r="I6" s="537"/>
      <c r="J6" s="10"/>
    </row>
    <row r="7" spans="2:10" ht="31.5">
      <c r="B7" s="8"/>
      <c r="C7" s="535"/>
      <c r="D7" s="270" t="s">
        <v>165</v>
      </c>
      <c r="E7" s="134" t="s">
        <v>164</v>
      </c>
      <c r="F7" s="135" t="s">
        <v>163</v>
      </c>
      <c r="G7" s="135" t="s">
        <v>162</v>
      </c>
      <c r="H7" s="136" t="s">
        <v>161</v>
      </c>
      <c r="I7" s="388">
        <v>7.2499999999999995E-2</v>
      </c>
      <c r="J7" s="10"/>
    </row>
    <row r="8" spans="2:10" ht="47.25">
      <c r="B8" s="8"/>
      <c r="C8" s="535"/>
      <c r="D8" s="270" t="s">
        <v>160</v>
      </c>
      <c r="E8" s="115" t="s">
        <v>159</v>
      </c>
      <c r="F8" s="114" t="s">
        <v>158</v>
      </c>
      <c r="G8" s="117" t="s">
        <v>157</v>
      </c>
      <c r="H8" s="136" t="s">
        <v>156</v>
      </c>
      <c r="I8" s="388">
        <v>4.5999999999999999E-2</v>
      </c>
      <c r="J8" s="10"/>
    </row>
    <row r="9" spans="2:10" ht="31.5">
      <c r="B9" s="8"/>
      <c r="C9" s="535"/>
      <c r="D9" s="538" t="s">
        <v>155</v>
      </c>
      <c r="E9" s="134" t="s">
        <v>154</v>
      </c>
      <c r="F9" s="113" t="s">
        <v>153</v>
      </c>
      <c r="G9" s="116" t="s">
        <v>152</v>
      </c>
      <c r="H9" s="265"/>
      <c r="I9" s="265"/>
      <c r="J9" s="10"/>
    </row>
    <row r="10" spans="2:10" ht="31.5">
      <c r="B10" s="8"/>
      <c r="C10" s="535"/>
      <c r="D10" s="538"/>
      <c r="E10" s="115" t="s">
        <v>151</v>
      </c>
      <c r="F10" s="114" t="s">
        <v>150</v>
      </c>
      <c r="G10" s="114" t="s">
        <v>149</v>
      </c>
      <c r="H10" s="265"/>
      <c r="I10" s="265"/>
      <c r="J10" s="10"/>
    </row>
    <row r="11" spans="2:10" ht="49.5" customHeight="1">
      <c r="B11" s="8"/>
      <c r="C11" s="535"/>
      <c r="D11" s="538"/>
      <c r="E11" s="134" t="s">
        <v>148</v>
      </c>
      <c r="F11" s="113" t="s">
        <v>147</v>
      </c>
      <c r="G11" s="113" t="s">
        <v>146</v>
      </c>
      <c r="H11" s="265"/>
      <c r="I11" s="265"/>
      <c r="J11" s="10"/>
    </row>
    <row r="12" spans="2:10" ht="47.25">
      <c r="B12" s="8"/>
      <c r="C12" s="535" t="s">
        <v>145</v>
      </c>
      <c r="D12" s="270" t="s">
        <v>144</v>
      </c>
      <c r="E12" s="265"/>
      <c r="F12" s="265"/>
      <c r="G12" s="265"/>
      <c r="H12" s="265"/>
      <c r="I12" s="265"/>
      <c r="J12" s="10"/>
    </row>
    <row r="13" spans="2:10" ht="31.5">
      <c r="B13" s="8"/>
      <c r="C13" s="535"/>
      <c r="D13" s="270" t="s">
        <v>143</v>
      </c>
      <c r="E13" s="265"/>
      <c r="F13" s="265"/>
      <c r="G13" s="265"/>
      <c r="H13" s="265"/>
      <c r="I13" s="265"/>
      <c r="J13" s="10"/>
    </row>
    <row r="14" spans="2:10" ht="47.25">
      <c r="B14" s="8"/>
      <c r="C14" s="535"/>
      <c r="D14" s="270" t="s">
        <v>142</v>
      </c>
      <c r="E14" s="265"/>
      <c r="F14" s="265"/>
      <c r="G14" s="265"/>
      <c r="H14" s="265"/>
      <c r="I14" s="265"/>
      <c r="J14" s="10"/>
    </row>
    <row r="15" spans="2:10" ht="15.75">
      <c r="B15" s="8"/>
      <c r="C15" s="535"/>
      <c r="D15" s="271" t="s">
        <v>141</v>
      </c>
      <c r="E15" s="265"/>
      <c r="F15" s="265"/>
      <c r="G15" s="265"/>
      <c r="H15" s="265"/>
      <c r="I15" s="265"/>
      <c r="J15" s="10"/>
    </row>
    <row r="16" spans="2:10" ht="15.75">
      <c r="B16" s="8"/>
      <c r="C16" s="535"/>
      <c r="D16" s="271" t="s">
        <v>140</v>
      </c>
      <c r="E16" s="265"/>
      <c r="F16" s="265"/>
      <c r="G16" s="265"/>
      <c r="H16" s="265"/>
      <c r="I16" s="265"/>
      <c r="J16" s="10"/>
    </row>
    <row r="17" spans="2:10" ht="15.75">
      <c r="B17" s="8"/>
      <c r="C17" s="535"/>
      <c r="D17" s="271" t="s">
        <v>139</v>
      </c>
      <c r="E17" s="265"/>
      <c r="F17" s="265"/>
      <c r="G17" s="265"/>
      <c r="H17" s="265"/>
      <c r="I17" s="265"/>
      <c r="J17" s="10"/>
    </row>
    <row r="18" spans="2:10" ht="101.25">
      <c r="B18" s="8"/>
      <c r="C18" s="274" t="s">
        <v>138</v>
      </c>
      <c r="D18" s="270" t="s">
        <v>137</v>
      </c>
      <c r="E18" s="265"/>
      <c r="F18" s="265"/>
      <c r="G18" s="265"/>
      <c r="H18" s="265"/>
      <c r="I18" s="265"/>
      <c r="J18" s="10"/>
    </row>
    <row r="19" spans="2:10" ht="63">
      <c r="B19" s="8"/>
      <c r="C19" s="274" t="s">
        <v>136</v>
      </c>
      <c r="D19" s="270" t="s">
        <v>135</v>
      </c>
      <c r="E19" s="265"/>
      <c r="F19" s="265"/>
      <c r="G19" s="265"/>
      <c r="H19" s="265"/>
      <c r="I19" s="265"/>
      <c r="J19" s="10"/>
    </row>
    <row r="20" spans="2:10" ht="81">
      <c r="B20" s="8"/>
      <c r="C20" s="274" t="s">
        <v>56</v>
      </c>
      <c r="D20" s="270" t="s">
        <v>134</v>
      </c>
      <c r="E20" s="265"/>
      <c r="F20" s="265"/>
      <c r="G20" s="265"/>
      <c r="H20" s="265"/>
      <c r="I20" s="265"/>
      <c r="J20" s="10"/>
    </row>
    <row r="21" spans="2:10" ht="81.75" thickBot="1">
      <c r="B21" s="8"/>
      <c r="C21" s="275" t="s">
        <v>133</v>
      </c>
      <c r="D21" s="272" t="s">
        <v>132</v>
      </c>
      <c r="E21" s="265"/>
      <c r="F21" s="265"/>
      <c r="G21" s="265"/>
      <c r="H21" s="265"/>
      <c r="I21" s="265"/>
      <c r="J21" s="10"/>
    </row>
    <row r="22" spans="2:10" ht="15.75" thickBot="1">
      <c r="B22" s="266"/>
      <c r="C22" s="267"/>
      <c r="D22" s="267"/>
      <c r="E22" s="267"/>
      <c r="F22" s="267"/>
      <c r="G22" s="267"/>
      <c r="H22" s="267"/>
      <c r="I22" s="267"/>
      <c r="J22" s="268"/>
    </row>
  </sheetData>
  <mergeCells count="7">
    <mergeCell ref="B3:J3"/>
    <mergeCell ref="B4:J4"/>
    <mergeCell ref="E6:G6"/>
    <mergeCell ref="C6:C11"/>
    <mergeCell ref="C12:C17"/>
    <mergeCell ref="H6:I6"/>
    <mergeCell ref="D9:D11"/>
  </mergeCells>
  <pageMargins left="0.7" right="0.7" top="0.75" bottom="0.75" header="0.3" footer="0.3"/>
  <pageSetup paperSize="9" scale="48" orientation="portrait" r:id="rId1"/>
  <drawing r:id="rId2"/>
</worksheet>
</file>

<file path=xl/worksheets/sheet13.xml><?xml version="1.0" encoding="utf-8"?>
<worksheet xmlns="http://schemas.openxmlformats.org/spreadsheetml/2006/main" xmlns:r="http://schemas.openxmlformats.org/officeDocument/2006/relationships">
  <sheetPr>
    <tabColor rgb="FFFFFF00"/>
  </sheetPr>
  <dimension ref="C1:H6"/>
  <sheetViews>
    <sheetView workbookViewId="0">
      <selection activeCell="B23" sqref="B23"/>
    </sheetView>
  </sheetViews>
  <sheetFormatPr defaultRowHeight="15"/>
  <cols>
    <col min="3" max="5" width="47.28515625" customWidth="1"/>
    <col min="6" max="8" width="26" customWidth="1"/>
  </cols>
  <sheetData>
    <row r="1" spans="3:8">
      <c r="D1">
        <v>6</v>
      </c>
      <c r="E1">
        <v>12</v>
      </c>
      <c r="F1">
        <v>6</v>
      </c>
      <c r="G1">
        <v>12</v>
      </c>
    </row>
    <row r="2" spans="3:8" s="457" customFormat="1">
      <c r="C2" s="455"/>
      <c r="D2" s="456" t="s">
        <v>408</v>
      </c>
      <c r="E2" s="456" t="s">
        <v>407</v>
      </c>
      <c r="F2" s="456" t="s">
        <v>406</v>
      </c>
      <c r="G2" s="456" t="s">
        <v>405</v>
      </c>
      <c r="H2" s="456">
        <v>1</v>
      </c>
    </row>
    <row r="3" spans="3:8" ht="31.5">
      <c r="C3" s="452" t="s">
        <v>411</v>
      </c>
      <c r="D3" s="453">
        <v>71700</v>
      </c>
      <c r="E3" s="453">
        <v>72900</v>
      </c>
      <c r="F3" s="453">
        <v>71780</v>
      </c>
      <c r="G3" s="453">
        <v>73250</v>
      </c>
      <c r="H3" s="453">
        <v>70700</v>
      </c>
    </row>
    <row r="4" spans="3:8" ht="31.5">
      <c r="C4" s="452" t="s">
        <v>412</v>
      </c>
      <c r="D4" s="453">
        <v>64400</v>
      </c>
      <c r="E4" s="453">
        <v>65500</v>
      </c>
      <c r="F4" s="453">
        <v>64500</v>
      </c>
      <c r="G4" s="453">
        <v>65800</v>
      </c>
      <c r="H4" s="453">
        <v>63500</v>
      </c>
    </row>
    <row r="5" spans="3:8" ht="15.75">
      <c r="C5" s="452" t="s">
        <v>413</v>
      </c>
      <c r="D5" s="453">
        <v>65500</v>
      </c>
      <c r="E5" s="453">
        <v>66600</v>
      </c>
      <c r="F5" s="453">
        <v>65600</v>
      </c>
      <c r="G5" s="453">
        <v>67000</v>
      </c>
      <c r="H5" s="453">
        <v>64600</v>
      </c>
    </row>
    <row r="6" spans="3:8" ht="15.75">
      <c r="C6" s="452" t="s">
        <v>414</v>
      </c>
      <c r="D6" s="453">
        <v>58150</v>
      </c>
      <c r="E6" s="453">
        <v>59200</v>
      </c>
      <c r="F6" s="453">
        <v>58300</v>
      </c>
      <c r="G6" s="453">
        <v>59500</v>
      </c>
      <c r="H6" s="453">
        <v>57400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FFFF00"/>
  </sheetPr>
  <dimension ref="B1:M130"/>
  <sheetViews>
    <sheetView workbookViewId="0">
      <selection activeCell="L12" sqref="L12"/>
    </sheetView>
  </sheetViews>
  <sheetFormatPr defaultRowHeight="15"/>
  <cols>
    <col min="2" max="3" width="9.28515625" style="96"/>
    <col min="10" max="10" width="23.5703125" customWidth="1"/>
    <col min="12" max="12" width="23.28515625" bestFit="1" customWidth="1"/>
    <col min="13" max="13" width="10.5703125" bestFit="1" customWidth="1"/>
    <col min="14" max="14" width="21.42578125" bestFit="1" customWidth="1"/>
  </cols>
  <sheetData>
    <row r="1" spans="2:13" ht="26.25">
      <c r="B1" s="98" t="s">
        <v>119</v>
      </c>
      <c r="C1" s="98">
        <v>1</v>
      </c>
      <c r="D1" s="98" t="s">
        <v>119</v>
      </c>
      <c r="F1" s="106" t="s">
        <v>120</v>
      </c>
      <c r="G1" s="105">
        <f>AVERAGE(G2:G13)</f>
        <v>1</v>
      </c>
      <c r="I1" s="104" t="s">
        <v>84</v>
      </c>
      <c r="J1" s="103" t="s">
        <v>361</v>
      </c>
    </row>
    <row r="2" spans="2:13">
      <c r="B2" s="98" t="s">
        <v>118</v>
      </c>
      <c r="C2" s="98">
        <v>2</v>
      </c>
      <c r="D2" s="98" t="s">
        <v>118</v>
      </c>
      <c r="E2">
        <v>1</v>
      </c>
      <c r="F2" s="101" t="s">
        <v>119</v>
      </c>
      <c r="G2" s="99">
        <v>0.9331227860526653</v>
      </c>
      <c r="I2" s="102">
        <v>1</v>
      </c>
      <c r="J2" s="121">
        <v>0.25</v>
      </c>
    </row>
    <row r="3" spans="2:13">
      <c r="B3" s="98" t="s">
        <v>117</v>
      </c>
      <c r="C3" s="98">
        <v>3</v>
      </c>
      <c r="D3" s="98" t="s">
        <v>117</v>
      </c>
      <c r="E3">
        <v>2</v>
      </c>
      <c r="F3" s="101" t="s">
        <v>118</v>
      </c>
      <c r="G3" s="99">
        <v>0.99457983013955875</v>
      </c>
      <c r="I3" s="102">
        <v>2</v>
      </c>
      <c r="J3" s="99">
        <f>J2+5%</f>
        <v>0.3</v>
      </c>
    </row>
    <row r="4" spans="2:13">
      <c r="B4" s="98" t="s">
        <v>116</v>
      </c>
      <c r="C4" s="98">
        <v>4</v>
      </c>
      <c r="D4" s="98" t="s">
        <v>116</v>
      </c>
      <c r="E4">
        <v>3</v>
      </c>
      <c r="F4" s="101" t="s">
        <v>117</v>
      </c>
      <c r="G4" s="99">
        <v>0.91980709316717169</v>
      </c>
      <c r="I4" s="102">
        <v>3</v>
      </c>
      <c r="J4" s="99">
        <f t="shared" ref="J4:J15" si="0">J3+5%</f>
        <v>0.35</v>
      </c>
    </row>
    <row r="5" spans="2:13">
      <c r="B5" s="98" t="s">
        <v>115</v>
      </c>
      <c r="C5" s="98">
        <v>5</v>
      </c>
      <c r="D5" s="98" t="s">
        <v>115</v>
      </c>
      <c r="E5">
        <f t="shared" ref="E5:E17" si="1">E4+1</f>
        <v>4</v>
      </c>
      <c r="F5" s="101" t="s">
        <v>116</v>
      </c>
      <c r="G5" s="99">
        <v>0.99457983013955875</v>
      </c>
      <c r="I5" s="102">
        <v>4</v>
      </c>
      <c r="J5" s="99">
        <f t="shared" si="0"/>
        <v>0.39999999999999997</v>
      </c>
    </row>
    <row r="6" spans="2:13">
      <c r="B6" s="98" t="s">
        <v>114</v>
      </c>
      <c r="C6" s="98">
        <v>6</v>
      </c>
      <c r="D6" s="98" t="s">
        <v>114</v>
      </c>
      <c r="E6">
        <f t="shared" si="1"/>
        <v>5</v>
      </c>
      <c r="F6" s="101" t="s">
        <v>115</v>
      </c>
      <c r="G6" s="99">
        <v>1.0703768511800607</v>
      </c>
      <c r="I6" s="102">
        <v>5</v>
      </c>
      <c r="J6" s="99">
        <f t="shared" si="0"/>
        <v>0.44999999999999996</v>
      </c>
    </row>
    <row r="7" spans="2:13">
      <c r="B7" s="98" t="s">
        <v>113</v>
      </c>
      <c r="C7" s="98">
        <v>7</v>
      </c>
      <c r="D7" s="98" t="s">
        <v>113</v>
      </c>
      <c r="E7">
        <f t="shared" si="1"/>
        <v>6</v>
      </c>
      <c r="F7" s="101" t="s">
        <v>114</v>
      </c>
      <c r="G7" s="99">
        <v>0.99560411420767359</v>
      </c>
      <c r="I7" s="102">
        <v>6</v>
      </c>
      <c r="J7" s="99">
        <f t="shared" si="0"/>
        <v>0.49999999999999994</v>
      </c>
    </row>
    <row r="8" spans="2:13">
      <c r="B8" s="98" t="s">
        <v>112</v>
      </c>
      <c r="C8" s="98">
        <v>8</v>
      </c>
      <c r="D8" s="98" t="s">
        <v>112</v>
      </c>
      <c r="E8">
        <f t="shared" si="1"/>
        <v>7</v>
      </c>
      <c r="F8" s="101" t="s">
        <v>113</v>
      </c>
      <c r="G8" s="99">
        <v>1.0145533694677991</v>
      </c>
      <c r="I8" s="102">
        <v>7</v>
      </c>
      <c r="J8" s="99">
        <f t="shared" si="0"/>
        <v>0.54999999999999993</v>
      </c>
    </row>
    <row r="9" spans="2:13">
      <c r="B9" s="98" t="s">
        <v>111</v>
      </c>
      <c r="C9" s="98">
        <v>9</v>
      </c>
      <c r="D9" s="98" t="s">
        <v>111</v>
      </c>
      <c r="E9">
        <f t="shared" si="1"/>
        <v>8</v>
      </c>
      <c r="F9" s="101" t="s">
        <v>112</v>
      </c>
      <c r="G9" s="99">
        <v>1.0790832657590372</v>
      </c>
      <c r="I9" s="102">
        <v>8</v>
      </c>
      <c r="J9" s="99">
        <f t="shared" si="0"/>
        <v>0.6</v>
      </c>
    </row>
    <row r="10" spans="2:13">
      <c r="B10" s="98" t="s">
        <v>110</v>
      </c>
      <c r="C10" s="98">
        <v>10</v>
      </c>
      <c r="D10" s="98" t="s">
        <v>110</v>
      </c>
      <c r="E10">
        <f t="shared" si="1"/>
        <v>9</v>
      </c>
      <c r="F10" s="101" t="s">
        <v>111</v>
      </c>
      <c r="G10" s="99">
        <v>1.0329904826938672</v>
      </c>
      <c r="I10" s="102">
        <v>9</v>
      </c>
      <c r="J10" s="99">
        <f t="shared" si="0"/>
        <v>0.65</v>
      </c>
    </row>
    <row r="11" spans="2:13">
      <c r="B11" s="98" t="s">
        <v>109</v>
      </c>
      <c r="C11" s="98">
        <v>11</v>
      </c>
      <c r="D11" s="98" t="s">
        <v>109</v>
      </c>
      <c r="E11">
        <f t="shared" si="1"/>
        <v>10</v>
      </c>
      <c r="F11" s="101" t="s">
        <v>110</v>
      </c>
      <c r="G11" s="99">
        <v>1.0703768511800607</v>
      </c>
      <c r="I11" s="102">
        <v>10</v>
      </c>
      <c r="J11" s="99">
        <f t="shared" si="0"/>
        <v>0.70000000000000007</v>
      </c>
    </row>
    <row r="12" spans="2:13">
      <c r="B12" s="98" t="s">
        <v>108</v>
      </c>
      <c r="C12" s="98">
        <v>12</v>
      </c>
      <c r="D12" s="98" t="s">
        <v>108</v>
      </c>
      <c r="E12">
        <f t="shared" si="1"/>
        <v>11</v>
      </c>
      <c r="F12" s="101" t="s">
        <v>109</v>
      </c>
      <c r="G12" s="99">
        <v>0.98843412573086942</v>
      </c>
      <c r="I12" s="102">
        <v>11</v>
      </c>
      <c r="J12" s="99">
        <f t="shared" si="0"/>
        <v>0.75000000000000011</v>
      </c>
    </row>
    <row r="13" spans="2:13">
      <c r="B13" s="98" t="s">
        <v>119</v>
      </c>
      <c r="C13" s="98">
        <v>13</v>
      </c>
      <c r="D13" s="98" t="s">
        <v>119</v>
      </c>
      <c r="E13">
        <f t="shared" si="1"/>
        <v>12</v>
      </c>
      <c r="F13" s="101" t="s">
        <v>108</v>
      </c>
      <c r="G13" s="99">
        <v>0.90649140028167818</v>
      </c>
      <c r="I13" s="102">
        <v>12</v>
      </c>
      <c r="J13" s="99">
        <f t="shared" si="0"/>
        <v>0.80000000000000016</v>
      </c>
    </row>
    <row r="14" spans="2:13">
      <c r="B14" s="98" t="s">
        <v>118</v>
      </c>
      <c r="C14" s="98">
        <v>14</v>
      </c>
      <c r="D14" s="98" t="s">
        <v>118</v>
      </c>
      <c r="E14">
        <f t="shared" si="1"/>
        <v>13</v>
      </c>
      <c r="F14" s="101" t="s">
        <v>119</v>
      </c>
      <c r="I14" s="102">
        <v>13</v>
      </c>
      <c r="J14" s="99">
        <f t="shared" si="0"/>
        <v>0.8500000000000002</v>
      </c>
    </row>
    <row r="15" spans="2:13">
      <c r="B15" s="98" t="s">
        <v>117</v>
      </c>
      <c r="C15" s="98">
        <v>15</v>
      </c>
      <c r="D15" s="98" t="s">
        <v>117</v>
      </c>
      <c r="E15">
        <f t="shared" si="1"/>
        <v>14</v>
      </c>
      <c r="F15" s="101" t="s">
        <v>118</v>
      </c>
      <c r="I15" s="102">
        <v>14</v>
      </c>
      <c r="J15" s="99">
        <f t="shared" si="0"/>
        <v>0.90000000000000024</v>
      </c>
      <c r="L15" s="102" t="s">
        <v>362</v>
      </c>
      <c r="M15" s="102">
        <v>900</v>
      </c>
    </row>
    <row r="16" spans="2:13">
      <c r="B16" s="98" t="s">
        <v>116</v>
      </c>
      <c r="C16" s="98">
        <v>16</v>
      </c>
      <c r="D16" s="98" t="s">
        <v>116</v>
      </c>
      <c r="E16">
        <f t="shared" si="1"/>
        <v>15</v>
      </c>
      <c r="F16" s="101" t="s">
        <v>117</v>
      </c>
      <c r="I16" s="102">
        <v>15</v>
      </c>
      <c r="J16" s="99">
        <v>0.90000000000000024</v>
      </c>
      <c r="K16" s="120"/>
      <c r="L16" s="102" t="s">
        <v>360</v>
      </c>
      <c r="M16" s="102">
        <v>1300</v>
      </c>
    </row>
    <row r="17" spans="2:13">
      <c r="B17" s="98" t="s">
        <v>115</v>
      </c>
      <c r="C17" s="98">
        <v>17</v>
      </c>
      <c r="D17" s="98" t="s">
        <v>115</v>
      </c>
      <c r="E17">
        <f t="shared" si="1"/>
        <v>16</v>
      </c>
      <c r="F17" s="101" t="s">
        <v>116</v>
      </c>
      <c r="I17" s="102">
        <v>16</v>
      </c>
      <c r="J17" s="99">
        <v>0.90000000000000024</v>
      </c>
    </row>
    <row r="18" spans="2:13">
      <c r="B18" s="98" t="s">
        <v>114</v>
      </c>
      <c r="C18" s="98">
        <v>18</v>
      </c>
      <c r="D18" s="98" t="s">
        <v>114</v>
      </c>
      <c r="E18">
        <v>23</v>
      </c>
      <c r="F18" s="101" t="s">
        <v>115</v>
      </c>
      <c r="I18" s="100">
        <v>17</v>
      </c>
      <c r="J18" s="99">
        <v>0.90000000000000024</v>
      </c>
      <c r="L18" s="386" t="str">
        <f>'Входящие данные'!D11</f>
        <v>Оптимистичный вариант</v>
      </c>
    </row>
    <row r="19" spans="2:13">
      <c r="B19" s="98" t="s">
        <v>113</v>
      </c>
      <c r="C19" s="98">
        <v>19</v>
      </c>
      <c r="D19" s="98" t="s">
        <v>113</v>
      </c>
      <c r="E19">
        <v>24</v>
      </c>
      <c r="F19" s="101" t="s">
        <v>114</v>
      </c>
      <c r="I19" s="100">
        <v>18</v>
      </c>
      <c r="J19" s="99">
        <v>0.90000000000000024</v>
      </c>
      <c r="L19" s="102" t="s">
        <v>359</v>
      </c>
      <c r="M19" s="384">
        <f>VLOOKUP($L$18,$L$15:$M$16,2,0)</f>
        <v>1300</v>
      </c>
    </row>
    <row r="20" spans="2:13">
      <c r="B20" s="98" t="s">
        <v>112</v>
      </c>
      <c r="C20" s="98">
        <v>20</v>
      </c>
      <c r="D20" s="98" t="s">
        <v>112</v>
      </c>
      <c r="E20">
        <v>25</v>
      </c>
      <c r="F20" s="101" t="s">
        <v>113</v>
      </c>
      <c r="I20" s="100">
        <v>19</v>
      </c>
      <c r="J20" s="99">
        <v>0.9</v>
      </c>
      <c r="L20" s="102" t="s">
        <v>358</v>
      </c>
      <c r="M20" s="385">
        <v>900000</v>
      </c>
    </row>
    <row r="21" spans="2:13">
      <c r="B21" s="98" t="s">
        <v>111</v>
      </c>
      <c r="C21" s="98">
        <v>21</v>
      </c>
      <c r="D21" s="98" t="s">
        <v>111</v>
      </c>
      <c r="I21" s="100">
        <v>20</v>
      </c>
      <c r="J21" s="99">
        <v>0.9</v>
      </c>
    </row>
    <row r="22" spans="2:13">
      <c r="B22" s="98" t="s">
        <v>110</v>
      </c>
      <c r="C22" s="98">
        <v>22</v>
      </c>
      <c r="D22" s="98" t="s">
        <v>110</v>
      </c>
      <c r="I22" s="100">
        <v>21</v>
      </c>
      <c r="J22" s="99">
        <v>0.9</v>
      </c>
    </row>
    <row r="23" spans="2:13">
      <c r="B23" s="98" t="s">
        <v>109</v>
      </c>
      <c r="C23" s="98">
        <v>23</v>
      </c>
      <c r="D23" s="98" t="s">
        <v>109</v>
      </c>
      <c r="I23" s="100">
        <v>22</v>
      </c>
      <c r="J23" s="99">
        <v>0.9</v>
      </c>
    </row>
    <row r="24" spans="2:13">
      <c r="B24" s="98" t="s">
        <v>108</v>
      </c>
      <c r="C24" s="98">
        <v>24</v>
      </c>
      <c r="D24" s="98" t="s">
        <v>108</v>
      </c>
      <c r="I24" s="100">
        <v>23</v>
      </c>
      <c r="J24" s="99">
        <v>0.9</v>
      </c>
    </row>
    <row r="25" spans="2:13">
      <c r="B25" s="98" t="s">
        <v>119</v>
      </c>
      <c r="C25" s="98">
        <v>25</v>
      </c>
      <c r="D25" s="98" t="s">
        <v>119</v>
      </c>
      <c r="I25" s="100">
        <v>24</v>
      </c>
      <c r="J25" s="99">
        <v>0.9</v>
      </c>
    </row>
    <row r="26" spans="2:13">
      <c r="B26" s="98" t="s">
        <v>118</v>
      </c>
      <c r="C26" s="98">
        <v>26</v>
      </c>
      <c r="D26" s="98" t="s">
        <v>118</v>
      </c>
      <c r="I26" s="148">
        <v>25</v>
      </c>
      <c r="J26" s="149">
        <v>0.9</v>
      </c>
    </row>
    <row r="27" spans="2:13">
      <c r="B27" s="98" t="s">
        <v>117</v>
      </c>
      <c r="C27" s="98">
        <v>27</v>
      </c>
      <c r="D27" s="98" t="s">
        <v>117</v>
      </c>
    </row>
    <row r="28" spans="2:13">
      <c r="B28" s="98" t="s">
        <v>116</v>
      </c>
      <c r="C28" s="98">
        <v>28</v>
      </c>
      <c r="D28" s="98" t="s">
        <v>116</v>
      </c>
    </row>
    <row r="29" spans="2:13">
      <c r="B29" s="98" t="s">
        <v>115</v>
      </c>
      <c r="C29" s="98">
        <v>29</v>
      </c>
      <c r="D29" s="98" t="s">
        <v>115</v>
      </c>
    </row>
    <row r="30" spans="2:13">
      <c r="B30" s="98" t="s">
        <v>114</v>
      </c>
      <c r="C30" s="98">
        <v>30</v>
      </c>
      <c r="D30" s="98" t="s">
        <v>114</v>
      </c>
    </row>
    <row r="31" spans="2:13">
      <c r="B31" s="98" t="s">
        <v>113</v>
      </c>
      <c r="C31" s="98">
        <v>31</v>
      </c>
      <c r="D31" s="98" t="s">
        <v>113</v>
      </c>
    </row>
    <row r="32" spans="2:13">
      <c r="B32" s="98" t="s">
        <v>112</v>
      </c>
      <c r="C32" s="98">
        <v>32</v>
      </c>
      <c r="D32" s="98" t="s">
        <v>112</v>
      </c>
    </row>
    <row r="33" spans="2:4">
      <c r="B33" s="98" t="s">
        <v>111</v>
      </c>
      <c r="C33" s="98">
        <v>33</v>
      </c>
      <c r="D33" s="98" t="s">
        <v>111</v>
      </c>
    </row>
    <row r="34" spans="2:4">
      <c r="B34" s="98" t="s">
        <v>110</v>
      </c>
      <c r="C34" s="98">
        <v>34</v>
      </c>
      <c r="D34" s="98" t="s">
        <v>110</v>
      </c>
    </row>
    <row r="35" spans="2:4">
      <c r="B35" s="98" t="s">
        <v>109</v>
      </c>
      <c r="C35" s="98">
        <v>35</v>
      </c>
      <c r="D35" s="98" t="s">
        <v>109</v>
      </c>
    </row>
    <row r="36" spans="2:4">
      <c r="B36" s="98" t="s">
        <v>108</v>
      </c>
      <c r="C36" s="98">
        <v>36</v>
      </c>
      <c r="D36" s="98" t="s">
        <v>108</v>
      </c>
    </row>
    <row r="37" spans="2:4">
      <c r="B37" s="98" t="s">
        <v>119</v>
      </c>
      <c r="C37" s="98">
        <v>37</v>
      </c>
      <c r="D37" s="98" t="s">
        <v>119</v>
      </c>
    </row>
    <row r="38" spans="2:4">
      <c r="B38" s="98" t="s">
        <v>118</v>
      </c>
      <c r="C38" s="98">
        <v>38</v>
      </c>
      <c r="D38" s="98" t="s">
        <v>118</v>
      </c>
    </row>
    <row r="39" spans="2:4">
      <c r="B39" s="98" t="s">
        <v>117</v>
      </c>
      <c r="C39" s="98">
        <v>39</v>
      </c>
      <c r="D39" s="98" t="s">
        <v>117</v>
      </c>
    </row>
    <row r="40" spans="2:4">
      <c r="B40" s="98" t="s">
        <v>116</v>
      </c>
      <c r="C40" s="98">
        <v>40</v>
      </c>
      <c r="D40" s="98" t="s">
        <v>116</v>
      </c>
    </row>
    <row r="41" spans="2:4">
      <c r="B41" s="98" t="s">
        <v>115</v>
      </c>
      <c r="C41" s="98">
        <v>41</v>
      </c>
      <c r="D41" s="98" t="s">
        <v>115</v>
      </c>
    </row>
    <row r="42" spans="2:4">
      <c r="B42" s="98" t="s">
        <v>114</v>
      </c>
      <c r="C42" s="98">
        <v>42</v>
      </c>
      <c r="D42" s="98" t="s">
        <v>114</v>
      </c>
    </row>
    <row r="43" spans="2:4">
      <c r="B43" s="98" t="s">
        <v>113</v>
      </c>
      <c r="C43" s="98">
        <v>43</v>
      </c>
      <c r="D43" s="98" t="s">
        <v>113</v>
      </c>
    </row>
    <row r="44" spans="2:4">
      <c r="B44" s="98" t="s">
        <v>112</v>
      </c>
      <c r="C44" s="98">
        <v>44</v>
      </c>
      <c r="D44" s="98" t="s">
        <v>112</v>
      </c>
    </row>
    <row r="45" spans="2:4">
      <c r="B45" s="98" t="s">
        <v>111</v>
      </c>
      <c r="C45" s="98">
        <v>45</v>
      </c>
      <c r="D45" s="98" t="s">
        <v>111</v>
      </c>
    </row>
    <row r="46" spans="2:4">
      <c r="B46" s="98" t="s">
        <v>110</v>
      </c>
      <c r="C46" s="98">
        <v>46</v>
      </c>
      <c r="D46" s="98" t="s">
        <v>110</v>
      </c>
    </row>
    <row r="47" spans="2:4">
      <c r="B47" s="98" t="s">
        <v>109</v>
      </c>
      <c r="C47" s="98">
        <v>47</v>
      </c>
      <c r="D47" s="98" t="s">
        <v>109</v>
      </c>
    </row>
    <row r="48" spans="2:4">
      <c r="B48" s="98" t="s">
        <v>108</v>
      </c>
      <c r="C48" s="98">
        <v>48</v>
      </c>
      <c r="D48" s="98" t="s">
        <v>108</v>
      </c>
    </row>
    <row r="49" spans="3:3">
      <c r="C49" s="97"/>
    </row>
    <row r="50" spans="3:3">
      <c r="C50" s="97"/>
    </row>
    <row r="51" spans="3:3">
      <c r="C51" s="97"/>
    </row>
    <row r="52" spans="3:3">
      <c r="C52" s="97"/>
    </row>
    <row r="53" spans="3:3">
      <c r="C53" s="97"/>
    </row>
    <row r="54" spans="3:3">
      <c r="C54" s="97"/>
    </row>
    <row r="55" spans="3:3">
      <c r="C55" s="97"/>
    </row>
    <row r="56" spans="3:3">
      <c r="C56" s="97"/>
    </row>
    <row r="57" spans="3:3">
      <c r="C57" s="97"/>
    </row>
    <row r="58" spans="3:3">
      <c r="C58" s="97"/>
    </row>
    <row r="59" spans="3:3">
      <c r="C59" s="97"/>
    </row>
    <row r="60" spans="3:3">
      <c r="C60" s="97"/>
    </row>
    <row r="61" spans="3:3">
      <c r="C61" s="97"/>
    </row>
    <row r="62" spans="3:3">
      <c r="C62" s="97"/>
    </row>
    <row r="63" spans="3:3">
      <c r="C63" s="97"/>
    </row>
    <row r="64" spans="3:3">
      <c r="C64" s="97"/>
    </row>
    <row r="65" spans="3:3">
      <c r="C65" s="97"/>
    </row>
    <row r="66" spans="3:3">
      <c r="C66" s="97"/>
    </row>
    <row r="67" spans="3:3">
      <c r="C67" s="97"/>
    </row>
    <row r="68" spans="3:3">
      <c r="C68" s="97"/>
    </row>
    <row r="69" spans="3:3">
      <c r="C69" s="97"/>
    </row>
    <row r="70" spans="3:3">
      <c r="C70" s="97"/>
    </row>
    <row r="71" spans="3:3">
      <c r="C71" s="97"/>
    </row>
    <row r="72" spans="3:3">
      <c r="C72" s="97"/>
    </row>
    <row r="73" spans="3:3">
      <c r="C73" s="97"/>
    </row>
    <row r="74" spans="3:3">
      <c r="C74" s="97"/>
    </row>
    <row r="75" spans="3:3">
      <c r="C75" s="97"/>
    </row>
    <row r="76" spans="3:3">
      <c r="C76" s="97"/>
    </row>
    <row r="77" spans="3:3">
      <c r="C77" s="97"/>
    </row>
    <row r="78" spans="3:3">
      <c r="C78" s="97"/>
    </row>
    <row r="79" spans="3:3">
      <c r="C79" s="97"/>
    </row>
    <row r="80" spans="3:3">
      <c r="C80" s="97"/>
    </row>
    <row r="81" spans="3:3">
      <c r="C81" s="97"/>
    </row>
    <row r="82" spans="3:3">
      <c r="C82" s="97"/>
    </row>
    <row r="83" spans="3:3">
      <c r="C83" s="97"/>
    </row>
    <row r="84" spans="3:3">
      <c r="C84" s="97"/>
    </row>
    <row r="85" spans="3:3">
      <c r="C85" s="97"/>
    </row>
    <row r="86" spans="3:3">
      <c r="C86" s="97"/>
    </row>
    <row r="87" spans="3:3">
      <c r="C87" s="97"/>
    </row>
    <row r="88" spans="3:3">
      <c r="C88" s="97"/>
    </row>
    <row r="89" spans="3:3">
      <c r="C89" s="97"/>
    </row>
    <row r="90" spans="3:3">
      <c r="C90" s="97"/>
    </row>
    <row r="91" spans="3:3">
      <c r="C91" s="97"/>
    </row>
    <row r="92" spans="3:3">
      <c r="C92" s="97"/>
    </row>
    <row r="93" spans="3:3">
      <c r="C93" s="97"/>
    </row>
    <row r="94" spans="3:3">
      <c r="C94" s="97"/>
    </row>
    <row r="95" spans="3:3">
      <c r="C95" s="97"/>
    </row>
    <row r="96" spans="3:3">
      <c r="C96" s="97"/>
    </row>
    <row r="97" spans="3:3">
      <c r="C97" s="97"/>
    </row>
    <row r="98" spans="3:3">
      <c r="C98" s="97"/>
    </row>
    <row r="99" spans="3:3">
      <c r="C99" s="97"/>
    </row>
    <row r="100" spans="3:3">
      <c r="C100" s="97"/>
    </row>
    <row r="101" spans="3:3">
      <c r="C101" s="97"/>
    </row>
    <row r="102" spans="3:3">
      <c r="C102" s="97"/>
    </row>
    <row r="103" spans="3:3">
      <c r="C103" s="97"/>
    </row>
    <row r="104" spans="3:3">
      <c r="C104" s="97"/>
    </row>
    <row r="105" spans="3:3">
      <c r="C105" s="97"/>
    </row>
    <row r="106" spans="3:3">
      <c r="C106" s="97"/>
    </row>
    <row r="107" spans="3:3">
      <c r="C107" s="97"/>
    </row>
    <row r="108" spans="3:3">
      <c r="C108" s="97"/>
    </row>
    <row r="109" spans="3:3">
      <c r="C109" s="97"/>
    </row>
    <row r="110" spans="3:3">
      <c r="C110" s="97"/>
    </row>
    <row r="111" spans="3:3">
      <c r="C111" s="97"/>
    </row>
    <row r="112" spans="3:3">
      <c r="C112" s="97"/>
    </row>
    <row r="113" spans="3:3">
      <c r="C113" s="97"/>
    </row>
    <row r="114" spans="3:3">
      <c r="C114" s="97"/>
    </row>
    <row r="115" spans="3:3">
      <c r="C115" s="97"/>
    </row>
    <row r="116" spans="3:3">
      <c r="C116" s="97"/>
    </row>
    <row r="117" spans="3:3">
      <c r="C117" s="97"/>
    </row>
    <row r="118" spans="3:3">
      <c r="C118" s="97"/>
    </row>
    <row r="119" spans="3:3">
      <c r="C119" s="97"/>
    </row>
    <row r="120" spans="3:3">
      <c r="C120" s="97"/>
    </row>
    <row r="121" spans="3:3">
      <c r="C121" s="97"/>
    </row>
    <row r="122" spans="3:3">
      <c r="C122" s="97"/>
    </row>
    <row r="123" spans="3:3">
      <c r="C123" s="97"/>
    </row>
    <row r="124" spans="3:3">
      <c r="C124" s="97"/>
    </row>
    <row r="125" spans="3:3">
      <c r="C125" s="97"/>
    </row>
    <row r="126" spans="3:3">
      <c r="C126" s="97"/>
    </row>
    <row r="127" spans="3:3">
      <c r="C127" s="97"/>
    </row>
    <row r="128" spans="3:3">
      <c r="C128" s="97"/>
    </row>
    <row r="129" spans="3:3">
      <c r="C129" s="97"/>
    </row>
    <row r="130" spans="3:3">
      <c r="C130" s="97"/>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F23"/>
  <sheetViews>
    <sheetView view="pageBreakPreview" topLeftCell="A7" zoomScaleNormal="85" zoomScaleSheetLayoutView="100" workbookViewId="0">
      <selection activeCell="D14" sqref="D14"/>
    </sheetView>
  </sheetViews>
  <sheetFormatPr defaultColWidth="15.28515625" defaultRowHeight="15" customHeight="1"/>
  <cols>
    <col min="1" max="1" width="6.7109375" style="1" customWidth="1"/>
    <col min="2" max="2" width="3.42578125" style="1" customWidth="1"/>
    <col min="3" max="3" width="46" style="24" customWidth="1"/>
    <col min="4" max="4" width="33.85546875" style="24" customWidth="1"/>
    <col min="5" max="5" width="24.28515625" style="24" customWidth="1"/>
    <col min="6" max="6" width="4.140625" style="1" customWidth="1"/>
    <col min="7" max="16384" width="15.28515625" style="24"/>
  </cols>
  <sheetData>
    <row r="1" spans="1:6" ht="15.75" thickBot="1">
      <c r="C1" s="2"/>
      <c r="D1" s="3"/>
      <c r="E1" s="3"/>
    </row>
    <row r="2" spans="1:6">
      <c r="B2" s="4"/>
      <c r="C2" s="5"/>
      <c r="D2" s="6"/>
      <c r="E2" s="7"/>
    </row>
    <row r="3" spans="1:6" ht="20.25">
      <c r="B3" s="487" t="s">
        <v>5</v>
      </c>
      <c r="C3" s="488"/>
      <c r="D3" s="488"/>
      <c r="E3" s="489"/>
    </row>
    <row r="4" spans="1:6" ht="24.75" customHeight="1">
      <c r="B4" s="490" t="s">
        <v>287</v>
      </c>
      <c r="C4" s="491"/>
      <c r="D4" s="491"/>
      <c r="E4" s="492"/>
    </row>
    <row r="5" spans="1:6" ht="80.45" customHeight="1">
      <c r="B5" s="8"/>
      <c r="C5" s="2"/>
      <c r="D5" s="3"/>
      <c r="E5" s="9"/>
    </row>
    <row r="6" spans="1:6">
      <c r="B6" s="8"/>
      <c r="C6" s="32"/>
      <c r="D6" s="493" t="s">
        <v>11</v>
      </c>
      <c r="E6" s="494"/>
    </row>
    <row r="7" spans="1:6">
      <c r="B7" s="8"/>
      <c r="C7" s="32"/>
      <c r="D7" s="60"/>
      <c r="E7" s="305" t="s">
        <v>9</v>
      </c>
    </row>
    <row r="8" spans="1:6" ht="15.75" customHeight="1">
      <c r="B8" s="8"/>
      <c r="C8" s="1"/>
      <c r="D8" s="3"/>
      <c r="E8" s="9"/>
    </row>
    <row r="9" spans="1:6">
      <c r="B9" s="8"/>
      <c r="C9" s="14" t="s">
        <v>6</v>
      </c>
      <c r="D9" s="14" t="s">
        <v>7</v>
      </c>
      <c r="E9" s="313"/>
    </row>
    <row r="10" spans="1:6" s="93" customFormat="1">
      <c r="A10" s="1"/>
      <c r="B10" s="8"/>
      <c r="C10" s="110" t="s">
        <v>130</v>
      </c>
      <c r="D10" s="316" t="s">
        <v>115</v>
      </c>
      <c r="E10" s="313"/>
      <c r="F10" s="1"/>
    </row>
    <row r="11" spans="1:6" s="306" customFormat="1" hidden="1">
      <c r="A11" s="1"/>
      <c r="B11" s="8"/>
      <c r="C11" s="110" t="s">
        <v>329</v>
      </c>
      <c r="D11" s="316" t="s">
        <v>360</v>
      </c>
      <c r="E11" s="313"/>
      <c r="F11" s="1"/>
    </row>
    <row r="12" spans="1:6" s="57" customFormat="1" ht="30">
      <c r="A12" s="1"/>
      <c r="B12" s="8"/>
      <c r="C12" s="25" t="s">
        <v>391</v>
      </c>
      <c r="D12" s="68" t="s">
        <v>328</v>
      </c>
      <c r="E12" s="366">
        <f>VLOOKUP(D12,'Оплата оборудования'!C16:E21,3,0)</f>
        <v>1</v>
      </c>
      <c r="F12" s="122"/>
    </row>
    <row r="13" spans="1:6" s="381" customFormat="1" ht="30">
      <c r="A13" s="1"/>
      <c r="B13" s="8"/>
      <c r="C13" s="315" t="s">
        <v>404</v>
      </c>
      <c r="D13" s="454" t="s">
        <v>412</v>
      </c>
      <c r="E13" s="383"/>
      <c r="F13" s="122"/>
    </row>
    <row r="14" spans="1:6">
      <c r="B14" s="8"/>
      <c r="C14" s="315" t="s">
        <v>330</v>
      </c>
      <c r="D14" s="317">
        <v>50</v>
      </c>
      <c r="E14" s="305"/>
    </row>
    <row r="15" spans="1:6" s="306" customFormat="1">
      <c r="A15" s="1"/>
      <c r="B15" s="8"/>
      <c r="C15" s="25" t="s">
        <v>49</v>
      </c>
      <c r="D15" s="316">
        <v>0.13</v>
      </c>
      <c r="E15" s="305"/>
      <c r="F15" s="1"/>
    </row>
    <row r="16" spans="1:6" s="306" customFormat="1">
      <c r="A16" s="1"/>
      <c r="B16" s="8"/>
      <c r="C16" s="25" t="s">
        <v>392</v>
      </c>
      <c r="D16" s="316">
        <v>0.1</v>
      </c>
      <c r="E16" s="305"/>
      <c r="F16" s="1"/>
    </row>
    <row r="17" spans="1:6" s="368" customFormat="1">
      <c r="A17" s="1"/>
      <c r="B17" s="8"/>
      <c r="C17" s="25" t="s">
        <v>347</v>
      </c>
      <c r="D17" s="370">
        <v>74.63</v>
      </c>
      <c r="E17" s="369"/>
      <c r="F17" s="1"/>
    </row>
    <row r="18" spans="1:6" s="381" customFormat="1">
      <c r="A18" s="1"/>
      <c r="B18" s="8"/>
      <c r="C18" s="25" t="s">
        <v>390</v>
      </c>
      <c r="D18" s="443">
        <v>0.34710000000000002</v>
      </c>
      <c r="E18" s="442"/>
      <c r="F18" s="1"/>
    </row>
    <row r="19" spans="1:6" s="41" customFormat="1">
      <c r="A19" s="1"/>
      <c r="B19" s="8"/>
      <c r="C19" s="25" t="s">
        <v>331</v>
      </c>
      <c r="D19" s="317">
        <v>750</v>
      </c>
      <c r="E19" s="305"/>
      <c r="F19" s="1"/>
    </row>
    <row r="20" spans="1:6" ht="15" customHeight="1" thickBot="1">
      <c r="B20" s="11"/>
      <c r="C20" s="12"/>
      <c r="D20" s="12"/>
      <c r="E20" s="13"/>
    </row>
    <row r="21" spans="1:6" ht="15" customHeight="1">
      <c r="C21" s="1"/>
      <c r="D21" s="1"/>
      <c r="E21" s="1"/>
    </row>
    <row r="22" spans="1:6" ht="15" customHeight="1">
      <c r="C22" s="1"/>
      <c r="D22" s="1"/>
      <c r="E22" s="1"/>
    </row>
    <row r="23" spans="1:6" ht="15" customHeight="1">
      <c r="C23" s="1"/>
      <c r="D23" s="1"/>
      <c r="E23" s="1"/>
    </row>
  </sheetData>
  <mergeCells count="3">
    <mergeCell ref="B3:E3"/>
    <mergeCell ref="B4:E4"/>
    <mergeCell ref="D6:E6"/>
  </mergeCells>
  <dataValidations count="3">
    <dataValidation type="list" allowBlank="1" showInputMessage="1" showErrorMessage="1" sqref="D12">
      <formula1>'Оплата оборудования'!$C$16:$C$21</formula1>
    </dataValidation>
    <dataValidation type="list" allowBlank="1" showInputMessage="1" showErrorMessage="1" sqref="D10">
      <formula1>'Data 1'!$F$2:$F$13</formula1>
    </dataValidation>
    <dataValidation type="list" allowBlank="1" showInputMessage="1" showErrorMessage="1" sqref="D13">
      <formula1>'Data 2'!$C$3:$C$6</formula1>
    </dataValidation>
  </dataValidations>
  <pageMargins left="0.7" right="0.7" top="0.75" bottom="0.75" header="0.3" footer="0.3"/>
  <pageSetup paperSize="9" orientation="landscape" r:id="rId1"/>
  <drawing r:id="rId2"/>
  <extLst xmlns:xr="http://schemas.microsoft.com/office/spreadsheetml/2014/revision">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'Data 1'!F2:F13</xm:f>
          </x14:formula1>
          <xm:sqref>D10</xm:sqref>
        </x14:dataValidation>
        <x14:dataValidation type="list" allowBlank="1" showInputMessage="1" showErrorMessage="1" xr:uid="{00000000-0002-0000-0100-000001000000}">
          <x14:formula1>
            <xm:f>'Data 1'!L15:L16</xm:f>
          </x14:formula1>
          <xm:sqref>D11</xm:sqref>
        </x14:dataValidation>
        <x14:dataValidation type="list" allowBlank="1" showInputMessage="1" showErrorMessage="1" xr:uid="{00000000-0002-0000-0100-000002000000}">
          <x14:formula1>
            <xm:f>'Оплата оборудования'!C16:C21</xm:f>
          </x14:formula1>
          <xm:sqref>D12</xm:sqref>
        </x14:dataValidation>
        <x14:dataValidation type="list" allowBlank="1" showInputMessage="1" showErrorMessage="1" xr:uid="{00000000-0002-0000-0100-000003000000}">
          <x14:formula1>
            <xm:f>'Data 2'!C3:C6</xm:f>
          </x14:formula1>
          <xm:sqref>D13</xm:sqref>
        </x14:dataValidation>
        <x14:dataValidation type="list" allowBlank="1" showInputMessage="1" showErrorMessage="1" xr:uid="{00000000-0002-0000-0000-000000000000}">
          <x14:formula1>
            <xm:f>'Data 1'!$F$2:$F$13</xm:f>
          </x14:formula1>
          <xm:sqref>D10</xm:sqref>
        </x14:dataValidation>
        <x14:dataValidation type="list" allowBlank="1" showInputMessage="1" showErrorMessage="1" xr:uid="{C54939DB-5F7E-4958-B8DD-F27C766980AE}">
          <x14:formula1>
            <xm:f>'Data 1'!$L$15:$L$16</xm:f>
          </x14:formula1>
          <xm:sqref>D11 D11</xm:sqref>
        </x14:dataValidation>
        <x14:dataValidation type="list" allowBlank="1" showInputMessage="1" showErrorMessage="1" xr:uid="{9957D88B-FB01-47F6-AD6B-CEF22EDC2414}">
          <x14:formula1>
            <xm:f>'Data 2'!$C$3:$C$6</xm:f>
          </x14:formula1>
          <xm:sqref>D13</xm:sqref>
        </x14:dataValidation>
        <x14:dataValidation type="list" allowBlank="1" showInputMessage="1" showErrorMessage="1" xr:uid="{00000000-0002-0000-0000-000001000000}">
          <x14:formula1>
            <xm:f>'Оплата оборудования'!$C$16:$C$21</xm:f>
          </x14:formula1>
          <xm:sqref>D12</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B1:F90"/>
  <sheetViews>
    <sheetView view="pageBreakPreview" zoomScaleNormal="70" zoomScaleSheetLayoutView="100" workbookViewId="0">
      <selection activeCell="D63" sqref="D63"/>
    </sheetView>
  </sheetViews>
  <sheetFormatPr defaultColWidth="15.28515625" defaultRowHeight="15" outlineLevelRow="1"/>
  <cols>
    <col min="1" max="1" width="4.28515625" style="23" customWidth="1"/>
    <col min="2" max="2" width="4" style="23" customWidth="1"/>
    <col min="3" max="3" width="59.28515625" style="23" customWidth="1"/>
    <col min="4" max="4" width="18.28515625" style="45" customWidth="1"/>
    <col min="5" max="5" width="26.28515625" style="23" customWidth="1"/>
    <col min="6" max="6" width="7.5703125" style="23" customWidth="1"/>
    <col min="7" max="16384" width="15.28515625" style="23"/>
  </cols>
  <sheetData>
    <row r="1" spans="2:6" ht="15" customHeight="1" thickBot="1"/>
    <row r="2" spans="2:6" ht="15" customHeight="1">
      <c r="B2" s="4"/>
      <c r="C2" s="15"/>
      <c r="D2" s="15"/>
      <c r="E2" s="16"/>
      <c r="F2" s="1"/>
    </row>
    <row r="3" spans="2:6" ht="18.75" customHeight="1">
      <c r="B3" s="487" t="s">
        <v>283</v>
      </c>
      <c r="C3" s="488"/>
      <c r="D3" s="488"/>
      <c r="E3" s="489"/>
      <c r="F3" s="1"/>
    </row>
    <row r="4" spans="2:6" ht="20.25">
      <c r="B4" s="487" t="str">
        <f>'Входящие данные'!B4:E4</f>
        <v>по франшизе "АКСИОМА"</v>
      </c>
      <c r="C4" s="488"/>
      <c r="D4" s="488"/>
      <c r="E4" s="489"/>
      <c r="F4" s="1"/>
    </row>
    <row r="5" spans="2:6" ht="69" customHeight="1">
      <c r="B5" s="8"/>
      <c r="C5" s="1"/>
      <c r="D5" s="1"/>
      <c r="E5" s="10"/>
      <c r="F5" s="1"/>
    </row>
    <row r="6" spans="2:6">
      <c r="B6" s="8"/>
      <c r="C6" s="1"/>
      <c r="D6" s="123" t="s">
        <v>11</v>
      </c>
      <c r="E6" s="10"/>
      <c r="F6" s="1"/>
    </row>
    <row r="7" spans="2:6" ht="15" customHeight="1">
      <c r="B7" s="8"/>
      <c r="C7" s="1"/>
      <c r="D7" s="60"/>
      <c r="E7" s="10" t="s">
        <v>9</v>
      </c>
      <c r="F7" s="1"/>
    </row>
    <row r="8" spans="2:6" ht="15" customHeight="1">
      <c r="B8" s="8"/>
      <c r="C8" s="1"/>
      <c r="D8" s="33"/>
      <c r="E8" s="10" t="s">
        <v>10</v>
      </c>
      <c r="F8" s="1"/>
    </row>
    <row r="9" spans="2:6" ht="15" customHeight="1">
      <c r="B9" s="8"/>
      <c r="C9" s="1"/>
      <c r="D9" s="1"/>
      <c r="E9" s="10"/>
      <c r="F9" s="1"/>
    </row>
    <row r="10" spans="2:6" ht="20.25">
      <c r="B10" s="8"/>
      <c r="C10" s="495" t="s">
        <v>37</v>
      </c>
      <c r="D10" s="496"/>
      <c r="E10" s="10"/>
      <c r="F10" s="1"/>
    </row>
    <row r="11" spans="2:6" s="44" customFormat="1" ht="15" customHeight="1">
      <c r="B11" s="8"/>
      <c r="C11" s="277" t="s">
        <v>51</v>
      </c>
      <c r="D11" s="125">
        <v>935000</v>
      </c>
      <c r="E11" s="10"/>
      <c r="F11" s="1"/>
    </row>
    <row r="12" spans="2:6" s="112" customFormat="1" ht="15" customHeight="1">
      <c r="B12" s="8"/>
      <c r="C12" s="277" t="s">
        <v>75</v>
      </c>
      <c r="D12" s="90">
        <f>SUM(D13:D16)</f>
        <v>16000</v>
      </c>
      <c r="E12" s="10"/>
      <c r="F12" s="1"/>
    </row>
    <row r="13" spans="2:6" s="112" customFormat="1" ht="15" customHeight="1" outlineLevel="1">
      <c r="B13" s="8"/>
      <c r="C13" s="278" t="s">
        <v>169</v>
      </c>
      <c r="D13" s="67">
        <v>1000</v>
      </c>
      <c r="E13" s="10"/>
      <c r="F13" s="1"/>
    </row>
    <row r="14" spans="2:6" s="112" customFormat="1" ht="15" customHeight="1" outlineLevel="1">
      <c r="B14" s="8"/>
      <c r="C14" s="278" t="s">
        <v>170</v>
      </c>
      <c r="D14" s="67">
        <v>4000</v>
      </c>
      <c r="E14" s="10"/>
      <c r="F14" s="1"/>
    </row>
    <row r="15" spans="2:6" s="112" customFormat="1" ht="15" customHeight="1" outlineLevel="1">
      <c r="B15" s="8"/>
      <c r="C15" s="278" t="s">
        <v>196</v>
      </c>
      <c r="D15" s="67">
        <v>1000</v>
      </c>
      <c r="E15" s="10"/>
      <c r="F15" s="1"/>
    </row>
    <row r="16" spans="2:6" s="112" customFormat="1" ht="15" customHeight="1" outlineLevel="1">
      <c r="B16" s="8"/>
      <c r="C16" s="278" t="s">
        <v>284</v>
      </c>
      <c r="D16" s="67">
        <v>10000</v>
      </c>
      <c r="E16" s="10"/>
      <c r="F16" s="1"/>
    </row>
    <row r="17" spans="2:6" s="112" customFormat="1" ht="43.5">
      <c r="B17" s="8"/>
      <c r="C17" s="277" t="s">
        <v>317</v>
      </c>
      <c r="D17" s="125">
        <v>540000</v>
      </c>
      <c r="E17" s="10"/>
      <c r="F17" s="1"/>
    </row>
    <row r="18" spans="2:6" s="112" customFormat="1">
      <c r="B18" s="8"/>
      <c r="C18" s="277" t="s">
        <v>171</v>
      </c>
      <c r="D18" s="90">
        <f>SUM(D19:D49)</f>
        <v>236600</v>
      </c>
      <c r="E18" s="10"/>
    </row>
    <row r="19" spans="2:6" s="112" customFormat="1" ht="17.25" customHeight="1" outlineLevel="1">
      <c r="B19" s="8"/>
      <c r="C19" s="278" t="s">
        <v>172</v>
      </c>
      <c r="D19" s="67">
        <v>2500</v>
      </c>
      <c r="E19" s="10"/>
    </row>
    <row r="20" spans="2:6" s="112" customFormat="1" ht="16.5" customHeight="1" outlineLevel="1">
      <c r="B20" s="8"/>
      <c r="C20" s="278" t="s">
        <v>173</v>
      </c>
      <c r="D20" s="67">
        <v>30000</v>
      </c>
      <c r="E20" s="10"/>
    </row>
    <row r="21" spans="2:6" s="112" customFormat="1" outlineLevel="1">
      <c r="B21" s="8"/>
      <c r="C21" s="278" t="s">
        <v>174</v>
      </c>
      <c r="D21" s="67">
        <v>10000</v>
      </c>
      <c r="E21" s="10"/>
    </row>
    <row r="22" spans="2:6" s="112" customFormat="1" ht="17.25" customHeight="1" outlineLevel="1">
      <c r="B22" s="8"/>
      <c r="C22" s="278" t="s">
        <v>175</v>
      </c>
      <c r="D22" s="67">
        <v>500</v>
      </c>
      <c r="E22" s="10"/>
    </row>
    <row r="23" spans="2:6" s="112" customFormat="1" outlineLevel="1">
      <c r="B23" s="8"/>
      <c r="C23" s="278" t="s">
        <v>176</v>
      </c>
      <c r="D23" s="67">
        <v>500</v>
      </c>
      <c r="E23" s="10"/>
    </row>
    <row r="24" spans="2:6" s="112" customFormat="1" outlineLevel="1">
      <c r="B24" s="8"/>
      <c r="C24" s="278" t="s">
        <v>177</v>
      </c>
      <c r="D24" s="67">
        <v>20000</v>
      </c>
      <c r="E24" s="10"/>
    </row>
    <row r="25" spans="2:6" s="112" customFormat="1" outlineLevel="1">
      <c r="B25" s="8"/>
      <c r="C25" s="278" t="s">
        <v>179</v>
      </c>
      <c r="D25" s="67">
        <v>22000</v>
      </c>
      <c r="E25" s="10"/>
    </row>
    <row r="26" spans="2:6" s="112" customFormat="1" outlineLevel="1">
      <c r="B26" s="8"/>
      <c r="C26" s="278" t="s">
        <v>192</v>
      </c>
      <c r="D26" s="67">
        <v>27000</v>
      </c>
      <c r="E26" s="10"/>
    </row>
    <row r="27" spans="2:6" s="112" customFormat="1" ht="12.75" customHeight="1" outlineLevel="1">
      <c r="B27" s="8"/>
      <c r="C27" s="278" t="s">
        <v>180</v>
      </c>
      <c r="D27" s="67">
        <v>17000</v>
      </c>
      <c r="E27" s="10"/>
    </row>
    <row r="28" spans="2:6" s="112" customFormat="1" outlineLevel="1">
      <c r="B28" s="8"/>
      <c r="C28" s="278" t="s">
        <v>181</v>
      </c>
      <c r="D28" s="67">
        <v>0</v>
      </c>
      <c r="E28" s="10"/>
    </row>
    <row r="29" spans="2:6" s="112" customFormat="1" outlineLevel="1">
      <c r="B29" s="8"/>
      <c r="C29" s="278" t="s">
        <v>182</v>
      </c>
      <c r="D29" s="67">
        <v>3000</v>
      </c>
      <c r="E29" s="10"/>
    </row>
    <row r="30" spans="2:6" s="273" customFormat="1" outlineLevel="1">
      <c r="B30" s="8"/>
      <c r="C30" s="278" t="s">
        <v>189</v>
      </c>
      <c r="D30" s="67">
        <v>3000</v>
      </c>
      <c r="E30" s="10"/>
    </row>
    <row r="31" spans="2:6" s="273" customFormat="1" outlineLevel="1">
      <c r="B31" s="8"/>
      <c r="C31" s="278" t="s">
        <v>322</v>
      </c>
      <c r="D31" s="67">
        <v>12000</v>
      </c>
      <c r="E31" s="10"/>
    </row>
    <row r="32" spans="2:6" s="273" customFormat="1" outlineLevel="1">
      <c r="B32" s="8"/>
      <c r="C32" s="278" t="s">
        <v>323</v>
      </c>
      <c r="D32" s="67">
        <v>2000</v>
      </c>
      <c r="E32" s="10"/>
    </row>
    <row r="33" spans="2:5" s="273" customFormat="1" outlineLevel="1">
      <c r="B33" s="8"/>
      <c r="C33" s="278" t="s">
        <v>324</v>
      </c>
      <c r="D33" s="67">
        <v>0</v>
      </c>
      <c r="E33" s="10"/>
    </row>
    <row r="34" spans="2:5" s="273" customFormat="1" outlineLevel="1">
      <c r="B34" s="8"/>
      <c r="C34" s="278" t="s">
        <v>325</v>
      </c>
      <c r="D34" s="67">
        <v>12000</v>
      </c>
      <c r="E34" s="10"/>
    </row>
    <row r="35" spans="2:5" s="273" customFormat="1" outlineLevel="1">
      <c r="B35" s="8"/>
      <c r="C35" s="278" t="s">
        <v>178</v>
      </c>
      <c r="D35" s="67">
        <v>4500</v>
      </c>
      <c r="E35" s="10"/>
    </row>
    <row r="36" spans="2:5" s="112" customFormat="1" ht="30" outlineLevel="1">
      <c r="B36" s="8"/>
      <c r="C36" s="278" t="s">
        <v>320</v>
      </c>
      <c r="D36" s="67">
        <v>15000</v>
      </c>
      <c r="E36" s="10"/>
    </row>
    <row r="37" spans="2:5" s="112" customFormat="1" outlineLevel="1">
      <c r="B37" s="8"/>
      <c r="C37" s="278" t="s">
        <v>183</v>
      </c>
      <c r="D37" s="67">
        <v>10000</v>
      </c>
      <c r="E37" s="10"/>
    </row>
    <row r="38" spans="2:5" s="112" customFormat="1" outlineLevel="1">
      <c r="B38" s="8"/>
      <c r="C38" s="278" t="s">
        <v>184</v>
      </c>
      <c r="D38" s="67">
        <v>0</v>
      </c>
      <c r="E38" s="10"/>
    </row>
    <row r="39" spans="2:5" s="112" customFormat="1" outlineLevel="1">
      <c r="B39" s="8"/>
      <c r="C39" s="278" t="s">
        <v>185</v>
      </c>
      <c r="D39" s="67">
        <v>5000</v>
      </c>
      <c r="E39" s="10"/>
    </row>
    <row r="40" spans="2:5" s="112" customFormat="1" outlineLevel="1">
      <c r="B40" s="8"/>
      <c r="C40" s="278" t="s">
        <v>321</v>
      </c>
      <c r="D40" s="67">
        <v>4000</v>
      </c>
      <c r="E40" s="10"/>
    </row>
    <row r="41" spans="2:5" s="112" customFormat="1" outlineLevel="1">
      <c r="B41" s="8"/>
      <c r="C41" s="278" t="s">
        <v>186</v>
      </c>
      <c r="D41" s="67">
        <v>7000</v>
      </c>
      <c r="E41" s="10"/>
    </row>
    <row r="42" spans="2:5" s="112" customFormat="1" outlineLevel="1">
      <c r="B42" s="8"/>
      <c r="C42" s="278" t="s">
        <v>187</v>
      </c>
      <c r="D42" s="67">
        <v>4500</v>
      </c>
      <c r="E42" s="10"/>
    </row>
    <row r="43" spans="2:5" s="112" customFormat="1" outlineLevel="1">
      <c r="B43" s="8"/>
      <c r="C43" s="278" t="s">
        <v>188</v>
      </c>
      <c r="D43" s="67">
        <v>8000</v>
      </c>
      <c r="E43" s="10"/>
    </row>
    <row r="44" spans="2:5" s="112" customFormat="1" outlineLevel="1">
      <c r="B44" s="8"/>
      <c r="C44" s="278" t="s">
        <v>189</v>
      </c>
      <c r="D44" s="67">
        <v>3000</v>
      </c>
      <c r="E44" s="10"/>
    </row>
    <row r="45" spans="2:5" s="112" customFormat="1" ht="45" outlineLevel="1">
      <c r="B45" s="8"/>
      <c r="C45" s="278" t="s">
        <v>190</v>
      </c>
      <c r="D45" s="67">
        <v>4000</v>
      </c>
      <c r="E45" s="10"/>
    </row>
    <row r="46" spans="2:5" s="112" customFormat="1" outlineLevel="1">
      <c r="B46" s="8"/>
      <c r="C46" s="278" t="s">
        <v>191</v>
      </c>
      <c r="D46" s="67">
        <v>100</v>
      </c>
      <c r="E46" s="10"/>
    </row>
    <row r="47" spans="2:5" s="112" customFormat="1" outlineLevel="1">
      <c r="B47" s="8"/>
      <c r="C47" s="278" t="s">
        <v>193</v>
      </c>
      <c r="D47" s="67">
        <v>6000</v>
      </c>
      <c r="E47" s="10"/>
    </row>
    <row r="48" spans="2:5" s="112" customFormat="1" ht="15" customHeight="1" outlineLevel="1">
      <c r="B48" s="8"/>
      <c r="C48" s="278" t="s">
        <v>194</v>
      </c>
      <c r="D48" s="67">
        <v>2600</v>
      </c>
      <c r="E48" s="10"/>
    </row>
    <row r="49" spans="2:5" s="112" customFormat="1" ht="15" customHeight="1" outlineLevel="1">
      <c r="B49" s="8"/>
      <c r="C49" s="278" t="s">
        <v>195</v>
      </c>
      <c r="D49" s="67">
        <v>1400</v>
      </c>
      <c r="E49" s="10"/>
    </row>
    <row r="50" spans="2:5" s="112" customFormat="1" ht="15" customHeight="1">
      <c r="B50" s="8"/>
      <c r="C50" s="277" t="s">
        <v>285</v>
      </c>
      <c r="D50" s="90">
        <f>SUM(D51:D63)</f>
        <v>239800</v>
      </c>
      <c r="E50" s="10"/>
    </row>
    <row r="51" spans="2:5" s="112" customFormat="1" ht="31.15" customHeight="1" outlineLevel="1">
      <c r="B51" s="8"/>
      <c r="C51" s="278" t="s">
        <v>197</v>
      </c>
      <c r="D51" s="67">
        <v>77000</v>
      </c>
      <c r="E51" s="10"/>
    </row>
    <row r="52" spans="2:5" s="112" customFormat="1" ht="15" customHeight="1" outlineLevel="1">
      <c r="B52" s="8"/>
      <c r="C52" s="278" t="s">
        <v>198</v>
      </c>
      <c r="D52" s="67">
        <v>25000</v>
      </c>
      <c r="E52" s="10"/>
    </row>
    <row r="53" spans="2:5" s="381" customFormat="1" ht="15" customHeight="1" outlineLevel="1">
      <c r="B53" s="8"/>
      <c r="C53" s="278" t="s">
        <v>422</v>
      </c>
      <c r="D53" s="67">
        <v>15000</v>
      </c>
      <c r="E53" s="10"/>
    </row>
    <row r="54" spans="2:5" s="112" customFormat="1" ht="15" customHeight="1" outlineLevel="1">
      <c r="B54" s="8"/>
      <c r="C54" s="278" t="s">
        <v>199</v>
      </c>
      <c r="D54" s="67">
        <v>11000</v>
      </c>
      <c r="E54" s="10"/>
    </row>
    <row r="55" spans="2:5" s="112" customFormat="1" ht="15" customHeight="1" outlineLevel="1">
      <c r="B55" s="8"/>
      <c r="C55" s="278" t="s">
        <v>200</v>
      </c>
      <c r="D55" s="67">
        <v>11000</v>
      </c>
      <c r="E55" s="10"/>
    </row>
    <row r="56" spans="2:5" s="112" customFormat="1" ht="15" customHeight="1" outlineLevel="1">
      <c r="B56" s="8"/>
      <c r="C56" s="278" t="s">
        <v>201</v>
      </c>
      <c r="D56" s="67">
        <v>5500</v>
      </c>
      <c r="E56" s="10"/>
    </row>
    <row r="57" spans="2:5" s="273" customFormat="1" ht="15" customHeight="1" outlineLevel="1">
      <c r="B57" s="8"/>
      <c r="C57" s="278" t="s">
        <v>326</v>
      </c>
      <c r="D57" s="67">
        <v>7500</v>
      </c>
      <c r="E57" s="10"/>
    </row>
    <row r="58" spans="2:5" s="112" customFormat="1" ht="15" customHeight="1" outlineLevel="1">
      <c r="B58" s="8"/>
      <c r="C58" s="278" t="s">
        <v>202</v>
      </c>
      <c r="D58" s="67">
        <v>7300</v>
      </c>
      <c r="E58" s="10"/>
    </row>
    <row r="59" spans="2:5" s="112" customFormat="1" ht="30" outlineLevel="1">
      <c r="B59" s="8"/>
      <c r="C59" s="278" t="s">
        <v>203</v>
      </c>
      <c r="D59" s="67">
        <v>35000</v>
      </c>
      <c r="E59" s="10"/>
    </row>
    <row r="60" spans="2:5" s="112" customFormat="1" ht="15" customHeight="1" outlineLevel="1">
      <c r="B60" s="8"/>
      <c r="C60" s="278" t="s">
        <v>286</v>
      </c>
      <c r="D60" s="67">
        <v>4000</v>
      </c>
      <c r="E60" s="10"/>
    </row>
    <row r="61" spans="2:5" s="112" customFormat="1" ht="15" customHeight="1" outlineLevel="1">
      <c r="B61" s="8"/>
      <c r="C61" s="278" t="s">
        <v>204</v>
      </c>
      <c r="D61" s="67">
        <v>25000</v>
      </c>
      <c r="E61" s="10"/>
    </row>
    <row r="62" spans="2:5" s="112" customFormat="1" ht="15" customHeight="1" outlineLevel="1">
      <c r="B62" s="8"/>
      <c r="C62" s="278" t="s">
        <v>205</v>
      </c>
      <c r="D62" s="67">
        <v>15000</v>
      </c>
      <c r="E62" s="10"/>
    </row>
    <row r="63" spans="2:5" s="112" customFormat="1" ht="15" customHeight="1" outlineLevel="1">
      <c r="B63" s="8"/>
      <c r="C63" s="278" t="s">
        <v>206</v>
      </c>
      <c r="D63" s="67">
        <v>1500</v>
      </c>
      <c r="E63" s="10"/>
    </row>
    <row r="64" spans="2:5" s="112" customFormat="1" ht="15" customHeight="1">
      <c r="B64" s="8"/>
      <c r="C64" s="277" t="s">
        <v>207</v>
      </c>
      <c r="D64" s="90">
        <f>SUM(D65:D71)</f>
        <v>4972705</v>
      </c>
      <c r="E64" s="10"/>
    </row>
    <row r="65" spans="2:6" s="112" customFormat="1" ht="15" customHeight="1" outlineLevel="1">
      <c r="B65" s="8"/>
      <c r="C65" s="278" t="s">
        <v>242</v>
      </c>
      <c r="D65" s="67">
        <f>'Оплата оборудования'!E11*'Входящие данные'!$E$12</f>
        <v>4739005</v>
      </c>
      <c r="E65" s="10"/>
    </row>
    <row r="66" spans="2:6" s="112" customFormat="1" ht="15" customHeight="1" outlineLevel="1">
      <c r="B66" s="8"/>
      <c r="C66" s="278" t="s">
        <v>208</v>
      </c>
      <c r="D66" s="67">
        <v>30000</v>
      </c>
      <c r="E66" s="10"/>
    </row>
    <row r="67" spans="2:6" s="112" customFormat="1" ht="15" customHeight="1" outlineLevel="1">
      <c r="B67" s="8"/>
      <c r="C67" s="278" t="s">
        <v>209</v>
      </c>
      <c r="D67" s="67">
        <v>60000</v>
      </c>
      <c r="E67" s="10"/>
    </row>
    <row r="68" spans="2:6" s="112" customFormat="1" ht="15" customHeight="1" outlineLevel="1">
      <c r="B68" s="8"/>
      <c r="C68" s="278" t="s">
        <v>210</v>
      </c>
      <c r="D68" s="67">
        <v>23000</v>
      </c>
      <c r="E68" s="10"/>
    </row>
    <row r="69" spans="2:6" s="112" customFormat="1" ht="30" outlineLevel="1">
      <c r="B69" s="8"/>
      <c r="C69" s="278" t="s">
        <v>357</v>
      </c>
      <c r="D69" s="67">
        <v>76000</v>
      </c>
      <c r="E69" s="10"/>
    </row>
    <row r="70" spans="2:6" s="112" customFormat="1" ht="15" customHeight="1" outlineLevel="1">
      <c r="B70" s="8"/>
      <c r="C70" s="278" t="s">
        <v>215</v>
      </c>
      <c r="D70" s="67">
        <v>9700</v>
      </c>
      <c r="E70" s="10"/>
    </row>
    <row r="71" spans="2:6" s="112" customFormat="1" outlineLevel="1">
      <c r="B71" s="8"/>
      <c r="C71" s="278" t="s">
        <v>211</v>
      </c>
      <c r="D71" s="67">
        <v>35000</v>
      </c>
      <c r="E71" s="10"/>
    </row>
    <row r="72" spans="2:6" s="112" customFormat="1" ht="15" customHeight="1">
      <c r="B72" s="8"/>
      <c r="C72" s="277" t="s">
        <v>212</v>
      </c>
      <c r="D72" s="90">
        <f>SUM(D73:D74)</f>
        <v>24400</v>
      </c>
      <c r="E72" s="10"/>
    </row>
    <row r="73" spans="2:6" s="112" customFormat="1" ht="15" customHeight="1" outlineLevel="1">
      <c r="B73" s="8"/>
      <c r="C73" s="278" t="s">
        <v>213</v>
      </c>
      <c r="D73" s="67">
        <v>20400</v>
      </c>
      <c r="E73" s="10"/>
    </row>
    <row r="74" spans="2:6" s="112" customFormat="1" ht="15" customHeight="1" outlineLevel="1">
      <c r="B74" s="8"/>
      <c r="C74" s="278" t="s">
        <v>214</v>
      </c>
      <c r="D74" s="67">
        <v>4000</v>
      </c>
      <c r="E74" s="10"/>
    </row>
    <row r="75" spans="2:6" s="59" customFormat="1">
      <c r="B75" s="8"/>
      <c r="C75" s="277" t="s">
        <v>100</v>
      </c>
      <c r="D75" s="125">
        <v>5000</v>
      </c>
      <c r="E75" s="10"/>
    </row>
    <row r="76" spans="2:6" s="273" customFormat="1" ht="45.75" customHeight="1">
      <c r="B76" s="8"/>
      <c r="C76" s="277" t="s">
        <v>319</v>
      </c>
      <c r="D76" s="125">
        <v>0</v>
      </c>
      <c r="E76" s="10"/>
    </row>
    <row r="77" spans="2:6" s="273" customFormat="1">
      <c r="B77" s="8"/>
      <c r="C77" s="277" t="s">
        <v>318</v>
      </c>
      <c r="D77" s="125">
        <v>45000</v>
      </c>
      <c r="E77" s="10"/>
    </row>
    <row r="78" spans="2:6" s="93" customFormat="1">
      <c r="B78" s="8"/>
      <c r="C78" s="277" t="s">
        <v>131</v>
      </c>
      <c r="D78" s="90">
        <f>'Ежемесячные затраты - средние'!D12*2</f>
        <v>75000</v>
      </c>
      <c r="E78" s="10"/>
    </row>
    <row r="79" spans="2:6" ht="20.25">
      <c r="B79" s="8"/>
      <c r="C79" s="111" t="s">
        <v>8</v>
      </c>
      <c r="D79" s="90">
        <f>D11+D12+D17+D18+D50+D64+D72+D75+D78+D76+D77</f>
        <v>7089505</v>
      </c>
      <c r="E79" s="10"/>
    </row>
    <row r="80" spans="2:6" ht="15" customHeight="1" thickBot="1">
      <c r="B80" s="11"/>
      <c r="C80" s="12"/>
      <c r="D80" s="12"/>
      <c r="E80" s="13"/>
      <c r="F80" s="1"/>
    </row>
    <row r="83" spans="2:4">
      <c r="B83" s="1"/>
      <c r="C83" s="21"/>
      <c r="D83" s="21"/>
    </row>
    <row r="84" spans="2:4">
      <c r="B84" s="1"/>
      <c r="C84" s="21"/>
      <c r="D84" s="21"/>
    </row>
    <row r="85" spans="2:4">
      <c r="B85" s="1"/>
      <c r="C85" s="21"/>
      <c r="D85" s="21"/>
    </row>
    <row r="86" spans="2:4">
      <c r="B86" s="1"/>
      <c r="C86" s="21"/>
      <c r="D86" s="21"/>
    </row>
    <row r="87" spans="2:4">
      <c r="B87" s="1"/>
      <c r="C87" s="21"/>
      <c r="D87" s="21"/>
    </row>
    <row r="88" spans="2:4">
      <c r="B88" s="1"/>
      <c r="C88" s="21"/>
      <c r="D88" s="21"/>
    </row>
    <row r="89" spans="2:4">
      <c r="B89" s="1"/>
      <c r="C89" s="1"/>
      <c r="D89" s="1"/>
    </row>
    <row r="90" spans="2:4">
      <c r="B90" s="1"/>
      <c r="C90" s="1"/>
      <c r="D90" s="1"/>
    </row>
  </sheetData>
  <mergeCells count="3">
    <mergeCell ref="B3:E3"/>
    <mergeCell ref="B4:E4"/>
    <mergeCell ref="C10:D10"/>
  </mergeCells>
  <pageMargins left="0.7" right="0.7" top="0.75" bottom="0.75" header="0.3" footer="0.3"/>
  <pageSetup paperSize="9" scale="35" orientation="landscape" r:id="rId1"/>
  <drawing r:id="rId2"/>
</worksheet>
</file>

<file path=xl/worksheets/sheet4.xml><?xml version="1.0" encoding="utf-8"?>
<worksheet xmlns="http://schemas.openxmlformats.org/spreadsheetml/2006/main" xmlns:r="http://schemas.openxmlformats.org/officeDocument/2006/relationships">
  <dimension ref="B1:M42"/>
  <sheetViews>
    <sheetView view="pageBreakPreview" zoomScaleNormal="85" zoomScaleSheetLayoutView="100" workbookViewId="0">
      <selection activeCell="C39" sqref="C39"/>
    </sheetView>
  </sheetViews>
  <sheetFormatPr defaultColWidth="15.28515625" defaultRowHeight="15"/>
  <cols>
    <col min="1" max="1" width="4.28515625" style="36" customWidth="1"/>
    <col min="2" max="2" width="4" style="36" customWidth="1"/>
    <col min="3" max="3" width="54.7109375" style="36" customWidth="1"/>
    <col min="4" max="4" width="16.7109375" style="36" bestFit="1" customWidth="1"/>
    <col min="5" max="5" width="9.5703125" style="36" customWidth="1"/>
    <col min="6" max="6" width="5" style="36" customWidth="1"/>
    <col min="7" max="8" width="23.5703125" style="36" customWidth="1"/>
    <col min="9" max="9" width="7.5703125" style="36" customWidth="1"/>
    <col min="10" max="10" width="32.42578125" style="36" customWidth="1"/>
    <col min="11" max="11" width="11.28515625" style="36" customWidth="1"/>
    <col min="12" max="12" width="13.42578125" style="36" customWidth="1"/>
    <col min="13" max="13" width="16.42578125" style="36" customWidth="1"/>
    <col min="14" max="14" width="17.28515625" style="36" customWidth="1"/>
    <col min="15" max="15" width="14.7109375" style="36" customWidth="1"/>
    <col min="16" max="16384" width="15.28515625" style="36"/>
  </cols>
  <sheetData>
    <row r="1" spans="2:13" ht="15" customHeight="1" thickBot="1"/>
    <row r="2" spans="2:13" ht="15" customHeight="1">
      <c r="B2" s="4"/>
      <c r="C2" s="15"/>
      <c r="D2" s="15"/>
      <c r="E2" s="16"/>
      <c r="F2" s="1"/>
      <c r="G2" s="1"/>
      <c r="H2" s="1"/>
    </row>
    <row r="3" spans="2:13" ht="18.75" customHeight="1">
      <c r="B3" s="487" t="s">
        <v>332</v>
      </c>
      <c r="C3" s="488"/>
      <c r="D3" s="488"/>
      <c r="E3" s="489"/>
      <c r="F3" s="1"/>
      <c r="G3" s="1"/>
      <c r="H3" s="1"/>
    </row>
    <row r="4" spans="2:13" ht="20.25">
      <c r="B4" s="487" t="str">
        <f>'Оплата оборудования'!B4:AR4</f>
        <v>по франшизе "АКСИОМА"</v>
      </c>
      <c r="C4" s="488"/>
      <c r="D4" s="488"/>
      <c r="E4" s="489"/>
      <c r="F4" s="1"/>
      <c r="G4" s="1"/>
      <c r="H4" s="1"/>
    </row>
    <row r="5" spans="2:13" ht="67.5" customHeight="1">
      <c r="B5" s="8"/>
      <c r="C5" s="1"/>
      <c r="D5" s="1"/>
      <c r="E5" s="10"/>
      <c r="F5" s="1"/>
    </row>
    <row r="6" spans="2:13">
      <c r="B6" s="8"/>
      <c r="C6" s="1"/>
      <c r="E6" s="34"/>
      <c r="F6" s="1"/>
    </row>
    <row r="7" spans="2:13" ht="15" customHeight="1">
      <c r="B7" s="8"/>
      <c r="C7" s="1"/>
      <c r="D7" s="500"/>
      <c r="E7" s="501"/>
      <c r="F7" s="26"/>
      <c r="G7" s="26"/>
      <c r="H7" s="26"/>
    </row>
    <row r="8" spans="2:13" ht="15" customHeight="1">
      <c r="B8" s="8"/>
      <c r="C8" s="1"/>
      <c r="D8" s="500"/>
      <c r="E8" s="501"/>
      <c r="F8" s="26"/>
      <c r="G8" s="26"/>
      <c r="H8" s="26"/>
    </row>
    <row r="9" spans="2:13" ht="15" customHeight="1">
      <c r="B9" s="8"/>
      <c r="C9" s="1"/>
      <c r="D9" s="1"/>
      <c r="E9" s="10"/>
      <c r="F9" s="27"/>
      <c r="G9" s="27"/>
      <c r="H9" s="27"/>
    </row>
    <row r="10" spans="2:13" ht="20.25">
      <c r="B10" s="8"/>
      <c r="C10" s="499" t="s">
        <v>333</v>
      </c>
      <c r="D10" s="499"/>
      <c r="E10" s="10"/>
      <c r="F10" s="1"/>
      <c r="H10" s="28"/>
      <c r="I10" s="18"/>
      <c r="J10" s="17"/>
      <c r="K10" s="17"/>
      <c r="L10" s="17"/>
      <c r="M10" s="17"/>
    </row>
    <row r="11" spans="2:13" s="42" customFormat="1">
      <c r="B11" s="8"/>
      <c r="C11" s="497" t="s">
        <v>43</v>
      </c>
      <c r="D11" s="498"/>
      <c r="E11" s="10"/>
      <c r="F11" s="1"/>
      <c r="H11" s="28"/>
      <c r="I11" s="18"/>
      <c r="J11" s="17"/>
      <c r="K11" s="17"/>
      <c r="L11" s="17"/>
      <c r="M11" s="17"/>
    </row>
    <row r="12" spans="2:13">
      <c r="B12" s="8"/>
      <c r="C12" s="308" t="s">
        <v>60</v>
      </c>
      <c r="D12" s="66">
        <f>'Входящие данные'!D14*'Входящие данные'!D19</f>
        <v>37500</v>
      </c>
      <c r="E12" s="10"/>
      <c r="F12" s="19"/>
      <c r="H12" s="30"/>
      <c r="I12" s="17"/>
      <c r="J12" s="17"/>
      <c r="K12" s="17"/>
      <c r="L12" s="17"/>
      <c r="M12" s="17"/>
    </row>
    <row r="13" spans="2:13" s="42" customFormat="1">
      <c r="B13" s="8"/>
      <c r="C13" s="497" t="s">
        <v>44</v>
      </c>
      <c r="D13" s="498"/>
      <c r="E13" s="10"/>
      <c r="F13" s="19"/>
      <c r="H13" s="28"/>
      <c r="I13" s="17"/>
      <c r="J13" s="17"/>
      <c r="K13" s="17"/>
      <c r="L13" s="17"/>
      <c r="M13" s="17"/>
    </row>
    <row r="14" spans="2:13" s="42" customFormat="1">
      <c r="B14" s="8"/>
      <c r="C14" s="314" t="s">
        <v>38</v>
      </c>
      <c r="D14" s="22">
        <f>(D15*D17+D16*D18)*(1+'Входящие данные'!$D$18)</f>
        <v>67355</v>
      </c>
      <c r="E14" s="10"/>
      <c r="F14" s="19"/>
      <c r="H14" s="28"/>
      <c r="I14" s="17"/>
      <c r="J14" s="17"/>
      <c r="K14" s="17"/>
      <c r="L14" s="17"/>
      <c r="M14" s="17"/>
    </row>
    <row r="15" spans="2:13" s="42" customFormat="1">
      <c r="B15" s="8"/>
      <c r="C15" s="308" t="s">
        <v>101</v>
      </c>
      <c r="D15" s="67">
        <v>15000</v>
      </c>
      <c r="E15" s="10"/>
      <c r="F15" s="19"/>
      <c r="H15" s="28"/>
      <c r="I15" s="17"/>
      <c r="J15" s="17"/>
      <c r="K15" s="17"/>
      <c r="L15" s="17"/>
      <c r="M15" s="17"/>
    </row>
    <row r="16" spans="2:13" s="93" customFormat="1">
      <c r="B16" s="8"/>
      <c r="C16" s="308" t="s">
        <v>102</v>
      </c>
      <c r="D16" s="67">
        <v>20000</v>
      </c>
      <c r="E16" s="10"/>
      <c r="F16" s="19"/>
      <c r="H16" s="28"/>
      <c r="I16" s="17"/>
      <c r="J16" s="17"/>
      <c r="K16" s="17"/>
      <c r="L16" s="17"/>
      <c r="M16" s="17"/>
    </row>
    <row r="17" spans="2:13" s="42" customFormat="1">
      <c r="B17" s="8"/>
      <c r="C17" s="309" t="s">
        <v>103</v>
      </c>
      <c r="D17" s="67">
        <v>2</v>
      </c>
      <c r="E17" s="10"/>
      <c r="F17" s="19"/>
      <c r="H17" s="28"/>
      <c r="I17" s="17"/>
      <c r="J17" s="17"/>
      <c r="K17" s="17"/>
      <c r="L17" s="17"/>
      <c r="M17" s="17"/>
    </row>
    <row r="18" spans="2:13" s="93" customFormat="1">
      <c r="B18" s="8"/>
      <c r="C18" s="309" t="s">
        <v>104</v>
      </c>
      <c r="D18" s="67">
        <v>1</v>
      </c>
      <c r="E18" s="10"/>
      <c r="F18" s="19"/>
      <c r="H18" s="28"/>
      <c r="I18" s="17"/>
      <c r="J18" s="17"/>
      <c r="K18" s="17"/>
      <c r="L18" s="17"/>
      <c r="M18" s="17"/>
    </row>
    <row r="19" spans="2:13" s="306" customFormat="1">
      <c r="B19" s="8"/>
      <c r="C19" s="314" t="s">
        <v>335</v>
      </c>
      <c r="D19" s="22">
        <f>D20*D17+D18+D21</f>
        <v>30001</v>
      </c>
      <c r="E19" s="10"/>
      <c r="F19" s="19"/>
      <c r="H19" s="28"/>
      <c r="I19" s="17"/>
      <c r="J19" s="17"/>
      <c r="K19" s="17"/>
      <c r="L19" s="17"/>
      <c r="M19" s="17"/>
    </row>
    <row r="20" spans="2:13" s="306" customFormat="1">
      <c r="B20" s="8"/>
      <c r="C20" s="308" t="s">
        <v>336</v>
      </c>
      <c r="D20" s="95">
        <v>10000</v>
      </c>
      <c r="E20" s="10"/>
      <c r="F20" s="19"/>
      <c r="H20" s="28"/>
      <c r="I20" s="17"/>
      <c r="J20" s="17"/>
      <c r="K20" s="17"/>
      <c r="L20" s="17"/>
      <c r="M20" s="17"/>
    </row>
    <row r="21" spans="2:13" s="306" customFormat="1">
      <c r="B21" s="8"/>
      <c r="C21" s="308" t="s">
        <v>337</v>
      </c>
      <c r="D21" s="95">
        <v>10000</v>
      </c>
      <c r="E21" s="10"/>
      <c r="F21" s="19"/>
      <c r="H21" s="28"/>
      <c r="I21" s="17"/>
      <c r="J21" s="17"/>
      <c r="K21" s="17"/>
      <c r="L21" s="17"/>
      <c r="M21" s="17"/>
    </row>
    <row r="22" spans="2:13" s="306" customFormat="1">
      <c r="B22" s="8"/>
      <c r="C22" s="308" t="s">
        <v>338</v>
      </c>
      <c r="D22" s="22">
        <f>AVERAGE(Прибыль_окупаемость!D19:BK19)</f>
        <v>19241.373333333333</v>
      </c>
      <c r="E22" s="10"/>
      <c r="F22" s="19"/>
      <c r="H22" s="28"/>
      <c r="I22" s="17"/>
      <c r="J22" s="17"/>
      <c r="K22" s="17"/>
      <c r="L22" s="17"/>
      <c r="M22" s="17"/>
    </row>
    <row r="23" spans="2:13" s="306" customFormat="1">
      <c r="B23" s="8"/>
      <c r="C23" s="308" t="s">
        <v>339</v>
      </c>
      <c r="D23" s="22">
        <f>AVERAGE(Прибыль_окупаемость!D20:BK20)</f>
        <v>48103.433333333334</v>
      </c>
      <c r="E23" s="10"/>
      <c r="F23" s="19"/>
      <c r="H23" s="28"/>
      <c r="I23" s="17"/>
      <c r="J23" s="17"/>
      <c r="K23" s="17"/>
      <c r="L23" s="17"/>
      <c r="M23" s="17"/>
    </row>
    <row r="24" spans="2:13" s="42" customFormat="1">
      <c r="B24" s="8"/>
      <c r="C24" s="497" t="s">
        <v>45</v>
      </c>
      <c r="D24" s="498"/>
      <c r="E24" s="10"/>
      <c r="F24" s="19"/>
      <c r="H24" s="28"/>
      <c r="I24" s="17"/>
      <c r="J24" s="17"/>
      <c r="K24" s="17"/>
      <c r="L24" s="17"/>
      <c r="M24" s="17"/>
    </row>
    <row r="25" spans="2:13" s="42" customFormat="1">
      <c r="B25" s="8"/>
      <c r="C25" s="308" t="s">
        <v>346</v>
      </c>
      <c r="D25" s="22">
        <f>AVERAGE(Прибыль_окупаемость!D22:AA22)</f>
        <v>15000</v>
      </c>
      <c r="E25" s="10"/>
      <c r="F25" s="19"/>
      <c r="H25" s="28"/>
      <c r="I25" s="17"/>
      <c r="J25" s="17"/>
      <c r="K25" s="17"/>
      <c r="L25" s="17"/>
      <c r="M25" s="17"/>
    </row>
    <row r="26" spans="2:13" s="37" customFormat="1">
      <c r="B26" s="8"/>
      <c r="C26" s="497" t="s">
        <v>46</v>
      </c>
      <c r="D26" s="498"/>
      <c r="E26" s="10"/>
      <c r="F26" s="19"/>
      <c r="H26" s="28"/>
      <c r="I26" s="17"/>
      <c r="J26" s="17"/>
      <c r="K26" s="17"/>
      <c r="L26" s="17"/>
      <c r="M26" s="17"/>
    </row>
    <row r="27" spans="2:13" s="43" customFormat="1">
      <c r="B27" s="8"/>
      <c r="C27" s="50" t="s">
        <v>49</v>
      </c>
      <c r="D27" s="22">
        <f>AVERAGE(Прибыль_окупаемость!D26:BK26)</f>
        <v>121843.04166666667</v>
      </c>
      <c r="E27" s="10"/>
      <c r="F27" s="19"/>
      <c r="H27" s="28"/>
      <c r="I27" s="17"/>
      <c r="J27" s="17"/>
      <c r="K27" s="17"/>
      <c r="L27" s="17"/>
      <c r="M27" s="17"/>
    </row>
    <row r="28" spans="2:13" s="112" customFormat="1">
      <c r="B28" s="8"/>
      <c r="C28" s="50" t="s">
        <v>216</v>
      </c>
      <c r="D28" s="67">
        <v>750</v>
      </c>
      <c r="E28" s="10"/>
      <c r="F28" s="19"/>
      <c r="H28" s="28"/>
      <c r="I28" s="17"/>
      <c r="J28" s="17"/>
      <c r="K28" s="17"/>
      <c r="L28" s="17"/>
      <c r="M28" s="17"/>
    </row>
    <row r="29" spans="2:13" s="312" customFormat="1">
      <c r="B29" s="8"/>
      <c r="C29" s="50" t="s">
        <v>91</v>
      </c>
      <c r="D29" s="22">
        <f>AVERAGE(Прибыль_окупаемость!D24:P24)</f>
        <v>0</v>
      </c>
      <c r="E29" s="10"/>
      <c r="F29" s="19"/>
      <c r="H29" s="28"/>
      <c r="I29" s="17"/>
      <c r="J29" s="17"/>
      <c r="K29" s="17"/>
      <c r="L29" s="17"/>
      <c r="M29" s="17"/>
    </row>
    <row r="30" spans="2:13" s="46" customFormat="1">
      <c r="B30" s="8"/>
      <c r="C30" s="50" t="s">
        <v>76</v>
      </c>
      <c r="D30" s="67">
        <v>15000</v>
      </c>
      <c r="E30" s="10"/>
      <c r="F30" s="19"/>
      <c r="H30" s="28"/>
      <c r="I30" s="17"/>
      <c r="J30" s="17"/>
      <c r="K30" s="17"/>
      <c r="L30" s="17"/>
      <c r="M30" s="17"/>
    </row>
    <row r="31" spans="2:13" ht="15.75" customHeight="1">
      <c r="B31" s="8"/>
      <c r="C31" s="307" t="s">
        <v>8</v>
      </c>
      <c r="D31" s="29">
        <f>SUM(D12:D14)+D19+D25+SUM(D27:D30)</f>
        <v>287449.04166666669</v>
      </c>
      <c r="E31" s="10"/>
      <c r="F31" s="20"/>
      <c r="H31" s="17"/>
      <c r="I31" s="17"/>
      <c r="J31" s="17"/>
      <c r="K31" s="17"/>
      <c r="L31" s="17"/>
      <c r="M31" s="17"/>
    </row>
    <row r="32" spans="2:13" ht="15" customHeight="1" thickBot="1">
      <c r="B32" s="11"/>
      <c r="C32" s="12"/>
      <c r="D32" s="12"/>
      <c r="E32" s="13"/>
      <c r="F32" s="1"/>
      <c r="G32" s="1"/>
      <c r="H32" s="1"/>
    </row>
    <row r="35" spans="2:5">
      <c r="B35" s="1"/>
      <c r="C35" s="21"/>
      <c r="D35" s="21"/>
      <c r="E35" s="1"/>
    </row>
    <row r="36" spans="2:5">
      <c r="B36" s="1"/>
      <c r="C36" s="21"/>
      <c r="D36" s="21"/>
      <c r="E36" s="1"/>
    </row>
    <row r="37" spans="2:5">
      <c r="B37" s="1"/>
      <c r="C37" s="21"/>
      <c r="D37" s="21"/>
      <c r="E37" s="1"/>
    </row>
    <row r="38" spans="2:5">
      <c r="B38" s="1"/>
      <c r="C38" s="21"/>
      <c r="D38" s="21"/>
      <c r="E38" s="1"/>
    </row>
    <row r="39" spans="2:5">
      <c r="B39" s="1"/>
      <c r="C39" s="21"/>
      <c r="D39" s="21"/>
      <c r="E39" s="1"/>
    </row>
    <row r="40" spans="2:5">
      <c r="B40" s="1"/>
      <c r="C40" s="21"/>
      <c r="D40" s="21"/>
      <c r="E40" s="1"/>
    </row>
    <row r="41" spans="2:5">
      <c r="B41" s="1"/>
      <c r="C41" s="1"/>
      <c r="D41" s="1"/>
      <c r="E41" s="1"/>
    </row>
    <row r="42" spans="2:5">
      <c r="B42" s="1"/>
      <c r="C42" s="1"/>
      <c r="D42" s="1"/>
      <c r="E42" s="1"/>
    </row>
  </sheetData>
  <mergeCells count="9">
    <mergeCell ref="C24:D24"/>
    <mergeCell ref="C26:D26"/>
    <mergeCell ref="B3:E3"/>
    <mergeCell ref="B4:E4"/>
    <mergeCell ref="C10:D10"/>
    <mergeCell ref="D7:E7"/>
    <mergeCell ref="D8:E8"/>
    <mergeCell ref="C11:D11"/>
    <mergeCell ref="C13:D13"/>
  </mergeCells>
  <pageMargins left="0.7" right="0.7" top="0.75" bottom="0.75" header="0.3" footer="0.3"/>
  <pageSetup paperSize="9" scale="78" orientation="portrait" r:id="rId1"/>
  <drawing r:id="rId2"/>
</worksheet>
</file>

<file path=xl/worksheets/sheet5.xml><?xml version="1.0" encoding="utf-8"?>
<worksheet xmlns="http://schemas.openxmlformats.org/spreadsheetml/2006/main" xmlns:r="http://schemas.openxmlformats.org/officeDocument/2006/relationships">
  <dimension ref="A1:CY788"/>
  <sheetViews>
    <sheetView topLeftCell="A2" zoomScale="85" zoomScaleNormal="85" zoomScaleSheetLayoutView="100" workbookViewId="0">
      <selection activeCell="C21" sqref="C21"/>
    </sheetView>
  </sheetViews>
  <sheetFormatPr defaultColWidth="9.28515625" defaultRowHeight="15" outlineLevelCol="1"/>
  <cols>
    <col min="1" max="1" width="5.7109375" style="77" customWidth="1"/>
    <col min="2" max="2" width="9.28515625" style="77"/>
    <col min="3" max="3" width="30" style="77" bestFit="1" customWidth="1"/>
    <col min="4" max="4" width="3.28515625" style="77" hidden="1" customWidth="1"/>
    <col min="5" max="5" width="21.42578125" style="77" bestFit="1" customWidth="1"/>
    <col min="6" max="6" width="19" style="77" bestFit="1" customWidth="1"/>
    <col min="7" max="7" width="14.7109375" style="77" bestFit="1" customWidth="1"/>
    <col min="8" max="8" width="22" style="77" bestFit="1" customWidth="1"/>
    <col min="9" max="18" width="13" style="77" bestFit="1" customWidth="1"/>
    <col min="19" max="20" width="13" style="77" customWidth="1"/>
    <col min="21" max="40" width="13" style="77" hidden="1" customWidth="1" outlineLevel="1"/>
    <col min="41" max="42" width="11" style="77" hidden="1" customWidth="1" outlineLevel="1"/>
    <col min="43" max="43" width="11.42578125" style="77" hidden="1" customWidth="1" outlineLevel="1"/>
    <col min="44" max="44" width="9" style="77" hidden="1" customWidth="1" outlineLevel="1"/>
    <col min="45" max="45" width="9.28515625" style="77" collapsed="1"/>
    <col min="46" max="46" width="12.42578125" style="77" bestFit="1" customWidth="1"/>
    <col min="47" max="16384" width="9.28515625" style="77"/>
  </cols>
  <sheetData>
    <row r="1" spans="1:103" ht="15.75" thickBot="1">
      <c r="A1" s="51"/>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row>
    <row r="2" spans="1:103">
      <c r="A2" s="51"/>
      <c r="B2" s="78"/>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372"/>
      <c r="AT2" s="53"/>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row>
    <row r="3" spans="1:103" ht="20.25">
      <c r="A3" s="51"/>
      <c r="B3" s="508" t="s">
        <v>280</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09"/>
      <c r="AP3" s="509"/>
      <c r="AQ3" s="509"/>
      <c r="AR3" s="509"/>
      <c r="AS3" s="510"/>
      <c r="AT3" s="53"/>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row>
    <row r="4" spans="1:103" ht="20.25">
      <c r="A4" s="51"/>
      <c r="B4" s="511" t="str">
        <f>'Инвестиции на орг-цию бизнеса'!B4:E4</f>
        <v>по франшизе "АКСИОМА"</v>
      </c>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c r="AQ4" s="512"/>
      <c r="AR4" s="512"/>
      <c r="AS4" s="513"/>
      <c r="AT4" s="53"/>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row>
    <row r="5" spans="1:103">
      <c r="A5" s="51"/>
      <c r="B5" s="80"/>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83"/>
      <c r="AT5" s="53"/>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row>
    <row r="6" spans="1:103">
      <c r="A6" s="51"/>
      <c r="B6" s="80"/>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83"/>
      <c r="AT6" s="53"/>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row>
    <row r="7" spans="1:103">
      <c r="A7" s="51"/>
      <c r="B7" s="80"/>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83"/>
      <c r="AT7" s="53"/>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row>
    <row r="8" spans="1:103">
      <c r="A8" s="51"/>
      <c r="B8" s="80"/>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83"/>
      <c r="AT8" s="53"/>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row>
    <row r="9" spans="1:103">
      <c r="A9" s="51"/>
      <c r="B9" s="8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83"/>
      <c r="AT9" s="53"/>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row>
    <row r="10" spans="1:103">
      <c r="A10" s="51"/>
      <c r="B10" s="80"/>
      <c r="C10" s="51"/>
      <c r="D10" s="51"/>
      <c r="E10" s="54"/>
      <c r="F10" s="54"/>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83"/>
      <c r="AT10" s="53"/>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row>
    <row r="11" spans="1:103">
      <c r="A11" s="51"/>
      <c r="B11" s="80"/>
      <c r="C11" s="62" t="s">
        <v>83</v>
      </c>
      <c r="D11" s="62"/>
      <c r="E11" s="371">
        <f>F32*'Входящие данные'!D17</f>
        <v>4739005</v>
      </c>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83"/>
      <c r="AT11" s="53"/>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row>
    <row r="12" spans="1:103" ht="15.75" thickBot="1">
      <c r="A12" s="51"/>
      <c r="B12" s="80"/>
      <c r="C12" s="54"/>
      <c r="D12" s="82"/>
      <c r="E12" s="82"/>
      <c r="F12" s="82"/>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83"/>
      <c r="AT12" s="53"/>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row>
    <row r="13" spans="1:103" ht="21" thickBot="1">
      <c r="A13" s="51"/>
      <c r="B13" s="65"/>
      <c r="C13" s="514" t="s">
        <v>82</v>
      </c>
      <c r="D13" s="515"/>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83"/>
      <c r="AT13" s="53"/>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row>
    <row r="14" spans="1:103">
      <c r="A14" s="51"/>
      <c r="B14" s="65"/>
      <c r="C14" s="502"/>
      <c r="D14" s="503"/>
      <c r="E14" s="503"/>
      <c r="F14" s="504"/>
      <c r="G14" s="436"/>
      <c r="H14" s="436" t="s">
        <v>348</v>
      </c>
      <c r="I14" s="436" t="s">
        <v>0</v>
      </c>
      <c r="J14" s="436" t="s">
        <v>1</v>
      </c>
      <c r="K14" s="436" t="s">
        <v>2</v>
      </c>
      <c r="L14" s="436" t="s">
        <v>3</v>
      </c>
      <c r="M14" s="436" t="s">
        <v>4</v>
      </c>
      <c r="N14" s="436" t="s">
        <v>12</v>
      </c>
      <c r="O14" s="436" t="s">
        <v>13</v>
      </c>
      <c r="P14" s="436" t="s">
        <v>14</v>
      </c>
      <c r="Q14" s="436" t="s">
        <v>15</v>
      </c>
      <c r="R14" s="436" t="s">
        <v>16</v>
      </c>
      <c r="S14" s="436" t="s">
        <v>18</v>
      </c>
      <c r="T14" s="437" t="s">
        <v>19</v>
      </c>
      <c r="U14" s="427" t="s">
        <v>22</v>
      </c>
      <c r="V14" s="426" t="s">
        <v>23</v>
      </c>
      <c r="W14" s="426" t="s">
        <v>24</v>
      </c>
      <c r="X14" s="426" t="s">
        <v>25</v>
      </c>
      <c r="Y14" s="426" t="s">
        <v>26</v>
      </c>
      <c r="Z14" s="426" t="s">
        <v>20</v>
      </c>
      <c r="AA14" s="426" t="s">
        <v>27</v>
      </c>
      <c r="AB14" s="426" t="s">
        <v>28</v>
      </c>
      <c r="AC14" s="426" t="s">
        <v>29</v>
      </c>
      <c r="AD14" s="426" t="s">
        <v>30</v>
      </c>
      <c r="AE14" s="426" t="s">
        <v>31</v>
      </c>
      <c r="AF14" s="426" t="s">
        <v>21</v>
      </c>
      <c r="AG14" s="426" t="s">
        <v>63</v>
      </c>
      <c r="AH14" s="426" t="s">
        <v>64</v>
      </c>
      <c r="AI14" s="426" t="s">
        <v>65</v>
      </c>
      <c r="AJ14" s="426" t="s">
        <v>66</v>
      </c>
      <c r="AK14" s="426" t="s">
        <v>67</v>
      </c>
      <c r="AL14" s="426" t="s">
        <v>68</v>
      </c>
      <c r="AM14" s="426" t="s">
        <v>69</v>
      </c>
      <c r="AN14" s="426" t="s">
        <v>70</v>
      </c>
      <c r="AO14" s="426" t="s">
        <v>71</v>
      </c>
      <c r="AP14" s="426" t="s">
        <v>72</v>
      </c>
      <c r="AQ14" s="426" t="s">
        <v>73</v>
      </c>
      <c r="AR14" s="426" t="s">
        <v>74</v>
      </c>
      <c r="AS14" s="83"/>
      <c r="AT14" s="53"/>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row>
    <row r="15" spans="1:103" ht="23.45" customHeight="1" thickBot="1">
      <c r="A15" s="51"/>
      <c r="B15" s="151"/>
      <c r="C15" s="438"/>
      <c r="D15" s="439"/>
      <c r="E15" s="439" t="s">
        <v>348</v>
      </c>
      <c r="F15" s="423" t="s">
        <v>349</v>
      </c>
      <c r="G15" s="423" t="s">
        <v>350</v>
      </c>
      <c r="H15" s="440"/>
      <c r="I15" s="440"/>
      <c r="J15" s="440"/>
      <c r="K15" s="440"/>
      <c r="L15" s="440"/>
      <c r="M15" s="440"/>
      <c r="N15" s="440"/>
      <c r="O15" s="440"/>
      <c r="P15" s="440"/>
      <c r="Q15" s="440"/>
      <c r="R15" s="440"/>
      <c r="S15" s="440"/>
      <c r="T15" s="441"/>
      <c r="U15" s="428"/>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83"/>
      <c r="AT15" s="53"/>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row>
    <row r="16" spans="1:103">
      <c r="A16" s="51"/>
      <c r="B16" s="151">
        <v>1</v>
      </c>
      <c r="C16" s="429" t="s">
        <v>328</v>
      </c>
      <c r="D16" s="430"/>
      <c r="E16" s="431">
        <v>1</v>
      </c>
      <c r="F16" s="432">
        <v>0</v>
      </c>
      <c r="G16" s="433">
        <v>0</v>
      </c>
      <c r="H16" s="434">
        <f>$E$11*E16</f>
        <v>4739005</v>
      </c>
      <c r="I16" s="434">
        <f>E11-H16</f>
        <v>0</v>
      </c>
      <c r="J16" s="435">
        <v>0</v>
      </c>
      <c r="K16" s="435">
        <v>0</v>
      </c>
      <c r="L16" s="435">
        <v>0</v>
      </c>
      <c r="M16" s="435">
        <v>0</v>
      </c>
      <c r="N16" s="435">
        <v>0</v>
      </c>
      <c r="O16" s="435">
        <v>0</v>
      </c>
      <c r="P16" s="435">
        <v>0</v>
      </c>
      <c r="Q16" s="435">
        <v>0</v>
      </c>
      <c r="R16" s="435">
        <v>0</v>
      </c>
      <c r="S16" s="435">
        <v>0</v>
      </c>
      <c r="T16" s="435">
        <v>0</v>
      </c>
      <c r="U16" s="74">
        <v>0</v>
      </c>
      <c r="V16" s="74">
        <v>0</v>
      </c>
      <c r="W16" s="74">
        <v>0</v>
      </c>
      <c r="X16" s="74">
        <v>0</v>
      </c>
      <c r="Y16" s="74">
        <v>0</v>
      </c>
      <c r="Z16" s="74">
        <v>0</v>
      </c>
      <c r="AA16" s="74">
        <v>0</v>
      </c>
      <c r="AB16" s="74">
        <v>0</v>
      </c>
      <c r="AC16" s="74">
        <v>0</v>
      </c>
      <c r="AD16" s="74">
        <v>0</v>
      </c>
      <c r="AE16" s="74">
        <v>0</v>
      </c>
      <c r="AF16" s="74">
        <v>0</v>
      </c>
      <c r="AG16" s="74">
        <v>0</v>
      </c>
      <c r="AH16" s="74">
        <v>0</v>
      </c>
      <c r="AI16" s="74">
        <v>0</v>
      </c>
      <c r="AJ16" s="74">
        <v>0</v>
      </c>
      <c r="AK16" s="74">
        <v>0</v>
      </c>
      <c r="AL16" s="74">
        <v>0</v>
      </c>
      <c r="AM16" s="74">
        <v>0</v>
      </c>
      <c r="AN16" s="74">
        <v>0</v>
      </c>
      <c r="AO16" s="74">
        <v>0</v>
      </c>
      <c r="AP16" s="74">
        <v>0</v>
      </c>
      <c r="AQ16" s="74">
        <v>0</v>
      </c>
      <c r="AR16" s="73">
        <v>0</v>
      </c>
      <c r="AS16" s="83"/>
      <c r="AT16" s="475"/>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row>
    <row r="17" spans="1:103">
      <c r="A17" s="51"/>
      <c r="B17" s="151">
        <v>2</v>
      </c>
      <c r="C17" s="419" t="s">
        <v>88</v>
      </c>
      <c r="D17" s="374"/>
      <c r="E17" s="375">
        <v>0.25</v>
      </c>
      <c r="F17" s="71">
        <v>36</v>
      </c>
      <c r="G17" s="72">
        <v>0.13500000000000001</v>
      </c>
      <c r="H17" s="73">
        <f>E11*E17</f>
        <v>1184751.25</v>
      </c>
      <c r="I17" s="73">
        <f>E27</f>
        <v>133943.07381596687</v>
      </c>
      <c r="J17" s="73">
        <f t="shared" ref="J17:AQ17" si="0">F27</f>
        <v>133640.71406259449</v>
      </c>
      <c r="K17" s="73">
        <f t="shared" si="0"/>
        <v>133334.95276199668</v>
      </c>
      <c r="L17" s="73">
        <f t="shared" si="0"/>
        <v>133025.75164676714</v>
      </c>
      <c r="M17" s="73">
        <f t="shared" si="0"/>
        <v>132713.07201899128</v>
      </c>
      <c r="N17" s="73">
        <f t="shared" si="0"/>
        <v>132396.87474540292</v>
      </c>
      <c r="O17" s="73">
        <f t="shared" si="0"/>
        <v>132077.12025248667</v>
      </c>
      <c r="P17" s="73">
        <f t="shared" si="0"/>
        <v>131753.76852152517</v>
      </c>
      <c r="Q17" s="73">
        <f t="shared" si="0"/>
        <v>131426.77908359031</v>
      </c>
      <c r="R17" s="73">
        <f t="shared" si="0"/>
        <v>131096.11101447872</v>
      </c>
      <c r="S17" s="73">
        <f t="shared" si="0"/>
        <v>130761.7229295896</v>
      </c>
      <c r="T17" s="73">
        <f t="shared" si="0"/>
        <v>130423.57297874548</v>
      </c>
      <c r="U17" s="73">
        <f t="shared" si="0"/>
        <v>130081.61884095435</v>
      </c>
      <c r="V17" s="73">
        <f t="shared" si="0"/>
        <v>129735.81771911308</v>
      </c>
      <c r="W17" s="73">
        <f t="shared" si="0"/>
        <v>129386.12633465111</v>
      </c>
      <c r="X17" s="73">
        <f t="shared" si="0"/>
        <v>129032.50092211393</v>
      </c>
      <c r="Y17" s="73">
        <f t="shared" si="0"/>
        <v>128674.89722368571</v>
      </c>
      <c r="Z17" s="73">
        <f t="shared" si="0"/>
        <v>128313.27048365017</v>
      </c>
      <c r="AA17" s="73">
        <f t="shared" si="0"/>
        <v>127947.57544278924</v>
      </c>
      <c r="AB17" s="73">
        <f t="shared" si="0"/>
        <v>127577.76633271862</v>
      </c>
      <c r="AC17" s="73">
        <f t="shared" si="0"/>
        <v>127203.7968701597</v>
      </c>
      <c r="AD17" s="73">
        <f t="shared" si="0"/>
        <v>126825.62025114699</v>
      </c>
      <c r="AE17" s="73">
        <f t="shared" si="0"/>
        <v>126443.18914517039</v>
      </c>
      <c r="AF17" s="73">
        <f t="shared" si="0"/>
        <v>126056.45568925157</v>
      </c>
      <c r="AG17" s="73">
        <f t="shared" si="0"/>
        <v>125665.37148195364</v>
      </c>
      <c r="AH17" s="73">
        <f t="shared" si="0"/>
        <v>125269.88757732361</v>
      </c>
      <c r="AI17" s="73">
        <f t="shared" si="0"/>
        <v>124869.95447876649</v>
      </c>
      <c r="AJ17" s="73">
        <f t="shared" si="0"/>
        <v>124465.52213285062</v>
      </c>
      <c r="AK17" s="73">
        <f t="shared" si="0"/>
        <v>124056.53992304318</v>
      </c>
      <c r="AL17" s="73">
        <f t="shared" si="0"/>
        <v>123642.95666337543</v>
      </c>
      <c r="AM17" s="73">
        <f t="shared" si="0"/>
        <v>123224.72059203639</v>
      </c>
      <c r="AN17" s="73">
        <f t="shared" si="0"/>
        <v>122801.7793648948</v>
      </c>
      <c r="AO17" s="73">
        <f t="shared" si="0"/>
        <v>122374.08004894786</v>
      </c>
      <c r="AP17" s="73">
        <f t="shared" si="0"/>
        <v>121941.56911569653</v>
      </c>
      <c r="AQ17" s="73">
        <f t="shared" si="0"/>
        <v>121504.19243444611</v>
      </c>
      <c r="AR17" s="73">
        <v>0</v>
      </c>
      <c r="AS17" s="83"/>
      <c r="AT17" s="475"/>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row>
    <row r="18" spans="1:103">
      <c r="A18" s="51"/>
      <c r="B18" s="151">
        <v>3</v>
      </c>
      <c r="C18" s="419" t="s">
        <v>415</v>
      </c>
      <c r="D18" s="374"/>
      <c r="E18" s="375">
        <v>0.3</v>
      </c>
      <c r="F18" s="71">
        <v>6</v>
      </c>
      <c r="G18" s="70">
        <v>0</v>
      </c>
      <c r="H18" s="73">
        <f>$E$11*E18</f>
        <v>1421701.5</v>
      </c>
      <c r="I18" s="73">
        <f>$E$11*(100%-$E$18)/$F$18</f>
        <v>552883.91666666663</v>
      </c>
      <c r="J18" s="73">
        <f t="shared" ref="J18:N18" si="1">$E$11*(100%-$E$18)/$F$18</f>
        <v>552883.91666666663</v>
      </c>
      <c r="K18" s="73">
        <f t="shared" si="1"/>
        <v>552883.91666666663</v>
      </c>
      <c r="L18" s="73">
        <f t="shared" si="1"/>
        <v>552883.91666666663</v>
      </c>
      <c r="M18" s="73">
        <f t="shared" si="1"/>
        <v>552883.91666666663</v>
      </c>
      <c r="N18" s="73">
        <f t="shared" si="1"/>
        <v>552883.91666666663</v>
      </c>
      <c r="O18" s="73">
        <v>0</v>
      </c>
      <c r="P18" s="73">
        <v>0</v>
      </c>
      <c r="Q18" s="73">
        <v>0</v>
      </c>
      <c r="R18" s="73">
        <v>0</v>
      </c>
      <c r="S18" s="73">
        <v>0</v>
      </c>
      <c r="T18" s="73">
        <v>0</v>
      </c>
      <c r="U18" s="73">
        <v>0</v>
      </c>
      <c r="V18" s="73">
        <v>0</v>
      </c>
      <c r="W18" s="73">
        <v>0</v>
      </c>
      <c r="X18" s="73">
        <v>0</v>
      </c>
      <c r="Y18" s="73">
        <v>0</v>
      </c>
      <c r="Z18" s="73">
        <v>0</v>
      </c>
      <c r="AA18" s="73">
        <v>0</v>
      </c>
      <c r="AB18" s="73">
        <v>0</v>
      </c>
      <c r="AC18" s="73">
        <v>0</v>
      </c>
      <c r="AD18" s="73">
        <v>0</v>
      </c>
      <c r="AE18" s="73">
        <v>0</v>
      </c>
      <c r="AF18" s="73">
        <v>0</v>
      </c>
      <c r="AG18" s="73">
        <v>0</v>
      </c>
      <c r="AH18" s="73">
        <v>0</v>
      </c>
      <c r="AI18" s="73">
        <v>0</v>
      </c>
      <c r="AJ18" s="73">
        <v>0</v>
      </c>
      <c r="AK18" s="73">
        <v>0</v>
      </c>
      <c r="AL18" s="73">
        <v>0</v>
      </c>
      <c r="AM18" s="73">
        <v>0</v>
      </c>
      <c r="AN18" s="73">
        <v>0</v>
      </c>
      <c r="AO18" s="73">
        <v>0</v>
      </c>
      <c r="AP18" s="73">
        <v>0</v>
      </c>
      <c r="AQ18" s="73">
        <v>0</v>
      </c>
      <c r="AR18" s="73">
        <v>0</v>
      </c>
      <c r="AS18" s="83"/>
      <c r="AT18" s="475"/>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row>
    <row r="19" spans="1:103">
      <c r="A19" s="51"/>
      <c r="B19" s="151">
        <v>3</v>
      </c>
      <c r="C19" s="469" t="s">
        <v>416</v>
      </c>
      <c r="D19" s="374"/>
      <c r="E19" s="375">
        <v>0.5</v>
      </c>
      <c r="F19" s="71">
        <v>6</v>
      </c>
      <c r="G19" s="70">
        <v>0</v>
      </c>
      <c r="H19" s="73">
        <f>$E$11*E19</f>
        <v>2369502.5</v>
      </c>
      <c r="I19" s="73">
        <f t="shared" ref="I19:N19" si="2">$E$11*(100%-$E$19)/$F$19</f>
        <v>394917.08333333331</v>
      </c>
      <c r="J19" s="73">
        <f t="shared" si="2"/>
        <v>394917.08333333331</v>
      </c>
      <c r="K19" s="73">
        <f t="shared" si="2"/>
        <v>394917.08333333331</v>
      </c>
      <c r="L19" s="73">
        <f t="shared" si="2"/>
        <v>394917.08333333331</v>
      </c>
      <c r="M19" s="73">
        <f t="shared" si="2"/>
        <v>394917.08333333331</v>
      </c>
      <c r="N19" s="73">
        <f t="shared" si="2"/>
        <v>394917.08333333331</v>
      </c>
      <c r="O19" s="73">
        <v>0</v>
      </c>
      <c r="P19" s="73">
        <v>0</v>
      </c>
      <c r="Q19" s="73">
        <v>0</v>
      </c>
      <c r="R19" s="73">
        <v>0</v>
      </c>
      <c r="S19" s="73">
        <v>0</v>
      </c>
      <c r="T19" s="73">
        <v>0</v>
      </c>
      <c r="U19" s="73">
        <v>0</v>
      </c>
      <c r="V19" s="73">
        <v>0</v>
      </c>
      <c r="W19" s="73">
        <v>0</v>
      </c>
      <c r="X19" s="73">
        <v>0</v>
      </c>
      <c r="Y19" s="73">
        <v>0</v>
      </c>
      <c r="Z19" s="73">
        <v>0</v>
      </c>
      <c r="AA19" s="73">
        <v>0</v>
      </c>
      <c r="AB19" s="73">
        <v>0</v>
      </c>
      <c r="AC19" s="73">
        <v>0</v>
      </c>
      <c r="AD19" s="73">
        <v>0</v>
      </c>
      <c r="AE19" s="73">
        <v>0</v>
      </c>
      <c r="AF19" s="73">
        <v>0</v>
      </c>
      <c r="AG19" s="73">
        <v>0</v>
      </c>
      <c r="AH19" s="73">
        <v>0</v>
      </c>
      <c r="AI19" s="73">
        <v>0</v>
      </c>
      <c r="AJ19" s="73">
        <v>0</v>
      </c>
      <c r="AK19" s="73">
        <v>0</v>
      </c>
      <c r="AL19" s="73">
        <v>0</v>
      </c>
      <c r="AM19" s="73">
        <v>0</v>
      </c>
      <c r="AN19" s="73">
        <v>0</v>
      </c>
      <c r="AO19" s="73">
        <v>0</v>
      </c>
      <c r="AP19" s="73">
        <v>0</v>
      </c>
      <c r="AQ19" s="73">
        <v>0</v>
      </c>
      <c r="AR19" s="73">
        <v>0</v>
      </c>
      <c r="AS19" s="83"/>
      <c r="AT19" s="475"/>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row>
    <row r="20" spans="1:103">
      <c r="A20" s="51"/>
      <c r="B20" s="151"/>
      <c r="C20" s="419" t="s">
        <v>423</v>
      </c>
      <c r="D20" s="470"/>
      <c r="E20" s="471">
        <v>0.3</v>
      </c>
      <c r="F20" s="472">
        <v>12</v>
      </c>
      <c r="G20" s="473">
        <v>0</v>
      </c>
      <c r="H20" s="474">
        <f>$E$11*E20</f>
        <v>1421701.5</v>
      </c>
      <c r="I20" s="474">
        <f>$E$11*(100%-$E$20)/$F$20</f>
        <v>276441.95833333331</v>
      </c>
      <c r="J20" s="474">
        <f t="shared" ref="J20:T20" si="3">$E$11*(100%-$E$20)/$F$20</f>
        <v>276441.95833333331</v>
      </c>
      <c r="K20" s="474">
        <f t="shared" si="3"/>
        <v>276441.95833333331</v>
      </c>
      <c r="L20" s="474">
        <f t="shared" si="3"/>
        <v>276441.95833333331</v>
      </c>
      <c r="M20" s="474">
        <f t="shared" si="3"/>
        <v>276441.95833333331</v>
      </c>
      <c r="N20" s="474">
        <f t="shared" si="3"/>
        <v>276441.95833333331</v>
      </c>
      <c r="O20" s="474">
        <f t="shared" si="3"/>
        <v>276441.95833333331</v>
      </c>
      <c r="P20" s="474">
        <f t="shared" si="3"/>
        <v>276441.95833333331</v>
      </c>
      <c r="Q20" s="474">
        <f t="shared" si="3"/>
        <v>276441.95833333331</v>
      </c>
      <c r="R20" s="474">
        <f t="shared" si="3"/>
        <v>276441.95833333331</v>
      </c>
      <c r="S20" s="474">
        <f t="shared" si="3"/>
        <v>276441.95833333331</v>
      </c>
      <c r="T20" s="474">
        <f t="shared" si="3"/>
        <v>276441.95833333331</v>
      </c>
      <c r="U20" s="474">
        <v>0</v>
      </c>
      <c r="V20" s="474">
        <v>0</v>
      </c>
      <c r="W20" s="474">
        <v>0</v>
      </c>
      <c r="X20" s="474">
        <v>0</v>
      </c>
      <c r="Y20" s="474">
        <v>0</v>
      </c>
      <c r="Z20" s="474">
        <v>0</v>
      </c>
      <c r="AA20" s="474">
        <v>0</v>
      </c>
      <c r="AB20" s="474">
        <v>0</v>
      </c>
      <c r="AC20" s="474">
        <v>0</v>
      </c>
      <c r="AD20" s="474">
        <v>0</v>
      </c>
      <c r="AE20" s="474">
        <v>0</v>
      </c>
      <c r="AF20" s="474">
        <v>0</v>
      </c>
      <c r="AG20" s="474">
        <v>0</v>
      </c>
      <c r="AH20" s="474">
        <v>0</v>
      </c>
      <c r="AI20" s="474">
        <v>0</v>
      </c>
      <c r="AJ20" s="474">
        <v>0</v>
      </c>
      <c r="AK20" s="474">
        <v>0</v>
      </c>
      <c r="AL20" s="474">
        <v>0</v>
      </c>
      <c r="AM20" s="474">
        <v>0</v>
      </c>
      <c r="AN20" s="474">
        <v>0</v>
      </c>
      <c r="AO20" s="474">
        <v>0</v>
      </c>
      <c r="AP20" s="474">
        <v>0</v>
      </c>
      <c r="AQ20" s="474">
        <v>0</v>
      </c>
      <c r="AR20" s="474">
        <v>0</v>
      </c>
      <c r="AS20" s="83"/>
      <c r="AT20" s="475"/>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row>
    <row r="21" spans="1:103" ht="15.75" thickBot="1">
      <c r="A21" s="51"/>
      <c r="B21" s="151">
        <v>4</v>
      </c>
      <c r="C21" s="420" t="s">
        <v>417</v>
      </c>
      <c r="D21" s="421"/>
      <c r="E21" s="422">
        <v>0.5</v>
      </c>
      <c r="F21" s="423">
        <v>12</v>
      </c>
      <c r="G21" s="424">
        <v>0</v>
      </c>
      <c r="H21" s="425">
        <f>$E$11*E21</f>
        <v>2369502.5</v>
      </c>
      <c r="I21" s="425">
        <f t="shared" ref="I21:T21" si="4">-PMT($G$21/$F$21,$F$21,$E$11*(100%-$E$21),0,0)</f>
        <v>197458.54166666666</v>
      </c>
      <c r="J21" s="425">
        <f t="shared" si="4"/>
        <v>197458.54166666666</v>
      </c>
      <c r="K21" s="425">
        <f t="shared" si="4"/>
        <v>197458.54166666666</v>
      </c>
      <c r="L21" s="425">
        <f t="shared" si="4"/>
        <v>197458.54166666666</v>
      </c>
      <c r="M21" s="425">
        <f t="shared" si="4"/>
        <v>197458.54166666666</v>
      </c>
      <c r="N21" s="425">
        <f t="shared" si="4"/>
        <v>197458.54166666666</v>
      </c>
      <c r="O21" s="425">
        <f t="shared" si="4"/>
        <v>197458.54166666666</v>
      </c>
      <c r="P21" s="425">
        <f t="shared" si="4"/>
        <v>197458.54166666666</v>
      </c>
      <c r="Q21" s="425">
        <f t="shared" si="4"/>
        <v>197458.54166666666</v>
      </c>
      <c r="R21" s="425">
        <f t="shared" si="4"/>
        <v>197458.54166666666</v>
      </c>
      <c r="S21" s="425">
        <f t="shared" si="4"/>
        <v>197458.54166666666</v>
      </c>
      <c r="T21" s="425">
        <f t="shared" si="4"/>
        <v>197458.54166666666</v>
      </c>
      <c r="U21" s="425">
        <v>0</v>
      </c>
      <c r="V21" s="425">
        <v>0</v>
      </c>
      <c r="W21" s="425">
        <v>0</v>
      </c>
      <c r="X21" s="425">
        <v>0</v>
      </c>
      <c r="Y21" s="425">
        <v>0</v>
      </c>
      <c r="Z21" s="425">
        <v>0</v>
      </c>
      <c r="AA21" s="425">
        <v>0</v>
      </c>
      <c r="AB21" s="425">
        <v>0</v>
      </c>
      <c r="AC21" s="425">
        <v>0</v>
      </c>
      <c r="AD21" s="425">
        <v>0</v>
      </c>
      <c r="AE21" s="425">
        <v>0</v>
      </c>
      <c r="AF21" s="425">
        <v>0</v>
      </c>
      <c r="AG21" s="425">
        <v>0</v>
      </c>
      <c r="AH21" s="425">
        <v>0</v>
      </c>
      <c r="AI21" s="425">
        <v>0</v>
      </c>
      <c r="AJ21" s="425">
        <v>0</v>
      </c>
      <c r="AK21" s="425">
        <v>0</v>
      </c>
      <c r="AL21" s="425">
        <v>0</v>
      </c>
      <c r="AM21" s="425">
        <v>0</v>
      </c>
      <c r="AN21" s="425">
        <v>0</v>
      </c>
      <c r="AO21" s="425">
        <v>0</v>
      </c>
      <c r="AP21" s="425">
        <v>0</v>
      </c>
      <c r="AQ21" s="425">
        <v>0</v>
      </c>
      <c r="AR21" s="425">
        <v>0</v>
      </c>
      <c r="AS21" s="83"/>
      <c r="AT21" s="475"/>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row>
    <row r="22" spans="1:103" hidden="1">
      <c r="A22" s="51"/>
      <c r="B22" s="150"/>
      <c r="C22" s="82"/>
      <c r="D22" s="373"/>
      <c r="E22" s="418"/>
      <c r="F22" s="418"/>
      <c r="G22" s="418"/>
      <c r="H22" s="418"/>
      <c r="I22" s="418"/>
      <c r="J22" s="418"/>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1"/>
      <c r="AT22" s="53"/>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row>
    <row r="23" spans="1:103" ht="21" hidden="1" customHeight="1">
      <c r="A23" s="51"/>
      <c r="B23" s="65"/>
      <c r="C23" s="505" t="s">
        <v>88</v>
      </c>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506"/>
      <c r="AM23" s="506"/>
      <c r="AN23" s="507"/>
      <c r="AO23" s="84"/>
      <c r="AP23" s="52"/>
      <c r="AQ23" s="52"/>
      <c r="AR23" s="52"/>
      <c r="AS23" s="81"/>
      <c r="AT23" s="53"/>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row>
    <row r="24" spans="1:103" hidden="1">
      <c r="A24" s="51"/>
      <c r="B24" s="80"/>
      <c r="C24" s="376" t="s">
        <v>84</v>
      </c>
      <c r="D24" s="64" t="s">
        <v>85</v>
      </c>
      <c r="E24" s="63">
        <v>1</v>
      </c>
      <c r="F24" s="63">
        <f t="shared" ref="F24:AN24" si="5">IF(E24&gt;=$F$17,"",E24+1)</f>
        <v>2</v>
      </c>
      <c r="G24" s="63">
        <f t="shared" si="5"/>
        <v>3</v>
      </c>
      <c r="H24" s="63">
        <f t="shared" si="5"/>
        <v>4</v>
      </c>
      <c r="I24" s="63">
        <f t="shared" si="5"/>
        <v>5</v>
      </c>
      <c r="J24" s="63">
        <f t="shared" si="5"/>
        <v>6</v>
      </c>
      <c r="K24" s="63">
        <f t="shared" si="5"/>
        <v>7</v>
      </c>
      <c r="L24" s="63">
        <f t="shared" si="5"/>
        <v>8</v>
      </c>
      <c r="M24" s="63">
        <f t="shared" si="5"/>
        <v>9</v>
      </c>
      <c r="N24" s="63">
        <f t="shared" si="5"/>
        <v>10</v>
      </c>
      <c r="O24" s="63">
        <f t="shared" si="5"/>
        <v>11</v>
      </c>
      <c r="P24" s="63">
        <f t="shared" si="5"/>
        <v>12</v>
      </c>
      <c r="Q24" s="63">
        <f t="shared" si="5"/>
        <v>13</v>
      </c>
      <c r="R24" s="63">
        <f t="shared" si="5"/>
        <v>14</v>
      </c>
      <c r="S24" s="63">
        <f t="shared" si="5"/>
        <v>15</v>
      </c>
      <c r="T24" s="63">
        <f t="shared" si="5"/>
        <v>16</v>
      </c>
      <c r="U24" s="63">
        <f t="shared" si="5"/>
        <v>17</v>
      </c>
      <c r="V24" s="63">
        <f t="shared" si="5"/>
        <v>18</v>
      </c>
      <c r="W24" s="63">
        <f t="shared" si="5"/>
        <v>19</v>
      </c>
      <c r="X24" s="63">
        <f t="shared" si="5"/>
        <v>20</v>
      </c>
      <c r="Y24" s="63">
        <f t="shared" si="5"/>
        <v>21</v>
      </c>
      <c r="Z24" s="63">
        <f t="shared" si="5"/>
        <v>22</v>
      </c>
      <c r="AA24" s="63">
        <f t="shared" si="5"/>
        <v>23</v>
      </c>
      <c r="AB24" s="63">
        <f t="shared" si="5"/>
        <v>24</v>
      </c>
      <c r="AC24" s="63">
        <f t="shared" si="5"/>
        <v>25</v>
      </c>
      <c r="AD24" s="63">
        <f t="shared" si="5"/>
        <v>26</v>
      </c>
      <c r="AE24" s="63">
        <f t="shared" si="5"/>
        <v>27</v>
      </c>
      <c r="AF24" s="63">
        <f t="shared" si="5"/>
        <v>28</v>
      </c>
      <c r="AG24" s="63">
        <f t="shared" si="5"/>
        <v>29</v>
      </c>
      <c r="AH24" s="63">
        <f t="shared" si="5"/>
        <v>30</v>
      </c>
      <c r="AI24" s="63">
        <f t="shared" si="5"/>
        <v>31</v>
      </c>
      <c r="AJ24" s="63">
        <f t="shared" si="5"/>
        <v>32</v>
      </c>
      <c r="AK24" s="63">
        <f t="shared" si="5"/>
        <v>33</v>
      </c>
      <c r="AL24" s="63">
        <f t="shared" si="5"/>
        <v>34</v>
      </c>
      <c r="AM24" s="63">
        <f t="shared" si="5"/>
        <v>35</v>
      </c>
      <c r="AN24" s="63">
        <f t="shared" si="5"/>
        <v>36</v>
      </c>
      <c r="AO24" s="52"/>
      <c r="AP24" s="52"/>
      <c r="AQ24" s="52"/>
      <c r="AR24" s="52"/>
      <c r="AS24" s="81"/>
      <c r="AT24" s="53"/>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row>
    <row r="25" spans="1:103" hidden="1">
      <c r="A25" s="51"/>
      <c r="B25" s="80"/>
      <c r="C25" s="376" t="s">
        <v>89</v>
      </c>
      <c r="D25" s="74">
        <f>SUM(AS25:WP25)</f>
        <v>0</v>
      </c>
      <c r="E25" s="75">
        <f t="shared" ref="E25:AN25" si="6">-IF(E24&lt;&gt;"",PPMT($G$17/12,E24,$F$17,$E$11*(100%-$E$17),0,0),0)</f>
        <v>80629.26756596686</v>
      </c>
      <c r="F25" s="75">
        <f t="shared" si="6"/>
        <v>81536.346826083987</v>
      </c>
      <c r="G25" s="75">
        <f t="shared" si="6"/>
        <v>82453.630727877433</v>
      </c>
      <c r="H25" s="75">
        <f t="shared" si="6"/>
        <v>83381.23407356604</v>
      </c>
      <c r="I25" s="75">
        <f t="shared" si="6"/>
        <v>84319.272956893663</v>
      </c>
      <c r="J25" s="75">
        <f t="shared" si="6"/>
        <v>85267.864777658717</v>
      </c>
      <c r="K25" s="75">
        <f t="shared" si="6"/>
        <v>86227.128256407363</v>
      </c>
      <c r="L25" s="75">
        <f t="shared" si="6"/>
        <v>87197.183449291944</v>
      </c>
      <c r="M25" s="75">
        <f t="shared" si="6"/>
        <v>88178.151763096481</v>
      </c>
      <c r="N25" s="75">
        <f t="shared" si="6"/>
        <v>89170.155970431326</v>
      </c>
      <c r="O25" s="75">
        <f t="shared" si="6"/>
        <v>90173.320225098665</v>
      </c>
      <c r="P25" s="75">
        <f t="shared" si="6"/>
        <v>91187.770077631023</v>
      </c>
      <c r="Q25" s="75">
        <f t="shared" si="6"/>
        <v>92213.632491004362</v>
      </c>
      <c r="R25" s="75">
        <f t="shared" si="6"/>
        <v>93251.035856528149</v>
      </c>
      <c r="S25" s="75">
        <f t="shared" si="6"/>
        <v>94300.110009914119</v>
      </c>
      <c r="T25" s="75">
        <f t="shared" si="6"/>
        <v>95360.986247525609</v>
      </c>
      <c r="U25" s="75">
        <f t="shared" si="6"/>
        <v>96433.7973428103</v>
      </c>
      <c r="V25" s="75">
        <f t="shared" si="6"/>
        <v>97518.677562916899</v>
      </c>
      <c r="W25" s="75">
        <f t="shared" si="6"/>
        <v>98615.762685499736</v>
      </c>
      <c r="X25" s="75">
        <f t="shared" si="6"/>
        <v>99725.190015711589</v>
      </c>
      <c r="Y25" s="75">
        <f t="shared" si="6"/>
        <v>100847.09840338836</v>
      </c>
      <c r="Z25" s="75">
        <f t="shared" si="6"/>
        <v>101981.62826042646</v>
      </c>
      <c r="AA25" s="75">
        <f t="shared" si="6"/>
        <v>103128.92157835627</v>
      </c>
      <c r="AB25" s="75">
        <f t="shared" si="6"/>
        <v>104289.12194611275</v>
      </c>
      <c r="AC25" s="75">
        <f t="shared" si="6"/>
        <v>105462.37456800653</v>
      </c>
      <c r="AD25" s="75">
        <f t="shared" si="6"/>
        <v>106648.8262818966</v>
      </c>
      <c r="AE25" s="75">
        <f t="shared" si="6"/>
        <v>107848.62557756793</v>
      </c>
      <c r="AF25" s="75">
        <f t="shared" si="6"/>
        <v>109061.92261531558</v>
      </c>
      <c r="AG25" s="75">
        <f t="shared" si="6"/>
        <v>110288.86924473787</v>
      </c>
      <c r="AH25" s="75">
        <f t="shared" si="6"/>
        <v>111529.61902374115</v>
      </c>
      <c r="AI25" s="75">
        <f t="shared" si="6"/>
        <v>112784.32723775826</v>
      </c>
      <c r="AJ25" s="75">
        <f t="shared" si="6"/>
        <v>114053.150919183</v>
      </c>
      <c r="AK25" s="75">
        <f t="shared" si="6"/>
        <v>115336.24886702382</v>
      </c>
      <c r="AL25" s="75">
        <f t="shared" si="6"/>
        <v>116633.78166677784</v>
      </c>
      <c r="AM25" s="75">
        <f t="shared" si="6"/>
        <v>117945.91171052909</v>
      </c>
      <c r="AN25" s="75">
        <f t="shared" si="6"/>
        <v>119272.80321727252</v>
      </c>
      <c r="AO25" s="52"/>
      <c r="AP25" s="52"/>
      <c r="AQ25" s="52"/>
      <c r="AR25" s="52"/>
      <c r="AS25" s="81"/>
      <c r="AT25" s="53"/>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row>
    <row r="26" spans="1:103" hidden="1">
      <c r="A26" s="51"/>
      <c r="B26" s="80"/>
      <c r="C26" s="376" t="s">
        <v>86</v>
      </c>
      <c r="D26" s="74">
        <f>SUM(AS26:UH26)</f>
        <v>0</v>
      </c>
      <c r="E26" s="75">
        <f t="shared" ref="E26:AN26" si="7">-IF(E24&lt;&gt;"",IPMT($G$17/12,E24,$F$17,$E$11,0,0),0)</f>
        <v>53313.806250000009</v>
      </c>
      <c r="F26" s="75">
        <f t="shared" si="7"/>
        <v>52104.367236510509</v>
      </c>
      <c r="G26" s="75">
        <f t="shared" si="7"/>
        <v>50881.32203411925</v>
      </c>
      <c r="H26" s="75">
        <f t="shared" si="7"/>
        <v>49644.517573201098</v>
      </c>
      <c r="I26" s="75">
        <f t="shared" si="7"/>
        <v>48393.799062097605</v>
      </c>
      <c r="J26" s="75">
        <f t="shared" si="7"/>
        <v>47129.009967744205</v>
      </c>
      <c r="K26" s="75">
        <f t="shared" si="7"/>
        <v>45849.99199607932</v>
      </c>
      <c r="L26" s="75">
        <f t="shared" si="7"/>
        <v>44556.585072233225</v>
      </c>
      <c r="M26" s="75">
        <f t="shared" si="7"/>
        <v>43248.627320493841</v>
      </c>
      <c r="N26" s="75">
        <f t="shared" si="7"/>
        <v>41925.95504404739</v>
      </c>
      <c r="O26" s="75">
        <f t="shared" si="7"/>
        <v>40588.402704490931</v>
      </c>
      <c r="P26" s="75">
        <f t="shared" si="7"/>
        <v>39235.802901114454</v>
      </c>
      <c r="Q26" s="75">
        <f t="shared" si="7"/>
        <v>37867.986349949992</v>
      </c>
      <c r="R26" s="75">
        <f t="shared" si="7"/>
        <v>36484.781862584932</v>
      </c>
      <c r="S26" s="75">
        <f t="shared" si="7"/>
        <v>35086.016324737</v>
      </c>
      <c r="T26" s="75">
        <f t="shared" si="7"/>
        <v>33671.514674588325</v>
      </c>
      <c r="U26" s="75">
        <f t="shared" si="7"/>
        <v>32241.099880875412</v>
      </c>
      <c r="V26" s="75">
        <f t="shared" si="7"/>
        <v>30794.592920733267</v>
      </c>
      <c r="W26" s="75">
        <f t="shared" si="7"/>
        <v>29331.812757289503</v>
      </c>
      <c r="X26" s="75">
        <f t="shared" si="7"/>
        <v>27852.576317007031</v>
      </c>
      <c r="Y26" s="75">
        <f t="shared" si="7"/>
        <v>26356.698466771344</v>
      </c>
      <c r="Z26" s="75">
        <f t="shared" si="7"/>
        <v>24843.991990720533</v>
      </c>
      <c r="AA26" s="75">
        <f t="shared" si="7"/>
        <v>23314.267566814124</v>
      </c>
      <c r="AB26" s="75">
        <f t="shared" si="7"/>
        <v>21767.333743138817</v>
      </c>
      <c r="AC26" s="75">
        <f t="shared" si="7"/>
        <v>20202.996913947107</v>
      </c>
      <c r="AD26" s="75">
        <f t="shared" si="7"/>
        <v>18621.061295427</v>
      </c>
      <c r="AE26" s="75">
        <f t="shared" si="7"/>
        <v>17021.328901198565</v>
      </c>
      <c r="AF26" s="75">
        <f t="shared" si="7"/>
        <v>15403.599517535036</v>
      </c>
      <c r="AG26" s="75">
        <f t="shared" si="7"/>
        <v>13767.670678305307</v>
      </c>
      <c r="AH26" s="75">
        <f t="shared" si="7"/>
        <v>12113.337639634272</v>
      </c>
      <c r="AI26" s="75">
        <f t="shared" si="7"/>
        <v>10440.393354278136</v>
      </c>
      <c r="AJ26" s="75">
        <f t="shared" si="7"/>
        <v>8748.6284457118036</v>
      </c>
      <c r="AK26" s="75">
        <f t="shared" si="7"/>
        <v>7037.831181924038</v>
      </c>
      <c r="AL26" s="75">
        <f t="shared" si="7"/>
        <v>5307.7874489186888</v>
      </c>
      <c r="AM26" s="75">
        <f t="shared" si="7"/>
        <v>3558.2807239170179</v>
      </c>
      <c r="AN26" s="75">
        <f t="shared" si="7"/>
        <v>1789.0920482591052</v>
      </c>
      <c r="AO26" s="52"/>
      <c r="AP26" s="52"/>
      <c r="AQ26" s="52"/>
      <c r="AR26" s="52"/>
      <c r="AS26" s="81"/>
      <c r="AT26" s="53"/>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row>
    <row r="27" spans="1:103" ht="15.75" hidden="1" thickBot="1">
      <c r="A27" s="51"/>
      <c r="B27" s="85"/>
      <c r="C27" s="377" t="s">
        <v>90</v>
      </c>
      <c r="D27" s="76">
        <f>SUM(AS27:PN27)</f>
        <v>0</v>
      </c>
      <c r="E27" s="75">
        <f>E25+E26</f>
        <v>133943.07381596687</v>
      </c>
      <c r="F27" s="75">
        <f t="shared" ref="F27:AN27" si="8">F25+F26</f>
        <v>133640.71406259449</v>
      </c>
      <c r="G27" s="75">
        <f t="shared" si="8"/>
        <v>133334.95276199668</v>
      </c>
      <c r="H27" s="75">
        <f t="shared" si="8"/>
        <v>133025.75164676714</v>
      </c>
      <c r="I27" s="75">
        <f t="shared" si="8"/>
        <v>132713.07201899128</v>
      </c>
      <c r="J27" s="75">
        <f t="shared" si="8"/>
        <v>132396.87474540292</v>
      </c>
      <c r="K27" s="75">
        <f t="shared" si="8"/>
        <v>132077.12025248667</v>
      </c>
      <c r="L27" s="75">
        <f t="shared" si="8"/>
        <v>131753.76852152517</v>
      </c>
      <c r="M27" s="75">
        <f t="shared" si="8"/>
        <v>131426.77908359031</v>
      </c>
      <c r="N27" s="75">
        <f t="shared" si="8"/>
        <v>131096.11101447872</v>
      </c>
      <c r="O27" s="75">
        <f t="shared" si="8"/>
        <v>130761.7229295896</v>
      </c>
      <c r="P27" s="75">
        <f t="shared" si="8"/>
        <v>130423.57297874548</v>
      </c>
      <c r="Q27" s="75">
        <f t="shared" si="8"/>
        <v>130081.61884095435</v>
      </c>
      <c r="R27" s="75">
        <f t="shared" si="8"/>
        <v>129735.81771911308</v>
      </c>
      <c r="S27" s="75">
        <f t="shared" si="8"/>
        <v>129386.12633465111</v>
      </c>
      <c r="T27" s="75">
        <f t="shared" si="8"/>
        <v>129032.50092211393</v>
      </c>
      <c r="U27" s="75">
        <f t="shared" si="8"/>
        <v>128674.89722368571</v>
      </c>
      <c r="V27" s="75">
        <f t="shared" si="8"/>
        <v>128313.27048365017</v>
      </c>
      <c r="W27" s="75">
        <f t="shared" si="8"/>
        <v>127947.57544278924</v>
      </c>
      <c r="X27" s="75">
        <f t="shared" si="8"/>
        <v>127577.76633271862</v>
      </c>
      <c r="Y27" s="75">
        <f t="shared" si="8"/>
        <v>127203.7968701597</v>
      </c>
      <c r="Z27" s="75">
        <f t="shared" si="8"/>
        <v>126825.62025114699</v>
      </c>
      <c r="AA27" s="75">
        <f t="shared" si="8"/>
        <v>126443.18914517039</v>
      </c>
      <c r="AB27" s="75">
        <f t="shared" si="8"/>
        <v>126056.45568925157</v>
      </c>
      <c r="AC27" s="75">
        <f t="shared" si="8"/>
        <v>125665.37148195364</v>
      </c>
      <c r="AD27" s="75">
        <f t="shared" si="8"/>
        <v>125269.88757732361</v>
      </c>
      <c r="AE27" s="75">
        <f t="shared" si="8"/>
        <v>124869.95447876649</v>
      </c>
      <c r="AF27" s="75">
        <f t="shared" si="8"/>
        <v>124465.52213285062</v>
      </c>
      <c r="AG27" s="75">
        <f t="shared" si="8"/>
        <v>124056.53992304318</v>
      </c>
      <c r="AH27" s="75">
        <f t="shared" si="8"/>
        <v>123642.95666337543</v>
      </c>
      <c r="AI27" s="75">
        <f t="shared" si="8"/>
        <v>123224.72059203639</v>
      </c>
      <c r="AJ27" s="75">
        <f t="shared" si="8"/>
        <v>122801.7793648948</v>
      </c>
      <c r="AK27" s="75">
        <f t="shared" si="8"/>
        <v>122374.08004894786</v>
      </c>
      <c r="AL27" s="75">
        <f t="shared" si="8"/>
        <v>121941.56911569653</v>
      </c>
      <c r="AM27" s="75">
        <f t="shared" si="8"/>
        <v>121504.19243444611</v>
      </c>
      <c r="AN27" s="75">
        <f t="shared" si="8"/>
        <v>121061.89526553162</v>
      </c>
      <c r="AO27" s="52"/>
      <c r="AP27" s="52"/>
      <c r="AQ27" s="52"/>
      <c r="AR27" s="52"/>
      <c r="AS27" s="81"/>
      <c r="AT27" s="53"/>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row>
    <row r="28" spans="1:103" hidden="1">
      <c r="A28" s="51"/>
      <c r="B28" s="86"/>
      <c r="C28" s="376" t="s">
        <v>87</v>
      </c>
      <c r="D28" s="74">
        <f>E11</f>
        <v>4739005</v>
      </c>
      <c r="E28" s="75">
        <f>IF(E24&lt;&gt;"",D28-E25,"")</f>
        <v>4658375.7324340334</v>
      </c>
      <c r="F28" s="75">
        <f t="shared" ref="F28:AN28" si="9">IF(F24&lt;&gt;"",E28-F25,"")</f>
        <v>4576839.3856079495</v>
      </c>
      <c r="G28" s="75">
        <f t="shared" si="9"/>
        <v>4494385.7548800716</v>
      </c>
      <c r="H28" s="75">
        <f t="shared" si="9"/>
        <v>4411004.5208065053</v>
      </c>
      <c r="I28" s="75">
        <f t="shared" si="9"/>
        <v>4326685.2478496116</v>
      </c>
      <c r="J28" s="75">
        <f t="shared" si="9"/>
        <v>4241417.3830719525</v>
      </c>
      <c r="K28" s="75">
        <f t="shared" si="9"/>
        <v>4155190.2548155449</v>
      </c>
      <c r="L28" s="75">
        <f t="shared" si="9"/>
        <v>4067993.0713662528</v>
      </c>
      <c r="M28" s="75">
        <f t="shared" si="9"/>
        <v>3979814.9196031564</v>
      </c>
      <c r="N28" s="75">
        <f t="shared" si="9"/>
        <v>3890644.763632725</v>
      </c>
      <c r="O28" s="75">
        <f t="shared" si="9"/>
        <v>3800471.4434076264</v>
      </c>
      <c r="P28" s="75">
        <f t="shared" si="9"/>
        <v>3709283.6733299955</v>
      </c>
      <c r="Q28" s="75">
        <f t="shared" si="9"/>
        <v>3617070.0408389913</v>
      </c>
      <c r="R28" s="75">
        <f t="shared" si="9"/>
        <v>3523819.0049824631</v>
      </c>
      <c r="S28" s="75">
        <f t="shared" si="9"/>
        <v>3429518.8949725488</v>
      </c>
      <c r="T28" s="75">
        <f t="shared" si="9"/>
        <v>3334157.9087250233</v>
      </c>
      <c r="U28" s="75">
        <f t="shared" si="9"/>
        <v>3237724.111382213</v>
      </c>
      <c r="V28" s="75">
        <f t="shared" si="9"/>
        <v>3140205.4338192958</v>
      </c>
      <c r="W28" s="75">
        <f t="shared" si="9"/>
        <v>3041589.6711337962</v>
      </c>
      <c r="X28" s="75">
        <f t="shared" si="9"/>
        <v>2941864.4811180849</v>
      </c>
      <c r="Y28" s="75">
        <f t="shared" si="9"/>
        <v>2841017.3827146967</v>
      </c>
      <c r="Z28" s="75">
        <f t="shared" si="9"/>
        <v>2739035.75445427</v>
      </c>
      <c r="AA28" s="75">
        <f t="shared" si="9"/>
        <v>2635906.8328759139</v>
      </c>
      <c r="AB28" s="75">
        <f t="shared" si="9"/>
        <v>2531617.7109298012</v>
      </c>
      <c r="AC28" s="75">
        <f t="shared" si="9"/>
        <v>2426155.3363617947</v>
      </c>
      <c r="AD28" s="75">
        <f t="shared" si="9"/>
        <v>2319506.5100798979</v>
      </c>
      <c r="AE28" s="75">
        <f t="shared" si="9"/>
        <v>2211657.8845023299</v>
      </c>
      <c r="AF28" s="75">
        <f t="shared" si="9"/>
        <v>2102595.9618870141</v>
      </c>
      <c r="AG28" s="75">
        <f t="shared" si="9"/>
        <v>1992307.0926422763</v>
      </c>
      <c r="AH28" s="75">
        <f t="shared" si="9"/>
        <v>1880777.4736185351</v>
      </c>
      <c r="AI28" s="75">
        <f t="shared" si="9"/>
        <v>1767993.1463807768</v>
      </c>
      <c r="AJ28" s="75">
        <f t="shared" si="9"/>
        <v>1653939.9954615938</v>
      </c>
      <c r="AK28" s="75">
        <f t="shared" si="9"/>
        <v>1538603.7465945701</v>
      </c>
      <c r="AL28" s="75">
        <f t="shared" si="9"/>
        <v>1421969.9649277923</v>
      </c>
      <c r="AM28" s="75">
        <f t="shared" si="9"/>
        <v>1304024.0532172632</v>
      </c>
      <c r="AN28" s="75">
        <f t="shared" si="9"/>
        <v>1184751.2499999907</v>
      </c>
      <c r="AO28" s="52"/>
      <c r="AP28" s="52"/>
      <c r="AQ28" s="52"/>
      <c r="AR28" s="52"/>
      <c r="AS28" s="81"/>
      <c r="AT28" s="53"/>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row>
    <row r="29" spans="1:103" ht="15.75" thickBot="1">
      <c r="A29" s="51"/>
      <c r="B29" s="87"/>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9"/>
      <c r="AT29" s="53"/>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row>
    <row r="30" spans="1:103" s="460" customFormat="1">
      <c r="A30" s="367"/>
      <c r="B30" s="378"/>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row>
    <row r="31" spans="1:103" s="460" customFormat="1">
      <c r="A31" s="367"/>
      <c r="B31" s="367"/>
      <c r="D31" s="367"/>
      <c r="E31" s="367"/>
      <c r="F31" s="459">
        <f>IF('Входящие данные'!D12='Оплата оборудования'!C16,100%,IF('Входящие данные'!D12='Оплата оборудования'!C18,"30%-6",IF('Входящие данные'!D12='Оплата оборудования'!C19,"50%-6",IF('Входящие данные'!D12='Оплата оборудования'!C20,"30%-12",IF('Входящие данные'!D12='Оплата оборудования'!C21,"50%-12",100%)))))</f>
        <v>1</v>
      </c>
      <c r="G31" s="367"/>
      <c r="H31" s="367"/>
      <c r="I31" s="367"/>
      <c r="J31" s="367">
        <f>VLOOKUP('Входящие данные'!$D$12,'Оплата оборудования'!$C$16:$Q$21,9,0)</f>
        <v>0</v>
      </c>
      <c r="K31" s="367">
        <f>VLOOKUP('Входящие данные'!$D$12,'Оплата оборудования'!$C$16:$Q$21,10,0)</f>
        <v>0</v>
      </c>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row>
    <row r="32" spans="1:103" s="460" customFormat="1" ht="30">
      <c r="A32" s="367"/>
      <c r="B32" s="367"/>
      <c r="C32" s="367"/>
      <c r="D32" s="367"/>
      <c r="E32" s="458" t="str">
        <f>'Входящие данные'!D13</f>
        <v>OP-300 Maxio Ceph, 150*80 мм с цефалостатом</v>
      </c>
      <c r="F32" s="367">
        <f>INDEX('Data 2'!C2:H6,MATCH('Оплата оборудования'!E32,'Data 2'!C2:C6,0),MATCH('Оплата оборудования'!F31,'Data 2'!C2:H2,0))</f>
        <v>63500</v>
      </c>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row>
    <row r="33" spans="1:103" s="460" customFormat="1">
      <c r="A33" s="367"/>
      <c r="B33" s="367"/>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row>
    <row r="34" spans="1:103" s="460" customFormat="1">
      <c r="A34" s="367"/>
      <c r="B34" s="367"/>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row>
    <row r="35" spans="1:103" s="460" customFormat="1">
      <c r="A35" s="367"/>
      <c r="B35" s="367"/>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row>
    <row r="36" spans="1:103" s="460" customFormat="1">
      <c r="A36" s="367"/>
      <c r="B36" s="367"/>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row>
    <row r="37" spans="1:103" s="460" customFormat="1">
      <c r="A37" s="367"/>
      <c r="B37" s="367"/>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row>
    <row r="38" spans="1:103" s="460" customFormat="1">
      <c r="A38" s="367"/>
      <c r="B38" s="367"/>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row>
    <row r="39" spans="1:103" s="460" customFormat="1">
      <c r="A39" s="367"/>
      <c r="B39" s="367"/>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row>
    <row r="40" spans="1:103" s="460" customFormat="1">
      <c r="A40" s="367"/>
      <c r="B40" s="367"/>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row>
    <row r="41" spans="1:103" s="460" customFormat="1">
      <c r="A41" s="367"/>
      <c r="B41" s="367"/>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row>
    <row r="42" spans="1:103" s="460" customFormat="1">
      <c r="A42" s="367"/>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row>
    <row r="43" spans="1:103" s="460" customFormat="1">
      <c r="A43" s="367"/>
      <c r="B43" s="367"/>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row>
    <row r="44" spans="1:103" s="460" customFormat="1">
      <c r="A44" s="367"/>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row>
    <row r="45" spans="1:103" s="460" customFormat="1">
      <c r="A45" s="367"/>
      <c r="B45" s="367"/>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row>
    <row r="46" spans="1:103" s="460" customFormat="1">
      <c r="A46" s="367"/>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row>
    <row r="47" spans="1:103">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row>
    <row r="48" spans="1:103">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row>
    <row r="49" spans="1:103">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row>
    <row r="50" spans="1:103">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row>
    <row r="51" spans="1:103">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row>
    <row r="52" spans="1:103">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row>
    <row r="53" spans="1:103">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row>
    <row r="54" spans="1:103">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row>
    <row r="55" spans="1:103">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row>
    <row r="56" spans="1:103">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row>
    <row r="57" spans="1:103">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row>
    <row r="58" spans="1:103">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row>
    <row r="59" spans="1:103">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row>
    <row r="60" spans="1:103">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row>
    <row r="61" spans="1:103">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row>
    <row r="62" spans="1:103">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row>
    <row r="63" spans="1:103">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c r="CX63" s="51"/>
      <c r="CY63" s="51"/>
    </row>
    <row r="64" spans="1:103">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row>
    <row r="65" spans="1:103">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c r="CX65" s="51"/>
      <c r="CY65" s="51"/>
    </row>
    <row r="66" spans="1:103">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row>
    <row r="67" spans="1:103">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row>
    <row r="68" spans="1:103">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row>
    <row r="69" spans="1:103">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1"/>
      <c r="CT69" s="51"/>
      <c r="CU69" s="51"/>
      <c r="CV69" s="51"/>
      <c r="CW69" s="51"/>
      <c r="CX69" s="51"/>
      <c r="CY69" s="51"/>
    </row>
    <row r="70" spans="1:103">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row>
    <row r="71" spans="1:103">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row>
    <row r="72" spans="1:103">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row>
    <row r="73" spans="1:103">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row>
    <row r="74" spans="1:103">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row>
    <row r="75" spans="1:103">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row>
    <row r="76" spans="1:103">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row>
    <row r="77" spans="1:103">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row>
    <row r="78" spans="1:103">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row>
    <row r="79" spans="1:103">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row>
    <row r="80" spans="1:103">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row>
    <row r="81" spans="1:46">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row>
    <row r="82" spans="1:46">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row>
    <row r="83" spans="1:46">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row>
    <row r="84" spans="1:46">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row>
    <row r="85" spans="1:46">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row>
    <row r="86" spans="1:46">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row>
    <row r="87" spans="1:46">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row>
    <row r="88" spans="1:46">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row>
    <row r="89" spans="1:46">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row>
    <row r="90" spans="1:46">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row>
    <row r="91" spans="1:46">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row>
    <row r="92" spans="1:46">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row>
    <row r="93" spans="1:46">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row>
    <row r="94" spans="1:46">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row>
    <row r="95" spans="1:46">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row>
    <row r="96" spans="1:46">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row>
    <row r="97" spans="1:46">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row>
    <row r="98" spans="1:46">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row>
    <row r="99" spans="1:46">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row>
    <row r="100" spans="1:46">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row>
    <row r="101" spans="1:46">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row>
    <row r="102" spans="1:46">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row>
    <row r="103" spans="1:46">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row>
    <row r="104" spans="1:46">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row>
    <row r="105" spans="1:46">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row>
    <row r="106" spans="1:46">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row>
    <row r="107" spans="1:46">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row>
    <row r="108" spans="1:46">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row>
    <row r="109" spans="1:46">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row>
    <row r="110" spans="1:46">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row>
    <row r="111" spans="1:46">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row>
    <row r="112" spans="1:46">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row>
    <row r="113" spans="1:46">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row>
    <row r="114" spans="1:46">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row>
    <row r="115" spans="1:46">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row>
    <row r="116" spans="1:46">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row>
    <row r="117" spans="1:46">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row>
    <row r="118" spans="1:46">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row>
    <row r="119" spans="1:46">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row>
    <row r="120" spans="1:46">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row>
    <row r="121" spans="1:46">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row>
    <row r="122" spans="1:46">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row>
    <row r="123" spans="1:46">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row>
    <row r="124" spans="1:46">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row>
    <row r="125" spans="1:46">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row>
    <row r="126" spans="1:46">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row>
    <row r="127" spans="1:46">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row>
    <row r="128" spans="1:46">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row>
    <row r="129" spans="1:46">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row>
    <row r="130" spans="1:46">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row>
    <row r="131" spans="1:46">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row>
    <row r="132" spans="1:46">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row>
    <row r="133" spans="1:46">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row>
    <row r="134" spans="1:46">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row>
    <row r="135" spans="1:46">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row>
    <row r="136" spans="1:46">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row>
    <row r="137" spans="1:46">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row>
    <row r="138" spans="1:46">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row>
    <row r="139" spans="1:46">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row>
    <row r="140" spans="1:46">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row>
    <row r="141" spans="1:46">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row>
    <row r="142" spans="1:46">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row>
    <row r="143" spans="1:46">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row>
    <row r="144" spans="1:46">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row>
    <row r="145" spans="1:46">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row>
    <row r="146" spans="1:46">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row>
    <row r="147" spans="1:46">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row>
    <row r="148" spans="1:46">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row>
    <row r="149" spans="1:46">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row>
    <row r="150" spans="1:46">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row>
    <row r="151" spans="1:46">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row>
    <row r="152" spans="1:46">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row>
    <row r="153" spans="1:46">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row>
    <row r="154" spans="1:46">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row>
    <row r="155" spans="1:46">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row>
    <row r="156" spans="1:46">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row>
    <row r="157" spans="1:46">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row>
    <row r="158" spans="1:46">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row>
    <row r="159" spans="1:46">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row>
    <row r="160" spans="1:46">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row>
    <row r="161" spans="1:46">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row>
    <row r="162" spans="1:46">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row>
    <row r="163" spans="1:46">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row>
    <row r="164" spans="1:46">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row>
    <row r="165" spans="1:46">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row>
    <row r="166" spans="1:46">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row>
    <row r="167" spans="1:46">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row>
    <row r="168" spans="1:46">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row>
    <row r="169" spans="1:46">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row>
    <row r="170" spans="1:46">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row>
    <row r="171" spans="1:46">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row>
    <row r="172" spans="1:46">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row>
    <row r="173" spans="1:46">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row>
    <row r="174" spans="1:46">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row>
    <row r="175" spans="1:46">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row>
    <row r="176" spans="1:46">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row>
    <row r="177" spans="1:46">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row>
    <row r="178" spans="1:46">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row>
    <row r="179" spans="1:46">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row>
    <row r="180" spans="1:46">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row>
    <row r="181" spans="1:46">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row>
    <row r="182" spans="1:46">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row>
    <row r="183" spans="1:46">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row>
    <row r="184" spans="1:46">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row>
    <row r="185" spans="1:46">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row>
    <row r="186" spans="1:46">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row>
    <row r="187" spans="1:46">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row>
    <row r="188" spans="1:46">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row>
    <row r="189" spans="1:46">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row>
    <row r="190" spans="1:46">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row>
    <row r="191" spans="1:46">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row>
    <row r="192" spans="1:46">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row>
    <row r="193" spans="1:46">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row>
    <row r="194" spans="1:46">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row>
    <row r="195" spans="1:46">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row>
    <row r="196" spans="1:46">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row>
    <row r="197" spans="1:46">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row>
    <row r="198" spans="1:46">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row>
    <row r="199" spans="1:46">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row>
    <row r="200" spans="1:46">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row>
    <row r="201" spans="1:46">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row>
    <row r="202" spans="1:46">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row>
    <row r="203" spans="1:46">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row>
    <row r="204" spans="1:46">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row>
    <row r="205" spans="1:46">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row>
    <row r="206" spans="1:46">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row>
    <row r="207" spans="1:46">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row>
    <row r="208" spans="1:46">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row>
    <row r="209" spans="1:46">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row>
    <row r="210" spans="1:46">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row>
    <row r="211" spans="1:46">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row>
    <row r="212" spans="1:46">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row>
    <row r="213" spans="1:46">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row>
    <row r="214" spans="1:46">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row>
    <row r="215" spans="1:46">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row>
    <row r="216" spans="1:46">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row>
    <row r="217" spans="1:46">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row>
    <row r="218" spans="1:46">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row>
    <row r="219" spans="1:46">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row>
    <row r="220" spans="1:46">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row>
    <row r="221" spans="1:46">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row>
    <row r="222" spans="1:46">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row>
    <row r="223" spans="1:46">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row>
    <row r="224" spans="1:46">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row>
    <row r="225" spans="1:46">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row>
    <row r="226" spans="1:46">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row>
    <row r="227" spans="1:46">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row>
    <row r="228" spans="1:46">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row>
    <row r="229" spans="1:46">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row>
    <row r="230" spans="1:46">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row>
    <row r="231" spans="1:46">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row>
    <row r="232" spans="1:46">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row>
    <row r="233" spans="1:46">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row>
    <row r="234" spans="1:46">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row>
    <row r="235" spans="1:46">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row>
    <row r="236" spans="1:46">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row>
    <row r="237" spans="1:46">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row>
    <row r="238" spans="1:46">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row>
    <row r="239" spans="1:46">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row>
    <row r="240" spans="1:46">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row>
    <row r="241" spans="1:46">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row>
    <row r="242" spans="1:46">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row>
    <row r="243" spans="1:46">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row>
    <row r="244" spans="1:46">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row>
    <row r="245" spans="1:46">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row>
    <row r="246" spans="1:46">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row>
    <row r="247" spans="1:46">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row>
    <row r="248" spans="1:46">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row>
    <row r="249" spans="1:46">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row>
    <row r="250" spans="1:46">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row>
    <row r="251" spans="1:46">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row>
    <row r="252" spans="1:46">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row>
    <row r="253" spans="1:46">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row>
    <row r="254" spans="1:46">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row>
    <row r="255" spans="1:46">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row>
    <row r="256" spans="1:46">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c r="AT256" s="51"/>
    </row>
    <row r="257" spans="1:46">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row>
    <row r="258" spans="1:46">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row>
    <row r="259" spans="1:46">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1"/>
      <c r="AS259" s="51"/>
      <c r="AT259" s="51"/>
    </row>
    <row r="260" spans="1:46">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1"/>
      <c r="AS260" s="51"/>
      <c r="AT260" s="51"/>
    </row>
    <row r="261" spans="1:46">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row>
    <row r="262" spans="1:46">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row>
    <row r="263" spans="1:46">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row>
    <row r="264" spans="1:46">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1"/>
      <c r="AS264" s="51"/>
      <c r="AT264" s="51"/>
    </row>
    <row r="265" spans="1:46">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row>
    <row r="266" spans="1:46">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row>
    <row r="267" spans="1:46">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c r="AN267" s="51"/>
      <c r="AO267" s="51"/>
      <c r="AP267" s="51"/>
      <c r="AQ267" s="51"/>
      <c r="AR267" s="51"/>
      <c r="AS267" s="51"/>
      <c r="AT267" s="51"/>
    </row>
    <row r="268" spans="1:46">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row>
    <row r="269" spans="1:46">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row>
    <row r="270" spans="1:46">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row>
    <row r="271" spans="1:46">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c r="AR271" s="51"/>
      <c r="AS271" s="51"/>
      <c r="AT271" s="51"/>
    </row>
    <row r="272" spans="1:46">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c r="AR272" s="51"/>
      <c r="AS272" s="51"/>
      <c r="AT272" s="51"/>
    </row>
    <row r="273" spans="1:46">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1"/>
      <c r="AS273" s="51"/>
      <c r="AT273" s="51"/>
    </row>
    <row r="274" spans="1:46">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row>
    <row r="275" spans="1:46">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1"/>
      <c r="AS275" s="51"/>
      <c r="AT275" s="51"/>
    </row>
    <row r="276" spans="1:46">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row>
    <row r="277" spans="1:46">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row>
    <row r="278" spans="1:46">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1"/>
      <c r="AS278" s="51"/>
      <c r="AT278" s="51"/>
    </row>
    <row r="279" spans="1:46">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row>
    <row r="280" spans="1:46">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row>
    <row r="281" spans="1:46">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row>
    <row r="282" spans="1:46">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row>
    <row r="283" spans="1:46">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row>
    <row r="284" spans="1:46">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row>
    <row r="285" spans="1:46">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row>
    <row r="286" spans="1:46">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row>
    <row r="287" spans="1:46">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row>
    <row r="288" spans="1:46">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row>
    <row r="289" spans="1:46">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1"/>
      <c r="AS289" s="51"/>
      <c r="AT289" s="51"/>
    </row>
    <row r="290" spans="1:46">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row>
    <row r="291" spans="1:46">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row>
    <row r="292" spans="1:46">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1"/>
      <c r="AS292" s="51"/>
      <c r="AT292" s="51"/>
    </row>
    <row r="293" spans="1:46">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1"/>
      <c r="AS293" s="51"/>
      <c r="AT293" s="51"/>
    </row>
    <row r="294" spans="1:46">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row>
    <row r="295" spans="1:46">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1"/>
      <c r="AS295" s="51"/>
      <c r="AT295" s="51"/>
    </row>
    <row r="296" spans="1:46">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row>
    <row r="297" spans="1:46">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1"/>
      <c r="AS297" s="51"/>
      <c r="AT297" s="51"/>
    </row>
    <row r="298" spans="1:46">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row>
    <row r="299" spans="1:46">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51"/>
      <c r="AP299" s="51"/>
      <c r="AQ299" s="51"/>
      <c r="AR299" s="51"/>
      <c r="AS299" s="51"/>
      <c r="AT299" s="51"/>
    </row>
    <row r="300" spans="1:46">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c r="AR300" s="51"/>
      <c r="AS300" s="51"/>
      <c r="AT300" s="51"/>
    </row>
    <row r="301" spans="1:46">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row>
    <row r="302" spans="1:46">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row>
    <row r="303" spans="1:46">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51"/>
      <c r="AR303" s="51"/>
      <c r="AS303" s="51"/>
      <c r="AT303" s="51"/>
    </row>
    <row r="304" spans="1:46">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c r="AR304" s="51"/>
      <c r="AS304" s="51"/>
      <c r="AT304" s="51"/>
    </row>
    <row r="305" spans="1:46">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1"/>
      <c r="AL305" s="51"/>
      <c r="AM305" s="51"/>
      <c r="AN305" s="51"/>
      <c r="AO305" s="51"/>
      <c r="AP305" s="51"/>
      <c r="AQ305" s="51"/>
      <c r="AR305" s="51"/>
      <c r="AS305" s="51"/>
      <c r="AT305" s="51"/>
    </row>
    <row r="306" spans="1:46">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c r="AE306" s="51"/>
      <c r="AF306" s="51"/>
      <c r="AG306" s="51"/>
      <c r="AH306" s="51"/>
      <c r="AI306" s="51"/>
      <c r="AJ306" s="51"/>
      <c r="AK306" s="51"/>
      <c r="AL306" s="51"/>
      <c r="AM306" s="51"/>
      <c r="AN306" s="51"/>
      <c r="AO306" s="51"/>
      <c r="AP306" s="51"/>
      <c r="AQ306" s="51"/>
      <c r="AR306" s="51"/>
      <c r="AS306" s="51"/>
      <c r="AT306" s="51"/>
    </row>
    <row r="307" spans="1:46">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1"/>
      <c r="AS307" s="51"/>
      <c r="AT307" s="51"/>
    </row>
    <row r="308" spans="1:46">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c r="AR308" s="51"/>
      <c r="AS308" s="51"/>
      <c r="AT308" s="51"/>
    </row>
    <row r="309" spans="1:46">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row>
    <row r="310" spans="1:46">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c r="AN310" s="51"/>
      <c r="AO310" s="51"/>
      <c r="AP310" s="51"/>
      <c r="AQ310" s="51"/>
      <c r="AR310" s="51"/>
      <c r="AS310" s="51"/>
      <c r="AT310" s="51"/>
    </row>
    <row r="311" spans="1:46">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1"/>
      <c r="AS311" s="51"/>
      <c r="AT311" s="51"/>
    </row>
    <row r="312" spans="1:46">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1"/>
      <c r="AS312" s="51"/>
      <c r="AT312" s="51"/>
    </row>
    <row r="313" spans="1:46">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c r="AN313" s="51"/>
      <c r="AO313" s="51"/>
      <c r="AP313" s="51"/>
      <c r="AQ313" s="51"/>
      <c r="AR313" s="51"/>
      <c r="AS313" s="51"/>
      <c r="AT313" s="51"/>
    </row>
    <row r="314" spans="1:46">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1"/>
      <c r="AR314" s="51"/>
      <c r="AS314" s="51"/>
      <c r="AT314" s="51"/>
    </row>
    <row r="315" spans="1:46">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1"/>
      <c r="AS315" s="51"/>
      <c r="AT315" s="51"/>
    </row>
    <row r="316" spans="1:46">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row>
    <row r="317" spans="1:46">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1"/>
      <c r="AS317" s="51"/>
      <c r="AT317" s="51"/>
    </row>
    <row r="318" spans="1:46">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row>
    <row r="319" spans="1:46">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row>
    <row r="320" spans="1:46">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row>
    <row r="321" spans="1:46">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row>
    <row r="322" spans="1:46">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row>
    <row r="323" spans="1:46">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row>
    <row r="324" spans="1:46">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row>
    <row r="325" spans="1:46">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row>
    <row r="326" spans="1:46">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1"/>
      <c r="AS326" s="51"/>
      <c r="AT326" s="51"/>
    </row>
    <row r="327" spans="1:46">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row>
    <row r="328" spans="1:46">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row>
    <row r="329" spans="1:46">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row>
    <row r="330" spans="1:46">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row>
    <row r="331" spans="1:46">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row>
    <row r="332" spans="1:46">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row>
    <row r="333" spans="1:46">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row>
    <row r="334" spans="1:46">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row>
    <row r="335" spans="1:46">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row>
    <row r="336" spans="1:46">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row>
    <row r="337" spans="1:46">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row>
    <row r="338" spans="1:46">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row>
    <row r="339" spans="1:46">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row>
    <row r="340" spans="1:46">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row>
    <row r="341" spans="1:46">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row>
    <row r="342" spans="1:46">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row>
    <row r="343" spans="1:46">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row>
    <row r="344" spans="1:46">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row>
    <row r="345" spans="1:46">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c r="AM345" s="51"/>
      <c r="AN345" s="51"/>
      <c r="AO345" s="51"/>
      <c r="AP345" s="51"/>
      <c r="AQ345" s="51"/>
      <c r="AR345" s="51"/>
      <c r="AS345" s="51"/>
      <c r="AT345" s="51"/>
    </row>
    <row r="346" spans="1:46">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51"/>
      <c r="AL346" s="51"/>
      <c r="AM346" s="51"/>
      <c r="AN346" s="51"/>
      <c r="AO346" s="51"/>
      <c r="AP346" s="51"/>
      <c r="AQ346" s="51"/>
      <c r="AR346" s="51"/>
      <c r="AS346" s="51"/>
      <c r="AT346" s="51"/>
    </row>
    <row r="347" spans="1:46">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row>
    <row r="348" spans="1:46">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c r="AL348" s="51"/>
      <c r="AM348" s="51"/>
      <c r="AN348" s="51"/>
      <c r="AO348" s="51"/>
      <c r="AP348" s="51"/>
      <c r="AQ348" s="51"/>
      <c r="AR348" s="51"/>
      <c r="AS348" s="51"/>
      <c r="AT348" s="51"/>
    </row>
    <row r="349" spans="1:46">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row>
    <row r="350" spans="1:46">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row>
    <row r="351" spans="1:46">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row>
    <row r="352" spans="1:46">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row>
    <row r="353" spans="1:46">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row>
    <row r="354" spans="1:46">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row>
    <row r="355" spans="1:46">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51"/>
      <c r="AO355" s="51"/>
      <c r="AP355" s="51"/>
      <c r="AQ355" s="51"/>
      <c r="AR355" s="51"/>
      <c r="AS355" s="51"/>
      <c r="AT355" s="51"/>
    </row>
    <row r="356" spans="1:46">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row>
    <row r="357" spans="1:46">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row>
    <row r="358" spans="1:46">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row>
    <row r="359" spans="1:46">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row>
    <row r="360" spans="1:46">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row>
    <row r="361" spans="1:46">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1"/>
      <c r="AL361" s="51"/>
      <c r="AM361" s="51"/>
      <c r="AN361" s="51"/>
      <c r="AO361" s="51"/>
      <c r="AP361" s="51"/>
      <c r="AQ361" s="51"/>
      <c r="AR361" s="51"/>
      <c r="AS361" s="51"/>
      <c r="AT361" s="51"/>
    </row>
    <row r="362" spans="1:46">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row>
    <row r="363" spans="1:46">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row>
    <row r="364" spans="1:46">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1"/>
      <c r="AR364" s="51"/>
      <c r="AS364" s="51"/>
      <c r="AT364" s="51"/>
    </row>
    <row r="365" spans="1:46">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c r="AM365" s="51"/>
      <c r="AN365" s="51"/>
      <c r="AO365" s="51"/>
      <c r="AP365" s="51"/>
      <c r="AQ365" s="51"/>
      <c r="AR365" s="51"/>
      <c r="AS365" s="51"/>
      <c r="AT365" s="51"/>
    </row>
    <row r="366" spans="1:46">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c r="AN366" s="51"/>
      <c r="AO366" s="51"/>
      <c r="AP366" s="51"/>
      <c r="AQ366" s="51"/>
      <c r="AR366" s="51"/>
      <c r="AS366" s="51"/>
      <c r="AT366" s="51"/>
    </row>
    <row r="367" spans="1:46">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1"/>
      <c r="AM367" s="51"/>
      <c r="AN367" s="51"/>
      <c r="AO367" s="51"/>
      <c r="AP367" s="51"/>
      <c r="AQ367" s="51"/>
      <c r="AR367" s="51"/>
      <c r="AS367" s="51"/>
      <c r="AT367" s="51"/>
    </row>
    <row r="368" spans="1:46">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c r="AE368" s="51"/>
      <c r="AF368" s="51"/>
      <c r="AG368" s="51"/>
      <c r="AH368" s="51"/>
      <c r="AI368" s="51"/>
      <c r="AJ368" s="51"/>
      <c r="AK368" s="51"/>
      <c r="AL368" s="51"/>
      <c r="AM368" s="51"/>
      <c r="AN368" s="51"/>
      <c r="AO368" s="51"/>
      <c r="AP368" s="51"/>
      <c r="AQ368" s="51"/>
      <c r="AR368" s="51"/>
      <c r="AS368" s="51"/>
      <c r="AT368" s="51"/>
    </row>
    <row r="369" spans="1:46">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row>
    <row r="370" spans="1:46">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row>
    <row r="371" spans="1:46">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row>
    <row r="372" spans="1:46">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row>
    <row r="373" spans="1:46">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row>
    <row r="374" spans="1:46">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row>
    <row r="375" spans="1:46">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1"/>
      <c r="AL375" s="51"/>
      <c r="AM375" s="51"/>
      <c r="AN375" s="51"/>
      <c r="AO375" s="51"/>
      <c r="AP375" s="51"/>
      <c r="AQ375" s="51"/>
      <c r="AR375" s="51"/>
      <c r="AS375" s="51"/>
      <c r="AT375" s="51"/>
    </row>
    <row r="376" spans="1:46">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row>
    <row r="377" spans="1:46">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row>
    <row r="378" spans="1:46">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c r="AK378" s="51"/>
      <c r="AL378" s="51"/>
      <c r="AM378" s="51"/>
      <c r="AN378" s="51"/>
      <c r="AO378" s="51"/>
      <c r="AP378" s="51"/>
      <c r="AQ378" s="51"/>
      <c r="AR378" s="51"/>
      <c r="AS378" s="51"/>
      <c r="AT378" s="51"/>
    </row>
    <row r="379" spans="1:46">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c r="AK379" s="51"/>
      <c r="AL379" s="51"/>
      <c r="AM379" s="51"/>
      <c r="AN379" s="51"/>
      <c r="AO379" s="51"/>
      <c r="AP379" s="51"/>
      <c r="AQ379" s="51"/>
      <c r="AR379" s="51"/>
      <c r="AS379" s="51"/>
      <c r="AT379" s="51"/>
    </row>
    <row r="380" spans="1:46">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row>
    <row r="381" spans="1:46">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row>
    <row r="382" spans="1:46">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row>
    <row r="383" spans="1:46">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row>
    <row r="384" spans="1:46">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row>
    <row r="385" spans="1:46">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row>
    <row r="386" spans="1:46">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c r="AK386" s="51"/>
      <c r="AL386" s="51"/>
      <c r="AM386" s="51"/>
      <c r="AN386" s="51"/>
      <c r="AO386" s="51"/>
      <c r="AP386" s="51"/>
      <c r="AQ386" s="51"/>
      <c r="AR386" s="51"/>
      <c r="AS386" s="51"/>
      <c r="AT386" s="51"/>
    </row>
    <row r="387" spans="1:46">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c r="AL387" s="51"/>
      <c r="AM387" s="51"/>
      <c r="AN387" s="51"/>
      <c r="AO387" s="51"/>
      <c r="AP387" s="51"/>
      <c r="AQ387" s="51"/>
      <c r="AR387" s="51"/>
      <c r="AS387" s="51"/>
      <c r="AT387" s="51"/>
    </row>
    <row r="388" spans="1:46">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c r="AM388" s="51"/>
      <c r="AN388" s="51"/>
      <c r="AO388" s="51"/>
      <c r="AP388" s="51"/>
      <c r="AQ388" s="51"/>
      <c r="AR388" s="51"/>
      <c r="AS388" s="51"/>
      <c r="AT388" s="51"/>
    </row>
    <row r="389" spans="1:46">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1"/>
      <c r="AL389" s="51"/>
      <c r="AM389" s="51"/>
      <c r="AN389" s="51"/>
      <c r="AO389" s="51"/>
      <c r="AP389" s="51"/>
      <c r="AQ389" s="51"/>
      <c r="AR389" s="51"/>
      <c r="AS389" s="51"/>
      <c r="AT389" s="51"/>
    </row>
    <row r="390" spans="1:46">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c r="AP390" s="51"/>
      <c r="AQ390" s="51"/>
      <c r="AR390" s="51"/>
      <c r="AS390" s="51"/>
      <c r="AT390" s="51"/>
    </row>
    <row r="391" spans="1:46">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c r="AK391" s="51"/>
      <c r="AL391" s="51"/>
      <c r="AM391" s="51"/>
      <c r="AN391" s="51"/>
      <c r="AO391" s="51"/>
      <c r="AP391" s="51"/>
      <c r="AQ391" s="51"/>
      <c r="AR391" s="51"/>
      <c r="AS391" s="51"/>
      <c r="AT391" s="51"/>
    </row>
    <row r="392" spans="1:46">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row>
    <row r="393" spans="1:46">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c r="AL393" s="51"/>
      <c r="AM393" s="51"/>
      <c r="AN393" s="51"/>
      <c r="AO393" s="51"/>
      <c r="AP393" s="51"/>
      <c r="AQ393" s="51"/>
      <c r="AR393" s="51"/>
      <c r="AS393" s="51"/>
      <c r="AT393" s="51"/>
    </row>
    <row r="394" spans="1:46">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row>
    <row r="395" spans="1:46">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c r="AL395" s="51"/>
      <c r="AM395" s="51"/>
      <c r="AN395" s="51"/>
      <c r="AO395" s="51"/>
      <c r="AP395" s="51"/>
      <c r="AQ395" s="51"/>
      <c r="AR395" s="51"/>
      <c r="AS395" s="51"/>
      <c r="AT395" s="51"/>
    </row>
    <row r="396" spans="1:46">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c r="AK396" s="51"/>
      <c r="AL396" s="51"/>
      <c r="AM396" s="51"/>
      <c r="AN396" s="51"/>
      <c r="AO396" s="51"/>
      <c r="AP396" s="51"/>
      <c r="AQ396" s="51"/>
      <c r="AR396" s="51"/>
      <c r="AS396" s="51"/>
      <c r="AT396" s="51"/>
    </row>
    <row r="397" spans="1:46">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c r="AK397" s="51"/>
      <c r="AL397" s="51"/>
      <c r="AM397" s="51"/>
      <c r="AN397" s="51"/>
      <c r="AO397" s="51"/>
      <c r="AP397" s="51"/>
      <c r="AQ397" s="51"/>
      <c r="AR397" s="51"/>
      <c r="AS397" s="51"/>
      <c r="AT397" s="51"/>
    </row>
    <row r="398" spans="1:46">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c r="AM398" s="51"/>
      <c r="AN398" s="51"/>
      <c r="AO398" s="51"/>
      <c r="AP398" s="51"/>
      <c r="AQ398" s="51"/>
      <c r="AR398" s="51"/>
      <c r="AS398" s="51"/>
      <c r="AT398" s="51"/>
    </row>
    <row r="399" spans="1:46">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c r="AL399" s="51"/>
      <c r="AM399" s="51"/>
      <c r="AN399" s="51"/>
      <c r="AO399" s="51"/>
      <c r="AP399" s="51"/>
      <c r="AQ399" s="51"/>
      <c r="AR399" s="51"/>
      <c r="AS399" s="51"/>
      <c r="AT399" s="51"/>
    </row>
    <row r="400" spans="1:46">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row>
    <row r="401" spans="1:46">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c r="AN401" s="51"/>
      <c r="AO401" s="51"/>
      <c r="AP401" s="51"/>
      <c r="AQ401" s="51"/>
      <c r="AR401" s="51"/>
      <c r="AS401" s="51"/>
      <c r="AT401" s="51"/>
    </row>
    <row r="402" spans="1:46">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row>
    <row r="403" spans="1:46">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1"/>
      <c r="AL403" s="51"/>
      <c r="AM403" s="51"/>
      <c r="AN403" s="51"/>
      <c r="AO403" s="51"/>
      <c r="AP403" s="51"/>
      <c r="AQ403" s="51"/>
      <c r="AR403" s="51"/>
      <c r="AS403" s="51"/>
      <c r="AT403" s="51"/>
    </row>
    <row r="404" spans="1:46">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c r="AN404" s="51"/>
      <c r="AO404" s="51"/>
      <c r="AP404" s="51"/>
      <c r="AQ404" s="51"/>
      <c r="AR404" s="51"/>
      <c r="AS404" s="51"/>
      <c r="AT404" s="51"/>
    </row>
    <row r="405" spans="1:46">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row>
    <row r="406" spans="1:46">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c r="AN406" s="51"/>
      <c r="AO406" s="51"/>
      <c r="AP406" s="51"/>
      <c r="AQ406" s="51"/>
      <c r="AR406" s="51"/>
      <c r="AS406" s="51"/>
      <c r="AT406" s="51"/>
    </row>
    <row r="407" spans="1:46">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1"/>
      <c r="AL407" s="51"/>
      <c r="AM407" s="51"/>
      <c r="AN407" s="51"/>
      <c r="AO407" s="51"/>
      <c r="AP407" s="51"/>
      <c r="AQ407" s="51"/>
      <c r="AR407" s="51"/>
      <c r="AS407" s="51"/>
      <c r="AT407" s="51"/>
    </row>
    <row r="408" spans="1:46">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c r="AN408" s="51"/>
      <c r="AO408" s="51"/>
      <c r="AP408" s="51"/>
      <c r="AQ408" s="51"/>
      <c r="AR408" s="51"/>
      <c r="AS408" s="51"/>
      <c r="AT408" s="51"/>
    </row>
    <row r="409" spans="1:46">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c r="AN409" s="51"/>
      <c r="AO409" s="51"/>
      <c r="AP409" s="51"/>
      <c r="AQ409" s="51"/>
      <c r="AR409" s="51"/>
      <c r="AS409" s="51"/>
      <c r="AT409" s="51"/>
    </row>
    <row r="410" spans="1:46">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row>
    <row r="411" spans="1:46">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c r="AM411" s="51"/>
      <c r="AN411" s="51"/>
      <c r="AO411" s="51"/>
      <c r="AP411" s="51"/>
      <c r="AQ411" s="51"/>
      <c r="AR411" s="51"/>
      <c r="AS411" s="51"/>
      <c r="AT411" s="51"/>
    </row>
    <row r="412" spans="1:46">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row>
    <row r="413" spans="1:46">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c r="AM413" s="51"/>
      <c r="AN413" s="51"/>
      <c r="AO413" s="51"/>
      <c r="AP413" s="51"/>
      <c r="AQ413" s="51"/>
      <c r="AR413" s="51"/>
      <c r="AS413" s="51"/>
      <c r="AT413" s="51"/>
    </row>
    <row r="414" spans="1:46">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row>
    <row r="415" spans="1:46">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1"/>
      <c r="AL415" s="51"/>
      <c r="AM415" s="51"/>
      <c r="AN415" s="51"/>
      <c r="AO415" s="51"/>
      <c r="AP415" s="51"/>
      <c r="AQ415" s="51"/>
      <c r="AR415" s="51"/>
      <c r="AS415" s="51"/>
      <c r="AT415" s="51"/>
    </row>
    <row r="416" spans="1:46">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row>
    <row r="417" spans="1:46">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c r="AM417" s="51"/>
      <c r="AN417" s="51"/>
      <c r="AO417" s="51"/>
      <c r="AP417" s="51"/>
      <c r="AQ417" s="51"/>
      <c r="AR417" s="51"/>
      <c r="AS417" s="51"/>
      <c r="AT417" s="51"/>
    </row>
    <row r="418" spans="1:46">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c r="AN418" s="51"/>
      <c r="AO418" s="51"/>
      <c r="AP418" s="51"/>
      <c r="AQ418" s="51"/>
      <c r="AR418" s="51"/>
      <c r="AS418" s="51"/>
      <c r="AT418" s="51"/>
    </row>
    <row r="419" spans="1:46">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c r="AN419" s="51"/>
      <c r="AO419" s="51"/>
      <c r="AP419" s="51"/>
      <c r="AQ419" s="51"/>
      <c r="AR419" s="51"/>
      <c r="AS419" s="51"/>
      <c r="AT419" s="51"/>
    </row>
    <row r="420" spans="1:46">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c r="AP420" s="51"/>
      <c r="AQ420" s="51"/>
      <c r="AR420" s="51"/>
      <c r="AS420" s="51"/>
      <c r="AT420" s="51"/>
    </row>
    <row r="421" spans="1:46">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row>
    <row r="422" spans="1:46">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c r="AP422" s="51"/>
      <c r="AQ422" s="51"/>
      <c r="AR422" s="51"/>
      <c r="AS422" s="51"/>
      <c r="AT422" s="51"/>
    </row>
    <row r="423" spans="1:46">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1"/>
      <c r="AL423" s="51"/>
      <c r="AM423" s="51"/>
      <c r="AN423" s="51"/>
      <c r="AO423" s="51"/>
      <c r="AP423" s="51"/>
      <c r="AQ423" s="51"/>
      <c r="AR423" s="51"/>
      <c r="AS423" s="51"/>
      <c r="AT423" s="51"/>
    </row>
    <row r="424" spans="1:46">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row>
    <row r="425" spans="1:46">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1"/>
      <c r="AL425" s="51"/>
      <c r="AM425" s="51"/>
      <c r="AN425" s="51"/>
      <c r="AO425" s="51"/>
      <c r="AP425" s="51"/>
      <c r="AQ425" s="51"/>
      <c r="AR425" s="51"/>
      <c r="AS425" s="51"/>
      <c r="AT425" s="51"/>
    </row>
    <row r="426" spans="1:46">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c r="AK426" s="51"/>
      <c r="AL426" s="51"/>
      <c r="AM426" s="51"/>
      <c r="AN426" s="51"/>
      <c r="AO426" s="51"/>
      <c r="AP426" s="51"/>
      <c r="AQ426" s="51"/>
      <c r="AR426" s="51"/>
      <c r="AS426" s="51"/>
      <c r="AT426" s="51"/>
    </row>
    <row r="427" spans="1:46">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c r="AK427" s="51"/>
      <c r="AL427" s="51"/>
      <c r="AM427" s="51"/>
      <c r="AN427" s="51"/>
      <c r="AO427" s="51"/>
      <c r="AP427" s="51"/>
      <c r="AQ427" s="51"/>
      <c r="AR427" s="51"/>
      <c r="AS427" s="51"/>
      <c r="AT427" s="51"/>
    </row>
    <row r="428" spans="1:46">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c r="AP428" s="51"/>
      <c r="AQ428" s="51"/>
      <c r="AR428" s="51"/>
      <c r="AS428" s="51"/>
      <c r="AT428" s="51"/>
    </row>
    <row r="429" spans="1:46">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c r="AK429" s="51"/>
      <c r="AL429" s="51"/>
      <c r="AM429" s="51"/>
      <c r="AN429" s="51"/>
      <c r="AO429" s="51"/>
      <c r="AP429" s="51"/>
      <c r="AQ429" s="51"/>
      <c r="AR429" s="51"/>
      <c r="AS429" s="51"/>
      <c r="AT429" s="51"/>
    </row>
    <row r="430" spans="1:46">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1"/>
      <c r="AL430" s="51"/>
      <c r="AM430" s="51"/>
      <c r="AN430" s="51"/>
      <c r="AO430" s="51"/>
      <c r="AP430" s="51"/>
      <c r="AQ430" s="51"/>
      <c r="AR430" s="51"/>
      <c r="AS430" s="51"/>
      <c r="AT430" s="51"/>
    </row>
    <row r="431" spans="1:46">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c r="AK431" s="51"/>
      <c r="AL431" s="51"/>
      <c r="AM431" s="51"/>
      <c r="AN431" s="51"/>
      <c r="AO431" s="51"/>
      <c r="AP431" s="51"/>
      <c r="AQ431" s="51"/>
      <c r="AR431" s="51"/>
      <c r="AS431" s="51"/>
      <c r="AT431" s="51"/>
    </row>
    <row r="432" spans="1:46">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c r="AP432" s="51"/>
      <c r="AQ432" s="51"/>
      <c r="AR432" s="51"/>
      <c r="AS432" s="51"/>
      <c r="AT432" s="51"/>
    </row>
    <row r="433" spans="1:46">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c r="AM433" s="51"/>
      <c r="AN433" s="51"/>
      <c r="AO433" s="51"/>
      <c r="AP433" s="51"/>
      <c r="AQ433" s="51"/>
      <c r="AR433" s="51"/>
      <c r="AS433" s="51"/>
      <c r="AT433" s="51"/>
    </row>
    <row r="434" spans="1:46">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c r="AE434" s="51"/>
      <c r="AF434" s="51"/>
      <c r="AG434" s="51"/>
      <c r="AH434" s="51"/>
      <c r="AI434" s="51"/>
      <c r="AJ434" s="51"/>
      <c r="AK434" s="51"/>
      <c r="AL434" s="51"/>
      <c r="AM434" s="51"/>
      <c r="AN434" s="51"/>
      <c r="AO434" s="51"/>
      <c r="AP434" s="51"/>
      <c r="AQ434" s="51"/>
      <c r="AR434" s="51"/>
      <c r="AS434" s="51"/>
      <c r="AT434" s="51"/>
    </row>
    <row r="435" spans="1:46">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1"/>
      <c r="AL435" s="51"/>
      <c r="AM435" s="51"/>
      <c r="AN435" s="51"/>
      <c r="AO435" s="51"/>
      <c r="AP435" s="51"/>
      <c r="AQ435" s="51"/>
      <c r="AR435" s="51"/>
      <c r="AS435" s="51"/>
      <c r="AT435" s="51"/>
    </row>
    <row r="436" spans="1:46">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1"/>
      <c r="AL436" s="51"/>
      <c r="AM436" s="51"/>
      <c r="AN436" s="51"/>
      <c r="AO436" s="51"/>
      <c r="AP436" s="51"/>
      <c r="AQ436" s="51"/>
      <c r="AR436" s="51"/>
      <c r="AS436" s="51"/>
      <c r="AT436" s="51"/>
    </row>
    <row r="437" spans="1:46">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1"/>
      <c r="AL437" s="51"/>
      <c r="AM437" s="51"/>
      <c r="AN437" s="51"/>
      <c r="AO437" s="51"/>
      <c r="AP437" s="51"/>
      <c r="AQ437" s="51"/>
      <c r="AR437" s="51"/>
      <c r="AS437" s="51"/>
      <c r="AT437" s="51"/>
    </row>
    <row r="438" spans="1:46">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c r="AN438" s="51"/>
      <c r="AO438" s="51"/>
      <c r="AP438" s="51"/>
      <c r="AQ438" s="51"/>
      <c r="AR438" s="51"/>
      <c r="AS438" s="51"/>
      <c r="AT438" s="51"/>
    </row>
    <row r="439" spans="1:46">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1"/>
      <c r="AL439" s="51"/>
      <c r="AM439" s="51"/>
      <c r="AN439" s="51"/>
      <c r="AO439" s="51"/>
      <c r="AP439" s="51"/>
      <c r="AQ439" s="51"/>
      <c r="AR439" s="51"/>
      <c r="AS439" s="51"/>
      <c r="AT439" s="51"/>
    </row>
    <row r="440" spans="1:46">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row>
    <row r="441" spans="1:46">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c r="AN441" s="51"/>
      <c r="AO441" s="51"/>
      <c r="AP441" s="51"/>
      <c r="AQ441" s="51"/>
      <c r="AR441" s="51"/>
      <c r="AS441" s="51"/>
      <c r="AT441" s="51"/>
    </row>
    <row r="442" spans="1:46">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row>
    <row r="443" spans="1:46">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c r="AM443" s="51"/>
      <c r="AN443" s="51"/>
      <c r="AO443" s="51"/>
      <c r="AP443" s="51"/>
      <c r="AQ443" s="51"/>
      <c r="AR443" s="51"/>
      <c r="AS443" s="51"/>
      <c r="AT443" s="51"/>
    </row>
    <row r="444" spans="1:46">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c r="AN444" s="51"/>
      <c r="AO444" s="51"/>
      <c r="AP444" s="51"/>
      <c r="AQ444" s="51"/>
      <c r="AR444" s="51"/>
      <c r="AS444" s="51"/>
      <c r="AT444" s="51"/>
    </row>
    <row r="445" spans="1:46">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c r="AN445" s="51"/>
      <c r="AO445" s="51"/>
      <c r="AP445" s="51"/>
      <c r="AQ445" s="51"/>
      <c r="AR445" s="51"/>
      <c r="AS445" s="51"/>
      <c r="AT445" s="51"/>
    </row>
    <row r="446" spans="1:46">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c r="AP446" s="51"/>
      <c r="AQ446" s="51"/>
      <c r="AR446" s="51"/>
      <c r="AS446" s="51"/>
      <c r="AT446" s="51"/>
    </row>
    <row r="447" spans="1:46">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c r="AM447" s="51"/>
      <c r="AN447" s="51"/>
      <c r="AO447" s="51"/>
      <c r="AP447" s="51"/>
      <c r="AQ447" s="51"/>
      <c r="AR447" s="51"/>
      <c r="AS447" s="51"/>
      <c r="AT447" s="51"/>
    </row>
    <row r="448" spans="1:46">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c r="AN448" s="51"/>
      <c r="AO448" s="51"/>
      <c r="AP448" s="51"/>
      <c r="AQ448" s="51"/>
      <c r="AR448" s="51"/>
      <c r="AS448" s="51"/>
      <c r="AT448" s="51"/>
    </row>
    <row r="449" spans="1:46">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c r="AT449" s="51"/>
    </row>
    <row r="450" spans="1:46">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c r="AK450" s="51"/>
      <c r="AL450" s="51"/>
      <c r="AM450" s="51"/>
      <c r="AN450" s="51"/>
      <c r="AO450" s="51"/>
      <c r="AP450" s="51"/>
      <c r="AQ450" s="51"/>
      <c r="AR450" s="51"/>
      <c r="AS450" s="51"/>
      <c r="AT450" s="51"/>
    </row>
    <row r="451" spans="1:46">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c r="AK451" s="51"/>
      <c r="AL451" s="51"/>
      <c r="AM451" s="51"/>
      <c r="AN451" s="51"/>
      <c r="AO451" s="51"/>
      <c r="AP451" s="51"/>
      <c r="AQ451" s="51"/>
      <c r="AR451" s="51"/>
      <c r="AS451" s="51"/>
      <c r="AT451" s="51"/>
    </row>
    <row r="452" spans="1:46">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c r="AK452" s="51"/>
      <c r="AL452" s="51"/>
      <c r="AM452" s="51"/>
      <c r="AN452" s="51"/>
      <c r="AO452" s="51"/>
      <c r="AP452" s="51"/>
      <c r="AQ452" s="51"/>
      <c r="AR452" s="51"/>
      <c r="AS452" s="51"/>
      <c r="AT452" s="51"/>
    </row>
    <row r="453" spans="1:46">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c r="AK453" s="51"/>
      <c r="AL453" s="51"/>
      <c r="AM453" s="51"/>
      <c r="AN453" s="51"/>
      <c r="AO453" s="51"/>
      <c r="AP453" s="51"/>
      <c r="AQ453" s="51"/>
      <c r="AR453" s="51"/>
      <c r="AS453" s="51"/>
      <c r="AT453" s="51"/>
    </row>
    <row r="454" spans="1:46">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1"/>
      <c r="AL454" s="51"/>
      <c r="AM454" s="51"/>
      <c r="AN454" s="51"/>
      <c r="AO454" s="51"/>
      <c r="AP454" s="51"/>
      <c r="AQ454" s="51"/>
      <c r="AR454" s="51"/>
      <c r="AS454" s="51"/>
      <c r="AT454" s="51"/>
    </row>
    <row r="455" spans="1:46">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1"/>
      <c r="AB455" s="51"/>
      <c r="AC455" s="51"/>
      <c r="AD455" s="51"/>
      <c r="AE455" s="51"/>
      <c r="AF455" s="51"/>
      <c r="AG455" s="51"/>
      <c r="AH455" s="51"/>
      <c r="AI455" s="51"/>
      <c r="AJ455" s="51"/>
      <c r="AK455" s="51"/>
      <c r="AL455" s="51"/>
      <c r="AM455" s="51"/>
      <c r="AN455" s="51"/>
      <c r="AO455" s="51"/>
      <c r="AP455" s="51"/>
      <c r="AQ455" s="51"/>
      <c r="AR455" s="51"/>
      <c r="AS455" s="51"/>
      <c r="AT455" s="51"/>
    </row>
    <row r="456" spans="1:46">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row>
    <row r="457" spans="1:46">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c r="AK457" s="51"/>
      <c r="AL457" s="51"/>
      <c r="AM457" s="51"/>
      <c r="AN457" s="51"/>
      <c r="AO457" s="51"/>
      <c r="AP457" s="51"/>
      <c r="AQ457" s="51"/>
      <c r="AR457" s="51"/>
      <c r="AS457" s="51"/>
      <c r="AT457" s="51"/>
    </row>
    <row r="458" spans="1:46">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c r="AE458" s="51"/>
      <c r="AF458" s="51"/>
      <c r="AG458" s="51"/>
      <c r="AH458" s="51"/>
      <c r="AI458" s="51"/>
      <c r="AJ458" s="51"/>
      <c r="AK458" s="51"/>
      <c r="AL458" s="51"/>
      <c r="AM458" s="51"/>
      <c r="AN458" s="51"/>
      <c r="AO458" s="51"/>
      <c r="AP458" s="51"/>
      <c r="AQ458" s="51"/>
      <c r="AR458" s="51"/>
      <c r="AS458" s="51"/>
      <c r="AT458" s="51"/>
    </row>
    <row r="459" spans="1:46">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c r="AK459" s="51"/>
      <c r="AL459" s="51"/>
      <c r="AM459" s="51"/>
      <c r="AN459" s="51"/>
      <c r="AO459" s="51"/>
      <c r="AP459" s="51"/>
      <c r="AQ459" s="51"/>
      <c r="AR459" s="51"/>
      <c r="AS459" s="51"/>
      <c r="AT459" s="51"/>
    </row>
    <row r="460" spans="1:46">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row>
    <row r="461" spans="1:46">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c r="AK461" s="51"/>
      <c r="AL461" s="51"/>
      <c r="AM461" s="51"/>
      <c r="AN461" s="51"/>
      <c r="AO461" s="51"/>
      <c r="AP461" s="51"/>
      <c r="AQ461" s="51"/>
      <c r="AR461" s="51"/>
      <c r="AS461" s="51"/>
      <c r="AT461" s="51"/>
    </row>
    <row r="462" spans="1:46">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c r="AE462" s="51"/>
      <c r="AF462" s="51"/>
      <c r="AG462" s="51"/>
      <c r="AH462" s="51"/>
      <c r="AI462" s="51"/>
      <c r="AJ462" s="51"/>
      <c r="AK462" s="51"/>
      <c r="AL462" s="51"/>
      <c r="AM462" s="51"/>
      <c r="AN462" s="51"/>
      <c r="AO462" s="51"/>
      <c r="AP462" s="51"/>
      <c r="AQ462" s="51"/>
      <c r="AR462" s="51"/>
      <c r="AS462" s="51"/>
      <c r="AT462" s="51"/>
    </row>
    <row r="463" spans="1:46">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c r="AB463" s="51"/>
      <c r="AC463" s="51"/>
      <c r="AD463" s="51"/>
      <c r="AE463" s="51"/>
      <c r="AF463" s="51"/>
      <c r="AG463" s="51"/>
      <c r="AH463" s="51"/>
      <c r="AI463" s="51"/>
      <c r="AJ463" s="51"/>
      <c r="AK463" s="51"/>
      <c r="AL463" s="51"/>
      <c r="AM463" s="51"/>
      <c r="AN463" s="51"/>
      <c r="AO463" s="51"/>
      <c r="AP463" s="51"/>
      <c r="AQ463" s="51"/>
      <c r="AR463" s="51"/>
      <c r="AS463" s="51"/>
      <c r="AT463" s="51"/>
    </row>
    <row r="464" spans="1:46">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c r="AF464" s="51"/>
      <c r="AG464" s="51"/>
      <c r="AH464" s="51"/>
      <c r="AI464" s="51"/>
      <c r="AJ464" s="51"/>
      <c r="AK464" s="51"/>
      <c r="AL464" s="51"/>
      <c r="AM464" s="51"/>
      <c r="AN464" s="51"/>
      <c r="AO464" s="51"/>
      <c r="AP464" s="51"/>
      <c r="AQ464" s="51"/>
      <c r="AR464" s="51"/>
      <c r="AS464" s="51"/>
      <c r="AT464" s="51"/>
    </row>
    <row r="465" spans="1:46">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1"/>
      <c r="AL465" s="51"/>
      <c r="AM465" s="51"/>
      <c r="AN465" s="51"/>
      <c r="AO465" s="51"/>
      <c r="AP465" s="51"/>
      <c r="AQ465" s="51"/>
      <c r="AR465" s="51"/>
      <c r="AS465" s="51"/>
      <c r="AT465" s="51"/>
    </row>
    <row r="466" spans="1:46">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c r="AE466" s="51"/>
      <c r="AF466" s="51"/>
      <c r="AG466" s="51"/>
      <c r="AH466" s="51"/>
      <c r="AI466" s="51"/>
      <c r="AJ466" s="51"/>
      <c r="AK466" s="51"/>
      <c r="AL466" s="51"/>
      <c r="AM466" s="51"/>
      <c r="AN466" s="51"/>
      <c r="AO466" s="51"/>
      <c r="AP466" s="51"/>
      <c r="AQ466" s="51"/>
      <c r="AR466" s="51"/>
      <c r="AS466" s="51"/>
      <c r="AT466" s="51"/>
    </row>
    <row r="467" spans="1:46">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c r="AK467" s="51"/>
      <c r="AL467" s="51"/>
      <c r="AM467" s="51"/>
      <c r="AN467" s="51"/>
      <c r="AO467" s="51"/>
      <c r="AP467" s="51"/>
      <c r="AQ467" s="51"/>
      <c r="AR467" s="51"/>
      <c r="AS467" s="51"/>
      <c r="AT467" s="51"/>
    </row>
    <row r="468" spans="1:46">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1"/>
      <c r="AL468" s="51"/>
      <c r="AM468" s="51"/>
      <c r="AN468" s="51"/>
      <c r="AO468" s="51"/>
      <c r="AP468" s="51"/>
      <c r="AQ468" s="51"/>
      <c r="AR468" s="51"/>
      <c r="AS468" s="51"/>
      <c r="AT468" s="51"/>
    </row>
    <row r="469" spans="1:46">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c r="AK469" s="51"/>
      <c r="AL469" s="51"/>
      <c r="AM469" s="51"/>
      <c r="AN469" s="51"/>
      <c r="AO469" s="51"/>
      <c r="AP469" s="51"/>
      <c r="AQ469" s="51"/>
      <c r="AR469" s="51"/>
      <c r="AS469" s="51"/>
      <c r="AT469" s="51"/>
    </row>
    <row r="470" spans="1:46">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c r="AE470" s="51"/>
      <c r="AF470" s="51"/>
      <c r="AG470" s="51"/>
      <c r="AH470" s="51"/>
      <c r="AI470" s="51"/>
      <c r="AJ470" s="51"/>
      <c r="AK470" s="51"/>
      <c r="AL470" s="51"/>
      <c r="AM470" s="51"/>
      <c r="AN470" s="51"/>
      <c r="AO470" s="51"/>
      <c r="AP470" s="51"/>
      <c r="AQ470" s="51"/>
      <c r="AR470" s="51"/>
      <c r="AS470" s="51"/>
      <c r="AT470" s="51"/>
    </row>
    <row r="471" spans="1:46">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c r="AA471" s="51"/>
      <c r="AB471" s="51"/>
      <c r="AC471" s="51"/>
      <c r="AD471" s="51"/>
      <c r="AE471" s="51"/>
      <c r="AF471" s="51"/>
      <c r="AG471" s="51"/>
      <c r="AH471" s="51"/>
      <c r="AI471" s="51"/>
      <c r="AJ471" s="51"/>
      <c r="AK471" s="51"/>
      <c r="AL471" s="51"/>
      <c r="AM471" s="51"/>
      <c r="AN471" s="51"/>
      <c r="AO471" s="51"/>
      <c r="AP471" s="51"/>
      <c r="AQ471" s="51"/>
      <c r="AR471" s="51"/>
      <c r="AS471" s="51"/>
      <c r="AT471" s="51"/>
    </row>
    <row r="472" spans="1:46">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c r="AE472" s="51"/>
      <c r="AF472" s="51"/>
      <c r="AG472" s="51"/>
      <c r="AH472" s="51"/>
      <c r="AI472" s="51"/>
      <c r="AJ472" s="51"/>
      <c r="AK472" s="51"/>
      <c r="AL472" s="51"/>
      <c r="AM472" s="51"/>
      <c r="AN472" s="51"/>
      <c r="AO472" s="51"/>
      <c r="AP472" s="51"/>
      <c r="AQ472" s="51"/>
      <c r="AR472" s="51"/>
      <c r="AS472" s="51"/>
      <c r="AT472" s="51"/>
    </row>
    <row r="473" spans="1:46">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c r="AE473" s="51"/>
      <c r="AF473" s="51"/>
      <c r="AG473" s="51"/>
      <c r="AH473" s="51"/>
      <c r="AI473" s="51"/>
      <c r="AJ473" s="51"/>
      <c r="AK473" s="51"/>
      <c r="AL473" s="51"/>
      <c r="AM473" s="51"/>
      <c r="AN473" s="51"/>
      <c r="AO473" s="51"/>
      <c r="AP473" s="51"/>
      <c r="AQ473" s="51"/>
      <c r="AR473" s="51"/>
      <c r="AS473" s="51"/>
      <c r="AT473" s="51"/>
    </row>
    <row r="474" spans="1:46">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c r="AK474" s="51"/>
      <c r="AL474" s="51"/>
      <c r="AM474" s="51"/>
      <c r="AN474" s="51"/>
      <c r="AO474" s="51"/>
      <c r="AP474" s="51"/>
      <c r="AQ474" s="51"/>
      <c r="AR474" s="51"/>
      <c r="AS474" s="51"/>
      <c r="AT474" s="51"/>
    </row>
    <row r="475" spans="1:46">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c r="AK475" s="51"/>
      <c r="AL475" s="51"/>
      <c r="AM475" s="51"/>
      <c r="AN475" s="51"/>
      <c r="AO475" s="51"/>
      <c r="AP475" s="51"/>
      <c r="AQ475" s="51"/>
      <c r="AR475" s="51"/>
      <c r="AS475" s="51"/>
      <c r="AT475" s="51"/>
    </row>
    <row r="476" spans="1:46">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c r="AG476" s="51"/>
      <c r="AH476" s="51"/>
      <c r="AI476" s="51"/>
      <c r="AJ476" s="51"/>
      <c r="AK476" s="51"/>
      <c r="AL476" s="51"/>
      <c r="AM476" s="51"/>
      <c r="AN476" s="51"/>
      <c r="AO476" s="51"/>
      <c r="AP476" s="51"/>
      <c r="AQ476" s="51"/>
      <c r="AR476" s="51"/>
      <c r="AS476" s="51"/>
      <c r="AT476" s="51"/>
    </row>
    <row r="477" spans="1:46">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c r="AE477" s="51"/>
      <c r="AF477" s="51"/>
      <c r="AG477" s="51"/>
      <c r="AH477" s="51"/>
      <c r="AI477" s="51"/>
      <c r="AJ477" s="51"/>
      <c r="AK477" s="51"/>
      <c r="AL477" s="51"/>
      <c r="AM477" s="51"/>
      <c r="AN477" s="51"/>
      <c r="AO477" s="51"/>
      <c r="AP477" s="51"/>
      <c r="AQ477" s="51"/>
      <c r="AR477" s="51"/>
      <c r="AS477" s="51"/>
      <c r="AT477" s="51"/>
    </row>
    <row r="478" spans="1:46">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c r="AK478" s="51"/>
      <c r="AL478" s="51"/>
      <c r="AM478" s="51"/>
      <c r="AN478" s="51"/>
      <c r="AO478" s="51"/>
      <c r="AP478" s="51"/>
      <c r="AQ478" s="51"/>
      <c r="AR478" s="51"/>
      <c r="AS478" s="51"/>
      <c r="AT478" s="51"/>
    </row>
    <row r="479" spans="1:46">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c r="AG479" s="51"/>
      <c r="AH479" s="51"/>
      <c r="AI479" s="51"/>
      <c r="AJ479" s="51"/>
      <c r="AK479" s="51"/>
      <c r="AL479" s="51"/>
      <c r="AM479" s="51"/>
      <c r="AN479" s="51"/>
      <c r="AO479" s="51"/>
      <c r="AP479" s="51"/>
      <c r="AQ479" s="51"/>
      <c r="AR479" s="51"/>
      <c r="AS479" s="51"/>
      <c r="AT479" s="51"/>
    </row>
    <row r="480" spans="1:46">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c r="AK480" s="51"/>
      <c r="AL480" s="51"/>
      <c r="AM480" s="51"/>
      <c r="AN480" s="51"/>
      <c r="AO480" s="51"/>
      <c r="AP480" s="51"/>
      <c r="AQ480" s="51"/>
      <c r="AR480" s="51"/>
      <c r="AS480" s="51"/>
      <c r="AT480" s="51"/>
    </row>
    <row r="481" spans="1:46">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c r="AK481" s="51"/>
      <c r="AL481" s="51"/>
      <c r="AM481" s="51"/>
      <c r="AN481" s="51"/>
      <c r="AO481" s="51"/>
      <c r="AP481" s="51"/>
      <c r="AQ481" s="51"/>
      <c r="AR481" s="51"/>
      <c r="AS481" s="51"/>
      <c r="AT481" s="51"/>
    </row>
    <row r="482" spans="1:46">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c r="AK482" s="51"/>
      <c r="AL482" s="51"/>
      <c r="AM482" s="51"/>
      <c r="AN482" s="51"/>
      <c r="AO482" s="51"/>
      <c r="AP482" s="51"/>
      <c r="AQ482" s="51"/>
      <c r="AR482" s="51"/>
      <c r="AS482" s="51"/>
      <c r="AT482" s="51"/>
    </row>
    <row r="483" spans="1:46">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c r="AK483" s="51"/>
      <c r="AL483" s="51"/>
      <c r="AM483" s="51"/>
      <c r="AN483" s="51"/>
      <c r="AO483" s="51"/>
      <c r="AP483" s="51"/>
      <c r="AQ483" s="51"/>
      <c r="AR483" s="51"/>
      <c r="AS483" s="51"/>
      <c r="AT483" s="51"/>
    </row>
    <row r="484" spans="1:46">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c r="AK484" s="51"/>
      <c r="AL484" s="51"/>
      <c r="AM484" s="51"/>
      <c r="AN484" s="51"/>
      <c r="AO484" s="51"/>
      <c r="AP484" s="51"/>
      <c r="AQ484" s="51"/>
      <c r="AR484" s="51"/>
      <c r="AS484" s="51"/>
      <c r="AT484" s="51"/>
    </row>
    <row r="485" spans="1:46">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c r="AE485" s="51"/>
      <c r="AF485" s="51"/>
      <c r="AG485" s="51"/>
      <c r="AH485" s="51"/>
      <c r="AI485" s="51"/>
      <c r="AJ485" s="51"/>
      <c r="AK485" s="51"/>
      <c r="AL485" s="51"/>
      <c r="AM485" s="51"/>
      <c r="AN485" s="51"/>
      <c r="AO485" s="51"/>
      <c r="AP485" s="51"/>
      <c r="AQ485" s="51"/>
      <c r="AR485" s="51"/>
      <c r="AS485" s="51"/>
      <c r="AT485" s="51"/>
    </row>
    <row r="486" spans="1:46">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c r="AK486" s="51"/>
      <c r="AL486" s="51"/>
      <c r="AM486" s="51"/>
      <c r="AN486" s="51"/>
      <c r="AO486" s="51"/>
      <c r="AP486" s="51"/>
      <c r="AQ486" s="51"/>
      <c r="AR486" s="51"/>
      <c r="AS486" s="51"/>
      <c r="AT486" s="51"/>
    </row>
    <row r="487" spans="1:46">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c r="AE487" s="51"/>
      <c r="AF487" s="51"/>
      <c r="AG487" s="51"/>
      <c r="AH487" s="51"/>
      <c r="AI487" s="51"/>
      <c r="AJ487" s="51"/>
      <c r="AK487" s="51"/>
      <c r="AL487" s="51"/>
      <c r="AM487" s="51"/>
      <c r="AN487" s="51"/>
      <c r="AO487" s="51"/>
      <c r="AP487" s="51"/>
      <c r="AQ487" s="51"/>
      <c r="AR487" s="51"/>
      <c r="AS487" s="51"/>
      <c r="AT487" s="51"/>
    </row>
    <row r="488" spans="1:46">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c r="AF488" s="51"/>
      <c r="AG488" s="51"/>
      <c r="AH488" s="51"/>
      <c r="AI488" s="51"/>
      <c r="AJ488" s="51"/>
      <c r="AK488" s="51"/>
      <c r="AL488" s="51"/>
      <c r="AM488" s="51"/>
      <c r="AN488" s="51"/>
      <c r="AO488" s="51"/>
      <c r="AP488" s="51"/>
      <c r="AQ488" s="51"/>
      <c r="AR488" s="51"/>
      <c r="AS488" s="51"/>
      <c r="AT488" s="51"/>
    </row>
    <row r="489" spans="1:46">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c r="AG489" s="51"/>
      <c r="AH489" s="51"/>
      <c r="AI489" s="51"/>
      <c r="AJ489" s="51"/>
      <c r="AK489" s="51"/>
      <c r="AL489" s="51"/>
      <c r="AM489" s="51"/>
      <c r="AN489" s="51"/>
      <c r="AO489" s="51"/>
      <c r="AP489" s="51"/>
      <c r="AQ489" s="51"/>
      <c r="AR489" s="51"/>
      <c r="AS489" s="51"/>
      <c r="AT489" s="51"/>
    </row>
    <row r="490" spans="1:46">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c r="AK490" s="51"/>
      <c r="AL490" s="51"/>
      <c r="AM490" s="51"/>
      <c r="AN490" s="51"/>
      <c r="AO490" s="51"/>
      <c r="AP490" s="51"/>
      <c r="AQ490" s="51"/>
      <c r="AR490" s="51"/>
      <c r="AS490" s="51"/>
      <c r="AT490" s="51"/>
    </row>
    <row r="491" spans="1:46">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c r="AK491" s="51"/>
      <c r="AL491" s="51"/>
      <c r="AM491" s="51"/>
      <c r="AN491" s="51"/>
      <c r="AO491" s="51"/>
      <c r="AP491" s="51"/>
      <c r="AQ491" s="51"/>
      <c r="AR491" s="51"/>
      <c r="AS491" s="51"/>
      <c r="AT491" s="51"/>
    </row>
    <row r="492" spans="1:46">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c r="AG492" s="51"/>
      <c r="AH492" s="51"/>
      <c r="AI492" s="51"/>
      <c r="AJ492" s="51"/>
      <c r="AK492" s="51"/>
      <c r="AL492" s="51"/>
      <c r="AM492" s="51"/>
      <c r="AN492" s="51"/>
      <c r="AO492" s="51"/>
      <c r="AP492" s="51"/>
      <c r="AQ492" s="51"/>
      <c r="AR492" s="51"/>
      <c r="AS492" s="51"/>
      <c r="AT492" s="51"/>
    </row>
    <row r="493" spans="1:46">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c r="AK493" s="51"/>
      <c r="AL493" s="51"/>
      <c r="AM493" s="51"/>
      <c r="AN493" s="51"/>
      <c r="AO493" s="51"/>
      <c r="AP493" s="51"/>
      <c r="AQ493" s="51"/>
      <c r="AR493" s="51"/>
      <c r="AS493" s="51"/>
      <c r="AT493" s="51"/>
    </row>
    <row r="494" spans="1:46">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c r="AK494" s="51"/>
      <c r="AL494" s="51"/>
      <c r="AM494" s="51"/>
      <c r="AN494" s="51"/>
      <c r="AO494" s="51"/>
      <c r="AP494" s="51"/>
      <c r="AQ494" s="51"/>
      <c r="AR494" s="51"/>
      <c r="AS494" s="51"/>
      <c r="AT494" s="51"/>
    </row>
    <row r="495" spans="1:46">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c r="AG495" s="51"/>
      <c r="AH495" s="51"/>
      <c r="AI495" s="51"/>
      <c r="AJ495" s="51"/>
      <c r="AK495" s="51"/>
      <c r="AL495" s="51"/>
      <c r="AM495" s="51"/>
      <c r="AN495" s="51"/>
      <c r="AO495" s="51"/>
      <c r="AP495" s="51"/>
      <c r="AQ495" s="51"/>
      <c r="AR495" s="51"/>
      <c r="AS495" s="51"/>
      <c r="AT495" s="51"/>
    </row>
    <row r="496" spans="1:46">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c r="AM496" s="51"/>
      <c r="AN496" s="51"/>
      <c r="AO496" s="51"/>
      <c r="AP496" s="51"/>
      <c r="AQ496" s="51"/>
      <c r="AR496" s="51"/>
      <c r="AS496" s="51"/>
      <c r="AT496" s="51"/>
    </row>
    <row r="497" spans="1:46">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c r="AK497" s="51"/>
      <c r="AL497" s="51"/>
      <c r="AM497" s="51"/>
      <c r="AN497" s="51"/>
      <c r="AO497" s="51"/>
      <c r="AP497" s="51"/>
      <c r="AQ497" s="51"/>
      <c r="AR497" s="51"/>
      <c r="AS497" s="51"/>
      <c r="AT497" s="51"/>
    </row>
    <row r="498" spans="1:46">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c r="AK498" s="51"/>
      <c r="AL498" s="51"/>
      <c r="AM498" s="51"/>
      <c r="AN498" s="51"/>
      <c r="AO498" s="51"/>
      <c r="AP498" s="51"/>
      <c r="AQ498" s="51"/>
      <c r="AR498" s="51"/>
      <c r="AS498" s="51"/>
      <c r="AT498" s="51"/>
    </row>
    <row r="499" spans="1:46">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c r="AM499" s="51"/>
      <c r="AN499" s="51"/>
      <c r="AO499" s="51"/>
      <c r="AP499" s="51"/>
      <c r="AQ499" s="51"/>
      <c r="AR499" s="51"/>
      <c r="AS499" s="51"/>
      <c r="AT499" s="51"/>
    </row>
    <row r="500" spans="1:46">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c r="AK500" s="51"/>
      <c r="AL500" s="51"/>
      <c r="AM500" s="51"/>
      <c r="AN500" s="51"/>
      <c r="AO500" s="51"/>
      <c r="AP500" s="51"/>
      <c r="AQ500" s="51"/>
      <c r="AR500" s="51"/>
      <c r="AS500" s="51"/>
      <c r="AT500" s="51"/>
    </row>
    <row r="501" spans="1:46">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1"/>
      <c r="AL501" s="51"/>
      <c r="AM501" s="51"/>
      <c r="AN501" s="51"/>
      <c r="AO501" s="51"/>
      <c r="AP501" s="51"/>
      <c r="AQ501" s="51"/>
      <c r="AR501" s="51"/>
      <c r="AS501" s="51"/>
      <c r="AT501" s="51"/>
    </row>
    <row r="502" spans="1:46">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51"/>
      <c r="AL502" s="51"/>
      <c r="AM502" s="51"/>
      <c r="AN502" s="51"/>
      <c r="AO502" s="51"/>
      <c r="AP502" s="51"/>
      <c r="AQ502" s="51"/>
      <c r="AR502" s="51"/>
      <c r="AS502" s="51"/>
      <c r="AT502" s="51"/>
    </row>
    <row r="503" spans="1:46">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c r="AK503" s="51"/>
      <c r="AL503" s="51"/>
      <c r="AM503" s="51"/>
      <c r="AN503" s="51"/>
      <c r="AO503" s="51"/>
      <c r="AP503" s="51"/>
      <c r="AQ503" s="51"/>
      <c r="AR503" s="51"/>
      <c r="AS503" s="51"/>
      <c r="AT503" s="51"/>
    </row>
    <row r="504" spans="1:46">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51"/>
      <c r="AL504" s="51"/>
      <c r="AM504" s="51"/>
      <c r="AN504" s="51"/>
      <c r="AO504" s="51"/>
      <c r="AP504" s="51"/>
      <c r="AQ504" s="51"/>
      <c r="AR504" s="51"/>
      <c r="AS504" s="51"/>
      <c r="AT504" s="51"/>
    </row>
    <row r="505" spans="1:46">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1"/>
      <c r="AL505" s="51"/>
      <c r="AM505" s="51"/>
      <c r="AN505" s="51"/>
      <c r="AO505" s="51"/>
      <c r="AP505" s="51"/>
      <c r="AQ505" s="51"/>
      <c r="AR505" s="51"/>
      <c r="AS505" s="51"/>
      <c r="AT505" s="51"/>
    </row>
    <row r="506" spans="1:46">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1"/>
      <c r="AL506" s="51"/>
      <c r="AM506" s="51"/>
      <c r="AN506" s="51"/>
      <c r="AO506" s="51"/>
      <c r="AP506" s="51"/>
      <c r="AQ506" s="51"/>
      <c r="AR506" s="51"/>
      <c r="AS506" s="51"/>
      <c r="AT506" s="51"/>
    </row>
    <row r="507" spans="1:46">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c r="AK507" s="51"/>
      <c r="AL507" s="51"/>
      <c r="AM507" s="51"/>
      <c r="AN507" s="51"/>
      <c r="AO507" s="51"/>
      <c r="AP507" s="51"/>
      <c r="AQ507" s="51"/>
      <c r="AR507" s="51"/>
      <c r="AS507" s="51"/>
      <c r="AT507" s="51"/>
    </row>
    <row r="508" spans="1:46">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c r="AK508" s="51"/>
      <c r="AL508" s="51"/>
      <c r="AM508" s="51"/>
      <c r="AN508" s="51"/>
      <c r="AO508" s="51"/>
      <c r="AP508" s="51"/>
      <c r="AQ508" s="51"/>
      <c r="AR508" s="51"/>
      <c r="AS508" s="51"/>
      <c r="AT508" s="51"/>
    </row>
    <row r="509" spans="1:46">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c r="AK509" s="51"/>
      <c r="AL509" s="51"/>
      <c r="AM509" s="51"/>
      <c r="AN509" s="51"/>
      <c r="AO509" s="51"/>
      <c r="AP509" s="51"/>
      <c r="AQ509" s="51"/>
      <c r="AR509" s="51"/>
      <c r="AS509" s="51"/>
      <c r="AT509" s="51"/>
    </row>
    <row r="510" spans="1:46">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1"/>
      <c r="AL510" s="51"/>
      <c r="AM510" s="51"/>
      <c r="AN510" s="51"/>
      <c r="AO510" s="51"/>
      <c r="AP510" s="51"/>
      <c r="AQ510" s="51"/>
      <c r="AR510" s="51"/>
      <c r="AS510" s="51"/>
      <c r="AT510" s="51"/>
    </row>
    <row r="511" spans="1:46">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1"/>
      <c r="AL511" s="51"/>
      <c r="AM511" s="51"/>
      <c r="AN511" s="51"/>
      <c r="AO511" s="51"/>
      <c r="AP511" s="51"/>
      <c r="AQ511" s="51"/>
      <c r="AR511" s="51"/>
      <c r="AS511" s="51"/>
      <c r="AT511" s="51"/>
    </row>
    <row r="512" spans="1:46">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c r="AK512" s="51"/>
      <c r="AL512" s="51"/>
      <c r="AM512" s="51"/>
      <c r="AN512" s="51"/>
      <c r="AO512" s="51"/>
      <c r="AP512" s="51"/>
      <c r="AQ512" s="51"/>
      <c r="AR512" s="51"/>
      <c r="AS512" s="51"/>
      <c r="AT512" s="51"/>
    </row>
    <row r="513" spans="1:46">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c r="AK513" s="51"/>
      <c r="AL513" s="51"/>
      <c r="AM513" s="51"/>
      <c r="AN513" s="51"/>
      <c r="AO513" s="51"/>
      <c r="AP513" s="51"/>
      <c r="AQ513" s="51"/>
      <c r="AR513" s="51"/>
      <c r="AS513" s="51"/>
      <c r="AT513" s="51"/>
    </row>
    <row r="514" spans="1:46">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c r="AK514" s="51"/>
      <c r="AL514" s="51"/>
      <c r="AM514" s="51"/>
      <c r="AN514" s="51"/>
      <c r="AO514" s="51"/>
      <c r="AP514" s="51"/>
      <c r="AQ514" s="51"/>
      <c r="AR514" s="51"/>
      <c r="AS514" s="51"/>
      <c r="AT514" s="51"/>
    </row>
    <row r="515" spans="1:46">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c r="AK515" s="51"/>
      <c r="AL515" s="51"/>
      <c r="AM515" s="51"/>
      <c r="AN515" s="51"/>
      <c r="AO515" s="51"/>
      <c r="AP515" s="51"/>
      <c r="AQ515" s="51"/>
      <c r="AR515" s="51"/>
      <c r="AS515" s="51"/>
      <c r="AT515" s="51"/>
    </row>
    <row r="516" spans="1:46">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c r="AK516" s="51"/>
      <c r="AL516" s="51"/>
      <c r="AM516" s="51"/>
      <c r="AN516" s="51"/>
      <c r="AO516" s="51"/>
      <c r="AP516" s="51"/>
      <c r="AQ516" s="51"/>
      <c r="AR516" s="51"/>
      <c r="AS516" s="51"/>
      <c r="AT516" s="51"/>
    </row>
    <row r="517" spans="1:46">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1"/>
      <c r="AE517" s="51"/>
      <c r="AF517" s="51"/>
      <c r="AG517" s="51"/>
      <c r="AH517" s="51"/>
      <c r="AI517" s="51"/>
      <c r="AJ517" s="51"/>
      <c r="AK517" s="51"/>
      <c r="AL517" s="51"/>
      <c r="AM517" s="51"/>
      <c r="AN517" s="51"/>
      <c r="AO517" s="51"/>
      <c r="AP517" s="51"/>
      <c r="AQ517" s="51"/>
      <c r="AR517" s="51"/>
      <c r="AS517" s="51"/>
      <c r="AT517" s="51"/>
    </row>
    <row r="518" spans="1:46">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c r="AK518" s="51"/>
      <c r="AL518" s="51"/>
      <c r="AM518" s="51"/>
      <c r="AN518" s="51"/>
      <c r="AO518" s="51"/>
      <c r="AP518" s="51"/>
      <c r="AQ518" s="51"/>
      <c r="AR518" s="51"/>
      <c r="AS518" s="51"/>
      <c r="AT518" s="51"/>
    </row>
    <row r="519" spans="1:46">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c r="AG519" s="51"/>
      <c r="AH519" s="51"/>
      <c r="AI519" s="51"/>
      <c r="AJ519" s="51"/>
      <c r="AK519" s="51"/>
      <c r="AL519" s="51"/>
      <c r="AM519" s="51"/>
      <c r="AN519" s="51"/>
      <c r="AO519" s="51"/>
      <c r="AP519" s="51"/>
      <c r="AQ519" s="51"/>
      <c r="AR519" s="51"/>
      <c r="AS519" s="51"/>
      <c r="AT519" s="51"/>
    </row>
    <row r="520" spans="1:46">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c r="AK520" s="51"/>
      <c r="AL520" s="51"/>
      <c r="AM520" s="51"/>
      <c r="AN520" s="51"/>
      <c r="AO520" s="51"/>
      <c r="AP520" s="51"/>
      <c r="AQ520" s="51"/>
      <c r="AR520" s="51"/>
      <c r="AS520" s="51"/>
      <c r="AT520" s="51"/>
    </row>
    <row r="521" spans="1:46">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c r="AK521" s="51"/>
      <c r="AL521" s="51"/>
      <c r="AM521" s="51"/>
      <c r="AN521" s="51"/>
      <c r="AO521" s="51"/>
      <c r="AP521" s="51"/>
      <c r="AQ521" s="51"/>
      <c r="AR521" s="51"/>
      <c r="AS521" s="51"/>
      <c r="AT521" s="51"/>
    </row>
    <row r="522" spans="1:46">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c r="AK522" s="51"/>
      <c r="AL522" s="51"/>
      <c r="AM522" s="51"/>
      <c r="AN522" s="51"/>
      <c r="AO522" s="51"/>
      <c r="AP522" s="51"/>
      <c r="AQ522" s="51"/>
      <c r="AR522" s="51"/>
      <c r="AS522" s="51"/>
      <c r="AT522" s="51"/>
    </row>
    <row r="523" spans="1:46">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c r="AK523" s="51"/>
      <c r="AL523" s="51"/>
      <c r="AM523" s="51"/>
      <c r="AN523" s="51"/>
      <c r="AO523" s="51"/>
      <c r="AP523" s="51"/>
      <c r="AQ523" s="51"/>
      <c r="AR523" s="51"/>
      <c r="AS523" s="51"/>
      <c r="AT523" s="51"/>
    </row>
    <row r="524" spans="1:46">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c r="AH524" s="51"/>
      <c r="AI524" s="51"/>
      <c r="AJ524" s="51"/>
      <c r="AK524" s="51"/>
      <c r="AL524" s="51"/>
      <c r="AM524" s="51"/>
      <c r="AN524" s="51"/>
      <c r="AO524" s="51"/>
      <c r="AP524" s="51"/>
      <c r="AQ524" s="51"/>
      <c r="AR524" s="51"/>
      <c r="AS524" s="51"/>
      <c r="AT524" s="51"/>
    </row>
    <row r="525" spans="1:46">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c r="AG525" s="51"/>
      <c r="AH525" s="51"/>
      <c r="AI525" s="51"/>
      <c r="AJ525" s="51"/>
      <c r="AK525" s="51"/>
      <c r="AL525" s="51"/>
      <c r="AM525" s="51"/>
      <c r="AN525" s="51"/>
      <c r="AO525" s="51"/>
      <c r="AP525" s="51"/>
      <c r="AQ525" s="51"/>
      <c r="AR525" s="51"/>
      <c r="AS525" s="51"/>
      <c r="AT525" s="51"/>
    </row>
    <row r="526" spans="1:46">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c r="AK526" s="51"/>
      <c r="AL526" s="51"/>
      <c r="AM526" s="51"/>
      <c r="AN526" s="51"/>
      <c r="AO526" s="51"/>
      <c r="AP526" s="51"/>
      <c r="AQ526" s="51"/>
      <c r="AR526" s="51"/>
      <c r="AS526" s="51"/>
      <c r="AT526" s="51"/>
    </row>
    <row r="527" spans="1:46">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c r="AF527" s="51"/>
      <c r="AG527" s="51"/>
      <c r="AH527" s="51"/>
      <c r="AI527" s="51"/>
      <c r="AJ527" s="51"/>
      <c r="AK527" s="51"/>
      <c r="AL527" s="51"/>
      <c r="AM527" s="51"/>
      <c r="AN527" s="51"/>
      <c r="AO527" s="51"/>
      <c r="AP527" s="51"/>
      <c r="AQ527" s="51"/>
      <c r="AR527" s="51"/>
      <c r="AS527" s="51"/>
      <c r="AT527" s="51"/>
    </row>
    <row r="528" spans="1:46">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c r="AN528" s="51"/>
      <c r="AO528" s="51"/>
      <c r="AP528" s="51"/>
      <c r="AQ528" s="51"/>
      <c r="AR528" s="51"/>
      <c r="AS528" s="51"/>
      <c r="AT528" s="51"/>
    </row>
    <row r="529" spans="1:46">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c r="AE529" s="51"/>
      <c r="AF529" s="51"/>
      <c r="AG529" s="51"/>
      <c r="AH529" s="51"/>
      <c r="AI529" s="51"/>
      <c r="AJ529" s="51"/>
      <c r="AK529" s="51"/>
      <c r="AL529" s="51"/>
      <c r="AM529" s="51"/>
      <c r="AN529" s="51"/>
      <c r="AO529" s="51"/>
      <c r="AP529" s="51"/>
      <c r="AQ529" s="51"/>
      <c r="AR529" s="51"/>
      <c r="AS529" s="51"/>
      <c r="AT529" s="51"/>
    </row>
    <row r="530" spans="1:46">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c r="AE530" s="51"/>
      <c r="AF530" s="51"/>
      <c r="AG530" s="51"/>
      <c r="AH530" s="51"/>
      <c r="AI530" s="51"/>
      <c r="AJ530" s="51"/>
      <c r="AK530" s="51"/>
      <c r="AL530" s="51"/>
      <c r="AM530" s="51"/>
      <c r="AN530" s="51"/>
      <c r="AO530" s="51"/>
      <c r="AP530" s="51"/>
      <c r="AQ530" s="51"/>
      <c r="AR530" s="51"/>
      <c r="AS530" s="51"/>
      <c r="AT530" s="51"/>
    </row>
    <row r="531" spans="1:46">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c r="AE531" s="51"/>
      <c r="AF531" s="51"/>
      <c r="AG531" s="51"/>
      <c r="AH531" s="51"/>
      <c r="AI531" s="51"/>
      <c r="AJ531" s="51"/>
      <c r="AK531" s="51"/>
      <c r="AL531" s="51"/>
      <c r="AM531" s="51"/>
      <c r="AN531" s="51"/>
      <c r="AO531" s="51"/>
      <c r="AP531" s="51"/>
      <c r="AQ531" s="51"/>
      <c r="AR531" s="51"/>
      <c r="AS531" s="51"/>
      <c r="AT531" s="51"/>
    </row>
    <row r="532" spans="1:46">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1"/>
      <c r="AB532" s="51"/>
      <c r="AC532" s="51"/>
      <c r="AD532" s="51"/>
      <c r="AE532" s="51"/>
      <c r="AF532" s="51"/>
      <c r="AG532" s="51"/>
      <c r="AH532" s="51"/>
      <c r="AI532" s="51"/>
      <c r="AJ532" s="51"/>
      <c r="AK532" s="51"/>
      <c r="AL532" s="51"/>
      <c r="AM532" s="51"/>
      <c r="AN532" s="51"/>
      <c r="AO532" s="51"/>
      <c r="AP532" s="51"/>
      <c r="AQ532" s="51"/>
      <c r="AR532" s="51"/>
      <c r="AS532" s="51"/>
      <c r="AT532" s="51"/>
    </row>
    <row r="533" spans="1:46">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c r="AA533" s="51"/>
      <c r="AB533" s="51"/>
      <c r="AC533" s="51"/>
      <c r="AD533" s="51"/>
      <c r="AE533" s="51"/>
      <c r="AF533" s="51"/>
      <c r="AG533" s="51"/>
      <c r="AH533" s="51"/>
      <c r="AI533" s="51"/>
      <c r="AJ533" s="51"/>
      <c r="AK533" s="51"/>
      <c r="AL533" s="51"/>
      <c r="AM533" s="51"/>
      <c r="AN533" s="51"/>
      <c r="AO533" s="51"/>
      <c r="AP533" s="51"/>
      <c r="AQ533" s="51"/>
      <c r="AR533" s="51"/>
      <c r="AS533" s="51"/>
      <c r="AT533" s="51"/>
    </row>
    <row r="534" spans="1:46">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c r="AO534" s="51"/>
      <c r="AP534" s="51"/>
      <c r="AQ534" s="51"/>
      <c r="AR534" s="51"/>
      <c r="AS534" s="51"/>
      <c r="AT534" s="51"/>
    </row>
    <row r="535" spans="1:46">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c r="AB535" s="51"/>
      <c r="AC535" s="51"/>
      <c r="AD535" s="51"/>
      <c r="AE535" s="51"/>
      <c r="AF535" s="51"/>
      <c r="AG535" s="51"/>
      <c r="AH535" s="51"/>
      <c r="AI535" s="51"/>
      <c r="AJ535" s="51"/>
      <c r="AK535" s="51"/>
      <c r="AL535" s="51"/>
      <c r="AM535" s="51"/>
      <c r="AN535" s="51"/>
      <c r="AO535" s="51"/>
      <c r="AP535" s="51"/>
      <c r="AQ535" s="51"/>
      <c r="AR535" s="51"/>
      <c r="AS535" s="51"/>
      <c r="AT535" s="51"/>
    </row>
    <row r="536" spans="1:46">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c r="AE536" s="51"/>
      <c r="AF536" s="51"/>
      <c r="AG536" s="51"/>
      <c r="AH536" s="51"/>
      <c r="AI536" s="51"/>
      <c r="AJ536" s="51"/>
      <c r="AK536" s="51"/>
      <c r="AL536" s="51"/>
      <c r="AM536" s="51"/>
      <c r="AN536" s="51"/>
      <c r="AO536" s="51"/>
      <c r="AP536" s="51"/>
      <c r="AQ536" s="51"/>
      <c r="AR536" s="51"/>
      <c r="AS536" s="51"/>
      <c r="AT536" s="51"/>
    </row>
    <row r="537" spans="1:46">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c r="AF537" s="51"/>
      <c r="AG537" s="51"/>
      <c r="AH537" s="51"/>
      <c r="AI537" s="51"/>
      <c r="AJ537" s="51"/>
      <c r="AK537" s="51"/>
      <c r="AL537" s="51"/>
      <c r="AM537" s="51"/>
      <c r="AN537" s="51"/>
      <c r="AO537" s="51"/>
      <c r="AP537" s="51"/>
      <c r="AQ537" s="51"/>
      <c r="AR537" s="51"/>
      <c r="AS537" s="51"/>
      <c r="AT537" s="51"/>
    </row>
    <row r="538" spans="1:46">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1"/>
      <c r="AK538" s="51"/>
      <c r="AL538" s="51"/>
      <c r="AM538" s="51"/>
      <c r="AN538" s="51"/>
      <c r="AO538" s="51"/>
      <c r="AP538" s="51"/>
      <c r="AQ538" s="51"/>
      <c r="AR538" s="51"/>
      <c r="AS538" s="51"/>
      <c r="AT538" s="51"/>
    </row>
    <row r="539" spans="1:46">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c r="AG539" s="51"/>
      <c r="AH539" s="51"/>
      <c r="AI539" s="51"/>
      <c r="AJ539" s="51"/>
      <c r="AK539" s="51"/>
      <c r="AL539" s="51"/>
      <c r="AM539" s="51"/>
      <c r="AN539" s="51"/>
      <c r="AO539" s="51"/>
      <c r="AP539" s="51"/>
      <c r="AQ539" s="51"/>
      <c r="AR539" s="51"/>
      <c r="AS539" s="51"/>
      <c r="AT539" s="51"/>
    </row>
    <row r="540" spans="1:46">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c r="AK540" s="51"/>
      <c r="AL540" s="51"/>
      <c r="AM540" s="51"/>
      <c r="AN540" s="51"/>
      <c r="AO540" s="51"/>
      <c r="AP540" s="51"/>
      <c r="AQ540" s="51"/>
      <c r="AR540" s="51"/>
      <c r="AS540" s="51"/>
      <c r="AT540" s="51"/>
    </row>
    <row r="541" spans="1:46">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1"/>
      <c r="AE541" s="51"/>
      <c r="AF541" s="51"/>
      <c r="AG541" s="51"/>
      <c r="AH541" s="51"/>
      <c r="AI541" s="51"/>
      <c r="AJ541" s="51"/>
      <c r="AK541" s="51"/>
      <c r="AL541" s="51"/>
      <c r="AM541" s="51"/>
      <c r="AN541" s="51"/>
      <c r="AO541" s="51"/>
      <c r="AP541" s="51"/>
      <c r="AQ541" s="51"/>
      <c r="AR541" s="51"/>
      <c r="AS541" s="51"/>
      <c r="AT541" s="51"/>
    </row>
    <row r="542" spans="1:46">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1"/>
      <c r="AE542" s="51"/>
      <c r="AF542" s="51"/>
      <c r="AG542" s="51"/>
      <c r="AH542" s="51"/>
      <c r="AI542" s="51"/>
      <c r="AJ542" s="51"/>
      <c r="AK542" s="51"/>
      <c r="AL542" s="51"/>
      <c r="AM542" s="51"/>
      <c r="AN542" s="51"/>
      <c r="AO542" s="51"/>
      <c r="AP542" s="51"/>
      <c r="AQ542" s="51"/>
      <c r="AR542" s="51"/>
      <c r="AS542" s="51"/>
      <c r="AT542" s="51"/>
    </row>
    <row r="543" spans="1:46">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c r="AA543" s="51"/>
      <c r="AB543" s="51"/>
      <c r="AC543" s="51"/>
      <c r="AD543" s="51"/>
      <c r="AE543" s="51"/>
      <c r="AF543" s="51"/>
      <c r="AG543" s="51"/>
      <c r="AH543" s="51"/>
      <c r="AI543" s="51"/>
      <c r="AJ543" s="51"/>
      <c r="AK543" s="51"/>
      <c r="AL543" s="51"/>
      <c r="AM543" s="51"/>
      <c r="AN543" s="51"/>
      <c r="AO543" s="51"/>
      <c r="AP543" s="51"/>
      <c r="AQ543" s="51"/>
      <c r="AR543" s="51"/>
      <c r="AS543" s="51"/>
      <c r="AT543" s="51"/>
    </row>
    <row r="544" spans="1:46">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1"/>
      <c r="AE544" s="51"/>
      <c r="AF544" s="51"/>
      <c r="AG544" s="51"/>
      <c r="AH544" s="51"/>
      <c r="AI544" s="51"/>
      <c r="AJ544" s="51"/>
      <c r="AK544" s="51"/>
      <c r="AL544" s="51"/>
      <c r="AM544" s="51"/>
      <c r="AN544" s="51"/>
      <c r="AO544" s="51"/>
      <c r="AP544" s="51"/>
      <c r="AQ544" s="51"/>
      <c r="AR544" s="51"/>
      <c r="AS544" s="51"/>
      <c r="AT544" s="51"/>
    </row>
    <row r="545" spans="1:46">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c r="AF545" s="51"/>
      <c r="AG545" s="51"/>
      <c r="AH545" s="51"/>
      <c r="AI545" s="51"/>
      <c r="AJ545" s="51"/>
      <c r="AK545" s="51"/>
      <c r="AL545" s="51"/>
      <c r="AM545" s="51"/>
      <c r="AN545" s="51"/>
      <c r="AO545" s="51"/>
      <c r="AP545" s="51"/>
      <c r="AQ545" s="51"/>
      <c r="AR545" s="51"/>
      <c r="AS545" s="51"/>
      <c r="AT545" s="51"/>
    </row>
    <row r="546" spans="1:46">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c r="AG546" s="51"/>
      <c r="AH546" s="51"/>
      <c r="AI546" s="51"/>
      <c r="AJ546" s="51"/>
      <c r="AK546" s="51"/>
      <c r="AL546" s="51"/>
      <c r="AM546" s="51"/>
      <c r="AN546" s="51"/>
      <c r="AO546" s="51"/>
      <c r="AP546" s="51"/>
      <c r="AQ546" s="51"/>
      <c r="AR546" s="51"/>
      <c r="AS546" s="51"/>
      <c r="AT546" s="51"/>
    </row>
    <row r="547" spans="1:46">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1"/>
      <c r="AE547" s="51"/>
      <c r="AF547" s="51"/>
      <c r="AG547" s="51"/>
      <c r="AH547" s="51"/>
      <c r="AI547" s="51"/>
      <c r="AJ547" s="51"/>
      <c r="AK547" s="51"/>
      <c r="AL547" s="51"/>
      <c r="AM547" s="51"/>
      <c r="AN547" s="51"/>
      <c r="AO547" s="51"/>
      <c r="AP547" s="51"/>
      <c r="AQ547" s="51"/>
      <c r="AR547" s="51"/>
      <c r="AS547" s="51"/>
      <c r="AT547" s="51"/>
    </row>
    <row r="548" spans="1:46">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c r="AF548" s="51"/>
      <c r="AG548" s="51"/>
      <c r="AH548" s="51"/>
      <c r="AI548" s="51"/>
      <c r="AJ548" s="51"/>
      <c r="AK548" s="51"/>
      <c r="AL548" s="51"/>
      <c r="AM548" s="51"/>
      <c r="AN548" s="51"/>
      <c r="AO548" s="51"/>
      <c r="AP548" s="51"/>
      <c r="AQ548" s="51"/>
      <c r="AR548" s="51"/>
      <c r="AS548" s="51"/>
      <c r="AT548" s="51"/>
    </row>
    <row r="549" spans="1:46">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c r="AA549" s="51"/>
      <c r="AB549" s="51"/>
      <c r="AC549" s="51"/>
      <c r="AD549" s="51"/>
      <c r="AE549" s="51"/>
      <c r="AF549" s="51"/>
      <c r="AG549" s="51"/>
      <c r="AH549" s="51"/>
      <c r="AI549" s="51"/>
      <c r="AJ549" s="51"/>
      <c r="AK549" s="51"/>
      <c r="AL549" s="51"/>
      <c r="AM549" s="51"/>
      <c r="AN549" s="51"/>
      <c r="AO549" s="51"/>
      <c r="AP549" s="51"/>
      <c r="AQ549" s="51"/>
      <c r="AR549" s="51"/>
      <c r="AS549" s="51"/>
      <c r="AT549" s="51"/>
    </row>
    <row r="550" spans="1:46">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c r="AE550" s="51"/>
      <c r="AF550" s="51"/>
      <c r="AG550" s="51"/>
      <c r="AH550" s="51"/>
      <c r="AI550" s="51"/>
      <c r="AJ550" s="51"/>
      <c r="AK550" s="51"/>
      <c r="AL550" s="51"/>
      <c r="AM550" s="51"/>
      <c r="AN550" s="51"/>
      <c r="AO550" s="51"/>
      <c r="AP550" s="51"/>
      <c r="AQ550" s="51"/>
      <c r="AR550" s="51"/>
      <c r="AS550" s="51"/>
      <c r="AT550" s="51"/>
    </row>
    <row r="551" spans="1:46">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c r="AA551" s="51"/>
      <c r="AB551" s="51"/>
      <c r="AC551" s="51"/>
      <c r="AD551" s="51"/>
      <c r="AE551" s="51"/>
      <c r="AF551" s="51"/>
      <c r="AG551" s="51"/>
      <c r="AH551" s="51"/>
      <c r="AI551" s="51"/>
      <c r="AJ551" s="51"/>
      <c r="AK551" s="51"/>
      <c r="AL551" s="51"/>
      <c r="AM551" s="51"/>
      <c r="AN551" s="51"/>
      <c r="AO551" s="51"/>
      <c r="AP551" s="51"/>
      <c r="AQ551" s="51"/>
      <c r="AR551" s="51"/>
      <c r="AS551" s="51"/>
      <c r="AT551" s="51"/>
    </row>
    <row r="552" spans="1:46">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c r="AA552" s="51"/>
      <c r="AB552" s="51"/>
      <c r="AC552" s="51"/>
      <c r="AD552" s="51"/>
      <c r="AE552" s="51"/>
      <c r="AF552" s="51"/>
      <c r="AG552" s="51"/>
      <c r="AH552" s="51"/>
      <c r="AI552" s="51"/>
      <c r="AJ552" s="51"/>
      <c r="AK552" s="51"/>
      <c r="AL552" s="51"/>
      <c r="AM552" s="51"/>
      <c r="AN552" s="51"/>
      <c r="AO552" s="51"/>
      <c r="AP552" s="51"/>
      <c r="AQ552" s="51"/>
      <c r="AR552" s="51"/>
      <c r="AS552" s="51"/>
      <c r="AT552" s="51"/>
    </row>
    <row r="553" spans="1:46">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1"/>
      <c r="AE553" s="51"/>
      <c r="AF553" s="51"/>
      <c r="AG553" s="51"/>
      <c r="AH553" s="51"/>
      <c r="AI553" s="51"/>
      <c r="AJ553" s="51"/>
      <c r="AK553" s="51"/>
      <c r="AL553" s="51"/>
      <c r="AM553" s="51"/>
      <c r="AN553" s="51"/>
      <c r="AO553" s="51"/>
      <c r="AP553" s="51"/>
      <c r="AQ553" s="51"/>
      <c r="AR553" s="51"/>
      <c r="AS553" s="51"/>
      <c r="AT553" s="51"/>
    </row>
    <row r="554" spans="1:46">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c r="AE554" s="51"/>
      <c r="AF554" s="51"/>
      <c r="AG554" s="51"/>
      <c r="AH554" s="51"/>
      <c r="AI554" s="51"/>
      <c r="AJ554" s="51"/>
      <c r="AK554" s="51"/>
      <c r="AL554" s="51"/>
      <c r="AM554" s="51"/>
      <c r="AN554" s="51"/>
      <c r="AO554" s="51"/>
      <c r="AP554" s="51"/>
      <c r="AQ554" s="51"/>
      <c r="AR554" s="51"/>
      <c r="AS554" s="51"/>
      <c r="AT554" s="51"/>
    </row>
    <row r="555" spans="1:46">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c r="AE555" s="51"/>
      <c r="AF555" s="51"/>
      <c r="AG555" s="51"/>
      <c r="AH555" s="51"/>
      <c r="AI555" s="51"/>
      <c r="AJ555" s="51"/>
      <c r="AK555" s="51"/>
      <c r="AL555" s="51"/>
      <c r="AM555" s="51"/>
      <c r="AN555" s="51"/>
      <c r="AO555" s="51"/>
      <c r="AP555" s="51"/>
      <c r="AQ555" s="51"/>
      <c r="AR555" s="51"/>
      <c r="AS555" s="51"/>
      <c r="AT555" s="51"/>
    </row>
    <row r="556" spans="1:46">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c r="AE556" s="51"/>
      <c r="AF556" s="51"/>
      <c r="AG556" s="51"/>
      <c r="AH556" s="51"/>
      <c r="AI556" s="51"/>
      <c r="AJ556" s="51"/>
      <c r="AK556" s="51"/>
      <c r="AL556" s="51"/>
      <c r="AM556" s="51"/>
      <c r="AN556" s="51"/>
      <c r="AO556" s="51"/>
      <c r="AP556" s="51"/>
      <c r="AQ556" s="51"/>
      <c r="AR556" s="51"/>
      <c r="AS556" s="51"/>
      <c r="AT556" s="51"/>
    </row>
    <row r="557" spans="1:46">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c r="AF557" s="51"/>
      <c r="AG557" s="51"/>
      <c r="AH557" s="51"/>
      <c r="AI557" s="51"/>
      <c r="AJ557" s="51"/>
      <c r="AK557" s="51"/>
      <c r="AL557" s="51"/>
      <c r="AM557" s="51"/>
      <c r="AN557" s="51"/>
      <c r="AO557" s="51"/>
      <c r="AP557" s="51"/>
      <c r="AQ557" s="51"/>
      <c r="AR557" s="51"/>
      <c r="AS557" s="51"/>
      <c r="AT557" s="51"/>
    </row>
    <row r="558" spans="1:46">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c r="AG558" s="51"/>
      <c r="AH558" s="51"/>
      <c r="AI558" s="51"/>
      <c r="AJ558" s="51"/>
      <c r="AK558" s="51"/>
      <c r="AL558" s="51"/>
      <c r="AM558" s="51"/>
      <c r="AN558" s="51"/>
      <c r="AO558" s="51"/>
      <c r="AP558" s="51"/>
      <c r="AQ558" s="51"/>
      <c r="AR558" s="51"/>
      <c r="AS558" s="51"/>
      <c r="AT558" s="51"/>
    </row>
    <row r="559" spans="1:46">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c r="AF559" s="51"/>
      <c r="AG559" s="51"/>
      <c r="AH559" s="51"/>
      <c r="AI559" s="51"/>
      <c r="AJ559" s="51"/>
      <c r="AK559" s="51"/>
      <c r="AL559" s="51"/>
      <c r="AM559" s="51"/>
      <c r="AN559" s="51"/>
      <c r="AO559" s="51"/>
      <c r="AP559" s="51"/>
      <c r="AQ559" s="51"/>
      <c r="AR559" s="51"/>
      <c r="AS559" s="51"/>
      <c r="AT559" s="51"/>
    </row>
    <row r="560" spans="1:46">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1"/>
      <c r="AL560" s="51"/>
      <c r="AM560" s="51"/>
      <c r="AN560" s="51"/>
      <c r="AO560" s="51"/>
      <c r="AP560" s="51"/>
      <c r="AQ560" s="51"/>
      <c r="AR560" s="51"/>
      <c r="AS560" s="51"/>
      <c r="AT560" s="51"/>
    </row>
    <row r="561" spans="1:46">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c r="AF561" s="51"/>
      <c r="AG561" s="51"/>
      <c r="AH561" s="51"/>
      <c r="AI561" s="51"/>
      <c r="AJ561" s="51"/>
      <c r="AK561" s="51"/>
      <c r="AL561" s="51"/>
      <c r="AM561" s="51"/>
      <c r="AN561" s="51"/>
      <c r="AO561" s="51"/>
      <c r="AP561" s="51"/>
      <c r="AQ561" s="51"/>
      <c r="AR561" s="51"/>
      <c r="AS561" s="51"/>
      <c r="AT561" s="51"/>
    </row>
    <row r="562" spans="1:46">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row>
    <row r="563" spans="1:46">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c r="AE563" s="51"/>
      <c r="AF563" s="51"/>
      <c r="AG563" s="51"/>
      <c r="AH563" s="51"/>
      <c r="AI563" s="51"/>
      <c r="AJ563" s="51"/>
      <c r="AK563" s="51"/>
      <c r="AL563" s="51"/>
      <c r="AM563" s="51"/>
      <c r="AN563" s="51"/>
      <c r="AO563" s="51"/>
      <c r="AP563" s="51"/>
      <c r="AQ563" s="51"/>
      <c r="AR563" s="51"/>
      <c r="AS563" s="51"/>
      <c r="AT563" s="51"/>
    </row>
    <row r="564" spans="1:46">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c r="AF564" s="51"/>
      <c r="AG564" s="51"/>
      <c r="AH564" s="51"/>
      <c r="AI564" s="51"/>
      <c r="AJ564" s="51"/>
      <c r="AK564" s="51"/>
      <c r="AL564" s="51"/>
      <c r="AM564" s="51"/>
      <c r="AN564" s="51"/>
      <c r="AO564" s="51"/>
      <c r="AP564" s="51"/>
      <c r="AQ564" s="51"/>
      <c r="AR564" s="51"/>
      <c r="AS564" s="51"/>
      <c r="AT564" s="51"/>
    </row>
    <row r="565" spans="1:46">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c r="AA565" s="51"/>
      <c r="AB565" s="51"/>
      <c r="AC565" s="51"/>
      <c r="AD565" s="51"/>
      <c r="AE565" s="51"/>
      <c r="AF565" s="51"/>
      <c r="AG565" s="51"/>
      <c r="AH565" s="51"/>
      <c r="AI565" s="51"/>
      <c r="AJ565" s="51"/>
      <c r="AK565" s="51"/>
      <c r="AL565" s="51"/>
      <c r="AM565" s="51"/>
      <c r="AN565" s="51"/>
      <c r="AO565" s="51"/>
      <c r="AP565" s="51"/>
      <c r="AQ565" s="51"/>
      <c r="AR565" s="51"/>
      <c r="AS565" s="51"/>
      <c r="AT565" s="51"/>
    </row>
    <row r="566" spans="1:46">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c r="AK566" s="51"/>
      <c r="AL566" s="51"/>
      <c r="AM566" s="51"/>
      <c r="AN566" s="51"/>
      <c r="AO566" s="51"/>
      <c r="AP566" s="51"/>
      <c r="AQ566" s="51"/>
      <c r="AR566" s="51"/>
      <c r="AS566" s="51"/>
      <c r="AT566" s="51"/>
    </row>
    <row r="567" spans="1:46">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c r="AE567" s="51"/>
      <c r="AF567" s="51"/>
      <c r="AG567" s="51"/>
      <c r="AH567" s="51"/>
      <c r="AI567" s="51"/>
      <c r="AJ567" s="51"/>
      <c r="AK567" s="51"/>
      <c r="AL567" s="51"/>
      <c r="AM567" s="51"/>
      <c r="AN567" s="51"/>
      <c r="AO567" s="51"/>
      <c r="AP567" s="51"/>
      <c r="AQ567" s="51"/>
      <c r="AR567" s="51"/>
      <c r="AS567" s="51"/>
      <c r="AT567" s="51"/>
    </row>
    <row r="568" spans="1:46">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c r="AK568" s="51"/>
      <c r="AL568" s="51"/>
      <c r="AM568" s="51"/>
      <c r="AN568" s="51"/>
      <c r="AO568" s="51"/>
      <c r="AP568" s="51"/>
      <c r="AQ568" s="51"/>
      <c r="AR568" s="51"/>
      <c r="AS568" s="51"/>
      <c r="AT568" s="51"/>
    </row>
    <row r="569" spans="1:46">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1"/>
      <c r="AK569" s="51"/>
      <c r="AL569" s="51"/>
      <c r="AM569" s="51"/>
      <c r="AN569" s="51"/>
      <c r="AO569" s="51"/>
      <c r="AP569" s="51"/>
      <c r="AQ569" s="51"/>
      <c r="AR569" s="51"/>
      <c r="AS569" s="51"/>
      <c r="AT569" s="51"/>
    </row>
    <row r="570" spans="1:46">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c r="AE570" s="51"/>
      <c r="AF570" s="51"/>
      <c r="AG570" s="51"/>
      <c r="AH570" s="51"/>
      <c r="AI570" s="51"/>
      <c r="AJ570" s="51"/>
      <c r="AK570" s="51"/>
      <c r="AL570" s="51"/>
      <c r="AM570" s="51"/>
      <c r="AN570" s="51"/>
      <c r="AO570" s="51"/>
      <c r="AP570" s="51"/>
      <c r="AQ570" s="51"/>
      <c r="AR570" s="51"/>
      <c r="AS570" s="51"/>
      <c r="AT570" s="51"/>
    </row>
    <row r="571" spans="1:46">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c r="AE571" s="51"/>
      <c r="AF571" s="51"/>
      <c r="AG571" s="51"/>
      <c r="AH571" s="51"/>
      <c r="AI571" s="51"/>
      <c r="AJ571" s="51"/>
      <c r="AK571" s="51"/>
      <c r="AL571" s="51"/>
      <c r="AM571" s="51"/>
      <c r="AN571" s="51"/>
      <c r="AO571" s="51"/>
      <c r="AP571" s="51"/>
      <c r="AQ571" s="51"/>
      <c r="AR571" s="51"/>
      <c r="AS571" s="51"/>
      <c r="AT571" s="51"/>
    </row>
    <row r="572" spans="1:46">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51"/>
      <c r="AG572" s="51"/>
      <c r="AH572" s="51"/>
      <c r="AI572" s="51"/>
      <c r="AJ572" s="51"/>
      <c r="AK572" s="51"/>
      <c r="AL572" s="51"/>
      <c r="AM572" s="51"/>
      <c r="AN572" s="51"/>
      <c r="AO572" s="51"/>
      <c r="AP572" s="51"/>
      <c r="AQ572" s="51"/>
      <c r="AR572" s="51"/>
      <c r="AS572" s="51"/>
      <c r="AT572" s="51"/>
    </row>
    <row r="573" spans="1:46">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51"/>
      <c r="AG573" s="51"/>
      <c r="AH573" s="51"/>
      <c r="AI573" s="51"/>
      <c r="AJ573" s="51"/>
      <c r="AK573" s="51"/>
      <c r="AL573" s="51"/>
      <c r="AM573" s="51"/>
      <c r="AN573" s="51"/>
      <c r="AO573" s="51"/>
      <c r="AP573" s="51"/>
      <c r="AQ573" s="51"/>
      <c r="AR573" s="51"/>
      <c r="AS573" s="51"/>
      <c r="AT573" s="51"/>
    </row>
    <row r="574" spans="1:46">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c r="AK574" s="51"/>
      <c r="AL574" s="51"/>
      <c r="AM574" s="51"/>
      <c r="AN574" s="51"/>
      <c r="AO574" s="51"/>
      <c r="AP574" s="51"/>
      <c r="AQ574" s="51"/>
      <c r="AR574" s="51"/>
      <c r="AS574" s="51"/>
      <c r="AT574" s="51"/>
    </row>
    <row r="575" spans="1:46">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c r="AG575" s="51"/>
      <c r="AH575" s="51"/>
      <c r="AI575" s="51"/>
      <c r="AJ575" s="51"/>
      <c r="AK575" s="51"/>
      <c r="AL575" s="51"/>
      <c r="AM575" s="51"/>
      <c r="AN575" s="51"/>
      <c r="AO575" s="51"/>
      <c r="AP575" s="51"/>
      <c r="AQ575" s="51"/>
      <c r="AR575" s="51"/>
      <c r="AS575" s="51"/>
      <c r="AT575" s="51"/>
    </row>
    <row r="576" spans="1:46">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c r="AK576" s="51"/>
      <c r="AL576" s="51"/>
      <c r="AM576" s="51"/>
      <c r="AN576" s="51"/>
      <c r="AO576" s="51"/>
      <c r="AP576" s="51"/>
      <c r="AQ576" s="51"/>
      <c r="AR576" s="51"/>
      <c r="AS576" s="51"/>
      <c r="AT576" s="51"/>
    </row>
    <row r="577" spans="1:46">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c r="AK577" s="51"/>
      <c r="AL577" s="51"/>
      <c r="AM577" s="51"/>
      <c r="AN577" s="51"/>
      <c r="AO577" s="51"/>
      <c r="AP577" s="51"/>
      <c r="AQ577" s="51"/>
      <c r="AR577" s="51"/>
      <c r="AS577" s="51"/>
      <c r="AT577" s="51"/>
    </row>
    <row r="578" spans="1:46">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c r="AK578" s="51"/>
      <c r="AL578" s="51"/>
      <c r="AM578" s="51"/>
      <c r="AN578" s="51"/>
      <c r="AO578" s="51"/>
      <c r="AP578" s="51"/>
      <c r="AQ578" s="51"/>
      <c r="AR578" s="51"/>
      <c r="AS578" s="51"/>
      <c r="AT578" s="51"/>
    </row>
    <row r="579" spans="1:46">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c r="AK579" s="51"/>
      <c r="AL579" s="51"/>
      <c r="AM579" s="51"/>
      <c r="AN579" s="51"/>
      <c r="AO579" s="51"/>
      <c r="AP579" s="51"/>
      <c r="AQ579" s="51"/>
      <c r="AR579" s="51"/>
      <c r="AS579" s="51"/>
      <c r="AT579" s="51"/>
    </row>
    <row r="580" spans="1:46">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c r="AK580" s="51"/>
      <c r="AL580" s="51"/>
      <c r="AM580" s="51"/>
      <c r="AN580" s="51"/>
      <c r="AO580" s="51"/>
      <c r="AP580" s="51"/>
      <c r="AQ580" s="51"/>
      <c r="AR580" s="51"/>
      <c r="AS580" s="51"/>
      <c r="AT580" s="51"/>
    </row>
    <row r="581" spans="1:46">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c r="AG581" s="51"/>
      <c r="AH581" s="51"/>
      <c r="AI581" s="51"/>
      <c r="AJ581" s="51"/>
      <c r="AK581" s="51"/>
      <c r="AL581" s="51"/>
      <c r="AM581" s="51"/>
      <c r="AN581" s="51"/>
      <c r="AO581" s="51"/>
      <c r="AP581" s="51"/>
      <c r="AQ581" s="51"/>
      <c r="AR581" s="51"/>
      <c r="AS581" s="51"/>
      <c r="AT581" s="51"/>
    </row>
    <row r="582" spans="1:46">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c r="AK582" s="51"/>
      <c r="AL582" s="51"/>
      <c r="AM582" s="51"/>
      <c r="AN582" s="51"/>
      <c r="AO582" s="51"/>
      <c r="AP582" s="51"/>
      <c r="AQ582" s="51"/>
      <c r="AR582" s="51"/>
      <c r="AS582" s="51"/>
      <c r="AT582" s="51"/>
    </row>
    <row r="583" spans="1:46">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c r="AK583" s="51"/>
      <c r="AL583" s="51"/>
      <c r="AM583" s="51"/>
      <c r="AN583" s="51"/>
      <c r="AO583" s="51"/>
      <c r="AP583" s="51"/>
      <c r="AQ583" s="51"/>
      <c r="AR583" s="51"/>
      <c r="AS583" s="51"/>
      <c r="AT583" s="51"/>
    </row>
    <row r="584" spans="1:46">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c r="AK584" s="51"/>
      <c r="AL584" s="51"/>
      <c r="AM584" s="51"/>
      <c r="AN584" s="51"/>
      <c r="AO584" s="51"/>
      <c r="AP584" s="51"/>
      <c r="AQ584" s="51"/>
      <c r="AR584" s="51"/>
      <c r="AS584" s="51"/>
      <c r="AT584" s="51"/>
    </row>
    <row r="585" spans="1:46">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c r="AK585" s="51"/>
      <c r="AL585" s="51"/>
      <c r="AM585" s="51"/>
      <c r="AN585" s="51"/>
      <c r="AO585" s="51"/>
      <c r="AP585" s="51"/>
      <c r="AQ585" s="51"/>
      <c r="AR585" s="51"/>
      <c r="AS585" s="51"/>
      <c r="AT585" s="51"/>
    </row>
    <row r="586" spans="1:46">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c r="AK586" s="51"/>
      <c r="AL586" s="51"/>
      <c r="AM586" s="51"/>
      <c r="AN586" s="51"/>
      <c r="AO586" s="51"/>
      <c r="AP586" s="51"/>
      <c r="AQ586" s="51"/>
      <c r="AR586" s="51"/>
      <c r="AS586" s="51"/>
      <c r="AT586" s="51"/>
    </row>
    <row r="587" spans="1:46">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c r="AG587" s="51"/>
      <c r="AH587" s="51"/>
      <c r="AI587" s="51"/>
      <c r="AJ587" s="51"/>
      <c r="AK587" s="51"/>
      <c r="AL587" s="51"/>
      <c r="AM587" s="51"/>
      <c r="AN587" s="51"/>
      <c r="AO587" s="51"/>
      <c r="AP587" s="51"/>
      <c r="AQ587" s="51"/>
      <c r="AR587" s="51"/>
      <c r="AS587" s="51"/>
      <c r="AT587" s="51"/>
    </row>
    <row r="588" spans="1:46">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c r="AK588" s="51"/>
      <c r="AL588" s="51"/>
      <c r="AM588" s="51"/>
      <c r="AN588" s="51"/>
      <c r="AO588" s="51"/>
      <c r="AP588" s="51"/>
      <c r="AQ588" s="51"/>
      <c r="AR588" s="51"/>
      <c r="AS588" s="51"/>
      <c r="AT588" s="51"/>
    </row>
    <row r="589" spans="1:46">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c r="AK589" s="51"/>
      <c r="AL589" s="51"/>
      <c r="AM589" s="51"/>
      <c r="AN589" s="51"/>
      <c r="AO589" s="51"/>
      <c r="AP589" s="51"/>
      <c r="AQ589" s="51"/>
      <c r="AR589" s="51"/>
      <c r="AS589" s="51"/>
      <c r="AT589" s="51"/>
    </row>
    <row r="590" spans="1:46">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c r="AF590" s="51"/>
      <c r="AG590" s="51"/>
      <c r="AH590" s="51"/>
      <c r="AI590" s="51"/>
      <c r="AJ590" s="51"/>
      <c r="AK590" s="51"/>
      <c r="AL590" s="51"/>
      <c r="AM590" s="51"/>
      <c r="AN590" s="51"/>
      <c r="AO590" s="51"/>
      <c r="AP590" s="51"/>
      <c r="AQ590" s="51"/>
      <c r="AR590" s="51"/>
      <c r="AS590" s="51"/>
      <c r="AT590" s="51"/>
    </row>
    <row r="591" spans="1:46">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c r="AG591" s="51"/>
      <c r="AH591" s="51"/>
      <c r="AI591" s="51"/>
      <c r="AJ591" s="51"/>
      <c r="AK591" s="51"/>
      <c r="AL591" s="51"/>
      <c r="AM591" s="51"/>
      <c r="AN591" s="51"/>
      <c r="AO591" s="51"/>
      <c r="AP591" s="51"/>
      <c r="AQ591" s="51"/>
      <c r="AR591" s="51"/>
      <c r="AS591" s="51"/>
      <c r="AT591" s="51"/>
    </row>
    <row r="592" spans="1:46">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c r="AG592" s="51"/>
      <c r="AH592" s="51"/>
      <c r="AI592" s="51"/>
      <c r="AJ592" s="51"/>
      <c r="AK592" s="51"/>
      <c r="AL592" s="51"/>
      <c r="AM592" s="51"/>
      <c r="AN592" s="51"/>
      <c r="AO592" s="51"/>
      <c r="AP592" s="51"/>
      <c r="AQ592" s="51"/>
      <c r="AR592" s="51"/>
      <c r="AS592" s="51"/>
      <c r="AT592" s="51"/>
    </row>
    <row r="593" spans="1:46">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51"/>
      <c r="AK593" s="51"/>
      <c r="AL593" s="51"/>
      <c r="AM593" s="51"/>
      <c r="AN593" s="51"/>
      <c r="AO593" s="51"/>
      <c r="AP593" s="51"/>
      <c r="AQ593" s="51"/>
      <c r="AR593" s="51"/>
      <c r="AS593" s="51"/>
      <c r="AT593" s="51"/>
    </row>
    <row r="594" spans="1:46">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c r="AK594" s="51"/>
      <c r="AL594" s="51"/>
      <c r="AM594" s="51"/>
      <c r="AN594" s="51"/>
      <c r="AO594" s="51"/>
      <c r="AP594" s="51"/>
      <c r="AQ594" s="51"/>
      <c r="AR594" s="51"/>
      <c r="AS594" s="51"/>
      <c r="AT594" s="51"/>
    </row>
    <row r="595" spans="1:46">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c r="AK595" s="51"/>
      <c r="AL595" s="51"/>
      <c r="AM595" s="51"/>
      <c r="AN595" s="51"/>
      <c r="AO595" s="51"/>
      <c r="AP595" s="51"/>
      <c r="AQ595" s="51"/>
      <c r="AR595" s="51"/>
      <c r="AS595" s="51"/>
      <c r="AT595" s="51"/>
    </row>
    <row r="596" spans="1:46">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c r="AK596" s="51"/>
      <c r="AL596" s="51"/>
      <c r="AM596" s="51"/>
      <c r="AN596" s="51"/>
      <c r="AO596" s="51"/>
      <c r="AP596" s="51"/>
      <c r="AQ596" s="51"/>
      <c r="AR596" s="51"/>
      <c r="AS596" s="51"/>
      <c r="AT596" s="51"/>
    </row>
    <row r="597" spans="1:46">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c r="AG597" s="51"/>
      <c r="AH597" s="51"/>
      <c r="AI597" s="51"/>
      <c r="AJ597" s="51"/>
      <c r="AK597" s="51"/>
      <c r="AL597" s="51"/>
      <c r="AM597" s="51"/>
      <c r="AN597" s="51"/>
      <c r="AO597" s="51"/>
      <c r="AP597" s="51"/>
      <c r="AQ597" s="51"/>
      <c r="AR597" s="51"/>
      <c r="AS597" s="51"/>
      <c r="AT597" s="51"/>
    </row>
    <row r="598" spans="1:46">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c r="AE598" s="51"/>
      <c r="AF598" s="51"/>
      <c r="AG598" s="51"/>
      <c r="AH598" s="51"/>
      <c r="AI598" s="51"/>
      <c r="AJ598" s="51"/>
      <c r="AK598" s="51"/>
      <c r="AL598" s="51"/>
      <c r="AM598" s="51"/>
      <c r="AN598" s="51"/>
      <c r="AO598" s="51"/>
      <c r="AP598" s="51"/>
      <c r="AQ598" s="51"/>
      <c r="AR598" s="51"/>
      <c r="AS598" s="51"/>
      <c r="AT598" s="51"/>
    </row>
    <row r="599" spans="1:46">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c r="AK599" s="51"/>
      <c r="AL599" s="51"/>
      <c r="AM599" s="51"/>
      <c r="AN599" s="51"/>
      <c r="AO599" s="51"/>
      <c r="AP599" s="51"/>
      <c r="AQ599" s="51"/>
      <c r="AR599" s="51"/>
      <c r="AS599" s="51"/>
      <c r="AT599" s="51"/>
    </row>
    <row r="600" spans="1:46">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c r="AK600" s="51"/>
      <c r="AL600" s="51"/>
      <c r="AM600" s="51"/>
      <c r="AN600" s="51"/>
      <c r="AO600" s="51"/>
      <c r="AP600" s="51"/>
      <c r="AQ600" s="51"/>
      <c r="AR600" s="51"/>
      <c r="AS600" s="51"/>
      <c r="AT600" s="51"/>
    </row>
    <row r="601" spans="1:46">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row>
    <row r="602" spans="1:46">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c r="AG602" s="51"/>
      <c r="AH602" s="51"/>
      <c r="AI602" s="51"/>
      <c r="AJ602" s="51"/>
      <c r="AK602" s="51"/>
      <c r="AL602" s="51"/>
      <c r="AM602" s="51"/>
      <c r="AN602" s="51"/>
      <c r="AO602" s="51"/>
      <c r="AP602" s="51"/>
      <c r="AQ602" s="51"/>
      <c r="AR602" s="51"/>
      <c r="AS602" s="51"/>
      <c r="AT602" s="51"/>
    </row>
    <row r="603" spans="1:46">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c r="AH603" s="51"/>
      <c r="AI603" s="51"/>
      <c r="AJ603" s="51"/>
      <c r="AK603" s="51"/>
      <c r="AL603" s="51"/>
      <c r="AM603" s="51"/>
      <c r="AN603" s="51"/>
      <c r="AO603" s="51"/>
      <c r="AP603" s="51"/>
      <c r="AQ603" s="51"/>
      <c r="AR603" s="51"/>
      <c r="AS603" s="51"/>
      <c r="AT603" s="51"/>
    </row>
    <row r="604" spans="1:46">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c r="AE604" s="51"/>
      <c r="AF604" s="51"/>
      <c r="AG604" s="51"/>
      <c r="AH604" s="51"/>
      <c r="AI604" s="51"/>
      <c r="AJ604" s="51"/>
      <c r="AK604" s="51"/>
      <c r="AL604" s="51"/>
      <c r="AM604" s="51"/>
      <c r="AN604" s="51"/>
      <c r="AO604" s="51"/>
      <c r="AP604" s="51"/>
      <c r="AQ604" s="51"/>
      <c r="AR604" s="51"/>
      <c r="AS604" s="51"/>
      <c r="AT604" s="51"/>
    </row>
    <row r="605" spans="1:46">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c r="AF605" s="51"/>
      <c r="AG605" s="51"/>
      <c r="AH605" s="51"/>
      <c r="AI605" s="51"/>
      <c r="AJ605" s="51"/>
      <c r="AK605" s="51"/>
      <c r="AL605" s="51"/>
      <c r="AM605" s="51"/>
      <c r="AN605" s="51"/>
      <c r="AO605" s="51"/>
      <c r="AP605" s="51"/>
      <c r="AQ605" s="51"/>
      <c r="AR605" s="51"/>
      <c r="AS605" s="51"/>
      <c r="AT605" s="51"/>
    </row>
    <row r="606" spans="1:46">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c r="AG606" s="51"/>
      <c r="AH606" s="51"/>
      <c r="AI606" s="51"/>
      <c r="AJ606" s="51"/>
      <c r="AK606" s="51"/>
      <c r="AL606" s="51"/>
      <c r="AM606" s="51"/>
      <c r="AN606" s="51"/>
      <c r="AO606" s="51"/>
      <c r="AP606" s="51"/>
      <c r="AQ606" s="51"/>
      <c r="AR606" s="51"/>
      <c r="AS606" s="51"/>
      <c r="AT606" s="51"/>
    </row>
    <row r="607" spans="1:46">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c r="AK607" s="51"/>
      <c r="AL607" s="51"/>
      <c r="AM607" s="51"/>
      <c r="AN607" s="51"/>
      <c r="AO607" s="51"/>
      <c r="AP607" s="51"/>
      <c r="AQ607" s="51"/>
      <c r="AR607" s="51"/>
      <c r="AS607" s="51"/>
      <c r="AT607" s="51"/>
    </row>
    <row r="608" spans="1:46">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c r="AK608" s="51"/>
      <c r="AL608" s="51"/>
      <c r="AM608" s="51"/>
      <c r="AN608" s="51"/>
      <c r="AO608" s="51"/>
      <c r="AP608" s="51"/>
      <c r="AQ608" s="51"/>
      <c r="AR608" s="51"/>
      <c r="AS608" s="51"/>
      <c r="AT608" s="51"/>
    </row>
    <row r="609" spans="1:46">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c r="AK609" s="51"/>
      <c r="AL609" s="51"/>
      <c r="AM609" s="51"/>
      <c r="AN609" s="51"/>
      <c r="AO609" s="51"/>
      <c r="AP609" s="51"/>
      <c r="AQ609" s="51"/>
      <c r="AR609" s="51"/>
      <c r="AS609" s="51"/>
      <c r="AT609" s="51"/>
    </row>
    <row r="610" spans="1:46">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1"/>
      <c r="AK610" s="51"/>
      <c r="AL610" s="51"/>
      <c r="AM610" s="51"/>
      <c r="AN610" s="51"/>
      <c r="AO610" s="51"/>
      <c r="AP610" s="51"/>
      <c r="AQ610" s="51"/>
      <c r="AR610" s="51"/>
      <c r="AS610" s="51"/>
      <c r="AT610" s="51"/>
    </row>
    <row r="611" spans="1:46">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c r="AH611" s="51"/>
      <c r="AI611" s="51"/>
      <c r="AJ611" s="51"/>
      <c r="AK611" s="51"/>
      <c r="AL611" s="51"/>
      <c r="AM611" s="51"/>
      <c r="AN611" s="51"/>
      <c r="AO611" s="51"/>
      <c r="AP611" s="51"/>
      <c r="AQ611" s="51"/>
      <c r="AR611" s="51"/>
      <c r="AS611" s="51"/>
      <c r="AT611" s="51"/>
    </row>
    <row r="612" spans="1:46">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c r="AK612" s="51"/>
      <c r="AL612" s="51"/>
      <c r="AM612" s="51"/>
      <c r="AN612" s="51"/>
      <c r="AO612" s="51"/>
      <c r="AP612" s="51"/>
      <c r="AQ612" s="51"/>
      <c r="AR612" s="51"/>
      <c r="AS612" s="51"/>
      <c r="AT612" s="51"/>
    </row>
    <row r="613" spans="1:46">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c r="AG613" s="51"/>
      <c r="AH613" s="51"/>
      <c r="AI613" s="51"/>
      <c r="AJ613" s="51"/>
      <c r="AK613" s="51"/>
      <c r="AL613" s="51"/>
      <c r="AM613" s="51"/>
      <c r="AN613" s="51"/>
      <c r="AO613" s="51"/>
      <c r="AP613" s="51"/>
      <c r="AQ613" s="51"/>
      <c r="AR613" s="51"/>
      <c r="AS613" s="51"/>
      <c r="AT613" s="51"/>
    </row>
    <row r="614" spans="1:46">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c r="AK614" s="51"/>
      <c r="AL614" s="51"/>
      <c r="AM614" s="51"/>
      <c r="AN614" s="51"/>
      <c r="AO614" s="51"/>
      <c r="AP614" s="51"/>
      <c r="AQ614" s="51"/>
      <c r="AR614" s="51"/>
      <c r="AS614" s="51"/>
      <c r="AT614" s="51"/>
    </row>
    <row r="615" spans="1:46">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c r="AE615" s="51"/>
      <c r="AF615" s="51"/>
      <c r="AG615" s="51"/>
      <c r="AH615" s="51"/>
      <c r="AI615" s="51"/>
      <c r="AJ615" s="51"/>
      <c r="AK615" s="51"/>
      <c r="AL615" s="51"/>
      <c r="AM615" s="51"/>
      <c r="AN615" s="51"/>
      <c r="AO615" s="51"/>
      <c r="AP615" s="51"/>
      <c r="AQ615" s="51"/>
      <c r="AR615" s="51"/>
      <c r="AS615" s="51"/>
      <c r="AT615" s="51"/>
    </row>
    <row r="616" spans="1:46">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c r="AF616" s="51"/>
      <c r="AG616" s="51"/>
      <c r="AH616" s="51"/>
      <c r="AI616" s="51"/>
      <c r="AJ616" s="51"/>
      <c r="AK616" s="51"/>
      <c r="AL616" s="51"/>
      <c r="AM616" s="51"/>
      <c r="AN616" s="51"/>
      <c r="AO616" s="51"/>
      <c r="AP616" s="51"/>
      <c r="AQ616" s="51"/>
      <c r="AR616" s="51"/>
      <c r="AS616" s="51"/>
      <c r="AT616" s="51"/>
    </row>
    <row r="617" spans="1:46">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c r="AG617" s="51"/>
      <c r="AH617" s="51"/>
      <c r="AI617" s="51"/>
      <c r="AJ617" s="51"/>
      <c r="AK617" s="51"/>
      <c r="AL617" s="51"/>
      <c r="AM617" s="51"/>
      <c r="AN617" s="51"/>
      <c r="AO617" s="51"/>
      <c r="AP617" s="51"/>
      <c r="AQ617" s="51"/>
      <c r="AR617" s="51"/>
      <c r="AS617" s="51"/>
      <c r="AT617" s="51"/>
    </row>
    <row r="618" spans="1:46">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c r="AG618" s="51"/>
      <c r="AH618" s="51"/>
      <c r="AI618" s="51"/>
      <c r="AJ618" s="51"/>
      <c r="AK618" s="51"/>
      <c r="AL618" s="51"/>
      <c r="AM618" s="51"/>
      <c r="AN618" s="51"/>
      <c r="AO618" s="51"/>
      <c r="AP618" s="51"/>
      <c r="AQ618" s="51"/>
      <c r="AR618" s="51"/>
      <c r="AS618" s="51"/>
      <c r="AT618" s="51"/>
    </row>
    <row r="619" spans="1:46">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c r="AF619" s="51"/>
      <c r="AG619" s="51"/>
      <c r="AH619" s="51"/>
      <c r="AI619" s="51"/>
      <c r="AJ619" s="51"/>
      <c r="AK619" s="51"/>
      <c r="AL619" s="51"/>
      <c r="AM619" s="51"/>
      <c r="AN619" s="51"/>
      <c r="AO619" s="51"/>
      <c r="AP619" s="51"/>
      <c r="AQ619" s="51"/>
      <c r="AR619" s="51"/>
      <c r="AS619" s="51"/>
      <c r="AT619" s="51"/>
    </row>
    <row r="620" spans="1:46">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c r="AN620" s="51"/>
      <c r="AO620" s="51"/>
      <c r="AP620" s="51"/>
      <c r="AQ620" s="51"/>
      <c r="AR620" s="51"/>
      <c r="AS620" s="51"/>
      <c r="AT620" s="51"/>
    </row>
    <row r="621" spans="1:46">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c r="AN621" s="51"/>
      <c r="AO621" s="51"/>
      <c r="AP621" s="51"/>
      <c r="AQ621" s="51"/>
      <c r="AR621" s="51"/>
      <c r="AS621" s="51"/>
      <c r="AT621" s="51"/>
    </row>
    <row r="622" spans="1:46">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row>
    <row r="623" spans="1:46">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c r="AG623" s="51"/>
      <c r="AH623" s="51"/>
      <c r="AI623" s="51"/>
      <c r="AJ623" s="51"/>
      <c r="AK623" s="51"/>
      <c r="AL623" s="51"/>
      <c r="AM623" s="51"/>
      <c r="AN623" s="51"/>
      <c r="AO623" s="51"/>
      <c r="AP623" s="51"/>
      <c r="AQ623" s="51"/>
      <c r="AR623" s="51"/>
      <c r="AS623" s="51"/>
      <c r="AT623" s="51"/>
    </row>
    <row r="624" spans="1:46">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c r="AG624" s="51"/>
      <c r="AH624" s="51"/>
      <c r="AI624" s="51"/>
      <c r="AJ624" s="51"/>
      <c r="AK624" s="51"/>
      <c r="AL624" s="51"/>
      <c r="AM624" s="51"/>
      <c r="AN624" s="51"/>
      <c r="AO624" s="51"/>
      <c r="AP624" s="51"/>
      <c r="AQ624" s="51"/>
      <c r="AR624" s="51"/>
      <c r="AS624" s="51"/>
      <c r="AT624" s="51"/>
    </row>
    <row r="625" spans="1:46">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c r="AK625" s="51"/>
      <c r="AL625" s="51"/>
      <c r="AM625" s="51"/>
      <c r="AN625" s="51"/>
      <c r="AO625" s="51"/>
      <c r="AP625" s="51"/>
      <c r="AQ625" s="51"/>
      <c r="AR625" s="51"/>
      <c r="AS625" s="51"/>
      <c r="AT625" s="51"/>
    </row>
    <row r="626" spans="1:46">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c r="AK626" s="51"/>
      <c r="AL626" s="51"/>
      <c r="AM626" s="51"/>
      <c r="AN626" s="51"/>
      <c r="AO626" s="51"/>
      <c r="AP626" s="51"/>
      <c r="AQ626" s="51"/>
      <c r="AR626" s="51"/>
      <c r="AS626" s="51"/>
      <c r="AT626" s="51"/>
    </row>
    <row r="627" spans="1:46">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c r="AB627" s="51"/>
      <c r="AC627" s="51"/>
      <c r="AD627" s="51"/>
      <c r="AE627" s="51"/>
      <c r="AF627" s="51"/>
      <c r="AG627" s="51"/>
      <c r="AH627" s="51"/>
      <c r="AI627" s="51"/>
      <c r="AJ627" s="51"/>
      <c r="AK627" s="51"/>
      <c r="AL627" s="51"/>
      <c r="AM627" s="51"/>
      <c r="AN627" s="51"/>
      <c r="AO627" s="51"/>
      <c r="AP627" s="51"/>
      <c r="AQ627" s="51"/>
      <c r="AR627" s="51"/>
      <c r="AS627" s="51"/>
      <c r="AT627" s="51"/>
    </row>
    <row r="628" spans="1:46">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c r="AK628" s="51"/>
      <c r="AL628" s="51"/>
      <c r="AM628" s="51"/>
      <c r="AN628" s="51"/>
      <c r="AO628" s="51"/>
      <c r="AP628" s="51"/>
      <c r="AQ628" s="51"/>
      <c r="AR628" s="51"/>
      <c r="AS628" s="51"/>
      <c r="AT628" s="51"/>
    </row>
    <row r="629" spans="1:46">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row>
    <row r="630" spans="1:46">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c r="AJ630" s="51"/>
      <c r="AK630" s="51"/>
      <c r="AL630" s="51"/>
      <c r="AM630" s="51"/>
      <c r="AN630" s="51"/>
      <c r="AO630" s="51"/>
      <c r="AP630" s="51"/>
      <c r="AQ630" s="51"/>
      <c r="AR630" s="51"/>
      <c r="AS630" s="51"/>
      <c r="AT630" s="51"/>
    </row>
    <row r="631" spans="1:46">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c r="AF631" s="51"/>
      <c r="AG631" s="51"/>
      <c r="AH631" s="51"/>
      <c r="AI631" s="51"/>
      <c r="AJ631" s="51"/>
      <c r="AK631" s="51"/>
      <c r="AL631" s="51"/>
      <c r="AM631" s="51"/>
      <c r="AN631" s="51"/>
      <c r="AO631" s="51"/>
      <c r="AP631" s="51"/>
      <c r="AQ631" s="51"/>
      <c r="AR631" s="51"/>
      <c r="AS631" s="51"/>
      <c r="AT631" s="51"/>
    </row>
    <row r="632" spans="1:46">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c r="AJ632" s="51"/>
      <c r="AK632" s="51"/>
      <c r="AL632" s="51"/>
      <c r="AM632" s="51"/>
      <c r="AN632" s="51"/>
      <c r="AO632" s="51"/>
      <c r="AP632" s="51"/>
      <c r="AQ632" s="51"/>
      <c r="AR632" s="51"/>
      <c r="AS632" s="51"/>
      <c r="AT632" s="51"/>
    </row>
    <row r="633" spans="1:46">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c r="AJ633" s="51"/>
      <c r="AK633" s="51"/>
      <c r="AL633" s="51"/>
      <c r="AM633" s="51"/>
      <c r="AN633" s="51"/>
      <c r="AO633" s="51"/>
      <c r="AP633" s="51"/>
      <c r="AQ633" s="51"/>
      <c r="AR633" s="51"/>
      <c r="AS633" s="51"/>
      <c r="AT633" s="51"/>
    </row>
    <row r="634" spans="1:46">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c r="AF634" s="51"/>
      <c r="AG634" s="51"/>
      <c r="AH634" s="51"/>
      <c r="AI634" s="51"/>
      <c r="AJ634" s="51"/>
      <c r="AK634" s="51"/>
      <c r="AL634" s="51"/>
      <c r="AM634" s="51"/>
      <c r="AN634" s="51"/>
      <c r="AO634" s="51"/>
      <c r="AP634" s="51"/>
      <c r="AQ634" s="51"/>
      <c r="AR634" s="51"/>
      <c r="AS634" s="51"/>
      <c r="AT634" s="51"/>
    </row>
    <row r="635" spans="1:46">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c r="AE635" s="51"/>
      <c r="AF635" s="51"/>
      <c r="AG635" s="51"/>
      <c r="AH635" s="51"/>
      <c r="AI635" s="51"/>
      <c r="AJ635" s="51"/>
      <c r="AK635" s="51"/>
      <c r="AL635" s="51"/>
      <c r="AM635" s="51"/>
      <c r="AN635" s="51"/>
      <c r="AO635" s="51"/>
      <c r="AP635" s="51"/>
      <c r="AQ635" s="51"/>
      <c r="AR635" s="51"/>
      <c r="AS635" s="51"/>
      <c r="AT635" s="51"/>
    </row>
    <row r="636" spans="1:46">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c r="AJ636" s="51"/>
      <c r="AK636" s="51"/>
      <c r="AL636" s="51"/>
      <c r="AM636" s="51"/>
      <c r="AN636" s="51"/>
      <c r="AO636" s="51"/>
      <c r="AP636" s="51"/>
      <c r="AQ636" s="51"/>
      <c r="AR636" s="51"/>
      <c r="AS636" s="51"/>
      <c r="AT636" s="51"/>
    </row>
    <row r="637" spans="1:46">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c r="AF637" s="51"/>
      <c r="AG637" s="51"/>
      <c r="AH637" s="51"/>
      <c r="AI637" s="51"/>
      <c r="AJ637" s="51"/>
      <c r="AK637" s="51"/>
      <c r="AL637" s="51"/>
      <c r="AM637" s="51"/>
      <c r="AN637" s="51"/>
      <c r="AO637" s="51"/>
      <c r="AP637" s="51"/>
      <c r="AQ637" s="51"/>
      <c r="AR637" s="51"/>
      <c r="AS637" s="51"/>
      <c r="AT637" s="51"/>
    </row>
    <row r="638" spans="1:46">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c r="AJ638" s="51"/>
      <c r="AK638" s="51"/>
      <c r="AL638" s="51"/>
      <c r="AM638" s="51"/>
      <c r="AN638" s="51"/>
      <c r="AO638" s="51"/>
      <c r="AP638" s="51"/>
      <c r="AQ638" s="51"/>
      <c r="AR638" s="51"/>
      <c r="AS638" s="51"/>
      <c r="AT638" s="51"/>
    </row>
    <row r="639" spans="1:46">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c r="AF639" s="51"/>
      <c r="AG639" s="51"/>
      <c r="AH639" s="51"/>
      <c r="AI639" s="51"/>
      <c r="AJ639" s="51"/>
      <c r="AK639" s="51"/>
      <c r="AL639" s="51"/>
      <c r="AM639" s="51"/>
      <c r="AN639" s="51"/>
      <c r="AO639" s="51"/>
      <c r="AP639" s="51"/>
      <c r="AQ639" s="51"/>
      <c r="AR639" s="51"/>
      <c r="AS639" s="51"/>
      <c r="AT639" s="51"/>
    </row>
    <row r="640" spans="1:46">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c r="AK640" s="51"/>
      <c r="AL640" s="51"/>
      <c r="AM640" s="51"/>
      <c r="AN640" s="51"/>
      <c r="AO640" s="51"/>
      <c r="AP640" s="51"/>
      <c r="AQ640" s="51"/>
      <c r="AR640" s="51"/>
      <c r="AS640" s="51"/>
      <c r="AT640" s="51"/>
    </row>
    <row r="641" spans="1:46">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c r="AK641" s="51"/>
      <c r="AL641" s="51"/>
      <c r="AM641" s="51"/>
      <c r="AN641" s="51"/>
      <c r="AO641" s="51"/>
      <c r="AP641" s="51"/>
      <c r="AQ641" s="51"/>
      <c r="AR641" s="51"/>
      <c r="AS641" s="51"/>
      <c r="AT641" s="51"/>
    </row>
    <row r="642" spans="1:46">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c r="AN642" s="51"/>
      <c r="AO642" s="51"/>
      <c r="AP642" s="51"/>
      <c r="AQ642" s="51"/>
      <c r="AR642" s="51"/>
      <c r="AS642" s="51"/>
      <c r="AT642" s="51"/>
    </row>
    <row r="643" spans="1:46">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c r="AK643" s="51"/>
      <c r="AL643" s="51"/>
      <c r="AM643" s="51"/>
      <c r="AN643" s="51"/>
      <c r="AO643" s="51"/>
      <c r="AP643" s="51"/>
      <c r="AQ643" s="51"/>
      <c r="AR643" s="51"/>
      <c r="AS643" s="51"/>
      <c r="AT643" s="51"/>
    </row>
    <row r="644" spans="1:46">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c r="AN644" s="51"/>
      <c r="AO644" s="51"/>
      <c r="AP644" s="51"/>
      <c r="AQ644" s="51"/>
      <c r="AR644" s="51"/>
      <c r="AS644" s="51"/>
      <c r="AT644" s="51"/>
    </row>
    <row r="645" spans="1:46">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c r="AK645" s="51"/>
      <c r="AL645" s="51"/>
      <c r="AM645" s="51"/>
      <c r="AN645" s="51"/>
      <c r="AO645" s="51"/>
      <c r="AP645" s="51"/>
      <c r="AQ645" s="51"/>
      <c r="AR645" s="51"/>
      <c r="AS645" s="51"/>
      <c r="AT645" s="51"/>
    </row>
    <row r="646" spans="1:46">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c r="AN646" s="51"/>
      <c r="AO646" s="51"/>
      <c r="AP646" s="51"/>
      <c r="AQ646" s="51"/>
      <c r="AR646" s="51"/>
      <c r="AS646" s="51"/>
      <c r="AT646" s="51"/>
    </row>
    <row r="647" spans="1:46">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c r="AK647" s="51"/>
      <c r="AL647" s="51"/>
      <c r="AM647" s="51"/>
      <c r="AN647" s="51"/>
      <c r="AO647" s="51"/>
      <c r="AP647" s="51"/>
      <c r="AQ647" s="51"/>
      <c r="AR647" s="51"/>
      <c r="AS647" s="51"/>
      <c r="AT647" s="51"/>
    </row>
    <row r="648" spans="1:46">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c r="AJ648" s="51"/>
      <c r="AK648" s="51"/>
      <c r="AL648" s="51"/>
      <c r="AM648" s="51"/>
      <c r="AN648" s="51"/>
      <c r="AO648" s="51"/>
      <c r="AP648" s="51"/>
      <c r="AQ648" s="51"/>
      <c r="AR648" s="51"/>
      <c r="AS648" s="51"/>
      <c r="AT648" s="51"/>
    </row>
    <row r="649" spans="1:46">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c r="AJ649" s="51"/>
      <c r="AK649" s="51"/>
      <c r="AL649" s="51"/>
      <c r="AM649" s="51"/>
      <c r="AN649" s="51"/>
      <c r="AO649" s="51"/>
      <c r="AP649" s="51"/>
      <c r="AQ649" s="51"/>
      <c r="AR649" s="51"/>
      <c r="AS649" s="51"/>
      <c r="AT649" s="51"/>
    </row>
    <row r="650" spans="1:46">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c r="AJ650" s="51"/>
      <c r="AK650" s="51"/>
      <c r="AL650" s="51"/>
      <c r="AM650" s="51"/>
      <c r="AN650" s="51"/>
      <c r="AO650" s="51"/>
      <c r="AP650" s="51"/>
      <c r="AQ650" s="51"/>
      <c r="AR650" s="51"/>
      <c r="AS650" s="51"/>
      <c r="AT650" s="51"/>
    </row>
    <row r="651" spans="1:46">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c r="AF651" s="51"/>
      <c r="AG651" s="51"/>
      <c r="AH651" s="51"/>
      <c r="AI651" s="51"/>
      <c r="AJ651" s="51"/>
      <c r="AK651" s="51"/>
      <c r="AL651" s="51"/>
      <c r="AM651" s="51"/>
      <c r="AN651" s="51"/>
      <c r="AO651" s="51"/>
      <c r="AP651" s="51"/>
      <c r="AQ651" s="51"/>
      <c r="AR651" s="51"/>
      <c r="AS651" s="51"/>
      <c r="AT651" s="51"/>
    </row>
    <row r="652" spans="1:46">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c r="AJ652" s="51"/>
      <c r="AK652" s="51"/>
      <c r="AL652" s="51"/>
      <c r="AM652" s="51"/>
      <c r="AN652" s="51"/>
      <c r="AO652" s="51"/>
      <c r="AP652" s="51"/>
      <c r="AQ652" s="51"/>
      <c r="AR652" s="51"/>
      <c r="AS652" s="51"/>
      <c r="AT652" s="51"/>
    </row>
    <row r="653" spans="1:46">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c r="AF653" s="51"/>
      <c r="AG653" s="51"/>
      <c r="AH653" s="51"/>
      <c r="AI653" s="51"/>
      <c r="AJ653" s="51"/>
      <c r="AK653" s="51"/>
      <c r="AL653" s="51"/>
      <c r="AM653" s="51"/>
      <c r="AN653" s="51"/>
      <c r="AO653" s="51"/>
      <c r="AP653" s="51"/>
      <c r="AQ653" s="51"/>
      <c r="AR653" s="51"/>
      <c r="AS653" s="51"/>
      <c r="AT653" s="51"/>
    </row>
    <row r="654" spans="1:46">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c r="AF654" s="51"/>
      <c r="AG654" s="51"/>
      <c r="AH654" s="51"/>
      <c r="AI654" s="51"/>
      <c r="AJ654" s="51"/>
      <c r="AK654" s="51"/>
      <c r="AL654" s="51"/>
      <c r="AM654" s="51"/>
      <c r="AN654" s="51"/>
      <c r="AO654" s="51"/>
      <c r="AP654" s="51"/>
      <c r="AQ654" s="51"/>
      <c r="AR654" s="51"/>
      <c r="AS654" s="51"/>
      <c r="AT654" s="51"/>
    </row>
    <row r="655" spans="1:46">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1"/>
      <c r="AB655" s="51"/>
      <c r="AC655" s="51"/>
      <c r="AD655" s="51"/>
      <c r="AE655" s="51"/>
      <c r="AF655" s="51"/>
      <c r="AG655" s="51"/>
      <c r="AH655" s="51"/>
      <c r="AI655" s="51"/>
      <c r="AJ655" s="51"/>
      <c r="AK655" s="51"/>
      <c r="AL655" s="51"/>
      <c r="AM655" s="51"/>
      <c r="AN655" s="51"/>
      <c r="AO655" s="51"/>
      <c r="AP655" s="51"/>
      <c r="AQ655" s="51"/>
      <c r="AR655" s="51"/>
      <c r="AS655" s="51"/>
      <c r="AT655" s="51"/>
    </row>
    <row r="656" spans="1:46">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c r="AJ656" s="51"/>
      <c r="AK656" s="51"/>
      <c r="AL656" s="51"/>
      <c r="AM656" s="51"/>
      <c r="AN656" s="51"/>
      <c r="AO656" s="51"/>
      <c r="AP656" s="51"/>
      <c r="AQ656" s="51"/>
      <c r="AR656" s="51"/>
      <c r="AS656" s="51"/>
      <c r="AT656" s="51"/>
    </row>
    <row r="657" spans="1:46">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c r="AJ657" s="51"/>
      <c r="AK657" s="51"/>
      <c r="AL657" s="51"/>
      <c r="AM657" s="51"/>
      <c r="AN657" s="51"/>
      <c r="AO657" s="51"/>
      <c r="AP657" s="51"/>
      <c r="AQ657" s="51"/>
      <c r="AR657" s="51"/>
      <c r="AS657" s="51"/>
      <c r="AT657" s="51"/>
    </row>
    <row r="658" spans="1:46">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c r="AJ658" s="51"/>
      <c r="AK658" s="51"/>
      <c r="AL658" s="51"/>
      <c r="AM658" s="51"/>
      <c r="AN658" s="51"/>
      <c r="AO658" s="51"/>
      <c r="AP658" s="51"/>
      <c r="AQ658" s="51"/>
      <c r="AR658" s="51"/>
      <c r="AS658" s="51"/>
      <c r="AT658" s="51"/>
    </row>
    <row r="659" spans="1:46">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c r="AE659" s="51"/>
      <c r="AF659" s="51"/>
      <c r="AG659" s="51"/>
      <c r="AH659" s="51"/>
      <c r="AI659" s="51"/>
      <c r="AJ659" s="51"/>
      <c r="AK659" s="51"/>
      <c r="AL659" s="51"/>
      <c r="AM659" s="51"/>
      <c r="AN659" s="51"/>
      <c r="AO659" s="51"/>
      <c r="AP659" s="51"/>
      <c r="AQ659" s="51"/>
      <c r="AR659" s="51"/>
      <c r="AS659" s="51"/>
      <c r="AT659" s="51"/>
    </row>
    <row r="660" spans="1:46">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c r="AE660" s="51"/>
      <c r="AF660" s="51"/>
      <c r="AG660" s="51"/>
      <c r="AH660" s="51"/>
      <c r="AI660" s="51"/>
      <c r="AJ660" s="51"/>
      <c r="AK660" s="51"/>
      <c r="AL660" s="51"/>
      <c r="AM660" s="51"/>
      <c r="AN660" s="51"/>
      <c r="AO660" s="51"/>
      <c r="AP660" s="51"/>
      <c r="AQ660" s="51"/>
      <c r="AR660" s="51"/>
      <c r="AS660" s="51"/>
      <c r="AT660" s="51"/>
    </row>
    <row r="661" spans="1:46">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c r="AA661" s="51"/>
      <c r="AB661" s="51"/>
      <c r="AC661" s="51"/>
      <c r="AD661" s="51"/>
      <c r="AE661" s="51"/>
      <c r="AF661" s="51"/>
      <c r="AG661" s="51"/>
      <c r="AH661" s="51"/>
      <c r="AI661" s="51"/>
      <c r="AJ661" s="51"/>
      <c r="AK661" s="51"/>
      <c r="AL661" s="51"/>
      <c r="AM661" s="51"/>
      <c r="AN661" s="51"/>
      <c r="AO661" s="51"/>
      <c r="AP661" s="51"/>
      <c r="AQ661" s="51"/>
      <c r="AR661" s="51"/>
      <c r="AS661" s="51"/>
      <c r="AT661" s="51"/>
    </row>
    <row r="662" spans="1:46">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c r="AF662" s="51"/>
      <c r="AG662" s="51"/>
      <c r="AH662" s="51"/>
      <c r="AI662" s="51"/>
      <c r="AJ662" s="51"/>
      <c r="AK662" s="51"/>
      <c r="AL662" s="51"/>
      <c r="AM662" s="51"/>
      <c r="AN662" s="51"/>
      <c r="AO662" s="51"/>
      <c r="AP662" s="51"/>
      <c r="AQ662" s="51"/>
      <c r="AR662" s="51"/>
      <c r="AS662" s="51"/>
      <c r="AT662" s="51"/>
    </row>
    <row r="663" spans="1:46">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c r="AA663" s="51"/>
      <c r="AB663" s="51"/>
      <c r="AC663" s="51"/>
      <c r="AD663" s="51"/>
      <c r="AE663" s="51"/>
      <c r="AF663" s="51"/>
      <c r="AG663" s="51"/>
      <c r="AH663" s="51"/>
      <c r="AI663" s="51"/>
      <c r="AJ663" s="51"/>
      <c r="AK663" s="51"/>
      <c r="AL663" s="51"/>
      <c r="AM663" s="51"/>
      <c r="AN663" s="51"/>
      <c r="AO663" s="51"/>
      <c r="AP663" s="51"/>
      <c r="AQ663" s="51"/>
      <c r="AR663" s="51"/>
      <c r="AS663" s="51"/>
      <c r="AT663" s="51"/>
    </row>
    <row r="664" spans="1:46">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c r="AF664" s="51"/>
      <c r="AG664" s="51"/>
      <c r="AH664" s="51"/>
      <c r="AI664" s="51"/>
      <c r="AJ664" s="51"/>
      <c r="AK664" s="51"/>
      <c r="AL664" s="51"/>
      <c r="AM664" s="51"/>
      <c r="AN664" s="51"/>
      <c r="AO664" s="51"/>
      <c r="AP664" s="51"/>
      <c r="AQ664" s="51"/>
      <c r="AR664" s="51"/>
      <c r="AS664" s="51"/>
      <c r="AT664" s="51"/>
    </row>
    <row r="665" spans="1:46">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c r="AJ665" s="51"/>
      <c r="AK665" s="51"/>
      <c r="AL665" s="51"/>
      <c r="AM665" s="51"/>
      <c r="AN665" s="51"/>
      <c r="AO665" s="51"/>
      <c r="AP665" s="51"/>
      <c r="AQ665" s="51"/>
      <c r="AR665" s="51"/>
      <c r="AS665" s="51"/>
      <c r="AT665" s="51"/>
    </row>
    <row r="666" spans="1:46">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c r="AE666" s="51"/>
      <c r="AF666" s="51"/>
      <c r="AG666" s="51"/>
      <c r="AH666" s="51"/>
      <c r="AI666" s="51"/>
      <c r="AJ666" s="51"/>
      <c r="AK666" s="51"/>
      <c r="AL666" s="51"/>
      <c r="AM666" s="51"/>
      <c r="AN666" s="51"/>
      <c r="AO666" s="51"/>
      <c r="AP666" s="51"/>
      <c r="AQ666" s="51"/>
      <c r="AR666" s="51"/>
      <c r="AS666" s="51"/>
      <c r="AT666" s="51"/>
    </row>
    <row r="667" spans="1:46">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c r="AE667" s="51"/>
      <c r="AF667" s="51"/>
      <c r="AG667" s="51"/>
      <c r="AH667" s="51"/>
      <c r="AI667" s="51"/>
      <c r="AJ667" s="51"/>
      <c r="AK667" s="51"/>
      <c r="AL667" s="51"/>
      <c r="AM667" s="51"/>
      <c r="AN667" s="51"/>
      <c r="AO667" s="51"/>
      <c r="AP667" s="51"/>
      <c r="AQ667" s="51"/>
      <c r="AR667" s="51"/>
      <c r="AS667" s="51"/>
      <c r="AT667" s="51"/>
    </row>
    <row r="668" spans="1:46">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c r="AE668" s="51"/>
      <c r="AF668" s="51"/>
      <c r="AG668" s="51"/>
      <c r="AH668" s="51"/>
      <c r="AI668" s="51"/>
      <c r="AJ668" s="51"/>
      <c r="AK668" s="51"/>
      <c r="AL668" s="51"/>
      <c r="AM668" s="51"/>
      <c r="AN668" s="51"/>
      <c r="AO668" s="51"/>
      <c r="AP668" s="51"/>
      <c r="AQ668" s="51"/>
      <c r="AR668" s="51"/>
      <c r="AS668" s="51"/>
      <c r="AT668" s="51"/>
    </row>
    <row r="669" spans="1:46">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c r="AE669" s="51"/>
      <c r="AF669" s="51"/>
      <c r="AG669" s="51"/>
      <c r="AH669" s="51"/>
      <c r="AI669" s="51"/>
      <c r="AJ669" s="51"/>
      <c r="AK669" s="51"/>
      <c r="AL669" s="51"/>
      <c r="AM669" s="51"/>
      <c r="AN669" s="51"/>
      <c r="AO669" s="51"/>
      <c r="AP669" s="51"/>
      <c r="AQ669" s="51"/>
      <c r="AR669" s="51"/>
      <c r="AS669" s="51"/>
      <c r="AT669" s="51"/>
    </row>
    <row r="670" spans="1:46">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c r="AF670" s="51"/>
      <c r="AG670" s="51"/>
      <c r="AH670" s="51"/>
      <c r="AI670" s="51"/>
      <c r="AJ670" s="51"/>
      <c r="AK670" s="51"/>
      <c r="AL670" s="51"/>
      <c r="AM670" s="51"/>
      <c r="AN670" s="51"/>
      <c r="AO670" s="51"/>
      <c r="AP670" s="51"/>
      <c r="AQ670" s="51"/>
      <c r="AR670" s="51"/>
      <c r="AS670" s="51"/>
      <c r="AT670" s="51"/>
    </row>
    <row r="671" spans="1:46">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c r="AA671" s="51"/>
      <c r="AB671" s="51"/>
      <c r="AC671" s="51"/>
      <c r="AD671" s="51"/>
      <c r="AE671" s="51"/>
      <c r="AF671" s="51"/>
      <c r="AG671" s="51"/>
      <c r="AH671" s="51"/>
      <c r="AI671" s="51"/>
      <c r="AJ671" s="51"/>
      <c r="AK671" s="51"/>
      <c r="AL671" s="51"/>
      <c r="AM671" s="51"/>
      <c r="AN671" s="51"/>
      <c r="AO671" s="51"/>
      <c r="AP671" s="51"/>
      <c r="AQ671" s="51"/>
      <c r="AR671" s="51"/>
      <c r="AS671" s="51"/>
      <c r="AT671" s="51"/>
    </row>
    <row r="672" spans="1:46">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c r="AK672" s="51"/>
      <c r="AL672" s="51"/>
      <c r="AM672" s="51"/>
      <c r="AN672" s="51"/>
      <c r="AO672" s="51"/>
      <c r="AP672" s="51"/>
      <c r="AQ672" s="51"/>
      <c r="AR672" s="51"/>
      <c r="AS672" s="51"/>
      <c r="AT672" s="51"/>
    </row>
    <row r="673" spans="1:46">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c r="AF673" s="51"/>
      <c r="AG673" s="51"/>
      <c r="AH673" s="51"/>
      <c r="AI673" s="51"/>
      <c r="AJ673" s="51"/>
      <c r="AK673" s="51"/>
      <c r="AL673" s="51"/>
      <c r="AM673" s="51"/>
      <c r="AN673" s="51"/>
      <c r="AO673" s="51"/>
      <c r="AP673" s="51"/>
      <c r="AQ673" s="51"/>
      <c r="AR673" s="51"/>
      <c r="AS673" s="51"/>
      <c r="AT673" s="51"/>
    </row>
    <row r="674" spans="1:46">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c r="AF674" s="51"/>
      <c r="AG674" s="51"/>
      <c r="AH674" s="51"/>
      <c r="AI674" s="51"/>
      <c r="AJ674" s="51"/>
      <c r="AK674" s="51"/>
      <c r="AL674" s="51"/>
      <c r="AM674" s="51"/>
      <c r="AN674" s="51"/>
      <c r="AO674" s="51"/>
      <c r="AP674" s="51"/>
      <c r="AQ674" s="51"/>
      <c r="AR674" s="51"/>
      <c r="AS674" s="51"/>
      <c r="AT674" s="51"/>
    </row>
    <row r="675" spans="1:46">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c r="AA675" s="51"/>
      <c r="AB675" s="51"/>
      <c r="AC675" s="51"/>
      <c r="AD675" s="51"/>
      <c r="AE675" s="51"/>
      <c r="AF675" s="51"/>
      <c r="AG675" s="51"/>
      <c r="AH675" s="51"/>
      <c r="AI675" s="51"/>
      <c r="AJ675" s="51"/>
      <c r="AK675" s="51"/>
      <c r="AL675" s="51"/>
      <c r="AM675" s="51"/>
      <c r="AN675" s="51"/>
      <c r="AO675" s="51"/>
      <c r="AP675" s="51"/>
      <c r="AQ675" s="51"/>
      <c r="AR675" s="51"/>
      <c r="AS675" s="51"/>
      <c r="AT675" s="51"/>
    </row>
    <row r="676" spans="1:46">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c r="AF676" s="51"/>
      <c r="AG676" s="51"/>
      <c r="AH676" s="51"/>
      <c r="AI676" s="51"/>
      <c r="AJ676" s="51"/>
      <c r="AK676" s="51"/>
      <c r="AL676" s="51"/>
      <c r="AM676" s="51"/>
      <c r="AN676" s="51"/>
      <c r="AO676" s="51"/>
      <c r="AP676" s="51"/>
      <c r="AQ676" s="51"/>
      <c r="AR676" s="51"/>
      <c r="AS676" s="51"/>
      <c r="AT676" s="51"/>
    </row>
    <row r="677" spans="1:46">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c r="AA677" s="51"/>
      <c r="AB677" s="51"/>
      <c r="AC677" s="51"/>
      <c r="AD677" s="51"/>
      <c r="AE677" s="51"/>
      <c r="AF677" s="51"/>
      <c r="AG677" s="51"/>
      <c r="AH677" s="51"/>
      <c r="AI677" s="51"/>
      <c r="AJ677" s="51"/>
      <c r="AK677" s="51"/>
      <c r="AL677" s="51"/>
      <c r="AM677" s="51"/>
      <c r="AN677" s="51"/>
      <c r="AO677" s="51"/>
      <c r="AP677" s="51"/>
      <c r="AQ677" s="51"/>
      <c r="AR677" s="51"/>
      <c r="AS677" s="51"/>
      <c r="AT677" s="51"/>
    </row>
    <row r="678" spans="1:46">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c r="AJ678" s="51"/>
      <c r="AK678" s="51"/>
      <c r="AL678" s="51"/>
      <c r="AM678" s="51"/>
      <c r="AN678" s="51"/>
      <c r="AO678" s="51"/>
      <c r="AP678" s="51"/>
      <c r="AQ678" s="51"/>
      <c r="AR678" s="51"/>
      <c r="AS678" s="51"/>
      <c r="AT678" s="51"/>
    </row>
    <row r="679" spans="1:46">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c r="AF679" s="51"/>
      <c r="AG679" s="51"/>
      <c r="AH679" s="51"/>
      <c r="AI679" s="51"/>
      <c r="AJ679" s="51"/>
      <c r="AK679" s="51"/>
      <c r="AL679" s="51"/>
      <c r="AM679" s="51"/>
      <c r="AN679" s="51"/>
      <c r="AO679" s="51"/>
      <c r="AP679" s="51"/>
      <c r="AQ679" s="51"/>
      <c r="AR679" s="51"/>
      <c r="AS679" s="51"/>
      <c r="AT679" s="51"/>
    </row>
    <row r="680" spans="1:46">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c r="AJ680" s="51"/>
      <c r="AK680" s="51"/>
      <c r="AL680" s="51"/>
      <c r="AM680" s="51"/>
      <c r="AN680" s="51"/>
      <c r="AO680" s="51"/>
      <c r="AP680" s="51"/>
      <c r="AQ680" s="51"/>
      <c r="AR680" s="51"/>
      <c r="AS680" s="51"/>
      <c r="AT680" s="51"/>
    </row>
    <row r="681" spans="1:46">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51"/>
      <c r="AG681" s="51"/>
      <c r="AH681" s="51"/>
      <c r="AI681" s="51"/>
      <c r="AJ681" s="51"/>
      <c r="AK681" s="51"/>
      <c r="AL681" s="51"/>
      <c r="AM681" s="51"/>
      <c r="AN681" s="51"/>
      <c r="AO681" s="51"/>
      <c r="AP681" s="51"/>
      <c r="AQ681" s="51"/>
      <c r="AR681" s="51"/>
      <c r="AS681" s="51"/>
      <c r="AT681" s="51"/>
    </row>
    <row r="682" spans="1:46">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c r="AK682" s="51"/>
      <c r="AL682" s="51"/>
      <c r="AM682" s="51"/>
      <c r="AN682" s="51"/>
      <c r="AO682" s="51"/>
      <c r="AP682" s="51"/>
      <c r="AQ682" s="51"/>
      <c r="AR682" s="51"/>
      <c r="AS682" s="51"/>
      <c r="AT682" s="51"/>
    </row>
    <row r="683" spans="1:46">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c r="AA683" s="51"/>
      <c r="AB683" s="51"/>
      <c r="AC683" s="51"/>
      <c r="AD683" s="51"/>
      <c r="AE683" s="51"/>
      <c r="AF683" s="51"/>
      <c r="AG683" s="51"/>
      <c r="AH683" s="51"/>
      <c r="AI683" s="51"/>
      <c r="AJ683" s="51"/>
      <c r="AK683" s="51"/>
      <c r="AL683" s="51"/>
      <c r="AM683" s="51"/>
      <c r="AN683" s="51"/>
      <c r="AO683" s="51"/>
      <c r="AP683" s="51"/>
      <c r="AQ683" s="51"/>
      <c r="AR683" s="51"/>
      <c r="AS683" s="51"/>
      <c r="AT683" s="51"/>
    </row>
    <row r="684" spans="1:46">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c r="AF684" s="51"/>
      <c r="AG684" s="51"/>
      <c r="AH684" s="51"/>
      <c r="AI684" s="51"/>
      <c r="AJ684" s="51"/>
      <c r="AK684" s="51"/>
      <c r="AL684" s="51"/>
      <c r="AM684" s="51"/>
      <c r="AN684" s="51"/>
      <c r="AO684" s="51"/>
      <c r="AP684" s="51"/>
      <c r="AQ684" s="51"/>
      <c r="AR684" s="51"/>
      <c r="AS684" s="51"/>
      <c r="AT684" s="51"/>
    </row>
    <row r="685" spans="1:46">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1"/>
      <c r="AB685" s="51"/>
      <c r="AC685" s="51"/>
      <c r="AD685" s="51"/>
      <c r="AE685" s="51"/>
      <c r="AF685" s="51"/>
      <c r="AG685" s="51"/>
      <c r="AH685" s="51"/>
      <c r="AI685" s="51"/>
      <c r="AJ685" s="51"/>
      <c r="AK685" s="51"/>
      <c r="AL685" s="51"/>
      <c r="AM685" s="51"/>
      <c r="AN685" s="51"/>
      <c r="AO685" s="51"/>
      <c r="AP685" s="51"/>
      <c r="AQ685" s="51"/>
      <c r="AR685" s="51"/>
      <c r="AS685" s="51"/>
      <c r="AT685" s="51"/>
    </row>
    <row r="686" spans="1:46">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c r="AG686" s="51"/>
      <c r="AH686" s="51"/>
      <c r="AI686" s="51"/>
      <c r="AJ686" s="51"/>
      <c r="AK686" s="51"/>
      <c r="AL686" s="51"/>
      <c r="AM686" s="51"/>
      <c r="AN686" s="51"/>
      <c r="AO686" s="51"/>
      <c r="AP686" s="51"/>
      <c r="AQ686" s="51"/>
      <c r="AR686" s="51"/>
      <c r="AS686" s="51"/>
      <c r="AT686" s="51"/>
    </row>
    <row r="687" spans="1:46">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c r="AF687" s="51"/>
      <c r="AG687" s="51"/>
      <c r="AH687" s="51"/>
      <c r="AI687" s="51"/>
      <c r="AJ687" s="51"/>
      <c r="AK687" s="51"/>
      <c r="AL687" s="51"/>
      <c r="AM687" s="51"/>
      <c r="AN687" s="51"/>
      <c r="AO687" s="51"/>
      <c r="AP687" s="51"/>
      <c r="AQ687" s="51"/>
      <c r="AR687" s="51"/>
      <c r="AS687" s="51"/>
      <c r="AT687" s="51"/>
    </row>
    <row r="688" spans="1:46">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c r="AF688" s="51"/>
      <c r="AG688" s="51"/>
      <c r="AH688" s="51"/>
      <c r="AI688" s="51"/>
      <c r="AJ688" s="51"/>
      <c r="AK688" s="51"/>
      <c r="AL688" s="51"/>
      <c r="AM688" s="51"/>
      <c r="AN688" s="51"/>
      <c r="AO688" s="51"/>
      <c r="AP688" s="51"/>
      <c r="AQ688" s="51"/>
      <c r="AR688" s="51"/>
      <c r="AS688" s="51"/>
      <c r="AT688" s="51"/>
    </row>
    <row r="689" spans="1:46">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c r="AE689" s="51"/>
      <c r="AF689" s="51"/>
      <c r="AG689" s="51"/>
      <c r="AH689" s="51"/>
      <c r="AI689" s="51"/>
      <c r="AJ689" s="51"/>
      <c r="AK689" s="51"/>
      <c r="AL689" s="51"/>
      <c r="AM689" s="51"/>
      <c r="AN689" s="51"/>
      <c r="AO689" s="51"/>
      <c r="AP689" s="51"/>
      <c r="AQ689" s="51"/>
      <c r="AR689" s="51"/>
      <c r="AS689" s="51"/>
      <c r="AT689" s="51"/>
    </row>
    <row r="690" spans="1:46">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c r="AJ690" s="51"/>
      <c r="AK690" s="51"/>
      <c r="AL690" s="51"/>
      <c r="AM690" s="51"/>
      <c r="AN690" s="51"/>
      <c r="AO690" s="51"/>
      <c r="AP690" s="51"/>
      <c r="AQ690" s="51"/>
      <c r="AR690" s="51"/>
      <c r="AS690" s="51"/>
      <c r="AT690" s="51"/>
    </row>
    <row r="691" spans="1:46">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c r="AF691" s="51"/>
      <c r="AG691" s="51"/>
      <c r="AH691" s="51"/>
      <c r="AI691" s="51"/>
      <c r="AJ691" s="51"/>
      <c r="AK691" s="51"/>
      <c r="AL691" s="51"/>
      <c r="AM691" s="51"/>
      <c r="AN691" s="51"/>
      <c r="AO691" s="51"/>
      <c r="AP691" s="51"/>
      <c r="AQ691" s="51"/>
      <c r="AR691" s="51"/>
      <c r="AS691" s="51"/>
      <c r="AT691" s="51"/>
    </row>
    <row r="692" spans="1:46">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c r="AF692" s="51"/>
      <c r="AG692" s="51"/>
      <c r="AH692" s="51"/>
      <c r="AI692" s="51"/>
      <c r="AJ692" s="51"/>
      <c r="AK692" s="51"/>
      <c r="AL692" s="51"/>
      <c r="AM692" s="51"/>
      <c r="AN692" s="51"/>
      <c r="AO692" s="51"/>
      <c r="AP692" s="51"/>
      <c r="AQ692" s="51"/>
      <c r="AR692" s="51"/>
      <c r="AS692" s="51"/>
      <c r="AT692" s="51"/>
    </row>
    <row r="693" spans="1:46">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c r="AF693" s="51"/>
      <c r="AG693" s="51"/>
      <c r="AH693" s="51"/>
      <c r="AI693" s="51"/>
      <c r="AJ693" s="51"/>
      <c r="AK693" s="51"/>
      <c r="AL693" s="51"/>
      <c r="AM693" s="51"/>
      <c r="AN693" s="51"/>
      <c r="AO693" s="51"/>
      <c r="AP693" s="51"/>
      <c r="AQ693" s="51"/>
      <c r="AR693" s="51"/>
      <c r="AS693" s="51"/>
      <c r="AT693" s="51"/>
    </row>
    <row r="694" spans="1:46">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c r="AF694" s="51"/>
      <c r="AG694" s="51"/>
      <c r="AH694" s="51"/>
      <c r="AI694" s="51"/>
      <c r="AJ694" s="51"/>
      <c r="AK694" s="51"/>
      <c r="AL694" s="51"/>
      <c r="AM694" s="51"/>
      <c r="AN694" s="51"/>
      <c r="AO694" s="51"/>
      <c r="AP694" s="51"/>
      <c r="AQ694" s="51"/>
      <c r="AR694" s="51"/>
      <c r="AS694" s="51"/>
      <c r="AT694" s="51"/>
    </row>
    <row r="695" spans="1:46">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c r="AA695" s="51"/>
      <c r="AB695" s="51"/>
      <c r="AC695" s="51"/>
      <c r="AD695" s="51"/>
      <c r="AE695" s="51"/>
      <c r="AF695" s="51"/>
      <c r="AG695" s="51"/>
      <c r="AH695" s="51"/>
      <c r="AI695" s="51"/>
      <c r="AJ695" s="51"/>
      <c r="AK695" s="51"/>
      <c r="AL695" s="51"/>
      <c r="AM695" s="51"/>
      <c r="AN695" s="51"/>
      <c r="AO695" s="51"/>
      <c r="AP695" s="51"/>
      <c r="AQ695" s="51"/>
      <c r="AR695" s="51"/>
      <c r="AS695" s="51"/>
      <c r="AT695" s="51"/>
    </row>
    <row r="696" spans="1:46">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c r="AE696" s="51"/>
      <c r="AF696" s="51"/>
      <c r="AG696" s="51"/>
      <c r="AH696" s="51"/>
      <c r="AI696" s="51"/>
      <c r="AJ696" s="51"/>
      <c r="AK696" s="51"/>
      <c r="AL696" s="51"/>
      <c r="AM696" s="51"/>
      <c r="AN696" s="51"/>
      <c r="AO696" s="51"/>
      <c r="AP696" s="51"/>
      <c r="AQ696" s="51"/>
      <c r="AR696" s="51"/>
      <c r="AS696" s="51"/>
      <c r="AT696" s="51"/>
    </row>
    <row r="697" spans="1:46">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c r="AF697" s="51"/>
      <c r="AG697" s="51"/>
      <c r="AH697" s="51"/>
      <c r="AI697" s="51"/>
      <c r="AJ697" s="51"/>
      <c r="AK697" s="51"/>
      <c r="AL697" s="51"/>
      <c r="AM697" s="51"/>
      <c r="AN697" s="51"/>
      <c r="AO697" s="51"/>
      <c r="AP697" s="51"/>
      <c r="AQ697" s="51"/>
      <c r="AR697" s="51"/>
      <c r="AS697" s="51"/>
      <c r="AT697" s="51"/>
    </row>
    <row r="698" spans="1:46">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c r="AF698" s="51"/>
      <c r="AG698" s="51"/>
      <c r="AH698" s="51"/>
      <c r="AI698" s="51"/>
      <c r="AJ698" s="51"/>
      <c r="AK698" s="51"/>
      <c r="AL698" s="51"/>
      <c r="AM698" s="51"/>
      <c r="AN698" s="51"/>
      <c r="AO698" s="51"/>
      <c r="AP698" s="51"/>
      <c r="AQ698" s="51"/>
      <c r="AR698" s="51"/>
      <c r="AS698" s="51"/>
      <c r="AT698" s="51"/>
    </row>
    <row r="699" spans="1:46">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c r="AA699" s="51"/>
      <c r="AB699" s="51"/>
      <c r="AC699" s="51"/>
      <c r="AD699" s="51"/>
      <c r="AE699" s="51"/>
      <c r="AF699" s="51"/>
      <c r="AG699" s="51"/>
      <c r="AH699" s="51"/>
      <c r="AI699" s="51"/>
      <c r="AJ699" s="51"/>
      <c r="AK699" s="51"/>
      <c r="AL699" s="51"/>
      <c r="AM699" s="51"/>
      <c r="AN699" s="51"/>
      <c r="AO699" s="51"/>
      <c r="AP699" s="51"/>
      <c r="AQ699" s="51"/>
      <c r="AR699" s="51"/>
      <c r="AS699" s="51"/>
      <c r="AT699" s="51"/>
    </row>
    <row r="700" spans="1:46">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c r="AK700" s="51"/>
      <c r="AL700" s="51"/>
      <c r="AM700" s="51"/>
      <c r="AN700" s="51"/>
      <c r="AO700" s="51"/>
      <c r="AP700" s="51"/>
      <c r="AQ700" s="51"/>
      <c r="AR700" s="51"/>
      <c r="AS700" s="51"/>
      <c r="AT700" s="51"/>
    </row>
    <row r="701" spans="1:46">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1"/>
      <c r="AB701" s="51"/>
      <c r="AC701" s="51"/>
      <c r="AD701" s="51"/>
      <c r="AE701" s="51"/>
      <c r="AF701" s="51"/>
      <c r="AG701" s="51"/>
      <c r="AH701" s="51"/>
      <c r="AI701" s="51"/>
      <c r="AJ701" s="51"/>
      <c r="AK701" s="51"/>
      <c r="AL701" s="51"/>
      <c r="AM701" s="51"/>
      <c r="AN701" s="51"/>
      <c r="AO701" s="51"/>
      <c r="AP701" s="51"/>
      <c r="AQ701" s="51"/>
      <c r="AR701" s="51"/>
      <c r="AS701" s="51"/>
      <c r="AT701" s="51"/>
    </row>
    <row r="702" spans="1:46">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c r="AE702" s="51"/>
      <c r="AF702" s="51"/>
      <c r="AG702" s="51"/>
      <c r="AH702" s="51"/>
      <c r="AI702" s="51"/>
      <c r="AJ702" s="51"/>
      <c r="AK702" s="51"/>
      <c r="AL702" s="51"/>
      <c r="AM702" s="51"/>
      <c r="AN702" s="51"/>
      <c r="AO702" s="51"/>
      <c r="AP702" s="51"/>
      <c r="AQ702" s="51"/>
      <c r="AR702" s="51"/>
      <c r="AS702" s="51"/>
      <c r="AT702" s="51"/>
    </row>
    <row r="703" spans="1:46">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c r="AA703" s="51"/>
      <c r="AB703" s="51"/>
      <c r="AC703" s="51"/>
      <c r="AD703" s="51"/>
      <c r="AE703" s="51"/>
      <c r="AF703" s="51"/>
      <c r="AG703" s="51"/>
      <c r="AH703" s="51"/>
      <c r="AI703" s="51"/>
      <c r="AJ703" s="51"/>
      <c r="AK703" s="51"/>
      <c r="AL703" s="51"/>
      <c r="AM703" s="51"/>
      <c r="AN703" s="51"/>
      <c r="AO703" s="51"/>
      <c r="AP703" s="51"/>
      <c r="AQ703" s="51"/>
      <c r="AR703" s="51"/>
      <c r="AS703" s="51"/>
      <c r="AT703" s="51"/>
    </row>
    <row r="704" spans="1:46">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c r="AK704" s="51"/>
      <c r="AL704" s="51"/>
      <c r="AM704" s="51"/>
      <c r="AN704" s="51"/>
      <c r="AO704" s="51"/>
      <c r="AP704" s="51"/>
      <c r="AQ704" s="51"/>
      <c r="AR704" s="51"/>
      <c r="AS704" s="51"/>
      <c r="AT704" s="51"/>
    </row>
    <row r="705" spans="1:46">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c r="AJ705" s="51"/>
      <c r="AK705" s="51"/>
      <c r="AL705" s="51"/>
      <c r="AM705" s="51"/>
      <c r="AN705" s="51"/>
      <c r="AO705" s="51"/>
      <c r="AP705" s="51"/>
      <c r="AQ705" s="51"/>
      <c r="AR705" s="51"/>
      <c r="AS705" s="51"/>
      <c r="AT705" s="51"/>
    </row>
    <row r="706" spans="1:46">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c r="AJ706" s="51"/>
      <c r="AK706" s="51"/>
      <c r="AL706" s="51"/>
      <c r="AM706" s="51"/>
      <c r="AN706" s="51"/>
      <c r="AO706" s="51"/>
      <c r="AP706" s="51"/>
      <c r="AQ706" s="51"/>
      <c r="AR706" s="51"/>
      <c r="AS706" s="51"/>
      <c r="AT706" s="51"/>
    </row>
    <row r="707" spans="1:46">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c r="AA707" s="51"/>
      <c r="AB707" s="51"/>
      <c r="AC707" s="51"/>
      <c r="AD707" s="51"/>
      <c r="AE707" s="51"/>
      <c r="AF707" s="51"/>
      <c r="AG707" s="51"/>
      <c r="AH707" s="51"/>
      <c r="AI707" s="51"/>
      <c r="AJ707" s="51"/>
      <c r="AK707" s="51"/>
      <c r="AL707" s="51"/>
      <c r="AM707" s="51"/>
      <c r="AN707" s="51"/>
      <c r="AO707" s="51"/>
      <c r="AP707" s="51"/>
      <c r="AQ707" s="51"/>
      <c r="AR707" s="51"/>
      <c r="AS707" s="51"/>
      <c r="AT707" s="51"/>
    </row>
    <row r="708" spans="1:46">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c r="AK708" s="51"/>
      <c r="AL708" s="51"/>
      <c r="AM708" s="51"/>
      <c r="AN708" s="51"/>
      <c r="AO708" s="51"/>
      <c r="AP708" s="51"/>
      <c r="AQ708" s="51"/>
      <c r="AR708" s="51"/>
      <c r="AS708" s="51"/>
      <c r="AT708" s="51"/>
    </row>
    <row r="709" spans="1:46">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1"/>
      <c r="AB709" s="51"/>
      <c r="AC709" s="51"/>
      <c r="AD709" s="51"/>
      <c r="AE709" s="51"/>
      <c r="AF709" s="51"/>
      <c r="AG709" s="51"/>
      <c r="AH709" s="51"/>
      <c r="AI709" s="51"/>
      <c r="AJ709" s="51"/>
      <c r="AK709" s="51"/>
      <c r="AL709" s="51"/>
      <c r="AM709" s="51"/>
      <c r="AN709" s="51"/>
      <c r="AO709" s="51"/>
      <c r="AP709" s="51"/>
      <c r="AQ709" s="51"/>
      <c r="AR709" s="51"/>
      <c r="AS709" s="51"/>
      <c r="AT709" s="51"/>
    </row>
    <row r="710" spans="1:46">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c r="AF710" s="51"/>
      <c r="AG710" s="51"/>
      <c r="AH710" s="51"/>
      <c r="AI710" s="51"/>
      <c r="AJ710" s="51"/>
      <c r="AK710" s="51"/>
      <c r="AL710" s="51"/>
      <c r="AM710" s="51"/>
      <c r="AN710" s="51"/>
      <c r="AO710" s="51"/>
      <c r="AP710" s="51"/>
      <c r="AQ710" s="51"/>
      <c r="AR710" s="51"/>
      <c r="AS710" s="51"/>
      <c r="AT710" s="51"/>
    </row>
    <row r="711" spans="1:46">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c r="AA711" s="51"/>
      <c r="AB711" s="51"/>
      <c r="AC711" s="51"/>
      <c r="AD711" s="51"/>
      <c r="AE711" s="51"/>
      <c r="AF711" s="51"/>
      <c r="AG711" s="51"/>
      <c r="AH711" s="51"/>
      <c r="AI711" s="51"/>
      <c r="AJ711" s="51"/>
      <c r="AK711" s="51"/>
      <c r="AL711" s="51"/>
      <c r="AM711" s="51"/>
      <c r="AN711" s="51"/>
      <c r="AO711" s="51"/>
      <c r="AP711" s="51"/>
      <c r="AQ711" s="51"/>
      <c r="AR711" s="51"/>
      <c r="AS711" s="51"/>
      <c r="AT711" s="51"/>
    </row>
    <row r="712" spans="1:46">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c r="AF712" s="51"/>
      <c r="AG712" s="51"/>
      <c r="AH712" s="51"/>
      <c r="AI712" s="51"/>
      <c r="AJ712" s="51"/>
      <c r="AK712" s="51"/>
      <c r="AL712" s="51"/>
      <c r="AM712" s="51"/>
      <c r="AN712" s="51"/>
      <c r="AO712" s="51"/>
      <c r="AP712" s="51"/>
      <c r="AQ712" s="51"/>
      <c r="AR712" s="51"/>
      <c r="AS712" s="51"/>
      <c r="AT712" s="51"/>
    </row>
    <row r="713" spans="1:46">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c r="AF713" s="51"/>
      <c r="AG713" s="51"/>
      <c r="AH713" s="51"/>
      <c r="AI713" s="51"/>
      <c r="AJ713" s="51"/>
      <c r="AK713" s="51"/>
      <c r="AL713" s="51"/>
      <c r="AM713" s="51"/>
      <c r="AN713" s="51"/>
      <c r="AO713" s="51"/>
      <c r="AP713" s="51"/>
      <c r="AQ713" s="51"/>
      <c r="AR713" s="51"/>
      <c r="AS713" s="51"/>
      <c r="AT713" s="51"/>
    </row>
    <row r="714" spans="1:46">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c r="AF714" s="51"/>
      <c r="AG714" s="51"/>
      <c r="AH714" s="51"/>
      <c r="AI714" s="51"/>
      <c r="AJ714" s="51"/>
      <c r="AK714" s="51"/>
      <c r="AL714" s="51"/>
      <c r="AM714" s="51"/>
      <c r="AN714" s="51"/>
      <c r="AO714" s="51"/>
      <c r="AP714" s="51"/>
      <c r="AQ714" s="51"/>
      <c r="AR714" s="51"/>
      <c r="AS714" s="51"/>
      <c r="AT714" s="51"/>
    </row>
    <row r="715" spans="1:46">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1"/>
      <c r="AB715" s="51"/>
      <c r="AC715" s="51"/>
      <c r="AD715" s="51"/>
      <c r="AE715" s="51"/>
      <c r="AF715" s="51"/>
      <c r="AG715" s="51"/>
      <c r="AH715" s="51"/>
      <c r="AI715" s="51"/>
      <c r="AJ715" s="51"/>
      <c r="AK715" s="51"/>
      <c r="AL715" s="51"/>
      <c r="AM715" s="51"/>
      <c r="AN715" s="51"/>
      <c r="AO715" s="51"/>
      <c r="AP715" s="51"/>
      <c r="AQ715" s="51"/>
      <c r="AR715" s="51"/>
      <c r="AS715" s="51"/>
      <c r="AT715" s="51"/>
    </row>
    <row r="716" spans="1:46">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c r="AF716" s="51"/>
      <c r="AG716" s="51"/>
      <c r="AH716" s="51"/>
      <c r="AI716" s="51"/>
      <c r="AJ716" s="51"/>
      <c r="AK716" s="51"/>
      <c r="AL716" s="51"/>
      <c r="AM716" s="51"/>
      <c r="AN716" s="51"/>
      <c r="AO716" s="51"/>
      <c r="AP716" s="51"/>
      <c r="AQ716" s="51"/>
      <c r="AR716" s="51"/>
      <c r="AS716" s="51"/>
      <c r="AT716" s="51"/>
    </row>
    <row r="717" spans="1:46">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c r="AE717" s="51"/>
      <c r="AF717" s="51"/>
      <c r="AG717" s="51"/>
      <c r="AH717" s="51"/>
      <c r="AI717" s="51"/>
      <c r="AJ717" s="51"/>
      <c r="AK717" s="51"/>
      <c r="AL717" s="51"/>
      <c r="AM717" s="51"/>
      <c r="AN717" s="51"/>
      <c r="AO717" s="51"/>
      <c r="AP717" s="51"/>
      <c r="AQ717" s="51"/>
      <c r="AR717" s="51"/>
      <c r="AS717" s="51"/>
      <c r="AT717" s="51"/>
    </row>
    <row r="718" spans="1:46">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c r="AF718" s="51"/>
      <c r="AG718" s="51"/>
      <c r="AH718" s="51"/>
      <c r="AI718" s="51"/>
      <c r="AJ718" s="51"/>
      <c r="AK718" s="51"/>
      <c r="AL718" s="51"/>
      <c r="AM718" s="51"/>
      <c r="AN718" s="51"/>
      <c r="AO718" s="51"/>
      <c r="AP718" s="51"/>
      <c r="AQ718" s="51"/>
      <c r="AR718" s="51"/>
      <c r="AS718" s="51"/>
      <c r="AT718" s="51"/>
    </row>
    <row r="719" spans="1:46">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c r="AJ719" s="51"/>
      <c r="AK719" s="51"/>
      <c r="AL719" s="51"/>
      <c r="AM719" s="51"/>
      <c r="AN719" s="51"/>
      <c r="AO719" s="51"/>
      <c r="AP719" s="51"/>
      <c r="AQ719" s="51"/>
      <c r="AR719" s="51"/>
      <c r="AS719" s="51"/>
      <c r="AT719" s="51"/>
    </row>
    <row r="720" spans="1:46">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c r="AJ720" s="51"/>
      <c r="AK720" s="51"/>
      <c r="AL720" s="51"/>
      <c r="AM720" s="51"/>
      <c r="AN720" s="51"/>
      <c r="AO720" s="51"/>
      <c r="AP720" s="51"/>
      <c r="AQ720" s="51"/>
      <c r="AR720" s="51"/>
      <c r="AS720" s="51"/>
      <c r="AT720" s="51"/>
    </row>
    <row r="721" spans="1:46">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c r="AF721" s="51"/>
      <c r="AG721" s="51"/>
      <c r="AH721" s="51"/>
      <c r="AI721" s="51"/>
      <c r="AJ721" s="51"/>
      <c r="AK721" s="51"/>
      <c r="AL721" s="51"/>
      <c r="AM721" s="51"/>
      <c r="AN721" s="51"/>
      <c r="AO721" s="51"/>
      <c r="AP721" s="51"/>
      <c r="AQ721" s="51"/>
      <c r="AR721" s="51"/>
      <c r="AS721" s="51"/>
      <c r="AT721" s="51"/>
    </row>
    <row r="722" spans="1:46">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c r="AF722" s="51"/>
      <c r="AG722" s="51"/>
      <c r="AH722" s="51"/>
      <c r="AI722" s="51"/>
      <c r="AJ722" s="51"/>
      <c r="AK722" s="51"/>
      <c r="AL722" s="51"/>
      <c r="AM722" s="51"/>
      <c r="AN722" s="51"/>
      <c r="AO722" s="51"/>
      <c r="AP722" s="51"/>
      <c r="AQ722" s="51"/>
      <c r="AR722" s="51"/>
      <c r="AS722" s="51"/>
      <c r="AT722" s="51"/>
    </row>
    <row r="723" spans="1:46">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c r="AA723" s="51"/>
      <c r="AB723" s="51"/>
      <c r="AC723" s="51"/>
      <c r="AD723" s="51"/>
      <c r="AE723" s="51"/>
      <c r="AF723" s="51"/>
      <c r="AG723" s="51"/>
      <c r="AH723" s="51"/>
      <c r="AI723" s="51"/>
      <c r="AJ723" s="51"/>
      <c r="AK723" s="51"/>
      <c r="AL723" s="51"/>
      <c r="AM723" s="51"/>
      <c r="AN723" s="51"/>
      <c r="AO723" s="51"/>
      <c r="AP723" s="51"/>
      <c r="AQ723" s="51"/>
      <c r="AR723" s="51"/>
      <c r="AS723" s="51"/>
      <c r="AT723" s="51"/>
    </row>
    <row r="724" spans="1:46">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c r="AF724" s="51"/>
      <c r="AG724" s="51"/>
      <c r="AH724" s="51"/>
      <c r="AI724" s="51"/>
      <c r="AJ724" s="51"/>
      <c r="AK724" s="51"/>
      <c r="AL724" s="51"/>
      <c r="AM724" s="51"/>
      <c r="AN724" s="51"/>
      <c r="AO724" s="51"/>
      <c r="AP724" s="51"/>
      <c r="AQ724" s="51"/>
      <c r="AR724" s="51"/>
      <c r="AS724" s="51"/>
      <c r="AT724" s="51"/>
    </row>
    <row r="725" spans="1:46">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1"/>
      <c r="AB725" s="51"/>
      <c r="AC725" s="51"/>
      <c r="AD725" s="51"/>
      <c r="AE725" s="51"/>
      <c r="AF725" s="51"/>
      <c r="AG725" s="51"/>
      <c r="AH725" s="51"/>
      <c r="AI725" s="51"/>
      <c r="AJ725" s="51"/>
      <c r="AK725" s="51"/>
      <c r="AL725" s="51"/>
      <c r="AM725" s="51"/>
      <c r="AN725" s="51"/>
      <c r="AO725" s="51"/>
      <c r="AP725" s="51"/>
      <c r="AQ725" s="51"/>
      <c r="AR725" s="51"/>
      <c r="AS725" s="51"/>
      <c r="AT725" s="51"/>
    </row>
    <row r="726" spans="1:46">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c r="AF726" s="51"/>
      <c r="AG726" s="51"/>
      <c r="AH726" s="51"/>
      <c r="AI726" s="51"/>
      <c r="AJ726" s="51"/>
      <c r="AK726" s="51"/>
      <c r="AL726" s="51"/>
      <c r="AM726" s="51"/>
      <c r="AN726" s="51"/>
      <c r="AO726" s="51"/>
      <c r="AP726" s="51"/>
      <c r="AQ726" s="51"/>
      <c r="AR726" s="51"/>
      <c r="AS726" s="51"/>
      <c r="AT726" s="51"/>
    </row>
    <row r="727" spans="1:46">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1"/>
      <c r="AB727" s="51"/>
      <c r="AC727" s="51"/>
      <c r="AD727" s="51"/>
      <c r="AE727" s="51"/>
      <c r="AF727" s="51"/>
      <c r="AG727" s="51"/>
      <c r="AH727" s="51"/>
      <c r="AI727" s="51"/>
      <c r="AJ727" s="51"/>
      <c r="AK727" s="51"/>
      <c r="AL727" s="51"/>
      <c r="AM727" s="51"/>
      <c r="AN727" s="51"/>
      <c r="AO727" s="51"/>
      <c r="AP727" s="51"/>
      <c r="AQ727" s="51"/>
      <c r="AR727" s="51"/>
      <c r="AS727" s="51"/>
      <c r="AT727" s="51"/>
    </row>
    <row r="728" spans="1:46">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c r="AK728" s="51"/>
      <c r="AL728" s="51"/>
      <c r="AM728" s="51"/>
      <c r="AN728" s="51"/>
      <c r="AO728" s="51"/>
      <c r="AP728" s="51"/>
      <c r="AQ728" s="51"/>
      <c r="AR728" s="51"/>
      <c r="AS728" s="51"/>
      <c r="AT728" s="51"/>
    </row>
    <row r="729" spans="1:46">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c r="AK729" s="51"/>
      <c r="AL729" s="51"/>
      <c r="AM729" s="51"/>
      <c r="AN729" s="51"/>
      <c r="AO729" s="51"/>
      <c r="AP729" s="51"/>
      <c r="AQ729" s="51"/>
      <c r="AR729" s="51"/>
      <c r="AS729" s="51"/>
      <c r="AT729" s="51"/>
    </row>
    <row r="730" spans="1:46">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c r="AF730" s="51"/>
      <c r="AG730" s="51"/>
      <c r="AH730" s="51"/>
      <c r="AI730" s="51"/>
      <c r="AJ730" s="51"/>
      <c r="AK730" s="51"/>
      <c r="AL730" s="51"/>
      <c r="AM730" s="51"/>
      <c r="AN730" s="51"/>
      <c r="AO730" s="51"/>
      <c r="AP730" s="51"/>
      <c r="AQ730" s="51"/>
      <c r="AR730" s="51"/>
      <c r="AS730" s="51"/>
      <c r="AT730" s="51"/>
    </row>
    <row r="731" spans="1:46">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c r="AA731" s="51"/>
      <c r="AB731" s="51"/>
      <c r="AC731" s="51"/>
      <c r="AD731" s="51"/>
      <c r="AE731" s="51"/>
      <c r="AF731" s="51"/>
      <c r="AG731" s="51"/>
      <c r="AH731" s="51"/>
      <c r="AI731" s="51"/>
      <c r="AJ731" s="51"/>
      <c r="AK731" s="51"/>
      <c r="AL731" s="51"/>
      <c r="AM731" s="51"/>
      <c r="AN731" s="51"/>
      <c r="AO731" s="51"/>
      <c r="AP731" s="51"/>
      <c r="AQ731" s="51"/>
      <c r="AR731" s="51"/>
      <c r="AS731" s="51"/>
      <c r="AT731" s="51"/>
    </row>
    <row r="732" spans="1:46">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c r="AE732" s="51"/>
      <c r="AF732" s="51"/>
      <c r="AG732" s="51"/>
      <c r="AH732" s="51"/>
      <c r="AI732" s="51"/>
      <c r="AJ732" s="51"/>
      <c r="AK732" s="51"/>
      <c r="AL732" s="51"/>
      <c r="AM732" s="51"/>
      <c r="AN732" s="51"/>
      <c r="AO732" s="51"/>
      <c r="AP732" s="51"/>
      <c r="AQ732" s="51"/>
      <c r="AR732" s="51"/>
      <c r="AS732" s="51"/>
      <c r="AT732" s="51"/>
    </row>
    <row r="733" spans="1:46">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c r="AA733" s="51"/>
      <c r="AB733" s="51"/>
      <c r="AC733" s="51"/>
      <c r="AD733" s="51"/>
      <c r="AE733" s="51"/>
      <c r="AF733" s="51"/>
      <c r="AG733" s="51"/>
      <c r="AH733" s="51"/>
      <c r="AI733" s="51"/>
      <c r="AJ733" s="51"/>
      <c r="AK733" s="51"/>
      <c r="AL733" s="51"/>
      <c r="AM733" s="51"/>
      <c r="AN733" s="51"/>
      <c r="AO733" s="51"/>
      <c r="AP733" s="51"/>
      <c r="AQ733" s="51"/>
      <c r="AR733" s="51"/>
      <c r="AS733" s="51"/>
      <c r="AT733" s="51"/>
    </row>
    <row r="734" spans="1:46">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c r="AE734" s="51"/>
      <c r="AF734" s="51"/>
      <c r="AG734" s="51"/>
      <c r="AH734" s="51"/>
      <c r="AI734" s="51"/>
      <c r="AJ734" s="51"/>
      <c r="AK734" s="51"/>
      <c r="AL734" s="51"/>
      <c r="AM734" s="51"/>
      <c r="AN734" s="51"/>
      <c r="AO734" s="51"/>
      <c r="AP734" s="51"/>
      <c r="AQ734" s="51"/>
      <c r="AR734" s="51"/>
      <c r="AS734" s="51"/>
      <c r="AT734" s="51"/>
    </row>
    <row r="735" spans="1:46">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1"/>
      <c r="AB735" s="51"/>
      <c r="AC735" s="51"/>
      <c r="AD735" s="51"/>
      <c r="AE735" s="51"/>
      <c r="AF735" s="51"/>
      <c r="AG735" s="51"/>
      <c r="AH735" s="51"/>
      <c r="AI735" s="51"/>
      <c r="AJ735" s="51"/>
      <c r="AK735" s="51"/>
      <c r="AL735" s="51"/>
      <c r="AM735" s="51"/>
      <c r="AN735" s="51"/>
      <c r="AO735" s="51"/>
      <c r="AP735" s="51"/>
      <c r="AQ735" s="51"/>
      <c r="AR735" s="51"/>
      <c r="AS735" s="51"/>
      <c r="AT735" s="51"/>
    </row>
    <row r="736" spans="1:46">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c r="AF736" s="51"/>
      <c r="AG736" s="51"/>
      <c r="AH736" s="51"/>
      <c r="AI736" s="51"/>
      <c r="AJ736" s="51"/>
      <c r="AK736" s="51"/>
      <c r="AL736" s="51"/>
      <c r="AM736" s="51"/>
      <c r="AN736" s="51"/>
      <c r="AO736" s="51"/>
      <c r="AP736" s="51"/>
      <c r="AQ736" s="51"/>
      <c r="AR736" s="51"/>
      <c r="AS736" s="51"/>
      <c r="AT736" s="51"/>
    </row>
    <row r="737" spans="1:46">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c r="AK737" s="51"/>
      <c r="AL737" s="51"/>
      <c r="AM737" s="51"/>
      <c r="AN737" s="51"/>
      <c r="AO737" s="51"/>
      <c r="AP737" s="51"/>
      <c r="AQ737" s="51"/>
      <c r="AR737" s="51"/>
      <c r="AS737" s="51"/>
      <c r="AT737" s="51"/>
    </row>
    <row r="738" spans="1:46">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c r="AG738" s="51"/>
      <c r="AH738" s="51"/>
      <c r="AI738" s="51"/>
      <c r="AJ738" s="51"/>
      <c r="AK738" s="51"/>
      <c r="AL738" s="51"/>
      <c r="AM738" s="51"/>
      <c r="AN738" s="51"/>
      <c r="AO738" s="51"/>
      <c r="AP738" s="51"/>
      <c r="AQ738" s="51"/>
      <c r="AR738" s="51"/>
      <c r="AS738" s="51"/>
      <c r="AT738" s="51"/>
    </row>
    <row r="739" spans="1:46">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c r="AF739" s="51"/>
      <c r="AG739" s="51"/>
      <c r="AH739" s="51"/>
      <c r="AI739" s="51"/>
      <c r="AJ739" s="51"/>
      <c r="AK739" s="51"/>
      <c r="AL739" s="51"/>
      <c r="AM739" s="51"/>
      <c r="AN739" s="51"/>
      <c r="AO739" s="51"/>
      <c r="AP739" s="51"/>
      <c r="AQ739" s="51"/>
      <c r="AR739" s="51"/>
      <c r="AS739" s="51"/>
      <c r="AT739" s="51"/>
    </row>
    <row r="740" spans="1:46">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c r="AG740" s="51"/>
      <c r="AH740" s="51"/>
      <c r="AI740" s="51"/>
      <c r="AJ740" s="51"/>
      <c r="AK740" s="51"/>
      <c r="AL740" s="51"/>
      <c r="AM740" s="51"/>
      <c r="AN740" s="51"/>
      <c r="AO740" s="51"/>
      <c r="AP740" s="51"/>
      <c r="AQ740" s="51"/>
      <c r="AR740" s="51"/>
      <c r="AS740" s="51"/>
      <c r="AT740" s="51"/>
    </row>
    <row r="741" spans="1:46">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c r="AF741" s="51"/>
      <c r="AG741" s="51"/>
      <c r="AH741" s="51"/>
      <c r="AI741" s="51"/>
      <c r="AJ741" s="51"/>
      <c r="AK741" s="51"/>
      <c r="AL741" s="51"/>
      <c r="AM741" s="51"/>
      <c r="AN741" s="51"/>
      <c r="AO741" s="51"/>
      <c r="AP741" s="51"/>
      <c r="AQ741" s="51"/>
      <c r="AR741" s="51"/>
      <c r="AS741" s="51"/>
      <c r="AT741" s="51"/>
    </row>
    <row r="742" spans="1:46">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c r="AE742" s="51"/>
      <c r="AF742" s="51"/>
      <c r="AG742" s="51"/>
      <c r="AH742" s="51"/>
      <c r="AI742" s="51"/>
      <c r="AJ742" s="51"/>
      <c r="AK742" s="51"/>
      <c r="AL742" s="51"/>
      <c r="AM742" s="51"/>
      <c r="AN742" s="51"/>
      <c r="AO742" s="51"/>
      <c r="AP742" s="51"/>
      <c r="AQ742" s="51"/>
      <c r="AR742" s="51"/>
      <c r="AS742" s="51"/>
      <c r="AT742" s="51"/>
    </row>
    <row r="743" spans="1:46">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c r="AA743" s="51"/>
      <c r="AB743" s="51"/>
      <c r="AC743" s="51"/>
      <c r="AD743" s="51"/>
      <c r="AE743" s="51"/>
      <c r="AF743" s="51"/>
      <c r="AG743" s="51"/>
      <c r="AH743" s="51"/>
      <c r="AI743" s="51"/>
      <c r="AJ743" s="51"/>
      <c r="AK743" s="51"/>
      <c r="AL743" s="51"/>
      <c r="AM743" s="51"/>
      <c r="AN743" s="51"/>
      <c r="AO743" s="51"/>
      <c r="AP743" s="51"/>
      <c r="AQ743" s="51"/>
      <c r="AR743" s="51"/>
      <c r="AS743" s="51"/>
      <c r="AT743" s="51"/>
    </row>
    <row r="744" spans="1:46">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c r="AE744" s="51"/>
      <c r="AF744" s="51"/>
      <c r="AG744" s="51"/>
      <c r="AH744" s="51"/>
      <c r="AI744" s="51"/>
      <c r="AJ744" s="51"/>
      <c r="AK744" s="51"/>
      <c r="AL744" s="51"/>
      <c r="AM744" s="51"/>
      <c r="AN744" s="51"/>
      <c r="AO744" s="51"/>
      <c r="AP744" s="51"/>
      <c r="AQ744" s="51"/>
      <c r="AR744" s="51"/>
      <c r="AS744" s="51"/>
      <c r="AT744" s="51"/>
    </row>
    <row r="745" spans="1:46">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c r="AE745" s="51"/>
      <c r="AF745" s="51"/>
      <c r="AG745" s="51"/>
      <c r="AH745" s="51"/>
      <c r="AI745" s="51"/>
      <c r="AJ745" s="51"/>
      <c r="AK745" s="51"/>
      <c r="AL745" s="51"/>
      <c r="AM745" s="51"/>
      <c r="AN745" s="51"/>
      <c r="AO745" s="51"/>
      <c r="AP745" s="51"/>
      <c r="AQ745" s="51"/>
      <c r="AR745" s="51"/>
      <c r="AS745" s="51"/>
      <c r="AT745" s="51"/>
    </row>
    <row r="746" spans="1:46">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c r="AE746" s="51"/>
      <c r="AF746" s="51"/>
      <c r="AG746" s="51"/>
      <c r="AH746" s="51"/>
      <c r="AI746" s="51"/>
      <c r="AJ746" s="51"/>
      <c r="AK746" s="51"/>
      <c r="AL746" s="51"/>
      <c r="AM746" s="51"/>
      <c r="AN746" s="51"/>
      <c r="AO746" s="51"/>
      <c r="AP746" s="51"/>
      <c r="AQ746" s="51"/>
      <c r="AR746" s="51"/>
      <c r="AS746" s="51"/>
      <c r="AT746" s="51"/>
    </row>
    <row r="747" spans="1:46">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c r="AA747" s="51"/>
      <c r="AB747" s="51"/>
      <c r="AC747" s="51"/>
      <c r="AD747" s="51"/>
      <c r="AE747" s="51"/>
      <c r="AF747" s="51"/>
      <c r="AG747" s="51"/>
      <c r="AH747" s="51"/>
      <c r="AI747" s="51"/>
      <c r="AJ747" s="51"/>
      <c r="AK747" s="51"/>
      <c r="AL747" s="51"/>
      <c r="AM747" s="51"/>
      <c r="AN747" s="51"/>
      <c r="AO747" s="51"/>
      <c r="AP747" s="51"/>
      <c r="AQ747" s="51"/>
      <c r="AR747" s="51"/>
      <c r="AS747" s="51"/>
      <c r="AT747" s="51"/>
    </row>
    <row r="748" spans="1:46">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c r="AE748" s="51"/>
      <c r="AF748" s="51"/>
      <c r="AG748" s="51"/>
      <c r="AH748" s="51"/>
      <c r="AI748" s="51"/>
      <c r="AJ748" s="51"/>
      <c r="AK748" s="51"/>
      <c r="AL748" s="51"/>
      <c r="AM748" s="51"/>
      <c r="AN748" s="51"/>
      <c r="AO748" s="51"/>
      <c r="AP748" s="51"/>
      <c r="AQ748" s="51"/>
      <c r="AR748" s="51"/>
      <c r="AS748" s="51"/>
      <c r="AT748" s="51"/>
    </row>
    <row r="749" spans="1:46">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c r="AA749" s="51"/>
      <c r="AB749" s="51"/>
      <c r="AC749" s="51"/>
      <c r="AD749" s="51"/>
      <c r="AE749" s="51"/>
      <c r="AF749" s="51"/>
      <c r="AG749" s="51"/>
      <c r="AH749" s="51"/>
      <c r="AI749" s="51"/>
      <c r="AJ749" s="51"/>
      <c r="AK749" s="51"/>
      <c r="AL749" s="51"/>
      <c r="AM749" s="51"/>
      <c r="AN749" s="51"/>
      <c r="AO749" s="51"/>
      <c r="AP749" s="51"/>
      <c r="AQ749" s="51"/>
      <c r="AR749" s="51"/>
      <c r="AS749" s="51"/>
      <c r="AT749" s="51"/>
    </row>
    <row r="750" spans="1:46">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c r="AE750" s="51"/>
      <c r="AF750" s="51"/>
      <c r="AG750" s="51"/>
      <c r="AH750" s="51"/>
      <c r="AI750" s="51"/>
      <c r="AJ750" s="51"/>
      <c r="AK750" s="51"/>
      <c r="AL750" s="51"/>
      <c r="AM750" s="51"/>
      <c r="AN750" s="51"/>
      <c r="AO750" s="51"/>
      <c r="AP750" s="51"/>
      <c r="AQ750" s="51"/>
      <c r="AR750" s="51"/>
      <c r="AS750" s="51"/>
      <c r="AT750" s="51"/>
    </row>
    <row r="751" spans="1:46">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1"/>
      <c r="AB751" s="51"/>
      <c r="AC751" s="51"/>
      <c r="AD751" s="51"/>
      <c r="AE751" s="51"/>
      <c r="AF751" s="51"/>
      <c r="AG751" s="51"/>
      <c r="AH751" s="51"/>
      <c r="AI751" s="51"/>
      <c r="AJ751" s="51"/>
      <c r="AK751" s="51"/>
      <c r="AL751" s="51"/>
      <c r="AM751" s="51"/>
      <c r="AN751" s="51"/>
      <c r="AO751" s="51"/>
      <c r="AP751" s="51"/>
      <c r="AQ751" s="51"/>
      <c r="AR751" s="51"/>
      <c r="AS751" s="51"/>
      <c r="AT751" s="51"/>
    </row>
    <row r="752" spans="1:46">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c r="AF752" s="51"/>
      <c r="AG752" s="51"/>
      <c r="AH752" s="51"/>
      <c r="AI752" s="51"/>
      <c r="AJ752" s="51"/>
      <c r="AK752" s="51"/>
      <c r="AL752" s="51"/>
      <c r="AM752" s="51"/>
      <c r="AN752" s="51"/>
      <c r="AO752" s="51"/>
      <c r="AP752" s="51"/>
      <c r="AQ752" s="51"/>
      <c r="AR752" s="51"/>
      <c r="AS752" s="51"/>
      <c r="AT752" s="51"/>
    </row>
    <row r="753" spans="1:46">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c r="AF753" s="51"/>
      <c r="AG753" s="51"/>
      <c r="AH753" s="51"/>
      <c r="AI753" s="51"/>
      <c r="AJ753" s="51"/>
      <c r="AK753" s="51"/>
      <c r="AL753" s="51"/>
      <c r="AM753" s="51"/>
      <c r="AN753" s="51"/>
      <c r="AO753" s="51"/>
      <c r="AP753" s="51"/>
      <c r="AQ753" s="51"/>
      <c r="AR753" s="51"/>
      <c r="AS753" s="51"/>
      <c r="AT753" s="51"/>
    </row>
    <row r="754" spans="1:46">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c r="AA754" s="51"/>
      <c r="AB754" s="51"/>
      <c r="AC754" s="51"/>
      <c r="AD754" s="51"/>
      <c r="AE754" s="51"/>
      <c r="AF754" s="51"/>
      <c r="AG754" s="51"/>
      <c r="AH754" s="51"/>
      <c r="AI754" s="51"/>
      <c r="AJ754" s="51"/>
      <c r="AK754" s="51"/>
      <c r="AL754" s="51"/>
      <c r="AM754" s="51"/>
      <c r="AN754" s="51"/>
      <c r="AO754" s="51"/>
      <c r="AP754" s="51"/>
      <c r="AQ754" s="51"/>
      <c r="AR754" s="51"/>
      <c r="AS754" s="51"/>
      <c r="AT754" s="51"/>
    </row>
    <row r="755" spans="1:46">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c r="AA755" s="51"/>
      <c r="AB755" s="51"/>
      <c r="AC755" s="51"/>
      <c r="AD755" s="51"/>
      <c r="AE755" s="51"/>
      <c r="AF755" s="51"/>
      <c r="AG755" s="51"/>
      <c r="AH755" s="51"/>
      <c r="AI755" s="51"/>
      <c r="AJ755" s="51"/>
      <c r="AK755" s="51"/>
      <c r="AL755" s="51"/>
      <c r="AM755" s="51"/>
      <c r="AN755" s="51"/>
      <c r="AO755" s="51"/>
      <c r="AP755" s="51"/>
      <c r="AQ755" s="51"/>
      <c r="AR755" s="51"/>
      <c r="AS755" s="51"/>
      <c r="AT755" s="51"/>
    </row>
    <row r="756" spans="1:46">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c r="AA756" s="51"/>
      <c r="AB756" s="51"/>
      <c r="AC756" s="51"/>
      <c r="AD756" s="51"/>
      <c r="AE756" s="51"/>
      <c r="AF756" s="51"/>
      <c r="AG756" s="51"/>
      <c r="AH756" s="51"/>
      <c r="AI756" s="51"/>
      <c r="AJ756" s="51"/>
      <c r="AK756" s="51"/>
      <c r="AL756" s="51"/>
      <c r="AM756" s="51"/>
      <c r="AN756" s="51"/>
      <c r="AO756" s="51"/>
      <c r="AP756" s="51"/>
      <c r="AQ756" s="51"/>
      <c r="AR756" s="51"/>
      <c r="AS756" s="51"/>
      <c r="AT756" s="51"/>
    </row>
    <row r="757" spans="1:46">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c r="AA757" s="51"/>
      <c r="AB757" s="51"/>
      <c r="AC757" s="51"/>
      <c r="AD757" s="51"/>
      <c r="AE757" s="51"/>
      <c r="AF757" s="51"/>
      <c r="AG757" s="51"/>
      <c r="AH757" s="51"/>
      <c r="AI757" s="51"/>
      <c r="AJ757" s="51"/>
      <c r="AK757" s="51"/>
      <c r="AL757" s="51"/>
      <c r="AM757" s="51"/>
      <c r="AN757" s="51"/>
      <c r="AO757" s="51"/>
      <c r="AP757" s="51"/>
      <c r="AQ757" s="51"/>
      <c r="AR757" s="51"/>
      <c r="AS757" s="51"/>
      <c r="AT757" s="51"/>
    </row>
    <row r="758" spans="1:46">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c r="AA758" s="51"/>
      <c r="AB758" s="51"/>
      <c r="AC758" s="51"/>
      <c r="AD758" s="51"/>
      <c r="AE758" s="51"/>
      <c r="AF758" s="51"/>
      <c r="AG758" s="51"/>
      <c r="AH758" s="51"/>
      <c r="AI758" s="51"/>
      <c r="AJ758" s="51"/>
      <c r="AK758" s="51"/>
      <c r="AL758" s="51"/>
      <c r="AM758" s="51"/>
      <c r="AN758" s="51"/>
      <c r="AO758" s="51"/>
      <c r="AP758" s="51"/>
      <c r="AQ758" s="51"/>
      <c r="AR758" s="51"/>
      <c r="AS758" s="51"/>
      <c r="AT758" s="51"/>
    </row>
    <row r="759" spans="1:46">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c r="AA759" s="51"/>
      <c r="AB759" s="51"/>
      <c r="AC759" s="51"/>
      <c r="AD759" s="51"/>
      <c r="AE759" s="51"/>
      <c r="AF759" s="51"/>
      <c r="AG759" s="51"/>
      <c r="AH759" s="51"/>
      <c r="AI759" s="51"/>
      <c r="AJ759" s="51"/>
      <c r="AK759" s="51"/>
      <c r="AL759" s="51"/>
      <c r="AM759" s="51"/>
      <c r="AN759" s="51"/>
      <c r="AO759" s="51"/>
      <c r="AP759" s="51"/>
      <c r="AQ759" s="51"/>
      <c r="AR759" s="51"/>
      <c r="AS759" s="51"/>
      <c r="AT759" s="51"/>
    </row>
    <row r="760" spans="1:46">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c r="AA760" s="51"/>
      <c r="AB760" s="51"/>
      <c r="AC760" s="51"/>
      <c r="AD760" s="51"/>
      <c r="AE760" s="51"/>
      <c r="AF760" s="51"/>
      <c r="AG760" s="51"/>
      <c r="AH760" s="51"/>
      <c r="AI760" s="51"/>
      <c r="AJ760" s="51"/>
      <c r="AK760" s="51"/>
      <c r="AL760" s="51"/>
      <c r="AM760" s="51"/>
      <c r="AN760" s="51"/>
      <c r="AO760" s="51"/>
      <c r="AP760" s="51"/>
      <c r="AQ760" s="51"/>
      <c r="AR760" s="51"/>
      <c r="AS760" s="51"/>
      <c r="AT760" s="51"/>
    </row>
    <row r="761" spans="1:46">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c r="AA761" s="51"/>
      <c r="AB761" s="51"/>
      <c r="AC761" s="51"/>
      <c r="AD761" s="51"/>
      <c r="AE761" s="51"/>
      <c r="AF761" s="51"/>
      <c r="AG761" s="51"/>
      <c r="AH761" s="51"/>
      <c r="AI761" s="51"/>
      <c r="AJ761" s="51"/>
      <c r="AK761" s="51"/>
      <c r="AL761" s="51"/>
      <c r="AM761" s="51"/>
      <c r="AN761" s="51"/>
      <c r="AO761" s="51"/>
      <c r="AP761" s="51"/>
      <c r="AQ761" s="51"/>
      <c r="AR761" s="51"/>
      <c r="AS761" s="51"/>
      <c r="AT761" s="51"/>
    </row>
    <row r="762" spans="1:46">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c r="AF762" s="51"/>
      <c r="AG762" s="51"/>
      <c r="AH762" s="51"/>
      <c r="AI762" s="51"/>
      <c r="AJ762" s="51"/>
      <c r="AK762" s="51"/>
      <c r="AL762" s="51"/>
      <c r="AM762" s="51"/>
      <c r="AN762" s="51"/>
      <c r="AO762" s="51"/>
      <c r="AP762" s="51"/>
      <c r="AQ762" s="51"/>
      <c r="AR762" s="51"/>
      <c r="AS762" s="51"/>
      <c r="AT762" s="51"/>
    </row>
    <row r="763" spans="1:46">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c r="AA763" s="51"/>
      <c r="AB763" s="51"/>
      <c r="AC763" s="51"/>
      <c r="AD763" s="51"/>
      <c r="AE763" s="51"/>
      <c r="AF763" s="51"/>
      <c r="AG763" s="51"/>
      <c r="AH763" s="51"/>
      <c r="AI763" s="51"/>
      <c r="AJ763" s="51"/>
      <c r="AK763" s="51"/>
      <c r="AL763" s="51"/>
      <c r="AM763" s="51"/>
      <c r="AN763" s="51"/>
      <c r="AO763" s="51"/>
      <c r="AP763" s="51"/>
      <c r="AQ763" s="51"/>
      <c r="AR763" s="51"/>
      <c r="AS763" s="51"/>
      <c r="AT763" s="51"/>
    </row>
    <row r="764" spans="1:46">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c r="AE764" s="51"/>
      <c r="AF764" s="51"/>
      <c r="AG764" s="51"/>
      <c r="AH764" s="51"/>
      <c r="AI764" s="51"/>
      <c r="AJ764" s="51"/>
      <c r="AK764" s="51"/>
      <c r="AL764" s="51"/>
      <c r="AM764" s="51"/>
      <c r="AN764" s="51"/>
      <c r="AO764" s="51"/>
      <c r="AP764" s="51"/>
      <c r="AQ764" s="51"/>
      <c r="AR764" s="51"/>
      <c r="AS764" s="51"/>
      <c r="AT764" s="51"/>
    </row>
    <row r="765" spans="1:46">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c r="AA765" s="51"/>
      <c r="AB765" s="51"/>
      <c r="AC765" s="51"/>
      <c r="AD765" s="51"/>
      <c r="AE765" s="51"/>
      <c r="AF765" s="51"/>
      <c r="AG765" s="51"/>
      <c r="AH765" s="51"/>
      <c r="AI765" s="51"/>
      <c r="AJ765" s="51"/>
      <c r="AK765" s="51"/>
      <c r="AL765" s="51"/>
      <c r="AM765" s="51"/>
      <c r="AN765" s="51"/>
      <c r="AO765" s="51"/>
      <c r="AP765" s="51"/>
      <c r="AQ765" s="51"/>
      <c r="AR765" s="51"/>
      <c r="AS765" s="51"/>
      <c r="AT765" s="51"/>
    </row>
    <row r="766" spans="1:46">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c r="AA766" s="51"/>
      <c r="AB766" s="51"/>
      <c r="AC766" s="51"/>
      <c r="AD766" s="51"/>
      <c r="AE766" s="51"/>
      <c r="AF766" s="51"/>
      <c r="AG766" s="51"/>
      <c r="AH766" s="51"/>
      <c r="AI766" s="51"/>
      <c r="AJ766" s="51"/>
      <c r="AK766" s="51"/>
      <c r="AL766" s="51"/>
      <c r="AM766" s="51"/>
      <c r="AN766" s="51"/>
      <c r="AO766" s="51"/>
      <c r="AP766" s="51"/>
      <c r="AQ766" s="51"/>
      <c r="AR766" s="51"/>
      <c r="AS766" s="51"/>
      <c r="AT766" s="51"/>
    </row>
    <row r="767" spans="1:46">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c r="AA767" s="51"/>
      <c r="AB767" s="51"/>
      <c r="AC767" s="51"/>
      <c r="AD767" s="51"/>
      <c r="AE767" s="51"/>
      <c r="AF767" s="51"/>
      <c r="AG767" s="51"/>
      <c r="AH767" s="51"/>
      <c r="AI767" s="51"/>
      <c r="AJ767" s="51"/>
      <c r="AK767" s="51"/>
      <c r="AL767" s="51"/>
      <c r="AM767" s="51"/>
      <c r="AN767" s="51"/>
      <c r="AO767" s="51"/>
      <c r="AP767" s="51"/>
      <c r="AQ767" s="51"/>
      <c r="AR767" s="51"/>
      <c r="AS767" s="51"/>
      <c r="AT767" s="51"/>
    </row>
    <row r="768" spans="1:46">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c r="AA768" s="51"/>
      <c r="AB768" s="51"/>
      <c r="AC768" s="51"/>
      <c r="AD768" s="51"/>
      <c r="AE768" s="51"/>
      <c r="AF768" s="51"/>
      <c r="AG768" s="51"/>
      <c r="AH768" s="51"/>
      <c r="AI768" s="51"/>
      <c r="AJ768" s="51"/>
      <c r="AK768" s="51"/>
      <c r="AL768" s="51"/>
      <c r="AM768" s="51"/>
      <c r="AN768" s="51"/>
      <c r="AO768" s="51"/>
      <c r="AP768" s="51"/>
      <c r="AQ768" s="51"/>
      <c r="AR768" s="51"/>
      <c r="AS768" s="51"/>
      <c r="AT768" s="51"/>
    </row>
    <row r="769" spans="1:46">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c r="AA769" s="51"/>
      <c r="AB769" s="51"/>
      <c r="AC769" s="51"/>
      <c r="AD769" s="51"/>
      <c r="AE769" s="51"/>
      <c r="AF769" s="51"/>
      <c r="AG769" s="51"/>
      <c r="AH769" s="51"/>
      <c r="AI769" s="51"/>
      <c r="AJ769" s="51"/>
      <c r="AK769" s="51"/>
      <c r="AL769" s="51"/>
      <c r="AM769" s="51"/>
      <c r="AN769" s="51"/>
      <c r="AO769" s="51"/>
      <c r="AP769" s="51"/>
      <c r="AQ769" s="51"/>
      <c r="AR769" s="51"/>
      <c r="AS769" s="51"/>
      <c r="AT769" s="51"/>
    </row>
    <row r="770" spans="1:46">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c r="AA770" s="51"/>
      <c r="AB770" s="51"/>
      <c r="AC770" s="51"/>
      <c r="AD770" s="51"/>
      <c r="AE770" s="51"/>
      <c r="AF770" s="51"/>
      <c r="AG770" s="51"/>
      <c r="AH770" s="51"/>
      <c r="AI770" s="51"/>
      <c r="AJ770" s="51"/>
      <c r="AK770" s="51"/>
      <c r="AL770" s="51"/>
      <c r="AM770" s="51"/>
      <c r="AN770" s="51"/>
      <c r="AO770" s="51"/>
      <c r="AP770" s="51"/>
      <c r="AQ770" s="51"/>
      <c r="AR770" s="51"/>
      <c r="AS770" s="51"/>
      <c r="AT770" s="51"/>
    </row>
    <row r="771" spans="1:46">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c r="AA771" s="51"/>
      <c r="AB771" s="51"/>
      <c r="AC771" s="51"/>
      <c r="AD771" s="51"/>
      <c r="AE771" s="51"/>
      <c r="AF771" s="51"/>
      <c r="AG771" s="51"/>
      <c r="AH771" s="51"/>
      <c r="AI771" s="51"/>
      <c r="AJ771" s="51"/>
      <c r="AK771" s="51"/>
      <c r="AL771" s="51"/>
      <c r="AM771" s="51"/>
      <c r="AN771" s="51"/>
      <c r="AO771" s="51"/>
      <c r="AP771" s="51"/>
      <c r="AQ771" s="51"/>
      <c r="AR771" s="51"/>
      <c r="AS771" s="51"/>
      <c r="AT771" s="51"/>
    </row>
    <row r="772" spans="1:46">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c r="AA772" s="51"/>
      <c r="AB772" s="51"/>
      <c r="AC772" s="51"/>
      <c r="AD772" s="51"/>
      <c r="AE772" s="51"/>
      <c r="AF772" s="51"/>
      <c r="AG772" s="51"/>
      <c r="AH772" s="51"/>
      <c r="AI772" s="51"/>
      <c r="AJ772" s="51"/>
      <c r="AK772" s="51"/>
      <c r="AL772" s="51"/>
      <c r="AM772" s="51"/>
      <c r="AN772" s="51"/>
      <c r="AO772" s="51"/>
      <c r="AP772" s="51"/>
      <c r="AQ772" s="51"/>
      <c r="AR772" s="51"/>
      <c r="AS772" s="51"/>
      <c r="AT772" s="51"/>
    </row>
    <row r="773" spans="1:46">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c r="AA773" s="51"/>
      <c r="AB773" s="51"/>
      <c r="AC773" s="51"/>
      <c r="AD773" s="51"/>
      <c r="AE773" s="51"/>
      <c r="AF773" s="51"/>
      <c r="AG773" s="51"/>
      <c r="AH773" s="51"/>
      <c r="AI773" s="51"/>
      <c r="AJ773" s="51"/>
      <c r="AK773" s="51"/>
      <c r="AL773" s="51"/>
      <c r="AM773" s="51"/>
      <c r="AN773" s="51"/>
      <c r="AO773" s="51"/>
      <c r="AP773" s="51"/>
      <c r="AQ773" s="51"/>
      <c r="AR773" s="51"/>
      <c r="AS773" s="51"/>
      <c r="AT773" s="51"/>
    </row>
    <row r="774" spans="1:46">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c r="AA774" s="51"/>
      <c r="AB774" s="51"/>
      <c r="AC774" s="51"/>
      <c r="AD774" s="51"/>
      <c r="AE774" s="51"/>
      <c r="AF774" s="51"/>
      <c r="AG774" s="51"/>
      <c r="AH774" s="51"/>
      <c r="AI774" s="51"/>
      <c r="AJ774" s="51"/>
      <c r="AK774" s="51"/>
      <c r="AL774" s="51"/>
      <c r="AM774" s="51"/>
      <c r="AN774" s="51"/>
      <c r="AO774" s="51"/>
      <c r="AP774" s="51"/>
      <c r="AQ774" s="51"/>
      <c r="AR774" s="51"/>
      <c r="AS774" s="51"/>
      <c r="AT774" s="51"/>
    </row>
    <row r="775" spans="1:46">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c r="AA775" s="51"/>
      <c r="AB775" s="51"/>
      <c r="AC775" s="51"/>
      <c r="AD775" s="51"/>
      <c r="AE775" s="51"/>
      <c r="AF775" s="51"/>
      <c r="AG775" s="51"/>
      <c r="AH775" s="51"/>
      <c r="AI775" s="51"/>
      <c r="AJ775" s="51"/>
      <c r="AK775" s="51"/>
      <c r="AL775" s="51"/>
      <c r="AM775" s="51"/>
      <c r="AN775" s="51"/>
      <c r="AO775" s="51"/>
      <c r="AP775" s="51"/>
      <c r="AQ775" s="51"/>
      <c r="AR775" s="51"/>
      <c r="AS775" s="51"/>
      <c r="AT775" s="51"/>
    </row>
    <row r="776" spans="1:46">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c r="AA776" s="51"/>
      <c r="AB776" s="51"/>
      <c r="AC776" s="51"/>
      <c r="AD776" s="51"/>
      <c r="AE776" s="51"/>
      <c r="AF776" s="51"/>
      <c r="AG776" s="51"/>
      <c r="AH776" s="51"/>
      <c r="AI776" s="51"/>
      <c r="AJ776" s="51"/>
      <c r="AK776" s="51"/>
      <c r="AL776" s="51"/>
      <c r="AM776" s="51"/>
      <c r="AN776" s="51"/>
      <c r="AO776" s="51"/>
      <c r="AP776" s="51"/>
      <c r="AQ776" s="51"/>
      <c r="AR776" s="51"/>
      <c r="AS776" s="51"/>
      <c r="AT776" s="51"/>
    </row>
    <row r="777" spans="1:46">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c r="AA777" s="51"/>
      <c r="AB777" s="51"/>
      <c r="AC777" s="51"/>
      <c r="AD777" s="51"/>
      <c r="AE777" s="51"/>
      <c r="AF777" s="51"/>
      <c r="AG777" s="51"/>
      <c r="AH777" s="51"/>
      <c r="AI777" s="51"/>
      <c r="AJ777" s="51"/>
      <c r="AK777" s="51"/>
      <c r="AL777" s="51"/>
      <c r="AM777" s="51"/>
      <c r="AN777" s="51"/>
      <c r="AO777" s="51"/>
      <c r="AP777" s="51"/>
      <c r="AQ777" s="51"/>
      <c r="AR777" s="51"/>
      <c r="AS777" s="51"/>
      <c r="AT777" s="51"/>
    </row>
    <row r="778" spans="1:46">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1"/>
      <c r="AE778" s="51"/>
      <c r="AF778" s="51"/>
      <c r="AG778" s="51"/>
      <c r="AH778" s="51"/>
      <c r="AI778" s="51"/>
      <c r="AJ778" s="51"/>
      <c r="AK778" s="51"/>
      <c r="AL778" s="51"/>
      <c r="AM778" s="51"/>
      <c r="AN778" s="51"/>
      <c r="AO778" s="51"/>
      <c r="AP778" s="51"/>
      <c r="AQ778" s="51"/>
      <c r="AR778" s="51"/>
      <c r="AS778" s="51"/>
      <c r="AT778" s="51"/>
    </row>
    <row r="779" spans="1:46">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c r="AA779" s="51"/>
      <c r="AB779" s="51"/>
      <c r="AC779" s="51"/>
      <c r="AD779" s="51"/>
      <c r="AE779" s="51"/>
      <c r="AF779" s="51"/>
      <c r="AG779" s="51"/>
      <c r="AH779" s="51"/>
      <c r="AI779" s="51"/>
      <c r="AJ779" s="51"/>
      <c r="AK779" s="51"/>
      <c r="AL779" s="51"/>
      <c r="AM779" s="51"/>
      <c r="AN779" s="51"/>
      <c r="AO779" s="51"/>
      <c r="AP779" s="51"/>
      <c r="AQ779" s="51"/>
      <c r="AR779" s="51"/>
      <c r="AS779" s="51"/>
      <c r="AT779" s="51"/>
    </row>
    <row r="780" spans="1:46">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c r="AA780" s="51"/>
      <c r="AB780" s="51"/>
      <c r="AC780" s="51"/>
      <c r="AD780" s="51"/>
      <c r="AE780" s="51"/>
      <c r="AF780" s="51"/>
      <c r="AG780" s="51"/>
      <c r="AH780" s="51"/>
      <c r="AI780" s="51"/>
      <c r="AJ780" s="51"/>
      <c r="AK780" s="51"/>
      <c r="AL780" s="51"/>
      <c r="AM780" s="51"/>
      <c r="AN780" s="51"/>
      <c r="AO780" s="51"/>
      <c r="AP780" s="51"/>
      <c r="AQ780" s="51"/>
      <c r="AR780" s="51"/>
      <c r="AS780" s="51"/>
      <c r="AT780" s="51"/>
    </row>
    <row r="781" spans="1:46">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c r="AA781" s="51"/>
      <c r="AB781" s="51"/>
      <c r="AC781" s="51"/>
      <c r="AD781" s="51"/>
      <c r="AE781" s="51"/>
      <c r="AF781" s="51"/>
      <c r="AG781" s="51"/>
      <c r="AH781" s="51"/>
      <c r="AI781" s="51"/>
      <c r="AJ781" s="51"/>
      <c r="AK781" s="51"/>
      <c r="AL781" s="51"/>
      <c r="AM781" s="51"/>
      <c r="AN781" s="51"/>
      <c r="AO781" s="51"/>
      <c r="AP781" s="51"/>
      <c r="AQ781" s="51"/>
      <c r="AR781" s="51"/>
      <c r="AS781" s="51"/>
      <c r="AT781" s="51"/>
    </row>
    <row r="782" spans="1:46">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c r="AA782" s="51"/>
      <c r="AB782" s="51"/>
      <c r="AC782" s="51"/>
      <c r="AD782" s="51"/>
      <c r="AE782" s="51"/>
      <c r="AF782" s="51"/>
      <c r="AG782" s="51"/>
      <c r="AH782" s="51"/>
      <c r="AI782" s="51"/>
      <c r="AJ782" s="51"/>
      <c r="AK782" s="51"/>
      <c r="AL782" s="51"/>
      <c r="AM782" s="51"/>
      <c r="AN782" s="51"/>
      <c r="AO782" s="51"/>
      <c r="AP782" s="51"/>
      <c r="AQ782" s="51"/>
      <c r="AR782" s="51"/>
      <c r="AS782" s="51"/>
      <c r="AT782" s="51"/>
    </row>
    <row r="783" spans="1:46">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c r="AA783" s="51"/>
      <c r="AB783" s="51"/>
      <c r="AC783" s="51"/>
      <c r="AD783" s="51"/>
      <c r="AE783" s="51"/>
      <c r="AF783" s="51"/>
      <c r="AG783" s="51"/>
      <c r="AH783" s="51"/>
      <c r="AI783" s="51"/>
      <c r="AJ783" s="51"/>
      <c r="AK783" s="51"/>
      <c r="AL783" s="51"/>
      <c r="AM783" s="51"/>
      <c r="AN783" s="51"/>
      <c r="AO783" s="51"/>
      <c r="AP783" s="51"/>
      <c r="AQ783" s="51"/>
      <c r="AR783" s="51"/>
      <c r="AS783" s="51"/>
      <c r="AT783" s="51"/>
    </row>
    <row r="784" spans="1:46">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c r="AA784" s="51"/>
      <c r="AB784" s="51"/>
      <c r="AC784" s="51"/>
      <c r="AD784" s="51"/>
      <c r="AE784" s="51"/>
      <c r="AF784" s="51"/>
      <c r="AG784" s="51"/>
      <c r="AH784" s="51"/>
      <c r="AI784" s="51"/>
      <c r="AJ784" s="51"/>
      <c r="AK784" s="51"/>
      <c r="AL784" s="51"/>
      <c r="AM784" s="51"/>
      <c r="AN784" s="51"/>
      <c r="AO784" s="51"/>
      <c r="AP784" s="51"/>
      <c r="AQ784" s="51"/>
      <c r="AR784" s="51"/>
      <c r="AS784" s="51"/>
      <c r="AT784" s="51"/>
    </row>
    <row r="785" spans="1:46">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c r="AA785" s="51"/>
      <c r="AB785" s="51"/>
      <c r="AC785" s="51"/>
      <c r="AD785" s="51"/>
      <c r="AE785" s="51"/>
      <c r="AF785" s="51"/>
      <c r="AG785" s="51"/>
      <c r="AH785" s="51"/>
      <c r="AI785" s="51"/>
      <c r="AJ785" s="51"/>
      <c r="AK785" s="51"/>
      <c r="AL785" s="51"/>
      <c r="AM785" s="51"/>
      <c r="AN785" s="51"/>
      <c r="AO785" s="51"/>
      <c r="AP785" s="51"/>
      <c r="AQ785" s="51"/>
      <c r="AR785" s="51"/>
      <c r="AS785" s="51"/>
      <c r="AT785" s="51"/>
    </row>
    <row r="786" spans="1:46">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c r="AA786" s="51"/>
      <c r="AB786" s="51"/>
      <c r="AC786" s="51"/>
      <c r="AD786" s="51"/>
      <c r="AE786" s="51"/>
      <c r="AF786" s="51"/>
      <c r="AG786" s="51"/>
      <c r="AH786" s="51"/>
      <c r="AI786" s="51"/>
      <c r="AJ786" s="51"/>
      <c r="AK786" s="51"/>
      <c r="AL786" s="51"/>
      <c r="AM786" s="51"/>
      <c r="AN786" s="51"/>
      <c r="AO786" s="51"/>
      <c r="AP786" s="51"/>
      <c r="AQ786" s="51"/>
      <c r="AR786" s="51"/>
      <c r="AS786" s="51"/>
      <c r="AT786" s="51"/>
    </row>
    <row r="787" spans="1:46">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c r="AA787" s="51"/>
      <c r="AB787" s="51"/>
      <c r="AC787" s="51"/>
      <c r="AD787" s="51"/>
      <c r="AE787" s="51"/>
      <c r="AF787" s="51"/>
      <c r="AG787" s="51"/>
      <c r="AH787" s="51"/>
      <c r="AI787" s="51"/>
      <c r="AJ787" s="51"/>
      <c r="AK787" s="51"/>
      <c r="AL787" s="51"/>
      <c r="AM787" s="51"/>
      <c r="AN787" s="51"/>
      <c r="AO787" s="51"/>
      <c r="AP787" s="51"/>
      <c r="AQ787" s="51"/>
      <c r="AR787" s="51"/>
      <c r="AS787" s="51"/>
      <c r="AT787" s="51"/>
    </row>
    <row r="788" spans="1:46">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c r="AE788" s="51"/>
      <c r="AF788" s="51"/>
      <c r="AG788" s="51"/>
      <c r="AH788" s="51"/>
      <c r="AI788" s="51"/>
      <c r="AJ788" s="51"/>
      <c r="AK788" s="51"/>
      <c r="AL788" s="51"/>
      <c r="AM788" s="51"/>
      <c r="AN788" s="51"/>
      <c r="AO788" s="51"/>
      <c r="AP788" s="51"/>
      <c r="AQ788" s="51"/>
      <c r="AR788" s="51"/>
      <c r="AS788" s="51"/>
      <c r="AT788" s="51"/>
    </row>
  </sheetData>
  <mergeCells count="5">
    <mergeCell ref="C14:F14"/>
    <mergeCell ref="C23:AN23"/>
    <mergeCell ref="B3:AS3"/>
    <mergeCell ref="B4:AS4"/>
    <mergeCell ref="C13:AR13"/>
  </mergeCells>
  <pageMargins left="0.7" right="0.7" top="0.75" bottom="0.75" header="0.3" footer="0.3"/>
  <pageSetup paperSize="9" scale="27" orientation="portrait" r:id="rId1"/>
  <colBreaks count="1" manualBreakCount="1">
    <brk id="46" max="1048575" man="1"/>
  </colBreaks>
  <drawing r:id="rId2"/>
</worksheet>
</file>

<file path=xl/worksheets/sheet6.xml><?xml version="1.0" encoding="utf-8"?>
<worksheet xmlns="http://schemas.openxmlformats.org/spreadsheetml/2006/main" xmlns:r="http://schemas.openxmlformats.org/officeDocument/2006/relationships">
  <dimension ref="A1:F43"/>
  <sheetViews>
    <sheetView view="pageBreakPreview" topLeftCell="A40" zoomScale="85" zoomScaleNormal="70" zoomScaleSheetLayoutView="85" workbookViewId="0">
      <selection activeCell="G69" sqref="G69"/>
    </sheetView>
  </sheetViews>
  <sheetFormatPr defaultColWidth="55.28515625" defaultRowHeight="15"/>
  <cols>
    <col min="1" max="1" width="55.28515625" style="444"/>
    <col min="2" max="3" width="4.85546875" style="444" customWidth="1"/>
    <col min="4" max="4" width="5.85546875" style="276" customWidth="1"/>
    <col min="5" max="5" width="4.5703125" style="276" customWidth="1"/>
    <col min="6" max="6" width="9.7109375" style="451" customWidth="1"/>
    <col min="7" max="16384" width="55.28515625" style="276"/>
  </cols>
  <sheetData>
    <row r="1" spans="1:6" ht="15.75">
      <c r="A1" s="449" t="s">
        <v>316</v>
      </c>
      <c r="B1" s="445">
        <v>0</v>
      </c>
      <c r="C1" s="449">
        <v>7</v>
      </c>
    </row>
    <row r="2" spans="1:6" ht="15.75">
      <c r="A2" s="448" t="s">
        <v>315</v>
      </c>
      <c r="B2" s="446">
        <v>0</v>
      </c>
      <c r="C2" s="448">
        <v>7</v>
      </c>
      <c r="E2" s="276">
        <f t="shared" ref="E2:E4" si="0">IF((E3-1)&lt;=0,12,E3-1)</f>
        <v>1</v>
      </c>
      <c r="F2" s="451" t="str">
        <f>VLOOKUP(E2,'Data 1'!$E$2:$F$13,2,0)</f>
        <v>Январь</v>
      </c>
    </row>
    <row r="3" spans="1:6" ht="15.75">
      <c r="A3" s="448" t="s">
        <v>314</v>
      </c>
      <c r="B3" s="446">
        <v>0</v>
      </c>
      <c r="C3" s="448">
        <v>7</v>
      </c>
      <c r="E3" s="276">
        <f t="shared" si="0"/>
        <v>2</v>
      </c>
      <c r="F3" s="451" t="str">
        <f>VLOOKUP(E3,'Data 1'!$E$2:$F$13,2,0)</f>
        <v>Февраль</v>
      </c>
    </row>
    <row r="4" spans="1:6" ht="15.75">
      <c r="A4" s="449" t="s">
        <v>313</v>
      </c>
      <c r="B4" s="445">
        <v>0</v>
      </c>
      <c r="C4" s="449">
        <v>7</v>
      </c>
      <c r="E4" s="276">
        <f t="shared" si="0"/>
        <v>3</v>
      </c>
      <c r="F4" s="451" t="str">
        <f>VLOOKUP(E4,'Data 1'!$E$2:$F$13,2,0)</f>
        <v>Март</v>
      </c>
    </row>
    <row r="5" spans="1:6" ht="31.5">
      <c r="A5" s="449" t="s">
        <v>312</v>
      </c>
      <c r="B5" s="445">
        <v>0</v>
      </c>
      <c r="C5" s="449">
        <v>7</v>
      </c>
      <c r="E5" s="276">
        <f>IF((E6-1)&lt;=0,12,E6-1)</f>
        <v>4</v>
      </c>
      <c r="F5" s="451" t="str">
        <f>VLOOKUP(E5,'Data 1'!$E$2:$F$13,2,0)</f>
        <v>Апрель</v>
      </c>
    </row>
    <row r="6" spans="1:6" ht="31.5">
      <c r="A6" s="449" t="s">
        <v>311</v>
      </c>
      <c r="B6" s="445">
        <v>0</v>
      </c>
      <c r="C6" s="449">
        <v>7</v>
      </c>
      <c r="D6" s="450" t="str">
        <f>'Входящие данные'!D10</f>
        <v>Май</v>
      </c>
      <c r="E6" s="276">
        <f>VLOOKUP(D6,'Data 1'!$B$1:$C$12,2,0)</f>
        <v>5</v>
      </c>
      <c r="F6" s="451" t="str">
        <f>VLOOKUP(E6,'Data 1'!$E$2:$F$13,2,0)</f>
        <v>Май</v>
      </c>
    </row>
    <row r="7" spans="1:6" ht="15.75">
      <c r="A7" s="448" t="s">
        <v>403</v>
      </c>
      <c r="B7" s="446">
        <v>0</v>
      </c>
      <c r="C7" s="448">
        <v>7</v>
      </c>
      <c r="E7" s="276">
        <f>E6+1</f>
        <v>6</v>
      </c>
      <c r="F7" s="451" t="str">
        <f>VLOOKUP(E7,'Data 1'!$E$2:$F$13,2,0)</f>
        <v>Июнь</v>
      </c>
    </row>
    <row r="8" spans="1:6" ht="15.75">
      <c r="A8" s="448" t="s">
        <v>310</v>
      </c>
      <c r="B8" s="446">
        <v>0</v>
      </c>
      <c r="C8" s="448">
        <v>14</v>
      </c>
    </row>
    <row r="9" spans="1:6" ht="15.75">
      <c r="A9" s="448" t="s">
        <v>309</v>
      </c>
      <c r="B9" s="446">
        <v>0</v>
      </c>
      <c r="C9" s="448">
        <v>14</v>
      </c>
    </row>
    <row r="10" spans="1:6" ht="31.5">
      <c r="A10" s="449" t="s">
        <v>308</v>
      </c>
      <c r="B10" s="445">
        <v>14</v>
      </c>
      <c r="C10" s="449">
        <v>7</v>
      </c>
    </row>
    <row r="11" spans="1:6" ht="15.75">
      <c r="A11" s="448" t="s">
        <v>307</v>
      </c>
      <c r="B11" s="446">
        <v>14</v>
      </c>
      <c r="C11" s="448">
        <v>7</v>
      </c>
    </row>
    <row r="12" spans="1:6" ht="31.5">
      <c r="A12" s="448" t="s">
        <v>399</v>
      </c>
      <c r="B12" s="446">
        <v>14</v>
      </c>
      <c r="C12" s="448">
        <v>7</v>
      </c>
    </row>
    <row r="13" spans="1:6" ht="31.5">
      <c r="A13" s="448" t="s">
        <v>306</v>
      </c>
      <c r="B13" s="446">
        <v>14</v>
      </c>
      <c r="C13" s="448">
        <v>7</v>
      </c>
    </row>
    <row r="14" spans="1:6" ht="15.75">
      <c r="A14" s="448" t="s">
        <v>305</v>
      </c>
      <c r="B14" s="446">
        <v>14</v>
      </c>
      <c r="C14" s="448">
        <v>7</v>
      </c>
    </row>
    <row r="15" spans="1:6" ht="15.75">
      <c r="A15" s="448" t="s">
        <v>304</v>
      </c>
      <c r="B15" s="446">
        <v>21</v>
      </c>
      <c r="C15" s="448">
        <v>14</v>
      </c>
    </row>
    <row r="16" spans="1:6" ht="31.5">
      <c r="A16" s="448" t="s">
        <v>303</v>
      </c>
      <c r="B16" s="446">
        <v>21</v>
      </c>
      <c r="C16" s="448">
        <v>14</v>
      </c>
    </row>
    <row r="17" spans="1:3" ht="15.75">
      <c r="A17" s="449" t="s">
        <v>302</v>
      </c>
      <c r="B17" s="445">
        <v>35</v>
      </c>
      <c r="C17" s="449">
        <v>14</v>
      </c>
    </row>
    <row r="18" spans="1:3" ht="31.5">
      <c r="A18" s="448" t="s">
        <v>301</v>
      </c>
      <c r="B18" s="446">
        <v>35</v>
      </c>
      <c r="C18" s="448">
        <v>7</v>
      </c>
    </row>
    <row r="19" spans="1:3" ht="31.5">
      <c r="A19" s="448" t="s">
        <v>300</v>
      </c>
      <c r="B19" s="446">
        <v>42</v>
      </c>
      <c r="C19" s="448">
        <v>7</v>
      </c>
    </row>
    <row r="20" spans="1:3" ht="15.75">
      <c r="A20" s="448" t="s">
        <v>299</v>
      </c>
      <c r="B20" s="446">
        <v>42</v>
      </c>
      <c r="C20" s="448">
        <v>28</v>
      </c>
    </row>
    <row r="21" spans="1:3" ht="15.75">
      <c r="A21" s="448" t="s">
        <v>298</v>
      </c>
      <c r="B21" s="446">
        <v>49</v>
      </c>
      <c r="C21" s="448">
        <v>28</v>
      </c>
    </row>
    <row r="22" spans="1:3" ht="15.75">
      <c r="A22" s="448" t="s">
        <v>297</v>
      </c>
      <c r="B22" s="446">
        <v>49</v>
      </c>
      <c r="C22" s="448">
        <v>29</v>
      </c>
    </row>
    <row r="23" spans="1:3" ht="15.75">
      <c r="A23" s="448" t="s">
        <v>296</v>
      </c>
      <c r="B23" s="446">
        <v>63</v>
      </c>
      <c r="C23" s="448">
        <v>7</v>
      </c>
    </row>
    <row r="24" spans="1:3" ht="15.75">
      <c r="A24" s="448" t="s">
        <v>295</v>
      </c>
      <c r="B24" s="446">
        <v>63</v>
      </c>
      <c r="C24" s="448">
        <v>7</v>
      </c>
    </row>
    <row r="25" spans="1:3" ht="31.5">
      <c r="A25" s="448" t="s">
        <v>294</v>
      </c>
      <c r="B25" s="446">
        <v>63</v>
      </c>
      <c r="C25" s="448">
        <v>14</v>
      </c>
    </row>
    <row r="26" spans="1:3" ht="15.75">
      <c r="A26" s="448" t="s">
        <v>293</v>
      </c>
      <c r="B26" s="446">
        <v>63</v>
      </c>
      <c r="C26" s="448">
        <v>14</v>
      </c>
    </row>
    <row r="27" spans="1:3" ht="31.5">
      <c r="A27" s="448" t="s">
        <v>292</v>
      </c>
      <c r="B27" s="446">
        <v>63</v>
      </c>
      <c r="C27" s="448">
        <v>7</v>
      </c>
    </row>
    <row r="28" spans="1:3" ht="15.75">
      <c r="A28" s="448" t="s">
        <v>400</v>
      </c>
      <c r="B28" s="446">
        <v>63</v>
      </c>
      <c r="C28" s="448">
        <v>105</v>
      </c>
    </row>
    <row r="29" spans="1:3" ht="31.5">
      <c r="A29" s="448" t="s">
        <v>291</v>
      </c>
      <c r="B29" s="446">
        <v>63</v>
      </c>
      <c r="C29" s="448">
        <v>28</v>
      </c>
    </row>
    <row r="30" spans="1:3" ht="31.5">
      <c r="A30" s="448" t="s">
        <v>290</v>
      </c>
      <c r="B30" s="446">
        <v>63</v>
      </c>
      <c r="C30" s="448">
        <v>28</v>
      </c>
    </row>
    <row r="31" spans="1:3" ht="31.5">
      <c r="A31" s="448" t="s">
        <v>394</v>
      </c>
      <c r="B31" s="446">
        <v>84</v>
      </c>
      <c r="C31" s="448">
        <v>7</v>
      </c>
    </row>
    <row r="32" spans="1:3" ht="15.75">
      <c r="A32" s="448" t="s">
        <v>397</v>
      </c>
      <c r="B32" s="446">
        <v>91</v>
      </c>
      <c r="C32" s="448">
        <v>77</v>
      </c>
    </row>
    <row r="33" spans="1:3" ht="31.5">
      <c r="A33" s="448" t="s">
        <v>396</v>
      </c>
      <c r="B33" s="446">
        <v>105</v>
      </c>
      <c r="C33" s="448">
        <v>63</v>
      </c>
    </row>
    <row r="34" spans="1:3" ht="15.75">
      <c r="A34" s="448" t="s">
        <v>402</v>
      </c>
      <c r="B34" s="446">
        <v>105</v>
      </c>
      <c r="C34" s="448">
        <v>63</v>
      </c>
    </row>
    <row r="35" spans="1:3" ht="31.5">
      <c r="A35" s="448" t="s">
        <v>398</v>
      </c>
      <c r="B35" s="446">
        <v>154</v>
      </c>
      <c r="C35" s="448">
        <v>14</v>
      </c>
    </row>
    <row r="36" spans="1:3" ht="31.5">
      <c r="A36" s="448" t="s">
        <v>401</v>
      </c>
      <c r="B36" s="446">
        <v>154</v>
      </c>
      <c r="C36" s="448">
        <v>14</v>
      </c>
    </row>
    <row r="37" spans="1:3" ht="31.5">
      <c r="A37" s="448" t="s">
        <v>289</v>
      </c>
      <c r="B37" s="446">
        <v>161</v>
      </c>
      <c r="C37" s="448">
        <v>7</v>
      </c>
    </row>
    <row r="38" spans="1:3" ht="31.5">
      <c r="A38" s="448" t="s">
        <v>288</v>
      </c>
      <c r="B38" s="446">
        <v>161</v>
      </c>
      <c r="C38" s="448">
        <v>7</v>
      </c>
    </row>
    <row r="39" spans="1:3" ht="15.75">
      <c r="A39" s="448" t="s">
        <v>395</v>
      </c>
      <c r="B39" s="446">
        <v>161</v>
      </c>
      <c r="C39" s="448">
        <v>7</v>
      </c>
    </row>
    <row r="40" spans="1:3" ht="15.75">
      <c r="A40" s="447"/>
      <c r="B40" s="447"/>
      <c r="C40" s="447"/>
    </row>
    <row r="41" spans="1:3" ht="15.75">
      <c r="A41" s="447"/>
      <c r="B41" s="447"/>
      <c r="C41" s="447"/>
    </row>
    <row r="42" spans="1:3" ht="15.75">
      <c r="A42" s="447"/>
      <c r="B42" s="447"/>
      <c r="C42" s="447"/>
    </row>
    <row r="43" spans="1:3" ht="15.75">
      <c r="A43" s="447"/>
      <c r="B43" s="447"/>
      <c r="C43" s="447"/>
    </row>
  </sheetData>
  <pageMargins left="0.7" right="0.7" top="0.75" bottom="0.75" header="0.3" footer="0.3"/>
  <pageSetup paperSize="9" scale="34" orientation="portrait" r:id="rId1"/>
  <drawing r:id="rId2"/>
</worksheet>
</file>

<file path=xl/worksheets/sheet7.xml><?xml version="1.0" encoding="utf-8"?>
<worksheet xmlns="http://schemas.openxmlformats.org/spreadsheetml/2006/main" xmlns:r="http://schemas.openxmlformats.org/officeDocument/2006/relationships">
  <dimension ref="B1:DG65"/>
  <sheetViews>
    <sheetView view="pageBreakPreview" zoomScaleNormal="10" zoomScaleSheetLayoutView="100" workbookViewId="0">
      <pane xSplit="3" topLeftCell="D1" activePane="topRight" state="frozen"/>
      <selection pane="topRight" activeCell="E19" sqref="E19"/>
    </sheetView>
  </sheetViews>
  <sheetFormatPr defaultColWidth="14.42578125" defaultRowHeight="15" customHeight="1" outlineLevelRow="1" outlineLevelCol="1"/>
  <cols>
    <col min="1" max="1" width="2.7109375" style="157" customWidth="1"/>
    <col min="2" max="2" width="14.42578125" style="157"/>
    <col min="3" max="3" width="54" style="157" customWidth="1"/>
    <col min="4" max="4" width="20.5703125" style="157" customWidth="1"/>
    <col min="5" max="5" width="20.5703125" style="158" customWidth="1"/>
    <col min="6" max="35" width="20.5703125" style="157" customWidth="1"/>
    <col min="36" max="103" width="20.5703125" style="157" hidden="1" customWidth="1" outlineLevel="1"/>
    <col min="104" max="104" width="13.42578125" style="157" customWidth="1" collapsed="1"/>
    <col min="105" max="111" width="13.42578125" style="157" customWidth="1"/>
    <col min="112" max="16384" width="14.42578125" style="157"/>
  </cols>
  <sheetData>
    <row r="1" spans="2:104" ht="15" customHeight="1" thickBot="1"/>
    <row r="2" spans="2:104" ht="15" customHeight="1">
      <c r="B2" s="159"/>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1"/>
    </row>
    <row r="3" spans="2:104" s="219" customFormat="1" ht="20.25">
      <c r="B3" s="487" t="s">
        <v>278</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488"/>
      <c r="CC3" s="488"/>
      <c r="CD3" s="488"/>
      <c r="CE3" s="488"/>
      <c r="CF3" s="488"/>
      <c r="CG3" s="488"/>
      <c r="CH3" s="488"/>
      <c r="CI3" s="488"/>
      <c r="CJ3" s="488"/>
      <c r="CK3" s="488"/>
      <c r="CL3" s="488"/>
      <c r="CM3" s="488"/>
      <c r="CN3" s="488"/>
      <c r="CO3" s="488"/>
      <c r="CP3" s="488"/>
      <c r="CQ3" s="488"/>
      <c r="CR3" s="488"/>
      <c r="CS3" s="488"/>
      <c r="CT3" s="488"/>
      <c r="CU3" s="488"/>
      <c r="CV3" s="488"/>
      <c r="CW3" s="488"/>
      <c r="CX3" s="488"/>
      <c r="CY3" s="488"/>
      <c r="CZ3" s="489"/>
    </row>
    <row r="4" spans="2:104" s="219" customFormat="1" ht="20.25">
      <c r="B4" s="487" t="str">
        <f>Прайс!B4</f>
        <v>по франшизе "АКСИОМА"</v>
      </c>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8"/>
      <c r="BN4" s="488"/>
      <c r="BO4" s="488"/>
      <c r="BP4" s="488"/>
      <c r="BQ4" s="488"/>
      <c r="BR4" s="488"/>
      <c r="BS4" s="488"/>
      <c r="BT4" s="488"/>
      <c r="BU4" s="488"/>
      <c r="BV4" s="488"/>
      <c r="BW4" s="488"/>
      <c r="BX4" s="488"/>
      <c r="BY4" s="488"/>
      <c r="BZ4" s="488"/>
      <c r="CA4" s="488"/>
      <c r="CB4" s="488"/>
      <c r="CC4" s="488"/>
      <c r="CD4" s="488"/>
      <c r="CE4" s="488"/>
      <c r="CF4" s="488"/>
      <c r="CG4" s="488"/>
      <c r="CH4" s="488"/>
      <c r="CI4" s="488"/>
      <c r="CJ4" s="488"/>
      <c r="CK4" s="488"/>
      <c r="CL4" s="488"/>
      <c r="CM4" s="488"/>
      <c r="CN4" s="488"/>
      <c r="CO4" s="488"/>
      <c r="CP4" s="488"/>
      <c r="CQ4" s="488"/>
      <c r="CR4" s="488"/>
      <c r="CS4" s="488"/>
      <c r="CT4" s="488"/>
      <c r="CU4" s="488"/>
      <c r="CV4" s="488"/>
      <c r="CW4" s="488"/>
      <c r="CX4" s="488"/>
      <c r="CY4" s="488"/>
      <c r="CZ4" s="489"/>
    </row>
    <row r="5" spans="2:104" s="165" customFormat="1" ht="15" customHeight="1">
      <c r="B5" s="162"/>
      <c r="C5" s="163"/>
      <c r="D5" s="163"/>
      <c r="E5" s="163"/>
      <c r="F5" s="163"/>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c r="BT5" s="201"/>
      <c r="BU5" s="201"/>
      <c r="BV5" s="201"/>
      <c r="BW5" s="201"/>
      <c r="BX5" s="201"/>
      <c r="BY5" s="201"/>
      <c r="BZ5" s="201"/>
      <c r="CA5" s="201"/>
      <c r="CB5" s="201"/>
      <c r="CC5" s="201"/>
      <c r="CD5" s="201"/>
      <c r="CE5" s="201"/>
      <c r="CF5" s="201"/>
      <c r="CG5" s="201"/>
      <c r="CH5" s="201"/>
      <c r="CI5" s="201"/>
      <c r="CJ5" s="201"/>
      <c r="CK5" s="201"/>
      <c r="CL5" s="201"/>
      <c r="CM5" s="201"/>
      <c r="CN5" s="201"/>
      <c r="CO5" s="201"/>
      <c r="CP5" s="201"/>
      <c r="CQ5" s="201"/>
      <c r="CR5" s="201"/>
      <c r="CS5" s="201"/>
      <c r="CT5" s="201"/>
      <c r="CU5" s="201"/>
      <c r="CV5" s="201"/>
      <c r="CW5" s="201"/>
      <c r="CX5" s="201"/>
      <c r="CY5" s="201"/>
      <c r="CZ5" s="164"/>
    </row>
    <row r="6" spans="2:104" s="165" customFormat="1" ht="15" customHeight="1">
      <c r="B6" s="162"/>
      <c r="C6" s="201"/>
      <c r="D6" s="201"/>
      <c r="E6" s="202"/>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c r="BN6" s="201"/>
      <c r="BO6" s="201"/>
      <c r="BP6" s="201"/>
      <c r="BQ6" s="201"/>
      <c r="BR6" s="201"/>
      <c r="BS6" s="201"/>
      <c r="BT6" s="201"/>
      <c r="BU6" s="201"/>
      <c r="BV6" s="201"/>
      <c r="BW6" s="201"/>
      <c r="BX6" s="201"/>
      <c r="BY6" s="201"/>
      <c r="BZ6" s="201"/>
      <c r="CA6" s="201"/>
      <c r="CB6" s="201"/>
      <c r="CC6" s="201"/>
      <c r="CD6" s="201"/>
      <c r="CE6" s="201"/>
      <c r="CF6" s="201"/>
      <c r="CG6" s="201"/>
      <c r="CH6" s="201"/>
      <c r="CI6" s="201"/>
      <c r="CJ6" s="201"/>
      <c r="CK6" s="201"/>
      <c r="CL6" s="201"/>
      <c r="CM6" s="201"/>
      <c r="CN6" s="201"/>
      <c r="CO6" s="201"/>
      <c r="CP6" s="201"/>
      <c r="CQ6" s="201"/>
      <c r="CR6" s="201"/>
      <c r="CS6" s="201"/>
      <c r="CT6" s="201"/>
      <c r="CU6" s="201"/>
      <c r="CV6" s="201"/>
      <c r="CW6" s="201"/>
      <c r="CX6" s="201"/>
      <c r="CY6" s="201"/>
      <c r="CZ6" s="164"/>
    </row>
    <row r="7" spans="2:104" s="165" customFormat="1" ht="15" customHeight="1">
      <c r="B7" s="162"/>
      <c r="C7" s="201"/>
      <c r="D7" s="201"/>
      <c r="E7" s="202"/>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201"/>
      <c r="CR7" s="201"/>
      <c r="CS7" s="201"/>
      <c r="CT7" s="201"/>
      <c r="CU7" s="201"/>
      <c r="CV7" s="201"/>
      <c r="CW7" s="201"/>
      <c r="CX7" s="201"/>
      <c r="CY7" s="201"/>
      <c r="CZ7" s="164"/>
    </row>
    <row r="8" spans="2:104" s="165" customFormat="1" ht="15" customHeight="1">
      <c r="B8" s="162"/>
      <c r="C8" s="201"/>
      <c r="D8" s="201"/>
      <c r="E8" s="202"/>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164"/>
    </row>
    <row r="9" spans="2:104" s="165" customFormat="1" ht="15" customHeight="1">
      <c r="B9" s="162"/>
      <c r="C9" s="201"/>
      <c r="D9" s="201"/>
      <c r="E9" s="202"/>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01"/>
      <c r="CR9" s="201"/>
      <c r="CS9" s="201"/>
      <c r="CT9" s="201"/>
      <c r="CU9" s="201"/>
      <c r="CV9" s="201"/>
      <c r="CW9" s="201"/>
      <c r="CX9" s="201"/>
      <c r="CY9" s="201"/>
      <c r="CZ9" s="164"/>
    </row>
    <row r="10" spans="2:104" s="165" customFormat="1" ht="15" customHeight="1" thickBot="1">
      <c r="B10" s="162"/>
      <c r="C10" s="201"/>
      <c r="D10" s="201"/>
      <c r="E10" s="202"/>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164"/>
    </row>
    <row r="11" spans="2:104" s="165" customFormat="1" ht="16.5" thickBot="1">
      <c r="B11" s="162"/>
      <c r="C11" s="280" t="str">
        <f>C16</f>
        <v>Начала работы месяц</v>
      </c>
      <c r="D11" s="201"/>
      <c r="E11" s="202"/>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01"/>
      <c r="CR11" s="201"/>
      <c r="CS11" s="201"/>
      <c r="CT11" s="201"/>
      <c r="CU11" s="201"/>
      <c r="CV11" s="201"/>
      <c r="CW11" s="201"/>
      <c r="CX11" s="201"/>
      <c r="CY11" s="201"/>
      <c r="CZ11" s="164"/>
    </row>
    <row r="12" spans="2:104" s="165" customFormat="1" ht="21" thickBot="1">
      <c r="B12" s="162"/>
      <c r="C12" s="196" t="str">
        <f>'Входящие данные'!D10</f>
        <v>Май</v>
      </c>
      <c r="D12" s="201"/>
      <c r="E12" s="202"/>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164"/>
    </row>
    <row r="13" spans="2:104" s="165" customFormat="1" ht="15.75" thickBot="1">
      <c r="B13" s="162"/>
      <c r="C13" s="203"/>
      <c r="D13" s="201"/>
      <c r="E13" s="202"/>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f>BY17*'Data 1'!M20</f>
        <v>800631.64184200426</v>
      </c>
      <c r="CA13" s="201"/>
      <c r="CB13" s="201"/>
      <c r="CC13" s="201"/>
      <c r="CD13" s="201"/>
      <c r="CE13" s="201"/>
      <c r="CF13" s="201"/>
      <c r="CG13" s="201"/>
      <c r="CH13" s="201"/>
      <c r="CI13" s="201"/>
      <c r="CJ13" s="201"/>
      <c r="CK13" s="201"/>
      <c r="CL13" s="201"/>
      <c r="CM13" s="201"/>
      <c r="CN13" s="201"/>
      <c r="CO13" s="201"/>
      <c r="CP13" s="201"/>
      <c r="CQ13" s="201"/>
      <c r="CR13" s="201"/>
      <c r="CS13" s="201"/>
      <c r="CT13" s="201"/>
      <c r="CU13" s="201"/>
      <c r="CV13" s="201"/>
      <c r="CW13" s="201"/>
      <c r="CX13" s="201"/>
      <c r="CY13" s="201"/>
      <c r="CZ13" s="164"/>
    </row>
    <row r="14" spans="2:104" s="220" customFormat="1" ht="17.25" customHeight="1" thickBot="1">
      <c r="B14" s="221"/>
      <c r="C14" s="246" t="s">
        <v>128</v>
      </c>
      <c r="D14" s="516" t="s">
        <v>217</v>
      </c>
      <c r="E14" s="517"/>
      <c r="F14" s="517"/>
      <c r="G14" s="518"/>
      <c r="H14" s="516" t="s">
        <v>218</v>
      </c>
      <c r="I14" s="517"/>
      <c r="J14" s="517"/>
      <c r="K14" s="518"/>
      <c r="L14" s="516" t="s">
        <v>219</v>
      </c>
      <c r="M14" s="517"/>
      <c r="N14" s="517"/>
      <c r="O14" s="518"/>
      <c r="P14" s="516" t="s">
        <v>220</v>
      </c>
      <c r="Q14" s="517"/>
      <c r="R14" s="517"/>
      <c r="S14" s="518"/>
      <c r="T14" s="516" t="s">
        <v>221</v>
      </c>
      <c r="U14" s="517"/>
      <c r="V14" s="517"/>
      <c r="W14" s="518"/>
      <c r="X14" s="516" t="s">
        <v>222</v>
      </c>
      <c r="Y14" s="517"/>
      <c r="Z14" s="517"/>
      <c r="AA14" s="518"/>
      <c r="AB14" s="516" t="s">
        <v>223</v>
      </c>
      <c r="AC14" s="517"/>
      <c r="AD14" s="517"/>
      <c r="AE14" s="518"/>
      <c r="AF14" s="516" t="s">
        <v>224</v>
      </c>
      <c r="AG14" s="517"/>
      <c r="AH14" s="517"/>
      <c r="AI14" s="518"/>
      <c r="AJ14" s="516" t="s">
        <v>225</v>
      </c>
      <c r="AK14" s="517"/>
      <c r="AL14" s="517"/>
      <c r="AM14" s="518"/>
      <c r="AN14" s="516" t="s">
        <v>226</v>
      </c>
      <c r="AO14" s="517"/>
      <c r="AP14" s="517"/>
      <c r="AQ14" s="518"/>
      <c r="AR14" s="516" t="s">
        <v>227</v>
      </c>
      <c r="AS14" s="517"/>
      <c r="AT14" s="517"/>
      <c r="AU14" s="518"/>
      <c r="AV14" s="516" t="s">
        <v>228</v>
      </c>
      <c r="AW14" s="517"/>
      <c r="AX14" s="517"/>
      <c r="AY14" s="518"/>
      <c r="AZ14" s="516" t="s">
        <v>229</v>
      </c>
      <c r="BA14" s="517"/>
      <c r="BB14" s="517"/>
      <c r="BC14" s="518"/>
      <c r="BD14" s="516" t="s">
        <v>230</v>
      </c>
      <c r="BE14" s="517"/>
      <c r="BF14" s="517"/>
      <c r="BG14" s="518"/>
      <c r="BH14" s="516" t="s">
        <v>231</v>
      </c>
      <c r="BI14" s="517"/>
      <c r="BJ14" s="517"/>
      <c r="BK14" s="518"/>
      <c r="BL14" s="516" t="s">
        <v>232</v>
      </c>
      <c r="BM14" s="517"/>
      <c r="BN14" s="517"/>
      <c r="BO14" s="518"/>
      <c r="BP14" s="516" t="s">
        <v>233</v>
      </c>
      <c r="BQ14" s="517"/>
      <c r="BR14" s="517"/>
      <c r="BS14" s="518"/>
      <c r="BT14" s="516" t="s">
        <v>234</v>
      </c>
      <c r="BU14" s="517"/>
      <c r="BV14" s="517"/>
      <c r="BW14" s="518"/>
      <c r="BX14" s="516" t="s">
        <v>235</v>
      </c>
      <c r="BY14" s="517"/>
      <c r="BZ14" s="517"/>
      <c r="CA14" s="518"/>
      <c r="CB14" s="516" t="s">
        <v>236</v>
      </c>
      <c r="CC14" s="517"/>
      <c r="CD14" s="517"/>
      <c r="CE14" s="518"/>
      <c r="CF14" s="516" t="s">
        <v>237</v>
      </c>
      <c r="CG14" s="517"/>
      <c r="CH14" s="517"/>
      <c r="CI14" s="518"/>
      <c r="CJ14" s="516" t="s">
        <v>238</v>
      </c>
      <c r="CK14" s="517"/>
      <c r="CL14" s="517"/>
      <c r="CM14" s="518"/>
      <c r="CN14" s="516" t="s">
        <v>238</v>
      </c>
      <c r="CO14" s="517"/>
      <c r="CP14" s="517"/>
      <c r="CQ14" s="518"/>
      <c r="CR14" s="516" t="s">
        <v>239</v>
      </c>
      <c r="CS14" s="517"/>
      <c r="CT14" s="517"/>
      <c r="CU14" s="518"/>
      <c r="CV14" s="516" t="s">
        <v>271</v>
      </c>
      <c r="CW14" s="517"/>
      <c r="CX14" s="517"/>
      <c r="CY14" s="518"/>
      <c r="CZ14" s="222"/>
    </row>
    <row r="15" spans="2:104" s="223" customFormat="1" ht="54.75" thickBot="1">
      <c r="B15" s="221"/>
      <c r="C15" s="247" t="s">
        <v>327</v>
      </c>
      <c r="D15" s="256" t="s">
        <v>127</v>
      </c>
      <c r="E15" s="232" t="s">
        <v>126</v>
      </c>
      <c r="F15" s="233" t="s">
        <v>125</v>
      </c>
      <c r="G15" s="234" t="s">
        <v>121</v>
      </c>
      <c r="H15" s="256" t="str">
        <f t="shared" ref="H15:AM15" si="0">D15</f>
        <v>Средняя цена по прайсу</v>
      </c>
      <c r="I15" s="233" t="str">
        <f t="shared" si="0"/>
        <v>План по кол-ву продаж</v>
      </c>
      <c r="J15" s="233" t="str">
        <f t="shared" si="0"/>
        <v>План по выручке расчетный</v>
      </c>
      <c r="K15" s="234" t="str">
        <f t="shared" si="0"/>
        <v>План по выручке</v>
      </c>
      <c r="L15" s="256" t="str">
        <f t="shared" si="0"/>
        <v>Средняя цена по прайсу</v>
      </c>
      <c r="M15" s="233" t="str">
        <f t="shared" si="0"/>
        <v>План по кол-ву продаж</v>
      </c>
      <c r="N15" s="233" t="str">
        <f t="shared" si="0"/>
        <v>План по выручке расчетный</v>
      </c>
      <c r="O15" s="234" t="str">
        <f t="shared" si="0"/>
        <v>План по выручке</v>
      </c>
      <c r="P15" s="256" t="str">
        <f t="shared" si="0"/>
        <v>Средняя цена по прайсу</v>
      </c>
      <c r="Q15" s="233" t="str">
        <f t="shared" si="0"/>
        <v>План по кол-ву продаж</v>
      </c>
      <c r="R15" s="233" t="str">
        <f t="shared" si="0"/>
        <v>План по выручке расчетный</v>
      </c>
      <c r="S15" s="234" t="str">
        <f t="shared" si="0"/>
        <v>План по выручке</v>
      </c>
      <c r="T15" s="256" t="str">
        <f t="shared" si="0"/>
        <v>Средняя цена по прайсу</v>
      </c>
      <c r="U15" s="233" t="str">
        <f t="shared" si="0"/>
        <v>План по кол-ву продаж</v>
      </c>
      <c r="V15" s="233" t="str">
        <f t="shared" si="0"/>
        <v>План по выручке расчетный</v>
      </c>
      <c r="W15" s="234" t="str">
        <f t="shared" si="0"/>
        <v>План по выручке</v>
      </c>
      <c r="X15" s="256" t="str">
        <f t="shared" si="0"/>
        <v>Средняя цена по прайсу</v>
      </c>
      <c r="Y15" s="233" t="str">
        <f t="shared" si="0"/>
        <v>План по кол-ву продаж</v>
      </c>
      <c r="Z15" s="233" t="str">
        <f t="shared" si="0"/>
        <v>План по выручке расчетный</v>
      </c>
      <c r="AA15" s="234" t="str">
        <f t="shared" si="0"/>
        <v>План по выручке</v>
      </c>
      <c r="AB15" s="256" t="str">
        <f t="shared" si="0"/>
        <v>Средняя цена по прайсу</v>
      </c>
      <c r="AC15" s="233" t="str">
        <f t="shared" si="0"/>
        <v>План по кол-ву продаж</v>
      </c>
      <c r="AD15" s="233" t="str">
        <f t="shared" si="0"/>
        <v>План по выручке расчетный</v>
      </c>
      <c r="AE15" s="234" t="str">
        <f t="shared" si="0"/>
        <v>План по выручке</v>
      </c>
      <c r="AF15" s="256" t="str">
        <f t="shared" si="0"/>
        <v>Средняя цена по прайсу</v>
      </c>
      <c r="AG15" s="233" t="str">
        <f t="shared" si="0"/>
        <v>План по кол-ву продаж</v>
      </c>
      <c r="AH15" s="233" t="str">
        <f t="shared" si="0"/>
        <v>План по выручке расчетный</v>
      </c>
      <c r="AI15" s="234" t="str">
        <f t="shared" si="0"/>
        <v>План по выручке</v>
      </c>
      <c r="AJ15" s="256" t="str">
        <f t="shared" si="0"/>
        <v>Средняя цена по прайсу</v>
      </c>
      <c r="AK15" s="233" t="str">
        <f t="shared" si="0"/>
        <v>План по кол-ву продаж</v>
      </c>
      <c r="AL15" s="233" t="str">
        <f t="shared" si="0"/>
        <v>План по выручке расчетный</v>
      </c>
      <c r="AM15" s="234" t="str">
        <f t="shared" si="0"/>
        <v>План по выручке</v>
      </c>
      <c r="AN15" s="256" t="str">
        <f t="shared" ref="AN15:BS15" si="1">AJ15</f>
        <v>Средняя цена по прайсу</v>
      </c>
      <c r="AO15" s="233" t="str">
        <f t="shared" si="1"/>
        <v>План по кол-ву продаж</v>
      </c>
      <c r="AP15" s="233" t="str">
        <f t="shared" si="1"/>
        <v>План по выручке расчетный</v>
      </c>
      <c r="AQ15" s="234" t="str">
        <f t="shared" si="1"/>
        <v>План по выручке</v>
      </c>
      <c r="AR15" s="256" t="str">
        <f t="shared" si="1"/>
        <v>Средняя цена по прайсу</v>
      </c>
      <c r="AS15" s="233" t="str">
        <f t="shared" si="1"/>
        <v>План по кол-ву продаж</v>
      </c>
      <c r="AT15" s="233" t="str">
        <f t="shared" si="1"/>
        <v>План по выручке расчетный</v>
      </c>
      <c r="AU15" s="234" t="str">
        <f t="shared" si="1"/>
        <v>План по выручке</v>
      </c>
      <c r="AV15" s="256" t="str">
        <f t="shared" si="1"/>
        <v>Средняя цена по прайсу</v>
      </c>
      <c r="AW15" s="233" t="str">
        <f t="shared" si="1"/>
        <v>План по кол-ву продаж</v>
      </c>
      <c r="AX15" s="233" t="str">
        <f t="shared" si="1"/>
        <v>План по выручке расчетный</v>
      </c>
      <c r="AY15" s="234" t="str">
        <f t="shared" si="1"/>
        <v>План по выручке</v>
      </c>
      <c r="AZ15" s="256" t="str">
        <f t="shared" si="1"/>
        <v>Средняя цена по прайсу</v>
      </c>
      <c r="BA15" s="233" t="str">
        <f t="shared" si="1"/>
        <v>План по кол-ву продаж</v>
      </c>
      <c r="BB15" s="233" t="str">
        <f t="shared" si="1"/>
        <v>План по выручке расчетный</v>
      </c>
      <c r="BC15" s="234" t="str">
        <f t="shared" si="1"/>
        <v>План по выручке</v>
      </c>
      <c r="BD15" s="256" t="str">
        <f t="shared" si="1"/>
        <v>Средняя цена по прайсу</v>
      </c>
      <c r="BE15" s="233" t="str">
        <f t="shared" si="1"/>
        <v>План по кол-ву продаж</v>
      </c>
      <c r="BF15" s="233" t="str">
        <f t="shared" si="1"/>
        <v>План по выручке расчетный</v>
      </c>
      <c r="BG15" s="234" t="str">
        <f t="shared" si="1"/>
        <v>План по выручке</v>
      </c>
      <c r="BH15" s="256" t="str">
        <f t="shared" si="1"/>
        <v>Средняя цена по прайсу</v>
      </c>
      <c r="BI15" s="233" t="str">
        <f t="shared" si="1"/>
        <v>План по кол-ву продаж</v>
      </c>
      <c r="BJ15" s="233" t="str">
        <f t="shared" si="1"/>
        <v>План по выручке расчетный</v>
      </c>
      <c r="BK15" s="234" t="str">
        <f t="shared" si="1"/>
        <v>План по выручке</v>
      </c>
      <c r="BL15" s="256" t="str">
        <f t="shared" si="1"/>
        <v>Средняя цена по прайсу</v>
      </c>
      <c r="BM15" s="233" t="str">
        <f t="shared" si="1"/>
        <v>План по кол-ву продаж</v>
      </c>
      <c r="BN15" s="233" t="str">
        <f t="shared" si="1"/>
        <v>План по выручке расчетный</v>
      </c>
      <c r="BO15" s="234" t="str">
        <f t="shared" si="1"/>
        <v>План по выручке</v>
      </c>
      <c r="BP15" s="256" t="str">
        <f t="shared" si="1"/>
        <v>Средняя цена по прайсу</v>
      </c>
      <c r="BQ15" s="233" t="str">
        <f t="shared" si="1"/>
        <v>План по кол-ву продаж</v>
      </c>
      <c r="BR15" s="233" t="str">
        <f t="shared" si="1"/>
        <v>План по выручке расчетный</v>
      </c>
      <c r="BS15" s="234" t="str">
        <f t="shared" si="1"/>
        <v>План по выручке</v>
      </c>
      <c r="BT15" s="256" t="str">
        <f t="shared" ref="BT15:CY15" si="2">BP15</f>
        <v>Средняя цена по прайсу</v>
      </c>
      <c r="BU15" s="233" t="str">
        <f t="shared" si="2"/>
        <v>План по кол-ву продаж</v>
      </c>
      <c r="BV15" s="233" t="str">
        <f t="shared" si="2"/>
        <v>План по выручке расчетный</v>
      </c>
      <c r="BW15" s="234" t="str">
        <f t="shared" si="2"/>
        <v>План по выручке</v>
      </c>
      <c r="BX15" s="256" t="str">
        <f t="shared" si="2"/>
        <v>Средняя цена по прайсу</v>
      </c>
      <c r="BY15" s="233" t="str">
        <f t="shared" si="2"/>
        <v>План по кол-ву продаж</v>
      </c>
      <c r="BZ15" s="233" t="str">
        <f t="shared" si="2"/>
        <v>План по выручке расчетный</v>
      </c>
      <c r="CA15" s="234" t="str">
        <f t="shared" si="2"/>
        <v>План по выручке</v>
      </c>
      <c r="CB15" s="256" t="str">
        <f t="shared" si="2"/>
        <v>Средняя цена по прайсу</v>
      </c>
      <c r="CC15" s="233" t="str">
        <f t="shared" si="2"/>
        <v>План по кол-ву продаж</v>
      </c>
      <c r="CD15" s="233" t="str">
        <f t="shared" si="2"/>
        <v>План по выручке расчетный</v>
      </c>
      <c r="CE15" s="234" t="str">
        <f t="shared" si="2"/>
        <v>План по выручке</v>
      </c>
      <c r="CF15" s="256" t="str">
        <f t="shared" si="2"/>
        <v>Средняя цена по прайсу</v>
      </c>
      <c r="CG15" s="233" t="str">
        <f t="shared" si="2"/>
        <v>План по кол-ву продаж</v>
      </c>
      <c r="CH15" s="233" t="str">
        <f t="shared" si="2"/>
        <v>План по выручке расчетный</v>
      </c>
      <c r="CI15" s="234" t="str">
        <f t="shared" si="2"/>
        <v>План по выручке</v>
      </c>
      <c r="CJ15" s="256" t="str">
        <f t="shared" si="2"/>
        <v>Средняя цена по прайсу</v>
      </c>
      <c r="CK15" s="233" t="str">
        <f t="shared" si="2"/>
        <v>План по кол-ву продаж</v>
      </c>
      <c r="CL15" s="233" t="str">
        <f t="shared" si="2"/>
        <v>План по выручке расчетный</v>
      </c>
      <c r="CM15" s="234" t="str">
        <f t="shared" si="2"/>
        <v>План по выручке</v>
      </c>
      <c r="CN15" s="256" t="str">
        <f t="shared" si="2"/>
        <v>Средняя цена по прайсу</v>
      </c>
      <c r="CO15" s="233" t="str">
        <f t="shared" si="2"/>
        <v>План по кол-ву продаж</v>
      </c>
      <c r="CP15" s="233" t="str">
        <f t="shared" si="2"/>
        <v>План по выручке расчетный</v>
      </c>
      <c r="CQ15" s="234" t="str">
        <f t="shared" si="2"/>
        <v>План по выручке</v>
      </c>
      <c r="CR15" s="256" t="str">
        <f t="shared" si="2"/>
        <v>Средняя цена по прайсу</v>
      </c>
      <c r="CS15" s="233" t="str">
        <f t="shared" si="2"/>
        <v>План по кол-ву продаж</v>
      </c>
      <c r="CT15" s="233" t="str">
        <f t="shared" si="2"/>
        <v>План по выручке расчетный</v>
      </c>
      <c r="CU15" s="234" t="str">
        <f t="shared" si="2"/>
        <v>План по выручке</v>
      </c>
      <c r="CV15" s="256" t="str">
        <f t="shared" si="2"/>
        <v>Средняя цена по прайсу</v>
      </c>
      <c r="CW15" s="233" t="str">
        <f t="shared" si="2"/>
        <v>План по кол-ву продаж</v>
      </c>
      <c r="CX15" s="233" t="str">
        <f t="shared" si="2"/>
        <v>План по выручке расчетный</v>
      </c>
      <c r="CY15" s="234" t="str">
        <f t="shared" si="2"/>
        <v>План по выручке</v>
      </c>
      <c r="CZ15" s="222"/>
    </row>
    <row r="16" spans="2:104" s="166" customFormat="1" hidden="1">
      <c r="B16" s="162"/>
      <c r="C16" s="248" t="s">
        <v>124</v>
      </c>
      <c r="D16" s="257">
        <v>1</v>
      </c>
      <c r="E16" s="229"/>
      <c r="F16" s="230">
        <f>IF(E17*'Data 1'!$M$19&gt;'Data 1'!$M$19,'Data 1'!$M$19,E17*'Data 1'!$M$19)</f>
        <v>347.87247663351974</v>
      </c>
      <c r="G16" s="231"/>
      <c r="H16" s="257">
        <f>D16+1</f>
        <v>2</v>
      </c>
      <c r="I16" s="229"/>
      <c r="J16" s="230">
        <f>IF(I17*'Data 1'!$M$19&gt;'Data 1'!$M$19,'Data 1'!$M$19,I17*'Data 1'!$M$19)</f>
        <v>388.28560454099272</v>
      </c>
      <c r="K16" s="231"/>
      <c r="L16" s="257">
        <f t="shared" ref="L16" si="3">H16+1</f>
        <v>3</v>
      </c>
      <c r="M16" s="229"/>
      <c r="N16" s="230">
        <f>IF(M17*'Data 1'!$M$19&gt;'Data 1'!$M$19,'Data 1'!$M$19,M17*'Data 1'!$M$19)</f>
        <v>461.62178310784856</v>
      </c>
      <c r="O16" s="231"/>
      <c r="P16" s="257">
        <f t="shared" ref="P16" si="4">L16+1</f>
        <v>4</v>
      </c>
      <c r="Q16" s="229"/>
      <c r="R16" s="230">
        <f>IF(Q17*'Data 1'!$M$19&gt;'Data 1'!$M$19,'Data 1'!$M$19,Q17*'Data 1'!$M$19)</f>
        <v>561.12329819469926</v>
      </c>
      <c r="S16" s="231"/>
      <c r="T16" s="257">
        <f t="shared" ref="T16" si="5">P16+1</f>
        <v>5</v>
      </c>
      <c r="U16" s="229"/>
      <c r="V16" s="230">
        <f>IF(U17*'Data 1'!$M$19&gt;'Data 1'!$M$19,'Data 1'!$M$19,U17*'Data 1'!$M$19)</f>
        <v>604.29943237591226</v>
      </c>
      <c r="W16" s="231"/>
      <c r="X16" s="257">
        <f t="shared" ref="X16" si="6">T16+1</f>
        <v>6</v>
      </c>
      <c r="Y16" s="229"/>
      <c r="Z16" s="230">
        <f>IF(Y17*'Data 1'!$M$19&gt;'Data 1'!$M$19,'Data 1'!$M$19,Y17*'Data 1'!$M$19)</f>
        <v>695.74495326703925</v>
      </c>
      <c r="AA16" s="231"/>
      <c r="AB16" s="257">
        <f t="shared" ref="AB16" si="7">X16+1</f>
        <v>7</v>
      </c>
      <c r="AC16" s="229"/>
      <c r="AD16" s="230">
        <f>IF(AC17*'Data 1'!$M$19&gt;'Data 1'!$M$19,'Data 1'!$M$19,AC17*'Data 1'!$M$19)</f>
        <v>706.73039989757149</v>
      </c>
      <c r="AE16" s="231"/>
      <c r="AF16" s="257">
        <f t="shared" ref="AF16" si="8">AB16+1</f>
        <v>8</v>
      </c>
      <c r="AG16" s="229"/>
      <c r="AH16" s="230">
        <f>IF(AG17*'Data 1'!$M$19&gt;'Data 1'!$M$19,'Data 1'!$M$19,AG17*'Data 1'!$M$19)</f>
        <v>707.06329221970896</v>
      </c>
      <c r="AI16" s="231"/>
      <c r="AJ16" s="257">
        <f t="shared" ref="AJ16" si="9">AF16+1</f>
        <v>9</v>
      </c>
      <c r="AK16" s="229"/>
      <c r="AL16" s="230">
        <f>IF(AK17*'Data 1'!$M$19&gt;'Data 1'!$M$19,'Data 1'!$M$19,AK17*'Data 1'!$M$19)</f>
        <v>788.48875421450214</v>
      </c>
      <c r="AM16" s="231"/>
      <c r="AN16" s="257">
        <f t="shared" ref="AN16" si="10">AJ16+1</f>
        <v>10</v>
      </c>
      <c r="AO16" s="229"/>
      <c r="AP16" s="230">
        <f>IF(AO17*'Data 1'!$M$19&gt;'Data 1'!$M$19,'Data 1'!$M$19,AO17*'Data 1'!$M$19)</f>
        <v>905.06764542699852</v>
      </c>
      <c r="AQ16" s="231"/>
      <c r="AR16" s="257">
        <f t="shared" ref="AR16" si="11">AN16+1</f>
        <v>11</v>
      </c>
      <c r="AS16" s="229"/>
      <c r="AT16" s="230">
        <f>IF(AS17*'Data 1'!$M$19&gt;'Data 1'!$M$19,'Data 1'!$M$19,AS17*'Data 1'!$M$19)</f>
        <v>896.8119158379925</v>
      </c>
      <c r="AU16" s="231"/>
      <c r="AV16" s="257">
        <f t="shared" ref="AV16" si="12">AR16+1</f>
        <v>12</v>
      </c>
      <c r="AW16" s="229"/>
      <c r="AX16" s="230">
        <f>IF(AW17*'Data 1'!$M$19&gt;'Data 1'!$M$19,'Data 1'!$M$19,AW17*'Data 1'!$M$19)</f>
        <v>1034.3630233451413</v>
      </c>
      <c r="AY16" s="231"/>
      <c r="AZ16" s="257">
        <f t="shared" ref="AZ16" si="13">AV16+1</f>
        <v>13</v>
      </c>
      <c r="BA16" s="229"/>
      <c r="BB16" s="230">
        <f>IF(BA17*'Data 1'!$M$19&gt;'Data 1'!$M$19,'Data 1'!$M$19,BA17*'Data 1'!$M$19)</f>
        <v>1182.7664205539672</v>
      </c>
      <c r="BC16" s="231"/>
      <c r="BD16" s="257">
        <f t="shared" ref="BD16" si="14">AZ16+1</f>
        <v>14</v>
      </c>
      <c r="BE16" s="229"/>
      <c r="BF16" s="230">
        <f>IF(BE17*'Data 1'!$M$19&gt;'Data 1'!$M$19,'Data 1'!$M$19,BE17*'Data 1'!$M$19)</f>
        <v>1164.8568136229785</v>
      </c>
      <c r="BG16" s="231"/>
      <c r="BH16" s="257">
        <f t="shared" ref="BH16" si="15">BD16+1</f>
        <v>15</v>
      </c>
      <c r="BI16" s="229"/>
      <c r="BJ16" s="230">
        <f>IF(BI17*'Data 1'!$M$19&gt;'Data 1'!$M$19,'Data 1'!$M$19,BI17*'Data 1'!$M$19)</f>
        <v>1187.0274422773252</v>
      </c>
      <c r="BK16" s="231"/>
      <c r="BL16" s="257">
        <f t="shared" ref="BL16" si="16">BH16+1</f>
        <v>16</v>
      </c>
      <c r="BM16" s="229"/>
      <c r="BN16" s="230">
        <f>IF(BM17*'Data 1'!$M$19&gt;'Data 1'!$M$19,'Data 1'!$M$19,BM17*'Data 1'!$M$19)</f>
        <v>1262.5274209380739</v>
      </c>
      <c r="BO16" s="231"/>
      <c r="BP16" s="257">
        <f t="shared" ref="BP16" si="17">BL16+1</f>
        <v>17</v>
      </c>
      <c r="BQ16" s="229"/>
      <c r="BR16" s="230">
        <f>IF(BQ17*'Data 1'!$M$19&gt;'Data 1'!$M$19,'Data 1'!$M$19,BQ17*'Data 1'!$M$19)</f>
        <v>1208.5988647518247</v>
      </c>
      <c r="BS16" s="231"/>
      <c r="BT16" s="257">
        <f t="shared" ref="BT16" si="18">BP16+1</f>
        <v>18</v>
      </c>
      <c r="BU16" s="229"/>
      <c r="BV16" s="230">
        <f>IF(BU17*'Data 1'!$M$19&gt;'Data 1'!$M$19,'Data 1'!$M$19,BU17*'Data 1'!$M$19)</f>
        <v>1252.3409158806712</v>
      </c>
      <c r="BW16" s="231"/>
      <c r="BX16" s="257">
        <f t="shared" ref="BX16" si="19">BT16+1</f>
        <v>19</v>
      </c>
      <c r="BY16" s="229"/>
      <c r="BZ16" s="230">
        <f>IF(BY17*'Data 1'!$M$19&gt;'Data 1'!$M$19,'Data 1'!$M$19,BY17*'Data 1'!$M$19)</f>
        <v>1156.4679271051173</v>
      </c>
      <c r="CA16" s="231"/>
      <c r="CB16" s="257">
        <f t="shared" ref="CB16" si="20">BX16+1</f>
        <v>20</v>
      </c>
      <c r="CC16" s="229"/>
      <c r="CD16" s="230">
        <f>IF(CC17*'Data 1'!$M$19&gt;'Data 1'!$M$19,'Data 1'!$M$19,CC17*'Data 1'!$M$19)</f>
        <v>1060.5949383295635</v>
      </c>
      <c r="CE16" s="231"/>
      <c r="CF16" s="257">
        <f t="shared" ref="CF16" si="21">CB16+1</f>
        <v>21</v>
      </c>
      <c r="CG16" s="229"/>
      <c r="CH16" s="230">
        <f>IF(CG17*'Data 1'!$M$19&gt;'Data 1'!$M$19,'Data 1'!$M$19,CG17*'Data 1'!$M$19)</f>
        <v>1091.7536596816185</v>
      </c>
      <c r="CI16" s="231"/>
      <c r="CJ16" s="257">
        <f t="shared" ref="CJ16" si="22">CF16+1</f>
        <v>22</v>
      </c>
      <c r="CK16" s="229"/>
      <c r="CL16" s="230">
        <f>IF(CK17*'Data 1'!$M$19&gt;'Data 1'!$M$19,'Data 1'!$M$19,CK17*'Data 1'!$M$19)</f>
        <v>1163.6584012632838</v>
      </c>
      <c r="CM16" s="231"/>
      <c r="CN16" s="257">
        <f t="shared" ref="CN16" si="23">CJ16+1</f>
        <v>23</v>
      </c>
      <c r="CO16" s="229"/>
      <c r="CP16" s="230">
        <f>IF(CO17*'Data 1'!$M$19&gt;'Data 1'!$M$19,'Data 1'!$M$19,CO17*'Data 1'!$M$19)</f>
        <v>1076.1742990055909</v>
      </c>
      <c r="CQ16" s="231"/>
      <c r="CR16" s="257">
        <f t="shared" ref="CR16" si="24">CN16+1</f>
        <v>24</v>
      </c>
      <c r="CS16" s="229"/>
      <c r="CT16" s="230">
        <f>IF(CS17*'Data 1'!$M$19&gt;'Data 1'!$M$19,'Data 1'!$M$19,CS17*'Data 1'!$M$19)</f>
        <v>1163.6584012632838</v>
      </c>
      <c r="CU16" s="231"/>
      <c r="CV16" s="257">
        <f t="shared" ref="CV16" si="25">CR16+1</f>
        <v>25</v>
      </c>
      <c r="CW16" s="229"/>
      <c r="CX16" s="230">
        <f>IF(CW17*'Data 1'!$M$19&gt;'Data 1'!$M$19,'Data 1'!$M$19,CW17*'Data 1'!$M$19)</f>
        <v>1252.340915880671</v>
      </c>
      <c r="CY16" s="231"/>
      <c r="CZ16" s="164"/>
    </row>
    <row r="17" spans="2:104" s="166" customFormat="1" ht="15.75" hidden="1" thickBot="1">
      <c r="B17" s="162"/>
      <c r="C17" s="249" t="str">
        <f>C12</f>
        <v>Май</v>
      </c>
      <c r="D17" s="258" t="str">
        <f>C17</f>
        <v>Май</v>
      </c>
      <c r="E17" s="235">
        <f>VLOOKUP(D17,'Data 1'!$F$1:$G$13,2,0)*VLOOKUP(D16,'Data 1'!$I$1:$J$17,2,0)</f>
        <v>0.26759421279501516</v>
      </c>
      <c r="F17" s="236">
        <f>IF(E17*'Data 1'!$M$20&gt;'Data 1'!$M$20,'Data 1'!$M$20,E17*'Data 1'!$M$20)</f>
        <v>240834.79151551364</v>
      </c>
      <c r="G17" s="237">
        <f>IF(VLOOKUP(D17,'Data 1'!$B$1:$C$50,2,0)&gt;628,628,VLOOKUP(D17,'Data 1'!$B$1:$C$50,2,0))</f>
        <v>5</v>
      </c>
      <c r="H17" s="258" t="str">
        <f>VLOOKUP(G17+1,'Data 1'!$C$1:$D$50,2,0)</f>
        <v>Июнь</v>
      </c>
      <c r="I17" s="235">
        <f>VLOOKUP(H17,'Data 1'!$F$1:$G$150,2,0)*VLOOKUP(H16,'Data 1'!$I$1:$J$150,2,0)</f>
        <v>0.29868123426230209</v>
      </c>
      <c r="J17" s="236">
        <f>IF(I17*'Data 1'!$M$20&gt;'Data 1'!$M$20,'Data 1'!$M$20,I17*'Data 1'!$M$20)</f>
        <v>268813.11083607189</v>
      </c>
      <c r="K17" s="237">
        <f>IF(VLOOKUP(H17,'Data 1'!$B$1:$C$50,2,0)&gt;628,628,VLOOKUP(H17,'Data 1'!$B$1:$C$50,2,0))</f>
        <v>6</v>
      </c>
      <c r="L17" s="258" t="str">
        <f>VLOOKUP(K17+1,'Data 1'!$C$1:$D$50,2,0)</f>
        <v>Июль</v>
      </c>
      <c r="M17" s="235">
        <f>VLOOKUP(L17,'Data 1'!$F$1:$G$150,2,0)*VLOOKUP(L16,'Data 1'!$I$1:$J$150,2,0)</f>
        <v>0.35509367931372965</v>
      </c>
      <c r="N17" s="236">
        <f>IF(M17*'Data 1'!$M$20&gt;'Data 1'!$M$20,'Data 1'!$M$20,M17*'Data 1'!$M$20)</f>
        <v>319584.31138235668</v>
      </c>
      <c r="O17" s="237">
        <f>IF(VLOOKUP(L17,'Data 1'!$B$1:$C$50,2,0)&gt;628,628,VLOOKUP(L17,'Data 1'!$B$1:$C$50,2,0))</f>
        <v>7</v>
      </c>
      <c r="P17" s="258" t="str">
        <f>VLOOKUP(O17+1,'Data 1'!$C$1:$D$50,2,0)</f>
        <v>Август</v>
      </c>
      <c r="Q17" s="235">
        <f>VLOOKUP(P17,'Data 1'!$F$1:$G$150,2,0)*VLOOKUP(P16,'Data 1'!$I$1:$J$150,2,0)</f>
        <v>0.43163330630361485</v>
      </c>
      <c r="R17" s="236">
        <f>IF(Q17*'Data 1'!$M$20&gt;'Data 1'!$M$20,'Data 1'!$M$20,Q17*'Data 1'!$M$20)</f>
        <v>388469.97567325336</v>
      </c>
      <c r="S17" s="237">
        <f>IF(VLOOKUP(P17,'Data 1'!$B$1:$C$50,2,0)&gt;628,628,VLOOKUP(P17,'Data 1'!$B$1:$C$50,2,0))</f>
        <v>8</v>
      </c>
      <c r="T17" s="258" t="str">
        <f>VLOOKUP(S17+1,'Data 1'!$C$1:$D$50,2,0)</f>
        <v>Сентябрь</v>
      </c>
      <c r="U17" s="235">
        <f>VLOOKUP(T17,'Data 1'!$F$1:$G$150,2,0)*VLOOKUP(T16,'Data 1'!$I$1:$J$150,2,0)</f>
        <v>0.46484571721224016</v>
      </c>
      <c r="V17" s="236">
        <f>IF(U17*'Data 1'!$M$20&gt;'Data 1'!$M$20,'Data 1'!$M$20,U17*'Data 1'!$M$20)</f>
        <v>418361.14549101616</v>
      </c>
      <c r="W17" s="237">
        <f>IF(VLOOKUP(T17,'Data 1'!$B$1:$C$50,2,0)&gt;628,628,VLOOKUP(T17,'Data 1'!$B$1:$C$50,2,0))</f>
        <v>9</v>
      </c>
      <c r="X17" s="258" t="str">
        <f>VLOOKUP(W17+1,'Data 1'!$C$1:$D$50,2,0)</f>
        <v>Октябрь</v>
      </c>
      <c r="Y17" s="235">
        <f>VLOOKUP(X17,'Data 1'!$F$1:$G$150,2,0)*VLOOKUP(X16,'Data 1'!$I$1:$J$150,2,0)</f>
        <v>0.53518842559003021</v>
      </c>
      <c r="Z17" s="236">
        <f>IF(Y17*'Data 1'!$M$20&gt;'Data 1'!$M$20,'Data 1'!$M$20,Y17*'Data 1'!$M$20)</f>
        <v>481669.58303102717</v>
      </c>
      <c r="AA17" s="237">
        <f>IF(VLOOKUP(X17,'Data 1'!$B$1:$C$50,2,0)&gt;628,628,VLOOKUP(X17,'Data 1'!$B$1:$C$50,2,0))</f>
        <v>10</v>
      </c>
      <c r="AB17" s="258" t="str">
        <f>VLOOKUP(AA17+1,'Data 1'!$C$1:$D$50,2,0)</f>
        <v>Ноябрь</v>
      </c>
      <c r="AC17" s="235">
        <f>VLOOKUP(AB17,'Data 1'!$F$1:$G$150,2,0)*VLOOKUP(AB16,'Data 1'!$I$1:$J$150,2,0)</f>
        <v>0.54363876915197806</v>
      </c>
      <c r="AD17" s="236">
        <f>IF(AC17*'Data 1'!$M$20&gt;'Data 1'!$M$20,'Data 1'!$M$20,AC17*'Data 1'!$M$20)</f>
        <v>489274.89223678026</v>
      </c>
      <c r="AE17" s="237">
        <f>IF(VLOOKUP(AB17,'Data 1'!$B$1:$C$50,2,0)&gt;628,628,VLOOKUP(AB17,'Data 1'!$B$1:$C$50,2,0))</f>
        <v>11</v>
      </c>
      <c r="AF17" s="258" t="str">
        <f>VLOOKUP(AE17+1,'Data 1'!$C$1:$D$50,2,0)</f>
        <v>Декабрь</v>
      </c>
      <c r="AG17" s="235">
        <f>VLOOKUP(AF17,'Data 1'!$F$1:$G$150,2,0)*VLOOKUP(AF16,'Data 1'!$I$1:$J$150,2,0)</f>
        <v>0.54389484016900691</v>
      </c>
      <c r="AH17" s="236">
        <f>IF(AG17*'Data 1'!$M$20&gt;'Data 1'!$M$20,'Data 1'!$M$20,AG17*'Data 1'!$M$20)</f>
        <v>489505.35615210619</v>
      </c>
      <c r="AI17" s="237">
        <f>IF(VLOOKUP(AF17,'Data 1'!$B$1:$C$50,2,0)&gt;628,628,VLOOKUP(AF17,'Data 1'!$B$1:$C$50,2,0))</f>
        <v>12</v>
      </c>
      <c r="AJ17" s="258" t="str">
        <f>VLOOKUP(AI17+1,'Data 1'!$C$1:$D$50,2,0)</f>
        <v>Январь</v>
      </c>
      <c r="AK17" s="235">
        <f>VLOOKUP(AJ17,'Data 1'!$F$1:$G$150,2,0)*VLOOKUP(AJ16,'Data 1'!$I$1:$J$150,2,0)</f>
        <v>0.60652981093423242</v>
      </c>
      <c r="AL17" s="236">
        <f>IF(AK17*'Data 1'!$M$20&gt;'Data 1'!$M$20,'Data 1'!$M$20,AK17*'Data 1'!$M$20)</f>
        <v>545876.82984080922</v>
      </c>
      <c r="AM17" s="237">
        <f>IF(VLOOKUP(AJ17,'Data 1'!$B$1:$C$50,2,0)&gt;628,628,VLOOKUP(AJ17,'Data 1'!$B$1:$C$50,2,0))</f>
        <v>1</v>
      </c>
      <c r="AN17" s="258" t="str">
        <f>VLOOKUP(AM17+1,'Data 1'!$C$1:$D$50,2,0)</f>
        <v>Февраль</v>
      </c>
      <c r="AO17" s="235">
        <f>VLOOKUP(AN17,'Data 1'!$F$1:$G$150,2,0)*VLOOKUP(AN16,'Data 1'!$I$1:$J$150,2,0)</f>
        <v>0.69620588109769121</v>
      </c>
      <c r="AP17" s="236">
        <f>IF(AO17*'Data 1'!$M$20&gt;'Data 1'!$M$20,'Data 1'!$M$20,AO17*'Data 1'!$M$20)</f>
        <v>626585.29298792209</v>
      </c>
      <c r="AQ17" s="237">
        <f>IF(VLOOKUP(AN17,'Data 1'!$B$1:$C$50,2,0)&gt;628,628,VLOOKUP(AN17,'Data 1'!$B$1:$C$50,2,0))</f>
        <v>2</v>
      </c>
      <c r="AR17" s="258" t="str">
        <f>VLOOKUP(AQ17+1,'Data 1'!$C$1:$D$50,2,0)</f>
        <v>Март</v>
      </c>
      <c r="AS17" s="235">
        <f>VLOOKUP(AR17,'Data 1'!$F$1:$G$150,2,0)*VLOOKUP(AR16,'Data 1'!$I$1:$J$150,2,0)</f>
        <v>0.68985531987537885</v>
      </c>
      <c r="AT17" s="236">
        <f>IF(AS17*'Data 1'!$M$20&gt;'Data 1'!$M$20,'Data 1'!$M$20,AS17*'Data 1'!$M$20)</f>
        <v>620869.787887841</v>
      </c>
      <c r="AU17" s="237">
        <f>IF(VLOOKUP(AR17,'Data 1'!$B$1:$C$50,2,0)&gt;628,628,VLOOKUP(AR17,'Data 1'!$B$1:$C$50,2,0))</f>
        <v>3</v>
      </c>
      <c r="AV17" s="258" t="str">
        <f>VLOOKUP(AU17+1,'Data 1'!$C$1:$D$50,2,0)</f>
        <v>Апрель</v>
      </c>
      <c r="AW17" s="235">
        <f>VLOOKUP(AV17,'Data 1'!$F$1:$G$150,2,0)*VLOOKUP(AV16,'Data 1'!$I$1:$J$150,2,0)</f>
        <v>0.79566386411164713</v>
      </c>
      <c r="AX17" s="236">
        <f>IF(AW17*'Data 1'!$M$20&gt;'Data 1'!$M$20,'Data 1'!$M$20,AW17*'Data 1'!$M$20)</f>
        <v>716097.47770048247</v>
      </c>
      <c r="AY17" s="237">
        <f>IF(VLOOKUP(AV17,'Data 1'!$B$1:$C$50,2,0)&gt;628,628,VLOOKUP(AV17,'Data 1'!$B$1:$C$50,2,0))</f>
        <v>4</v>
      </c>
      <c r="AZ17" s="258" t="str">
        <f>VLOOKUP(AY17+1,'Data 1'!$C$1:$D$50,2,0)</f>
        <v>Май</v>
      </c>
      <c r="BA17" s="235">
        <f>VLOOKUP(AZ17,'Data 1'!$F$1:$G$150,2,0)*VLOOKUP(AZ16,'Data 1'!$I$1:$J$150,2,0)</f>
        <v>0.90982032350305175</v>
      </c>
      <c r="BB17" s="236">
        <f>IF(BA17*'Data 1'!$M$20&gt;'Data 1'!$M$20,'Data 1'!$M$20,BA17*'Data 1'!$M$20)</f>
        <v>818838.29115274653</v>
      </c>
      <c r="BC17" s="237">
        <f>IF(VLOOKUP(AZ17,'Data 1'!$B$1:$C$50,2,0)&gt;628,628,VLOOKUP(AZ17,'Data 1'!$B$1:$C$50,2,0))</f>
        <v>5</v>
      </c>
      <c r="BD17" s="258" t="str">
        <f>VLOOKUP(BC17+1,'Data 1'!$C$1:$D$50,2,0)</f>
        <v>Июнь</v>
      </c>
      <c r="BE17" s="235">
        <f>VLOOKUP(BD17,'Data 1'!$F$1:$G$150,2,0)*VLOOKUP(BD16,'Data 1'!$I$1:$J$150,2,0)</f>
        <v>0.89604370278690648</v>
      </c>
      <c r="BF17" s="236">
        <f>IF(BE17*'Data 1'!$M$20&gt;'Data 1'!$M$20,'Data 1'!$M$20,BE17*'Data 1'!$M$20)</f>
        <v>806439.3325082158</v>
      </c>
      <c r="BG17" s="237">
        <f>IF(VLOOKUP(BD17,'Data 1'!$B$1:$C$50,2,0)&gt;628,628,VLOOKUP(BD17,'Data 1'!$B$1:$C$50,2,0))</f>
        <v>6</v>
      </c>
      <c r="BH17" s="258" t="str">
        <f>VLOOKUP(BG17+1,'Data 1'!$C$1:$D$50,2,0)</f>
        <v>Июль</v>
      </c>
      <c r="BI17" s="235">
        <f>VLOOKUP(BH17,'Data 1'!$F$1:$G$150,2,0)*VLOOKUP(BH16,'Data 1'!$I$1:$J$150,2,0)</f>
        <v>0.9130980325210194</v>
      </c>
      <c r="BJ17" s="236">
        <f>IF(BI17*'Data 1'!$M$20&gt;'Data 1'!$M$20,'Data 1'!$M$20,BI17*'Data 1'!$M$20)</f>
        <v>821788.22926891746</v>
      </c>
      <c r="BK17" s="237">
        <f>IF(VLOOKUP(BH17,'Data 1'!$B$1:$C$50,2,0)&gt;628,628,VLOOKUP(BH17,'Data 1'!$B$1:$C$50,2,0))</f>
        <v>7</v>
      </c>
      <c r="BL17" s="258" t="str">
        <f>VLOOKUP(BK17+1,'Data 1'!$C$1:$D$50,2,0)</f>
        <v>Август</v>
      </c>
      <c r="BM17" s="235">
        <f>VLOOKUP(BL17,'Data 1'!$F$1:$G$150,2,0)*VLOOKUP(BL16,'Data 1'!$I$1:$J$150,2,0)</f>
        <v>0.9711749391831338</v>
      </c>
      <c r="BN17" s="236">
        <f>IF(BM17*'Data 1'!$M$20&gt;'Data 1'!$M$20,'Data 1'!$M$20,BM17*'Data 1'!$M$20)</f>
        <v>874057.44526482048</v>
      </c>
      <c r="BO17" s="237">
        <f>IF(VLOOKUP(BL17,'Data 1'!$B$1:$C$50,2,0)&gt;628,628,VLOOKUP(BL17,'Data 1'!$B$1:$C$50,2,0))</f>
        <v>8</v>
      </c>
      <c r="BP17" s="258" t="str">
        <f>VLOOKUP(BO17+1,'Data 1'!$C$1:$D$50,2,0)</f>
        <v>Сентябрь</v>
      </c>
      <c r="BQ17" s="235">
        <f>VLOOKUP(BP17,'Data 1'!$F$1:$G$150,2,0)*VLOOKUP(BP16,'Data 1'!$I$1:$J$150,2,0)</f>
        <v>0.92969143442448066</v>
      </c>
      <c r="BR17" s="236">
        <f>IF(BQ17*'Data 1'!$M$20&gt;'Data 1'!$M$20,'Data 1'!$M$20,BQ17*'Data 1'!$M$20)</f>
        <v>836722.29098203254</v>
      </c>
      <c r="BS17" s="237">
        <f>IF(VLOOKUP(BP17,'Data 1'!$B$1:$C$50,2,0)&gt;628,628,VLOOKUP(BP17,'Data 1'!$B$1:$C$50,2,0))</f>
        <v>9</v>
      </c>
      <c r="BT17" s="258" t="str">
        <f>VLOOKUP(BS17+1,'Data 1'!$C$1:$D$50,2,0)</f>
        <v>Октябрь</v>
      </c>
      <c r="BU17" s="235">
        <f>VLOOKUP(BT17,'Data 1'!$F$1:$G$150,2,0)*VLOOKUP(BT16,'Data 1'!$I$1:$J$150,2,0)</f>
        <v>0.96333916606205483</v>
      </c>
      <c r="BV17" s="236">
        <f>IF(BU17*'Data 1'!$M$20&gt;'Data 1'!$M$20,'Data 1'!$M$20,BU17*'Data 1'!$M$20)</f>
        <v>867005.24945584929</v>
      </c>
      <c r="BW17" s="237">
        <f>IF(VLOOKUP(BT17,'Data 1'!$B$1:$C$50,2,0)&gt;628,628,VLOOKUP(BT17,'Data 1'!$B$1:$C$50,2,0))</f>
        <v>10</v>
      </c>
      <c r="BX17" s="258" t="str">
        <f>VLOOKUP(BW17+1,'Data 1'!$C$1:$D$50,2,0)</f>
        <v>Ноябрь</v>
      </c>
      <c r="BY17" s="235">
        <f>VLOOKUP(BX17,'Data 1'!$F$1:$G$150,2,0)*VLOOKUP(BX16,'Data 1'!$I$1:$J$150,2,0)</f>
        <v>0.88959071315778249</v>
      </c>
      <c r="BZ17" s="236">
        <f>IF(BY17*'Data 1'!$M$20&gt;'Data 1'!$M$20,'Data 1'!$M$20,BY17*'Data 1'!$M$20)</f>
        <v>800631.64184200426</v>
      </c>
      <c r="CA17" s="237">
        <f>IF(VLOOKUP(BX17,'Data 1'!$B$1:$C$50,2,0)&gt;628,628,VLOOKUP(BX17,'Data 1'!$B$1:$C$50,2,0))</f>
        <v>11</v>
      </c>
      <c r="CB17" s="258" t="str">
        <f>VLOOKUP(CA17+1,'Data 1'!$C$1:$D$50,2,0)</f>
        <v>Декабрь</v>
      </c>
      <c r="CC17" s="235">
        <f>VLOOKUP(CB17,'Data 1'!$F$1:$G$150,2,0)*VLOOKUP(CB16,'Data 1'!$I$1:$J$150,2,0)</f>
        <v>0.81584226025351037</v>
      </c>
      <c r="CD17" s="236">
        <f>IF(CC17*'Data 1'!$M$20&gt;'Data 1'!$M$20,'Data 1'!$M$20,CC17*'Data 1'!$M$20)</f>
        <v>734258.03422815935</v>
      </c>
      <c r="CE17" s="237">
        <f>IF(VLOOKUP(CB17,'Data 1'!$B$1:$C$50,2,0)&gt;628,628,VLOOKUP(CB17,'Data 1'!$B$1:$C$50,2,0))</f>
        <v>12</v>
      </c>
      <c r="CF17" s="258" t="str">
        <f>VLOOKUP(CE17+1,'Data 1'!$C$1:$D$50,2,0)</f>
        <v>Январь</v>
      </c>
      <c r="CG17" s="235">
        <f>VLOOKUP(CF17,'Data 1'!$F$1:$G$150,2,0)*VLOOKUP(CF16,'Data 1'!$I$1:$J$150,2,0)</f>
        <v>0.83981050744739882</v>
      </c>
      <c r="CH17" s="236">
        <f>IF(CG17*'Data 1'!$M$20&gt;'Data 1'!$M$20,'Data 1'!$M$20,CG17*'Data 1'!$M$20)</f>
        <v>755829.45670265891</v>
      </c>
      <c r="CI17" s="237">
        <f>IF(VLOOKUP(CF17,'Data 1'!$B$1:$C$50,2,0)&gt;628,628,VLOOKUP(CF17,'Data 1'!$B$1:$C$50,2,0))</f>
        <v>1</v>
      </c>
      <c r="CJ17" s="258" t="str">
        <f>VLOOKUP(CI17+1,'Data 1'!$C$1:$D$50,2,0)</f>
        <v>Февраль</v>
      </c>
      <c r="CK17" s="235">
        <f>VLOOKUP(CJ17,'Data 1'!$F$1:$G$150,2,0)*VLOOKUP(CJ16,'Data 1'!$I$1:$J$150,2,0)</f>
        <v>0.89512184712560294</v>
      </c>
      <c r="CL17" s="236">
        <f>IF(CK17*'Data 1'!$M$20&gt;'Data 1'!$M$20,'Data 1'!$M$20,CK17*'Data 1'!$M$20)</f>
        <v>805609.66241304262</v>
      </c>
      <c r="CM17" s="237">
        <f>IF(VLOOKUP(CJ17,'Data 1'!$B$1:$C$50,2,0)&gt;628,628,VLOOKUP(CJ17,'Data 1'!$B$1:$C$50,2,0))</f>
        <v>2</v>
      </c>
      <c r="CN17" s="258" t="str">
        <f>VLOOKUP(CM17+1,'Data 1'!$C$1:$D$50,2,0)</f>
        <v>Март</v>
      </c>
      <c r="CO17" s="235">
        <f>VLOOKUP(CN17,'Data 1'!$F$1:$G$150,2,0)*VLOOKUP(CN16,'Data 1'!$I$1:$J$150,2,0)</f>
        <v>0.82782638385045448</v>
      </c>
      <c r="CP17" s="236">
        <f>IF(CO17*'Data 1'!$M$20&gt;'Data 1'!$M$20,'Data 1'!$M$20,CO17*'Data 1'!$M$20)</f>
        <v>745043.74546540901</v>
      </c>
      <c r="CQ17" s="237">
        <f>IF(VLOOKUP(CN17,'Data 1'!$B$1:$C$50,2,0)&gt;628,628,VLOOKUP(CN17,'Data 1'!$B$1:$C$50,2,0))</f>
        <v>3</v>
      </c>
      <c r="CR17" s="258" t="str">
        <f>VLOOKUP(CQ17+1,'Data 1'!$C$1:$D$50,2,0)</f>
        <v>Апрель</v>
      </c>
      <c r="CS17" s="235">
        <f>VLOOKUP(CR17,'Data 1'!$F$1:$G$150,2,0)*VLOOKUP(CR16,'Data 1'!$I$1:$J$150,2,0)</f>
        <v>0.89512184712560294</v>
      </c>
      <c r="CT17" s="236">
        <f>IF(CS17*'Data 1'!$M$20&gt;'Data 1'!$M$20,'Data 1'!$M$20,CS17*'Data 1'!$M$20)</f>
        <v>805609.66241304262</v>
      </c>
      <c r="CU17" s="237">
        <f>IF(VLOOKUP(CR17,'Data 1'!$B$1:$C$50,2,0)&gt;628,628,VLOOKUP(CR17,'Data 1'!$B$1:$C$50,2,0))</f>
        <v>4</v>
      </c>
      <c r="CV17" s="258" t="str">
        <f>VLOOKUP(CU17+1,'Data 1'!$C$1:$D$50,2,0)</f>
        <v>Май</v>
      </c>
      <c r="CW17" s="235">
        <f>VLOOKUP(CV17,'Data 1'!$F$1:$G$150,2,0)*VLOOKUP(CV16,'Data 1'!$I$1:$J$150,2,0)</f>
        <v>0.96333916606205461</v>
      </c>
      <c r="CX17" s="236">
        <f>IF(CW17*'Data 1'!$M$20&gt;'Data 1'!$M$20,'Data 1'!$M$20,CW17*'Data 1'!$M$20)</f>
        <v>867005.24945584917</v>
      </c>
      <c r="CY17" s="237">
        <f>IF(VLOOKUP(CV17,'Data 1'!$B$1:$C$50,2,0)&gt;628,628,VLOOKUP(CV17,'Data 1'!$B$1:$C$50,2,0))</f>
        <v>5</v>
      </c>
      <c r="CZ17" s="164"/>
    </row>
    <row r="18" spans="2:104" s="167" customFormat="1" ht="21.75" thickBot="1">
      <c r="B18" s="162"/>
      <c r="C18" s="250" t="s">
        <v>123</v>
      </c>
      <c r="D18" s="259">
        <f>AVERAGE(D20:D22,D24:D28,D30:D32,D34:D45,D48:D51,D53:D56)</f>
        <v>1292.741935483871</v>
      </c>
      <c r="E18" s="240">
        <f>E19+E23+E29+E33+E46</f>
        <v>362</v>
      </c>
      <c r="F18" s="239">
        <f>F19+F23+F29+F33+F46</f>
        <v>240834.79151551361</v>
      </c>
      <c r="G18" s="241">
        <f t="shared" ref="G18" si="26">G19+G23+G29+G33+G46</f>
        <v>251950</v>
      </c>
      <c r="H18" s="259">
        <f t="shared" ref="H18" si="27">AVERAGE(H20:H22,H24:H28,H30:H32,H34:H45,H48:H51,H53:H56)</f>
        <v>1422.9032258064517</v>
      </c>
      <c r="I18" s="240">
        <f t="shared" ref="I18" si="28">I19+I23+I29+I33+I46</f>
        <v>403</v>
      </c>
      <c r="J18" s="239">
        <f t="shared" ref="J18" si="29">J19+J23+J29+J33+J46</f>
        <v>268813.11083607189</v>
      </c>
      <c r="K18" s="241">
        <f t="shared" ref="K18" si="30">K19+K23+K29+K33+K46</f>
        <v>332030</v>
      </c>
      <c r="L18" s="259">
        <f t="shared" ref="L18" si="31">AVERAGE(L20:L22,L24:L28,L30:L32,L34:L45,L48:L51,L53:L56)</f>
        <v>1422.9032258064517</v>
      </c>
      <c r="M18" s="240">
        <f t="shared" ref="M18" si="32">M19+M23+M29+M33+M46</f>
        <v>475</v>
      </c>
      <c r="N18" s="239">
        <f t="shared" ref="N18" si="33">N19+N23+N29+N33+N46</f>
        <v>319584.31138235662</v>
      </c>
      <c r="O18" s="241">
        <f t="shared" ref="O18" si="34">O19+O23+O29+O33+O46</f>
        <v>390290</v>
      </c>
      <c r="P18" s="259">
        <f t="shared" ref="P18" si="35">AVERAGE(P20:P22,P24:P28,P30:P32,P34:P45,P48:P51,P53:P56)</f>
        <v>1509.6774193548388</v>
      </c>
      <c r="Q18" s="240">
        <f t="shared" ref="Q18" si="36">Q19+Q23+Q29+Q33+Q46</f>
        <v>572</v>
      </c>
      <c r="R18" s="239">
        <f t="shared" ref="R18" si="37">R19+R23+R29+R33+R46</f>
        <v>388469.97567325342</v>
      </c>
      <c r="S18" s="241">
        <f t="shared" ref="S18" si="38">S19+S23+S29+S33+S46</f>
        <v>514600</v>
      </c>
      <c r="T18" s="259">
        <f t="shared" ref="T18" si="39">AVERAGE(T20:T22,T24:T28,T30:T32,T34:T45,T48:T51,T53:T56)</f>
        <v>1509.6774193548388</v>
      </c>
      <c r="U18" s="240">
        <f t="shared" ref="U18" si="40">U19+U23+U29+U33+U46</f>
        <v>616</v>
      </c>
      <c r="V18" s="239">
        <f t="shared" ref="V18" si="41">V19+V23+V29+V33+V46</f>
        <v>418361.14549101616</v>
      </c>
      <c r="W18" s="241">
        <f t="shared" ref="W18" si="42">W19+W23+W29+W33+W46</f>
        <v>555050</v>
      </c>
      <c r="X18" s="259">
        <f t="shared" ref="X18" si="43">AVERAGE(X20:X22,X24:X28,X30:X32,X34:X45,X48:X51,X53:X56)</f>
        <v>1509.6774193548388</v>
      </c>
      <c r="Y18" s="240">
        <f t="shared" ref="Y18" si="44">Y19+Y23+Y29+Y33+Y46</f>
        <v>706</v>
      </c>
      <c r="Z18" s="239">
        <f t="shared" ref="Z18" si="45">Z19+Z23+Z29+Z33+Z46</f>
        <v>481669.58303102711</v>
      </c>
      <c r="AA18" s="241">
        <f t="shared" ref="AA18" si="46">AA19+AA23+AA29+AA33+AA46</f>
        <v>636700</v>
      </c>
      <c r="AB18" s="259">
        <f t="shared" ref="AB18" si="47">AVERAGE(AB20:AB22,AB24:AB28,AB30:AB32,AB34:AB45,AB48:AB51,AB53:AB56)</f>
        <v>1509.6774193548388</v>
      </c>
      <c r="AC18" s="240">
        <f t="shared" ref="AC18" si="48">AC19+AC23+AC29+AC33+AC46</f>
        <v>719</v>
      </c>
      <c r="AD18" s="239">
        <f t="shared" ref="AD18" si="49">AD19+AD23+AD29+AD33+AD46</f>
        <v>489274.89223678026</v>
      </c>
      <c r="AE18" s="241">
        <f t="shared" ref="AE18" si="50">AE19+AE23+AE29+AE33+AE46</f>
        <v>648550</v>
      </c>
      <c r="AF18" s="259">
        <f t="shared" ref="AF18" si="51">AVERAGE(AF20:AF22,AF24:AF28,AF30:AF32,AF34:AF45,AF48:AF51,AF53:AF56)</f>
        <v>1509.6774193548388</v>
      </c>
      <c r="AG18" s="240">
        <f t="shared" ref="AG18" si="52">AG19+AG23+AG29+AG33+AG46</f>
        <v>719</v>
      </c>
      <c r="AH18" s="239">
        <f t="shared" ref="AH18" si="53">AH19+AH23+AH29+AH33+AH46</f>
        <v>489505.35615210619</v>
      </c>
      <c r="AI18" s="241">
        <f t="shared" ref="AI18" si="54">AI19+AI23+AI29+AI33+AI46</f>
        <v>648550</v>
      </c>
      <c r="AJ18" s="259">
        <f t="shared" ref="AJ18" si="55">AVERAGE(AJ20:AJ22,AJ24:AJ28,AJ30:AJ32,AJ34:AJ45,AJ48:AJ51,AJ53:AJ56)</f>
        <v>1509.6774193548388</v>
      </c>
      <c r="AK18" s="240">
        <f t="shared" ref="AK18" si="56">AK19+AK23+AK29+AK33+AK46</f>
        <v>801</v>
      </c>
      <c r="AL18" s="239">
        <f t="shared" ref="AL18" si="57">AL19+AL23+AL29+AL33+AL46</f>
        <v>545876.82984080911</v>
      </c>
      <c r="AM18" s="241">
        <f t="shared" ref="AM18" si="58">AM19+AM23+AM29+AM33+AM46</f>
        <v>721600</v>
      </c>
      <c r="AN18" s="259">
        <f t="shared" ref="AN18" si="59">AVERAGE(AN20:AN22,AN24:AN28,AN30:AN32,AN34:AN45,AN48:AN51,AN53:AN56)</f>
        <v>1509.6774193548388</v>
      </c>
      <c r="AO18" s="240">
        <f t="shared" ref="AO18" si="60">AO19+AO23+AO29+AO33+AO46</f>
        <v>913</v>
      </c>
      <c r="AP18" s="239">
        <f t="shared" ref="AP18" si="61">AP19+AP23+AP29+AP33+AP46</f>
        <v>626585.29298792209</v>
      </c>
      <c r="AQ18" s="241">
        <f t="shared" ref="AQ18" si="62">AQ19+AQ23+AQ29+AQ33+AQ46</f>
        <v>819150</v>
      </c>
      <c r="AR18" s="259">
        <f t="shared" ref="AR18" si="63">AVERAGE(AR20:AR22,AR24:AR28,AR30:AR32,AR34:AR45,AR48:AR51,AR53:AR56)</f>
        <v>1509.6774193548388</v>
      </c>
      <c r="AS18" s="240">
        <f t="shared" ref="AS18" si="64">AS19+AS23+AS29+AS33+AS46</f>
        <v>907</v>
      </c>
      <c r="AT18" s="239">
        <f t="shared" ref="AT18" si="65">AT19+AT23+AT29+AT33+AT46</f>
        <v>620869.78788784111</v>
      </c>
      <c r="AU18" s="241">
        <f t="shared" ref="AU18" si="66">AU19+AU23+AU29+AU33+AU46</f>
        <v>814500</v>
      </c>
      <c r="AV18" s="259">
        <f t="shared" ref="AV18" si="67">AVERAGE(AV20:AV22,AV24:AV28,AV30:AV32,AV34:AV45,AV48:AV51,AV53:AV56)</f>
        <v>1509.6774193548388</v>
      </c>
      <c r="AW18" s="240">
        <f t="shared" ref="AW18" si="68">AW19+AW23+AW29+AW33+AW46</f>
        <v>1043</v>
      </c>
      <c r="AX18" s="239">
        <f t="shared" ref="AX18" si="69">AX19+AX23+AX29+AX33+AX46</f>
        <v>716097.47770048247</v>
      </c>
      <c r="AY18" s="241">
        <f t="shared" ref="AY18" si="70">AY19+AY23+AY29+AY33+AY46</f>
        <v>936950</v>
      </c>
      <c r="AZ18" s="259">
        <f t="shared" ref="AZ18" si="71">AVERAGE(AZ20:AZ22,AZ24:AZ28,AZ30:AZ32,AZ34:AZ45,AZ48:AZ51,AZ53:AZ56)</f>
        <v>1509.6774193548388</v>
      </c>
      <c r="BA18" s="240">
        <f t="shared" ref="BA18" si="72">BA19+BA23+BA29+BA33+BA46</f>
        <v>1192</v>
      </c>
      <c r="BB18" s="239">
        <f t="shared" ref="BB18" si="73">BB19+BB23+BB29+BB33+BB46</f>
        <v>818838.29115274653</v>
      </c>
      <c r="BC18" s="241">
        <f t="shared" ref="BC18" si="74">BC19+BC23+BC29+BC33+BC46</f>
        <v>1068750</v>
      </c>
      <c r="BD18" s="259">
        <f t="shared" ref="BD18" si="75">AVERAGE(BD20:BD22,BD24:BD28,BD30:BD32,BD34:BD45,BD48:BD51,BD53:BD56)</f>
        <v>1509.6774193548388</v>
      </c>
      <c r="BE18" s="240">
        <f t="shared" ref="BE18" si="76">BE19+BE23+BE29+BE33+BE46</f>
        <v>1170</v>
      </c>
      <c r="BF18" s="239">
        <f t="shared" ref="BF18" si="77">BF19+BF23+BF29+BF33+BF46</f>
        <v>806439.3325082158</v>
      </c>
      <c r="BG18" s="241">
        <f t="shared" ref="BG18" si="78">BG19+BG23+BG29+BG33+BG46</f>
        <v>1048700</v>
      </c>
      <c r="BH18" s="259">
        <f t="shared" ref="BH18" si="79">AVERAGE(BH20:BH22,BH24:BH28,BH30:BH32,BH34:BH45,BH48:BH51,BH53:BH56)</f>
        <v>1509.6774193548388</v>
      </c>
      <c r="BI18" s="240">
        <f t="shared" ref="BI18" si="80">BI19+BI23+BI29+BI33+BI46</f>
        <v>1195</v>
      </c>
      <c r="BJ18" s="239">
        <f t="shared" ref="BJ18" si="81">BJ19+BJ23+BJ29+BJ33+BJ46</f>
        <v>821788.22926891746</v>
      </c>
      <c r="BK18" s="241">
        <f t="shared" ref="BK18" si="82">BK19+BK23+BK29+BK33+BK46</f>
        <v>1071450</v>
      </c>
      <c r="BL18" s="259">
        <f t="shared" ref="BL18" si="83">AVERAGE(BL20:BL22,BL24:BL28,BL30:BL32,BL34:BL45,BL48:BL51,BL53:BL56)</f>
        <v>1509.6774193548388</v>
      </c>
      <c r="BM18" s="240">
        <f t="shared" ref="BM18" si="84">BM19+BM23+BM29+BM33+BM46</f>
        <v>1270</v>
      </c>
      <c r="BN18" s="239">
        <f t="shared" ref="BN18" si="85">BN19+BN23+BN29+BN33+BN46</f>
        <v>874057.44526482048</v>
      </c>
      <c r="BO18" s="241">
        <f t="shared" ref="BO18" si="86">BO19+BO23+BO29+BO33+BO46</f>
        <v>1141350</v>
      </c>
      <c r="BP18" s="259">
        <f t="shared" ref="BP18" si="87">AVERAGE(BP20:BP22,BP24:BP28,BP30:BP32,BP34:BP45,BP48:BP51,BP53:BP56)</f>
        <v>1509.6774193548388</v>
      </c>
      <c r="BQ18" s="240">
        <f t="shared" ref="BQ18" si="88">BQ19+BQ23+BQ29+BQ33+BQ46</f>
        <v>1215</v>
      </c>
      <c r="BR18" s="239">
        <f t="shared" ref="BR18" si="89">BR19+BR23+BR29+BR33+BR46</f>
        <v>836722.29098203254</v>
      </c>
      <c r="BS18" s="241">
        <f t="shared" ref="BS18" si="90">BS19+BS23+BS29+BS33+BS46</f>
        <v>1088350</v>
      </c>
      <c r="BT18" s="259">
        <f t="shared" ref="BT18" si="91">AVERAGE(BT20:BT22,BT24:BT28,BT30:BT32,BT34:BT45,BT48:BT51,BT53:BT56)</f>
        <v>1509.6774193548388</v>
      </c>
      <c r="BU18" s="240">
        <f t="shared" ref="BU18" si="92">BU19+BU23+BU29+BU33+BU46</f>
        <v>1259</v>
      </c>
      <c r="BV18" s="239">
        <f t="shared" ref="BV18" si="93">BV19+BV23+BV29+BV33+BV46</f>
        <v>867005.24945584929</v>
      </c>
      <c r="BW18" s="241">
        <f t="shared" ref="BW18" si="94">BW19+BW23+BW29+BW33+BW46</f>
        <v>1131050</v>
      </c>
      <c r="BX18" s="259">
        <f t="shared" ref="BX18" si="95">AVERAGE(BX20:BX22,BX24:BX28,BX30:BX32,BX34:BX45,BX48:BX51,BX53:BX56)</f>
        <v>1509.6774193548388</v>
      </c>
      <c r="BY18" s="240">
        <f t="shared" ref="BY18" si="96">BY19+BY23+BY29+BY33+BY46</f>
        <v>1164</v>
      </c>
      <c r="BZ18" s="239">
        <f t="shared" ref="BZ18" si="97">BZ19+BZ23+BZ29+BZ33+BZ46</f>
        <v>800631.64184200438</v>
      </c>
      <c r="CA18" s="241">
        <f t="shared" ref="CA18" si="98">CA19+CA23+CA29+CA33+CA46</f>
        <v>1044800</v>
      </c>
      <c r="CB18" s="259">
        <f t="shared" ref="CB18" si="99">AVERAGE(CB20:CB22,CB24:CB28,CB30:CB32,CB34:CB45,CB48:CB51,CB53:CB56)</f>
        <v>1509.6774193548388</v>
      </c>
      <c r="CC18" s="240">
        <f t="shared" ref="CC18" si="100">CC19+CC23+CC29+CC33+CC46</f>
        <v>1069</v>
      </c>
      <c r="CD18" s="239">
        <f t="shared" ref="CD18" si="101">CD19+CD23+CD29+CD33+CD46</f>
        <v>734258.03422815935</v>
      </c>
      <c r="CE18" s="241">
        <f t="shared" ref="CE18" si="102">CE19+CE23+CE29+CE33+CE46</f>
        <v>960150</v>
      </c>
      <c r="CF18" s="259">
        <f t="shared" ref="CF18" si="103">AVERAGE(CF20:CF22,CF24:CF28,CF30:CF32,CF34:CF45,CF48:CF51,CF53:CF56)</f>
        <v>1509.6774193548388</v>
      </c>
      <c r="CG18" s="240">
        <f t="shared" ref="CG18" si="104">CG19+CG23+CG29+CG33+CG46</f>
        <v>1101</v>
      </c>
      <c r="CH18" s="239">
        <f t="shared" ref="CH18" si="105">CH19+CH23+CH29+CH33+CH46</f>
        <v>755829.45670265891</v>
      </c>
      <c r="CI18" s="241">
        <f t="shared" ref="CI18" si="106">CI19+CI23+CI29+CI33+CI46</f>
        <v>988650</v>
      </c>
      <c r="CJ18" s="259">
        <f t="shared" ref="CJ18" si="107">AVERAGE(CJ20:CJ22,CJ24:CJ28,CJ30:CJ32,CJ34:CJ45,CJ48:CJ51,CJ53:CJ56)</f>
        <v>1509.6774193548388</v>
      </c>
      <c r="CK18" s="240">
        <f t="shared" ref="CK18" si="108">CK19+CK23+CK29+CK33+CK46</f>
        <v>1170</v>
      </c>
      <c r="CL18" s="239">
        <f t="shared" ref="CL18" si="109">CL19+CL23+CL29+CL33+CL46</f>
        <v>805609.66241304262</v>
      </c>
      <c r="CM18" s="241">
        <f t="shared" ref="CM18" si="110">CM19+CM23+CM29+CM33+CM46</f>
        <v>1048700</v>
      </c>
      <c r="CN18" s="259">
        <f t="shared" ref="CN18" si="111">AVERAGE(CN20:CN22,CN24:CN28,CN30:CN32,CN34:CN45,CN48:CN51,CN53:CN56)</f>
        <v>1509.6774193548388</v>
      </c>
      <c r="CO18" s="240">
        <f t="shared" ref="CO18" si="112">CO19+CO23+CO29+CO33+CO46</f>
        <v>1084</v>
      </c>
      <c r="CP18" s="239">
        <f t="shared" ref="CP18" si="113">CP19+CP23+CP29+CP33+CP46</f>
        <v>745043.74546540901</v>
      </c>
      <c r="CQ18" s="241">
        <f t="shared" ref="CQ18" si="114">CQ19+CQ23+CQ29+CQ33+CQ46</f>
        <v>972900</v>
      </c>
      <c r="CR18" s="259">
        <f t="shared" ref="CR18" si="115">AVERAGE(CR20:CR22,CR24:CR28,CR30:CR32,CR34:CR45,CR48:CR51,CR53:CR56)</f>
        <v>1509.6774193548388</v>
      </c>
      <c r="CS18" s="240">
        <f t="shared" ref="CS18" si="116">CS19+CS23+CS29+CS33+CS46</f>
        <v>1170</v>
      </c>
      <c r="CT18" s="239">
        <f t="shared" ref="CT18" si="117">CT19+CT23+CT29+CT33+CT46</f>
        <v>805609.66241304262</v>
      </c>
      <c r="CU18" s="241">
        <f t="shared" ref="CU18" si="118">CU19+CU23+CU29+CU33+CU46</f>
        <v>1048700</v>
      </c>
      <c r="CV18" s="259">
        <f t="shared" ref="CV18" si="119">AVERAGE(CV20:CV22,CV24:CV28,CV30:CV32,CV34:CV45,CV48:CV51,CV53:CV56)</f>
        <v>1509.6774193548388</v>
      </c>
      <c r="CW18" s="240">
        <f t="shared" ref="CW18" si="120">CW19+CW23+CW29+CW33+CW46</f>
        <v>1259</v>
      </c>
      <c r="CX18" s="239">
        <f t="shared" ref="CX18" si="121">CX19+CX23+CX29+CX33+CX46</f>
        <v>867005.24945584917</v>
      </c>
      <c r="CY18" s="241">
        <f t="shared" ref="CY18" si="122">CY19+CY23+CY29+CY33+CY46</f>
        <v>1131050</v>
      </c>
      <c r="CZ18" s="164"/>
    </row>
    <row r="19" spans="2:104" s="168" customFormat="1" ht="19.5" thickBot="1">
      <c r="B19" s="162"/>
      <c r="C19" s="251" t="s">
        <v>243</v>
      </c>
      <c r="D19" s="260">
        <f>AVERAGE(D20:D22)</f>
        <v>816.66666666666663</v>
      </c>
      <c r="E19" s="243">
        <f>SUM(E20:E22)</f>
        <v>207</v>
      </c>
      <c r="F19" s="242">
        <f>SUM(F20:F22)</f>
        <v>14723.524372127471</v>
      </c>
      <c r="G19" s="244">
        <f t="shared" ref="G19" si="123">SUM(G20:G22)</f>
        <v>141300</v>
      </c>
      <c r="H19" s="260">
        <f t="shared" ref="H19" si="124">AVERAGE(H20:H22)</f>
        <v>816.66666666666663</v>
      </c>
      <c r="I19" s="243">
        <f t="shared" ref="I19:K19" si="125">SUM(I20:I22)</f>
        <v>231</v>
      </c>
      <c r="J19" s="242">
        <f t="shared" si="125"/>
        <v>16433.989308755488</v>
      </c>
      <c r="K19" s="244">
        <f t="shared" si="125"/>
        <v>157650</v>
      </c>
      <c r="L19" s="260">
        <f t="shared" ref="L19" si="126">AVERAGE(L20:L22)</f>
        <v>816.66666666666663</v>
      </c>
      <c r="M19" s="243">
        <f t="shared" ref="M19:O19" si="127">SUM(M20:M22)</f>
        <v>274</v>
      </c>
      <c r="N19" s="242">
        <f t="shared" si="127"/>
        <v>19537.90549935805</v>
      </c>
      <c r="O19" s="244">
        <f t="shared" si="127"/>
        <v>186850</v>
      </c>
      <c r="P19" s="260">
        <f t="shared" ref="P19" si="128">AVERAGE(P20:P22)</f>
        <v>816.66666666666663</v>
      </c>
      <c r="Q19" s="243">
        <f t="shared" ref="Q19:S19" si="129">SUM(Q20:Q22)</f>
        <v>332</v>
      </c>
      <c r="R19" s="242">
        <f t="shared" si="129"/>
        <v>23749.256154696712</v>
      </c>
      <c r="S19" s="244">
        <f t="shared" si="129"/>
        <v>226300</v>
      </c>
      <c r="T19" s="260">
        <f t="shared" ref="T19" si="130">AVERAGE(T20:T22)</f>
        <v>816.66666666666663</v>
      </c>
      <c r="U19" s="243">
        <f t="shared" ref="U19:W19" si="131">SUM(U20:U22)</f>
        <v>358</v>
      </c>
      <c r="V19" s="242">
        <f t="shared" si="131"/>
        <v>25576.663916481339</v>
      </c>
      <c r="W19" s="244">
        <f t="shared" si="131"/>
        <v>244200</v>
      </c>
      <c r="X19" s="260">
        <f t="shared" ref="X19" si="132">AVERAGE(X20:X22)</f>
        <v>816.66666666666663</v>
      </c>
      <c r="Y19" s="243">
        <f t="shared" ref="Y19:AA19" si="133">SUM(Y20:Y22)</f>
        <v>411</v>
      </c>
      <c r="Z19" s="242">
        <f t="shared" si="133"/>
        <v>29447.048744254938</v>
      </c>
      <c r="AA19" s="244">
        <f t="shared" si="133"/>
        <v>280150</v>
      </c>
      <c r="AB19" s="260">
        <f t="shared" ref="AB19" si="134">AVERAGE(AB20:AB22)</f>
        <v>816.66666666666663</v>
      </c>
      <c r="AC19" s="243">
        <f t="shared" ref="AC19:AE19" si="135">SUM(AC20:AC22)</f>
        <v>418</v>
      </c>
      <c r="AD19" s="242">
        <f t="shared" si="135"/>
        <v>29912.002145480019</v>
      </c>
      <c r="AE19" s="244">
        <f t="shared" si="135"/>
        <v>284950</v>
      </c>
      <c r="AF19" s="260">
        <f t="shared" ref="AF19" si="136">AVERAGE(AF20:AF22)</f>
        <v>816.66666666666663</v>
      </c>
      <c r="AG19" s="243">
        <f t="shared" ref="AG19:AI19" si="137">SUM(AG20:AG22)</f>
        <v>418</v>
      </c>
      <c r="AH19" s="242">
        <f t="shared" si="137"/>
        <v>29926.091642486841</v>
      </c>
      <c r="AI19" s="244">
        <f t="shared" si="137"/>
        <v>284950</v>
      </c>
      <c r="AJ19" s="260">
        <f t="shared" ref="AJ19" si="138">AVERAGE(AJ20:AJ22)</f>
        <v>816.66666666666663</v>
      </c>
      <c r="AK19" s="243">
        <f t="shared" ref="AK19:AM19" si="139">SUM(AK20:AK22)</f>
        <v>466</v>
      </c>
      <c r="AL19" s="242">
        <f t="shared" si="139"/>
        <v>33372.382610355147</v>
      </c>
      <c r="AM19" s="244">
        <f t="shared" si="139"/>
        <v>317650</v>
      </c>
      <c r="AN19" s="260">
        <f t="shared" ref="AN19" si="140">AVERAGE(AN20:AN22)</f>
        <v>816.66666666666663</v>
      </c>
      <c r="AO19" s="243">
        <f t="shared" ref="AO19:AQ19" si="141">SUM(AO20:AO22)</f>
        <v>535</v>
      </c>
      <c r="AP19" s="242">
        <f t="shared" si="141"/>
        <v>38306.524462143709</v>
      </c>
      <c r="AQ19" s="244">
        <f t="shared" si="141"/>
        <v>364750</v>
      </c>
      <c r="AR19" s="260">
        <f t="shared" ref="AR19" si="142">AVERAGE(AR20:AR22)</f>
        <v>816.66666666666663</v>
      </c>
      <c r="AS19" s="243">
        <f t="shared" ref="AS19:AU19" si="143">SUM(AS20:AS22)</f>
        <v>531</v>
      </c>
      <c r="AT19" s="242">
        <f t="shared" si="143"/>
        <v>37957.104936374555</v>
      </c>
      <c r="AU19" s="244">
        <f t="shared" si="143"/>
        <v>362150</v>
      </c>
      <c r="AV19" s="260">
        <f t="shared" ref="AV19" si="144">AVERAGE(AV20:AV22)</f>
        <v>816.66666666666663</v>
      </c>
      <c r="AW19" s="243">
        <f t="shared" ref="AW19:AY19" si="145">SUM(AW20:AW22)</f>
        <v>611</v>
      </c>
      <c r="AX19" s="242">
        <f t="shared" si="145"/>
        <v>43778.885099592815</v>
      </c>
      <c r="AY19" s="244">
        <f t="shared" si="145"/>
        <v>416400</v>
      </c>
      <c r="AZ19" s="260">
        <f t="shared" ref="AZ19" si="146">AVERAGE(AZ20:AZ22)</f>
        <v>816.66666666666663</v>
      </c>
      <c r="BA19" s="243">
        <f t="shared" ref="BA19:BC19" si="147">SUM(BA20:BA22)</f>
        <v>700</v>
      </c>
      <c r="BB19" s="242">
        <f t="shared" si="147"/>
        <v>50059.982865233411</v>
      </c>
      <c r="BC19" s="244">
        <f t="shared" si="147"/>
        <v>477250</v>
      </c>
      <c r="BD19" s="260">
        <f t="shared" ref="BD19" si="148">AVERAGE(BD20:BD22)</f>
        <v>816.66666666666663</v>
      </c>
      <c r="BE19" s="243">
        <f t="shared" ref="BE19:BG19" si="149">SUM(BE20:BE22)</f>
        <v>688</v>
      </c>
      <c r="BF19" s="242">
        <f t="shared" si="149"/>
        <v>49301.967926266472</v>
      </c>
      <c r="BG19" s="244">
        <f t="shared" si="149"/>
        <v>468950</v>
      </c>
      <c r="BH19" s="260">
        <f t="shared" ref="BH19" si="150">AVERAGE(BH20:BH22)</f>
        <v>816.66666666666663</v>
      </c>
      <c r="BI19" s="243">
        <f t="shared" ref="BI19:BK19" si="151">SUM(BI20:BI22)</f>
        <v>702</v>
      </c>
      <c r="BJ19" s="242">
        <f t="shared" si="151"/>
        <v>50240.328426920722</v>
      </c>
      <c r="BK19" s="244">
        <f t="shared" si="151"/>
        <v>478550</v>
      </c>
      <c r="BL19" s="260">
        <f t="shared" ref="BL19" si="152">AVERAGE(BL20:BL22)</f>
        <v>816.66666666666663</v>
      </c>
      <c r="BM19" s="243">
        <f t="shared" ref="BM19:BO19" si="153">SUM(BM20:BM22)</f>
        <v>746</v>
      </c>
      <c r="BN19" s="242">
        <f t="shared" si="153"/>
        <v>53435.826348067625</v>
      </c>
      <c r="BO19" s="244">
        <f t="shared" si="153"/>
        <v>508400</v>
      </c>
      <c r="BP19" s="260">
        <f t="shared" ref="BP19" si="154">AVERAGE(BP20:BP22)</f>
        <v>816.66666666666663</v>
      </c>
      <c r="BQ19" s="243">
        <f>SUM(BQ20:BQ22)</f>
        <v>714</v>
      </c>
      <c r="BR19" s="242">
        <f t="shared" ref="BR19:BS19" si="155">SUM(BR20:BR22)</f>
        <v>51153.327832962677</v>
      </c>
      <c r="BS19" s="244">
        <f t="shared" si="155"/>
        <v>486600</v>
      </c>
      <c r="BT19" s="260">
        <f t="shared" ref="BT19" si="156">AVERAGE(BT20:BT22)</f>
        <v>816.66666666666663</v>
      </c>
      <c r="BU19" s="243">
        <f t="shared" ref="BU19:BW19" si="157">SUM(BU20:BU22)</f>
        <v>740</v>
      </c>
      <c r="BV19" s="242">
        <f t="shared" si="157"/>
        <v>53004.687739658912</v>
      </c>
      <c r="BW19" s="244">
        <f t="shared" si="157"/>
        <v>504250</v>
      </c>
      <c r="BX19" s="260">
        <f t="shared" ref="BX19" si="158">AVERAGE(BX20:BX22)</f>
        <v>816.66666666666663</v>
      </c>
      <c r="BY19" s="243">
        <f t="shared" ref="BY19:CA19" si="159">SUM(BY20:BY22)</f>
        <v>684</v>
      </c>
      <c r="BZ19" s="242">
        <f t="shared" si="159"/>
        <v>48946.912601694581</v>
      </c>
      <c r="CA19" s="244">
        <f t="shared" si="159"/>
        <v>466350</v>
      </c>
      <c r="CB19" s="260">
        <f t="shared" ref="CB19" si="160">AVERAGE(CB20:CB22)</f>
        <v>816.66666666666663</v>
      </c>
      <c r="CC19" s="243">
        <f t="shared" ref="CC19:CE19" si="161">SUM(CC20:CC22)</f>
        <v>627</v>
      </c>
      <c r="CD19" s="242">
        <f t="shared" si="161"/>
        <v>44889.137463730265</v>
      </c>
      <c r="CE19" s="244">
        <f t="shared" si="161"/>
        <v>427300</v>
      </c>
      <c r="CF19" s="260">
        <f t="shared" ref="CF19" si="162">AVERAGE(CF20:CF22)</f>
        <v>816.66666666666663</v>
      </c>
      <c r="CG19" s="243">
        <f t="shared" ref="CG19:CI19" si="163">SUM(CG20:CG22)</f>
        <v>645</v>
      </c>
      <c r="CH19" s="242">
        <f t="shared" si="163"/>
        <v>46207.91438356867</v>
      </c>
      <c r="CI19" s="244">
        <f t="shared" si="163"/>
        <v>439500</v>
      </c>
      <c r="CJ19" s="260">
        <f t="shared" ref="CJ19" si="164">AVERAGE(CJ20:CJ22)</f>
        <v>816.66666666666663</v>
      </c>
      <c r="CK19" s="243">
        <f t="shared" ref="CK19:CM19" si="165">SUM(CK20:CK22)</f>
        <v>688</v>
      </c>
      <c r="CL19" s="242">
        <f t="shared" si="165"/>
        <v>49251.245737041907</v>
      </c>
      <c r="CM19" s="244">
        <f t="shared" si="165"/>
        <v>468950</v>
      </c>
      <c r="CN19" s="260">
        <f t="shared" ref="CN19" si="166">AVERAGE(CN20:CN22)</f>
        <v>816.66666666666663</v>
      </c>
      <c r="CO19" s="243">
        <f t="shared" ref="CO19:CQ19" si="167">SUM(CO20:CO22)</f>
        <v>636</v>
      </c>
      <c r="CP19" s="242">
        <f t="shared" si="167"/>
        <v>45548.52592364946</v>
      </c>
      <c r="CQ19" s="244">
        <f t="shared" si="167"/>
        <v>433400</v>
      </c>
      <c r="CR19" s="260">
        <f t="shared" ref="CR19" si="168">AVERAGE(CR20:CR22)</f>
        <v>816.66666666666663</v>
      </c>
      <c r="CS19" s="243">
        <f t="shared" ref="CS19:CU19" si="169">SUM(CS20:CS22)</f>
        <v>688</v>
      </c>
      <c r="CT19" s="242">
        <f t="shared" si="169"/>
        <v>49251.245737041907</v>
      </c>
      <c r="CU19" s="244">
        <f t="shared" si="169"/>
        <v>468950</v>
      </c>
      <c r="CV19" s="260">
        <f t="shared" ref="CV19" si="170">AVERAGE(CV20:CV22)</f>
        <v>816.66666666666663</v>
      </c>
      <c r="CW19" s="243">
        <f t="shared" ref="CW19:CY19" si="171">SUM(CW20:CW22)</f>
        <v>740</v>
      </c>
      <c r="CX19" s="242">
        <f t="shared" si="171"/>
        <v>53004.687739658897</v>
      </c>
      <c r="CY19" s="244">
        <f t="shared" si="171"/>
        <v>504250</v>
      </c>
      <c r="CZ19" s="164"/>
    </row>
    <row r="20" spans="2:104" s="165" customFormat="1" ht="24.75" hidden="1" customHeight="1" outlineLevel="1">
      <c r="B20" s="162"/>
      <c r="C20" s="252" t="s">
        <v>93</v>
      </c>
      <c r="D20" s="261">
        <f>VLOOKUP($C20,Прайс!$D$8:$E$119,2,0)</f>
        <v>650</v>
      </c>
      <c r="E20" s="198">
        <f>ROUNDUP(VLOOKUP($C20,Прайс!$D$6:$F$1004,3,0)*VLOOKUP($C$19,Прайс!$D$6:$F$1004,3,0)*F$16,0)</f>
        <v>180</v>
      </c>
      <c r="F20" s="197">
        <f>F$17*$D20/SUM($D$20:$D$22,$D$24:$D$28,$D$30:$D$32,$D$34:$D$45,$D$48:$D$51,$D$53:$D$56)</f>
        <v>3906.2411599521865</v>
      </c>
      <c r="G20" s="224">
        <f>D20*E20</f>
        <v>117000</v>
      </c>
      <c r="H20" s="261">
        <f>VLOOKUP($C20,Прайс!$D$8:$E$119,2,0)</f>
        <v>650</v>
      </c>
      <c r="I20" s="198">
        <f>ROUNDUP(VLOOKUP($C20,Прайс!$D$6:$F$1004,3,0)*VLOOKUP($C$19,Прайс!$D$6:$F$1004,3,0)*J$16,0)</f>
        <v>201</v>
      </c>
      <c r="J20" s="197">
        <f t="shared" ref="J20:J22" si="172">J$17*$D20/SUM($D$20:$D$22,$D$24:$D$28,$D$30:$D$32,$D$34:$D$45,$D$48:$D$51,$D$53:$D$56)</f>
        <v>4360.0379798739041</v>
      </c>
      <c r="K20" s="224">
        <f t="shared" ref="K20:K22" si="173">H20*I20</f>
        <v>130650</v>
      </c>
      <c r="L20" s="261">
        <f>VLOOKUP($C20,Прайс!$D$8:$E$119,2,0)</f>
        <v>650</v>
      </c>
      <c r="M20" s="198">
        <f>ROUNDUP(VLOOKUP($C20,Прайс!$D$6:$F$1004,3,0)*VLOOKUP($C$19,Прайс!$D$6:$F$1004,3,0)*N$16,0)</f>
        <v>239</v>
      </c>
      <c r="N20" s="197">
        <f t="shared" ref="N20:N22" si="174">N$17*$D20/SUM($D$20:$D$22,$D$24:$D$28,$D$30:$D$32,$D$34:$D$45,$D$48:$D$51,$D$53:$D$56)</f>
        <v>5183.5259488092788</v>
      </c>
      <c r="O20" s="224">
        <f t="shared" ref="O20:O22" si="175">L20*M20</f>
        <v>155350</v>
      </c>
      <c r="P20" s="261">
        <f>VLOOKUP($C20,Прайс!$D$8:$E$119,2,0)</f>
        <v>650</v>
      </c>
      <c r="Q20" s="198">
        <f>ROUNDUP(VLOOKUP($C20,Прайс!$D$6:$F$1004,3,0)*VLOOKUP($C$19,Прайс!$D$6:$F$1004,3,0)*R$16,0)</f>
        <v>290</v>
      </c>
      <c r="R20" s="197">
        <f t="shared" ref="R20:R22" si="176">R$17*$D20/SUM($D$20:$D$22,$D$24:$D$28,$D$30:$D$32,$D$34:$D$45,$D$48:$D$51,$D$53:$D$56)</f>
        <v>6300.8230614501481</v>
      </c>
      <c r="S20" s="224">
        <f t="shared" ref="S20:S22" si="177">P20*Q20</f>
        <v>188500</v>
      </c>
      <c r="T20" s="261">
        <f>VLOOKUP($C20,Прайс!$D$8:$E$119,2,0)</f>
        <v>650</v>
      </c>
      <c r="U20" s="198">
        <f>ROUNDUP(VLOOKUP($C20,Прайс!$D$6:$F$1004,3,0)*VLOOKUP($C$19,Прайс!$D$6:$F$1004,3,0)*V$16,0)</f>
        <v>312</v>
      </c>
      <c r="V20" s="197">
        <f t="shared" ref="V20:V22" si="178">V$17*$D20/SUM($D$20:$D$22,$D$24:$D$28,$D$30:$D$32,$D$34:$D$45,$D$48:$D$51,$D$53:$D$56)</f>
        <v>6785.6455288623956</v>
      </c>
      <c r="W20" s="224">
        <f t="shared" ref="W20:W22" si="179">T20*U20</f>
        <v>202800</v>
      </c>
      <c r="X20" s="261">
        <f>VLOOKUP($C20,Прайс!$D$8:$E$119,2,0)</f>
        <v>650</v>
      </c>
      <c r="Y20" s="198">
        <f>ROUNDUP(VLOOKUP($C20,Прайс!$D$6:$F$1004,3,0)*VLOOKUP($C$19,Прайс!$D$6:$F$1004,3,0)*Z$16,0)</f>
        <v>359</v>
      </c>
      <c r="Z20" s="197">
        <f t="shared" ref="Z20:Z22" si="180">Z$17*$D20/SUM($D$20:$D$22,$D$24:$D$28,$D$30:$D$32,$D$34:$D$45,$D$48:$D$51,$D$53:$D$56)</f>
        <v>7812.4823199043703</v>
      </c>
      <c r="AA20" s="224">
        <f t="shared" ref="AA20:AA22" si="181">X20*Y20</f>
        <v>233350</v>
      </c>
      <c r="AB20" s="261">
        <f>VLOOKUP($C20,Прайс!$D$8:$E$119,2,0)</f>
        <v>650</v>
      </c>
      <c r="AC20" s="198">
        <f>ROUNDUP(VLOOKUP($C20,Прайс!$D$6:$F$1004,3,0)*VLOOKUP($C$19,Прайс!$D$6:$F$1004,3,0)*AD$16,0)</f>
        <v>365</v>
      </c>
      <c r="AD20" s="197">
        <f t="shared" ref="AD20:AD22" si="182">AD$17*$D20/SUM($D$20:$D$22,$D$24:$D$28,$D$30:$D$32,$D$34:$D$45,$D$48:$D$51,$D$53:$D$56)</f>
        <v>7935.837303902862</v>
      </c>
      <c r="AE20" s="224">
        <f t="shared" ref="AE20:AE22" si="183">AB20*AC20</f>
        <v>237250</v>
      </c>
      <c r="AF20" s="261">
        <f>VLOOKUP($C20,Прайс!$D$8:$E$119,2,0)</f>
        <v>650</v>
      </c>
      <c r="AG20" s="198">
        <f>ROUNDUP(VLOOKUP($C20,Прайс!$D$6:$F$1004,3,0)*VLOOKUP($C$19,Прайс!$D$6:$F$1004,3,0)*AH$16,0)</f>
        <v>365</v>
      </c>
      <c r="AH20" s="197">
        <f t="shared" ref="AH20:AH22" si="184">AH$17*$D20/SUM($D$20:$D$22,$D$24:$D$28,$D$30:$D$32,$D$34:$D$45,$D$48:$D$51,$D$53:$D$56)</f>
        <v>7939.5753337209981</v>
      </c>
      <c r="AI20" s="224">
        <f t="shared" ref="AI20:AI22" si="185">AF20*AG20</f>
        <v>237250</v>
      </c>
      <c r="AJ20" s="261">
        <f>VLOOKUP($C20,Прайс!$D$8:$E$119,2,0)</f>
        <v>650</v>
      </c>
      <c r="AK20" s="198">
        <f>ROUNDUP(VLOOKUP($C20,Прайс!$D$6:$F$1004,3,0)*VLOOKUP($C$19,Прайс!$D$6:$F$1004,3,0)*AL$16,0)</f>
        <v>407</v>
      </c>
      <c r="AL20" s="197">
        <f t="shared" ref="AL20:AL22" si="186">AL$17*$D20/SUM($D$20:$D$22,$D$24:$D$28,$D$30:$D$32,$D$34:$D$45,$D$48:$D$51,$D$53:$D$56)</f>
        <v>8853.8974272370797</v>
      </c>
      <c r="AM20" s="224">
        <f t="shared" ref="AM20:AM22" si="187">AJ20*AK20</f>
        <v>264550</v>
      </c>
      <c r="AN20" s="261">
        <f>VLOOKUP($C20,Прайс!$D$8:$E$119,2,0)</f>
        <v>650</v>
      </c>
      <c r="AO20" s="198">
        <f>ROUNDUP(VLOOKUP($C20,Прайс!$D$6:$F$1004,3,0)*VLOOKUP($C$19,Прайс!$D$6:$F$1004,3,0)*AP$16,0)</f>
        <v>467</v>
      </c>
      <c r="AP20" s="197">
        <f t="shared" ref="AP20:AP22" si="188">AP$17*$D20/SUM($D$20:$D$22,$D$24:$D$28,$D$30:$D$32,$D$34:$D$45,$D$48:$D$51,$D$53:$D$56)</f>
        <v>10162.955469548331</v>
      </c>
      <c r="AQ20" s="224">
        <f t="shared" ref="AQ20:AQ22" si="189">AN20*AO20</f>
        <v>303550</v>
      </c>
      <c r="AR20" s="261">
        <f>VLOOKUP($C20,Прайс!$D$8:$E$119,2,0)</f>
        <v>650</v>
      </c>
      <c r="AS20" s="198">
        <f>ROUNDUP(VLOOKUP($C20,Прайс!$D$6:$F$1004,3,0)*VLOOKUP($C$19,Прайс!$D$6:$F$1004,3,0)*AT$16,0)</f>
        <v>463</v>
      </c>
      <c r="AT20" s="197">
        <f t="shared" ref="AT20:AT22" si="190">AT$17*$D20/SUM($D$20:$D$22,$D$24:$D$28,$D$30:$D$32,$D$34:$D$45,$D$48:$D$51,$D$53:$D$56)</f>
        <v>10070.252330058556</v>
      </c>
      <c r="AU20" s="224">
        <f t="shared" ref="AU20:AU22" si="191">AR20*AS20</f>
        <v>300950</v>
      </c>
      <c r="AV20" s="261">
        <f>VLOOKUP($C20,Прайс!$D$8:$E$119,2,0)</f>
        <v>650</v>
      </c>
      <c r="AW20" s="198">
        <f>ROUNDUP(VLOOKUP($C20,Прайс!$D$6:$F$1004,3,0)*VLOOKUP($C$19,Прайс!$D$6:$F$1004,3,0)*AX$16,0)</f>
        <v>534</v>
      </c>
      <c r="AX20" s="197">
        <f t="shared" ref="AX20:AX22" si="192">AX$17*$D20/SUM($D$20:$D$22,$D$24:$D$28,$D$30:$D$32,$D$34:$D$45,$D$48:$D$51,$D$53:$D$56)</f>
        <v>11614.806250912379</v>
      </c>
      <c r="AY20" s="224">
        <f t="shared" ref="AY20:AY22" si="193">AV20*AW20</f>
        <v>347100</v>
      </c>
      <c r="AZ20" s="261">
        <f>VLOOKUP($C20,Прайс!$D$8:$E$119,2,0)</f>
        <v>650</v>
      </c>
      <c r="BA20" s="198">
        <f>ROUNDUP(VLOOKUP($C20,Прайс!$D$6:$F$1004,3,0)*VLOOKUP($C$19,Прайс!$D$6:$F$1004,3,0)*BB$16,0)</f>
        <v>611</v>
      </c>
      <c r="BB20" s="197">
        <f t="shared" ref="BB20:BB22" si="194">BB$17*$D20/SUM($D$20:$D$22,$D$24:$D$28,$D$30:$D$32,$D$34:$D$45,$D$48:$D$51,$D$53:$D$56)</f>
        <v>13281.219943837435</v>
      </c>
      <c r="BC20" s="224">
        <f t="shared" ref="BC20:BC22" si="195">AZ20*BA20</f>
        <v>397150</v>
      </c>
      <c r="BD20" s="261">
        <f>VLOOKUP($C20,Прайс!$D$8:$E$119,2,0)</f>
        <v>650</v>
      </c>
      <c r="BE20" s="198">
        <f>ROUNDUP(VLOOKUP($C20,Прайс!$D$6:$F$1004,3,0)*VLOOKUP($C$19,Прайс!$D$6:$F$1004,3,0)*BF$16,0)</f>
        <v>601</v>
      </c>
      <c r="BF20" s="197">
        <f t="shared" ref="BF20:BF22" si="196">BF$17*$D20/SUM($D$20:$D$22,$D$24:$D$28,$D$30:$D$32,$D$34:$D$45,$D$48:$D$51,$D$53:$D$56)</f>
        <v>13080.113939621717</v>
      </c>
      <c r="BG20" s="224">
        <f t="shared" ref="BG20:BG22" si="197">BD20*BE20</f>
        <v>390650</v>
      </c>
      <c r="BH20" s="261">
        <f>VLOOKUP($C20,Прайс!$D$8:$E$119,2,0)</f>
        <v>650</v>
      </c>
      <c r="BI20" s="198">
        <f>ROUNDUP(VLOOKUP($C20,Прайс!$D$6:$F$1004,3,0)*VLOOKUP($C$19,Прайс!$D$6:$F$1004,3,0)*BJ$16,0)</f>
        <v>613</v>
      </c>
      <c r="BJ20" s="197">
        <f t="shared" ref="BJ20:BJ22" si="198">BJ$17*$D20/SUM($D$20:$D$22,$D$24:$D$28,$D$30:$D$32,$D$34:$D$45,$D$48:$D$51,$D$53:$D$56)</f>
        <v>13329.06672550958</v>
      </c>
      <c r="BK20" s="224">
        <f t="shared" ref="BK20:BK22" si="199">BH20*BI20</f>
        <v>398450</v>
      </c>
      <c r="BL20" s="261">
        <f>VLOOKUP($C20,Прайс!$D$8:$E$119,2,0)</f>
        <v>650</v>
      </c>
      <c r="BM20" s="198">
        <f>ROUNDUP(VLOOKUP($C20,Прайс!$D$6:$F$1004,3,0)*VLOOKUP($C$19,Прайс!$D$6:$F$1004,3,0)*BN$16,0)</f>
        <v>652</v>
      </c>
      <c r="BN20" s="197">
        <f t="shared" ref="BN20:BN22" si="200">BN$17*$D20/SUM($D$20:$D$22,$D$24:$D$28,$D$30:$D$32,$D$34:$D$45,$D$48:$D$51,$D$53:$D$56)</f>
        <v>14176.85188826284</v>
      </c>
      <c r="BO20" s="224">
        <f t="shared" ref="BO20:BO22" si="201">BL20*BM20</f>
        <v>423800</v>
      </c>
      <c r="BP20" s="261">
        <f>VLOOKUP($C20,Прайс!$D$8:$E$119,2,0)</f>
        <v>650</v>
      </c>
      <c r="BQ20" s="198">
        <f>ROUNDUP(VLOOKUP($C20,Прайс!$D$6:$F$1004,3,0)*VLOOKUP($C$19,Прайс!$D$6:$F$1004,3,0)*BR$16,0)</f>
        <v>624</v>
      </c>
      <c r="BR20" s="197">
        <f t="shared" ref="BR20:BR22" si="202">BR$17*$D20/SUM($D$20:$D$22,$D$24:$D$28,$D$30:$D$32,$D$34:$D$45,$D$48:$D$51,$D$53:$D$56)</f>
        <v>13571.291057724795</v>
      </c>
      <c r="BS20" s="224">
        <f t="shared" ref="BS20:BS22" si="203">BP20*BQ20</f>
        <v>405600</v>
      </c>
      <c r="BT20" s="261">
        <f>VLOOKUP($C20,Прайс!$D$8:$E$119,2,0)</f>
        <v>650</v>
      </c>
      <c r="BU20" s="198">
        <f>ROUNDUP(VLOOKUP($C20,Прайс!$D$6:$F$1004,3,0)*VLOOKUP($C$19,Прайс!$D$6:$F$1004,3,0)*BV$16,0)</f>
        <v>647</v>
      </c>
      <c r="BV20" s="197">
        <f t="shared" ref="BV20:BV22" si="204">BV$17*$D20/SUM($D$20:$D$22,$D$24:$D$28,$D$30:$D$32,$D$34:$D$45,$D$48:$D$51,$D$53:$D$56)</f>
        <v>14062.468175827873</v>
      </c>
      <c r="BW20" s="224">
        <f t="shared" ref="BW20:BW22" si="205">BT20*BU20</f>
        <v>420550</v>
      </c>
      <c r="BX20" s="261">
        <f>VLOOKUP($C20,Прайс!$D$8:$E$119,2,0)</f>
        <v>650</v>
      </c>
      <c r="BY20" s="198">
        <f>ROUNDUP(VLOOKUP($C20,Прайс!$D$6:$F$1004,3,0)*VLOOKUP($C$19,Прайс!$D$6:$F$1004,3,0)*BZ$16,0)</f>
        <v>597</v>
      </c>
      <c r="BZ20" s="197">
        <f t="shared" ref="BZ20:BZ22" si="206">BZ$17*$D20/SUM($D$20:$D$22,$D$24:$D$28,$D$30:$D$32,$D$34:$D$45,$D$48:$D$51,$D$53:$D$56)</f>
        <v>12985.915588204685</v>
      </c>
      <c r="CA20" s="224">
        <f t="shared" ref="CA20:CA22" si="207">BX20*BY20</f>
        <v>388050</v>
      </c>
      <c r="CB20" s="261">
        <f>VLOOKUP($C20,Прайс!$D$8:$E$119,2,0)</f>
        <v>650</v>
      </c>
      <c r="CC20" s="198">
        <f>ROUNDUP(VLOOKUP($C20,Прайс!$D$6:$F$1004,3,0)*VLOOKUP($C$19,Прайс!$D$6:$F$1004,3,0)*CD$16,0)</f>
        <v>548</v>
      </c>
      <c r="CD20" s="197">
        <f t="shared" ref="CD20:CD22" si="208">CD$17*$D20/SUM($D$20:$D$22,$D$24:$D$28,$D$30:$D$32,$D$34:$D$45,$D$48:$D$51,$D$53:$D$56)</f>
        <v>11909.363000581499</v>
      </c>
      <c r="CE20" s="224">
        <f t="shared" ref="CE20:CE22" si="209">CB20*CC20</f>
        <v>356200</v>
      </c>
      <c r="CF20" s="261">
        <f>VLOOKUP($C20,Прайс!$D$8:$E$119,2,0)</f>
        <v>650</v>
      </c>
      <c r="CG20" s="198">
        <f>ROUNDUP(VLOOKUP($C20,Прайс!$D$6:$F$1004,3,0)*VLOOKUP($C$19,Прайс!$D$6:$F$1004,3,0)*CH$16,0)</f>
        <v>564</v>
      </c>
      <c r="CH20" s="197">
        <f t="shared" ref="CH20:CH22" si="210">CH$17*$D20/SUM($D$20:$D$22,$D$24:$D$28,$D$30:$D$32,$D$34:$D$45,$D$48:$D$51,$D$53:$D$56)</f>
        <v>12259.242591559034</v>
      </c>
      <c r="CI20" s="224">
        <f t="shared" ref="CI20:CI22" si="211">CF20*CG20</f>
        <v>366600</v>
      </c>
      <c r="CJ20" s="261">
        <f>VLOOKUP($C20,Прайс!$D$8:$E$119,2,0)</f>
        <v>650</v>
      </c>
      <c r="CK20" s="198">
        <f>ROUNDUP(VLOOKUP($C20,Прайс!$D$6:$F$1004,3,0)*VLOOKUP($C$19,Прайс!$D$6:$F$1004,3,0)*CL$16,0)</f>
        <v>601</v>
      </c>
      <c r="CL20" s="197">
        <f t="shared" ref="CL20:CL22" si="212">CL$17*$D20/SUM($D$20:$D$22,$D$24:$D$28,$D$30:$D$32,$D$34:$D$45,$D$48:$D$51,$D$53:$D$56)</f>
        <v>13066.657032276424</v>
      </c>
      <c r="CM20" s="224">
        <f t="shared" ref="CM20:CM22" si="213">CJ20*CK20</f>
        <v>390650</v>
      </c>
      <c r="CN20" s="261">
        <f>VLOOKUP($C20,Прайс!$D$8:$E$119,2,0)</f>
        <v>650</v>
      </c>
      <c r="CO20" s="198">
        <f>ROUNDUP(VLOOKUP($C20,Прайс!$D$6:$F$1004,3,0)*VLOOKUP($C$19,Прайс!$D$6:$F$1004,3,0)*CP$16,0)</f>
        <v>556</v>
      </c>
      <c r="CP20" s="197">
        <f t="shared" ref="CP20:CP22" si="214">CP$17*$D20/SUM($D$20:$D$22,$D$24:$D$28,$D$30:$D$32,$D$34:$D$45,$D$48:$D$51,$D$53:$D$56)</f>
        <v>12084.302796070266</v>
      </c>
      <c r="CQ20" s="224">
        <f t="shared" ref="CQ20:CQ22" si="215">CN20*CO20</f>
        <v>361400</v>
      </c>
      <c r="CR20" s="261">
        <f>VLOOKUP($C20,Прайс!$D$8:$E$119,2,0)</f>
        <v>650</v>
      </c>
      <c r="CS20" s="198">
        <f>ROUNDUP(VLOOKUP($C20,Прайс!$D$6:$F$1004,3,0)*VLOOKUP($C$19,Прайс!$D$6:$F$1004,3,0)*CT$16,0)</f>
        <v>601</v>
      </c>
      <c r="CT20" s="197">
        <f t="shared" ref="CT20:CT22" si="216">CT$17*$D20/SUM($D$20:$D$22,$D$24:$D$28,$D$30:$D$32,$D$34:$D$45,$D$48:$D$51,$D$53:$D$56)</f>
        <v>13066.657032276424</v>
      </c>
      <c r="CU20" s="224">
        <f t="shared" ref="CU20:CU22" si="217">CR20*CS20</f>
        <v>390650</v>
      </c>
      <c r="CV20" s="261">
        <f>VLOOKUP($C20,Прайс!$D$8:$E$119,2,0)</f>
        <v>650</v>
      </c>
      <c r="CW20" s="198">
        <f>ROUNDUP(VLOOKUP($C20,Прайс!$D$6:$F$1004,3,0)*VLOOKUP($C$19,Прайс!$D$6:$F$1004,3,0)*CX$16,0)</f>
        <v>647</v>
      </c>
      <c r="CX20" s="197">
        <f t="shared" ref="CX20:CX22" si="218">CX$17*$D20/SUM($D$20:$D$22,$D$24:$D$28,$D$30:$D$32,$D$34:$D$45,$D$48:$D$51,$D$53:$D$56)</f>
        <v>14062.468175827873</v>
      </c>
      <c r="CY20" s="224">
        <f t="shared" ref="CY20:CY22" si="219">CV20*CW20</f>
        <v>420550</v>
      </c>
      <c r="CZ20" s="164"/>
    </row>
    <row r="21" spans="2:104" s="165" customFormat="1" ht="25.5" hidden="1" outlineLevel="1">
      <c r="B21" s="162"/>
      <c r="C21" s="252" t="s">
        <v>94</v>
      </c>
      <c r="D21" s="261">
        <f>VLOOKUP($C21,Прайс!$D$8:$E$119,2,0)</f>
        <v>900</v>
      </c>
      <c r="E21" s="198">
        <f>ROUNDUP(VLOOKUP($C21,Прайс!$D$6:$F$1004,3,0)*VLOOKUP($C$19,Прайс!$D$6:$F$1004,3,0)*F$16,0)</f>
        <v>2</v>
      </c>
      <c r="F21" s="197">
        <f>F$17*$D21/SUM($D$20:$D$22,$D$24:$D$28,$D$30:$D$32,$D$34:$D$45,$D$48:$D$51,$D$53:$D$56)</f>
        <v>5408.6416060876427</v>
      </c>
      <c r="G21" s="224">
        <f>D21*E21</f>
        <v>1800</v>
      </c>
      <c r="H21" s="261">
        <f>VLOOKUP($C21,Прайс!$D$8:$E$119,2,0)</f>
        <v>900</v>
      </c>
      <c r="I21" s="198">
        <f>ROUNDUP(VLOOKUP($C21,Прайс!$D$6:$F$1004,3,0)*VLOOKUP($C$19,Прайс!$D$6:$F$1004,3,0)*J$16,0)</f>
        <v>2</v>
      </c>
      <c r="J21" s="197">
        <f t="shared" si="172"/>
        <v>6036.9756644407917</v>
      </c>
      <c r="K21" s="224">
        <f t="shared" si="173"/>
        <v>1800</v>
      </c>
      <c r="L21" s="261">
        <f>VLOOKUP($C21,Прайс!$D$8:$E$119,2,0)</f>
        <v>900</v>
      </c>
      <c r="M21" s="198">
        <f>ROUNDUP(VLOOKUP($C21,Прайс!$D$6:$F$1004,3,0)*VLOOKUP($C$19,Прайс!$D$6:$F$1004,3,0)*N$16,0)</f>
        <v>2</v>
      </c>
      <c r="N21" s="197">
        <f t="shared" si="174"/>
        <v>7177.1897752743862</v>
      </c>
      <c r="O21" s="224">
        <f t="shared" si="175"/>
        <v>1800</v>
      </c>
      <c r="P21" s="261">
        <f>VLOOKUP($C21,Прайс!$D$8:$E$119,2,0)</f>
        <v>900</v>
      </c>
      <c r="Q21" s="198">
        <f>ROUNDUP(VLOOKUP($C21,Прайс!$D$6:$F$1004,3,0)*VLOOKUP($C$19,Прайс!$D$6:$F$1004,3,0)*R$16,0)</f>
        <v>2</v>
      </c>
      <c r="R21" s="197">
        <f t="shared" si="176"/>
        <v>8724.2165466232818</v>
      </c>
      <c r="S21" s="224">
        <f t="shared" si="177"/>
        <v>1800</v>
      </c>
      <c r="T21" s="261">
        <f>VLOOKUP($C21,Прайс!$D$8:$E$119,2,0)</f>
        <v>900</v>
      </c>
      <c r="U21" s="198">
        <f>ROUNDUP(VLOOKUP($C21,Прайс!$D$6:$F$1004,3,0)*VLOOKUP($C$19,Прайс!$D$6:$F$1004,3,0)*V$16,0)</f>
        <v>3</v>
      </c>
      <c r="V21" s="197">
        <f t="shared" si="178"/>
        <v>9395.509193809472</v>
      </c>
      <c r="W21" s="224">
        <f t="shared" si="179"/>
        <v>2700</v>
      </c>
      <c r="X21" s="261">
        <f>VLOOKUP($C21,Прайс!$D$8:$E$119,2,0)</f>
        <v>900</v>
      </c>
      <c r="Y21" s="198">
        <f>ROUNDUP(VLOOKUP($C21,Прайс!$D$6:$F$1004,3,0)*VLOOKUP($C$19,Прайс!$D$6:$F$1004,3,0)*Z$16,0)</f>
        <v>3</v>
      </c>
      <c r="Z21" s="197">
        <f t="shared" si="180"/>
        <v>10817.283212175284</v>
      </c>
      <c r="AA21" s="224">
        <f t="shared" si="181"/>
        <v>2700</v>
      </c>
      <c r="AB21" s="261">
        <f>VLOOKUP($C21,Прайс!$D$8:$E$119,2,0)</f>
        <v>900</v>
      </c>
      <c r="AC21" s="198">
        <f>ROUNDUP(VLOOKUP($C21,Прайс!$D$6:$F$1004,3,0)*VLOOKUP($C$19,Прайс!$D$6:$F$1004,3,0)*AD$16,0)</f>
        <v>3</v>
      </c>
      <c r="AD21" s="197">
        <f t="shared" si="182"/>
        <v>10988.082420788578</v>
      </c>
      <c r="AE21" s="224">
        <f t="shared" si="183"/>
        <v>2700</v>
      </c>
      <c r="AF21" s="261">
        <f>VLOOKUP($C21,Прайс!$D$8:$E$119,2,0)</f>
        <v>900</v>
      </c>
      <c r="AG21" s="198">
        <f>ROUNDUP(VLOOKUP($C21,Прайс!$D$6:$F$1004,3,0)*VLOOKUP($C$19,Прайс!$D$6:$F$1004,3,0)*AH$16,0)</f>
        <v>3</v>
      </c>
      <c r="AH21" s="197">
        <f t="shared" si="184"/>
        <v>10993.258154382922</v>
      </c>
      <c r="AI21" s="224">
        <f t="shared" si="185"/>
        <v>2700</v>
      </c>
      <c r="AJ21" s="261">
        <f>VLOOKUP($C21,Прайс!$D$8:$E$119,2,0)</f>
        <v>900</v>
      </c>
      <c r="AK21" s="198">
        <f>ROUNDUP(VLOOKUP($C21,Прайс!$D$6:$F$1004,3,0)*VLOOKUP($C$19,Прайс!$D$6:$F$1004,3,0)*AL$16,0)</f>
        <v>3</v>
      </c>
      <c r="AL21" s="197">
        <f t="shared" si="186"/>
        <v>12259.242591559034</v>
      </c>
      <c r="AM21" s="224">
        <f t="shared" si="187"/>
        <v>2700</v>
      </c>
      <c r="AN21" s="261">
        <f>VLOOKUP($C21,Прайс!$D$8:$E$119,2,0)</f>
        <v>900</v>
      </c>
      <c r="AO21" s="198">
        <f>ROUNDUP(VLOOKUP($C21,Прайс!$D$6:$F$1004,3,0)*VLOOKUP($C$19,Прайс!$D$6:$F$1004,3,0)*AP$16,0)</f>
        <v>4</v>
      </c>
      <c r="AP21" s="197">
        <f t="shared" si="188"/>
        <v>14071.784496297687</v>
      </c>
      <c r="AQ21" s="224">
        <f t="shared" si="189"/>
        <v>3600</v>
      </c>
      <c r="AR21" s="261">
        <f>VLOOKUP($C21,Прайс!$D$8:$E$119,2,0)</f>
        <v>900</v>
      </c>
      <c r="AS21" s="198">
        <f>ROUNDUP(VLOOKUP($C21,Прайс!$D$6:$F$1004,3,0)*VLOOKUP($C$19,Прайс!$D$6:$F$1004,3,0)*AT$16,0)</f>
        <v>4</v>
      </c>
      <c r="AT21" s="197">
        <f t="shared" si="190"/>
        <v>13943.426303157999</v>
      </c>
      <c r="AU21" s="224">
        <f t="shared" si="191"/>
        <v>3600</v>
      </c>
      <c r="AV21" s="261">
        <f>VLOOKUP($C21,Прайс!$D$8:$E$119,2,0)</f>
        <v>900</v>
      </c>
      <c r="AW21" s="198">
        <f>ROUNDUP(VLOOKUP($C21,Прайс!$D$6:$F$1004,3,0)*VLOOKUP($C$19,Прайс!$D$6:$F$1004,3,0)*AX$16,0)</f>
        <v>4</v>
      </c>
      <c r="AX21" s="197">
        <f t="shared" si="192"/>
        <v>16082.039424340217</v>
      </c>
      <c r="AY21" s="224">
        <f t="shared" si="193"/>
        <v>3600</v>
      </c>
      <c r="AZ21" s="261">
        <f>VLOOKUP($C21,Прайс!$D$8:$E$119,2,0)</f>
        <v>900</v>
      </c>
      <c r="BA21" s="198">
        <f>ROUNDUP(VLOOKUP($C21,Прайс!$D$6:$F$1004,3,0)*VLOOKUP($C$19,Прайс!$D$6:$F$1004,3,0)*BB$16,0)</f>
        <v>5</v>
      </c>
      <c r="BB21" s="197">
        <f t="shared" si="194"/>
        <v>18389.381460697987</v>
      </c>
      <c r="BC21" s="224">
        <f t="shared" si="195"/>
        <v>4500</v>
      </c>
      <c r="BD21" s="261">
        <f>VLOOKUP($C21,Прайс!$D$8:$E$119,2,0)</f>
        <v>900</v>
      </c>
      <c r="BE21" s="198">
        <f>ROUNDUP(VLOOKUP($C21,Прайс!$D$6:$F$1004,3,0)*VLOOKUP($C$19,Прайс!$D$6:$F$1004,3,0)*BF$16,0)</f>
        <v>5</v>
      </c>
      <c r="BF21" s="197">
        <f t="shared" si="196"/>
        <v>18110.926993322377</v>
      </c>
      <c r="BG21" s="224">
        <f t="shared" si="197"/>
        <v>4500</v>
      </c>
      <c r="BH21" s="261">
        <f>VLOOKUP($C21,Прайс!$D$8:$E$119,2,0)</f>
        <v>900</v>
      </c>
      <c r="BI21" s="198">
        <f>ROUNDUP(VLOOKUP($C21,Прайс!$D$6:$F$1004,3,0)*VLOOKUP($C$19,Прайс!$D$6:$F$1004,3,0)*BJ$16,0)</f>
        <v>5</v>
      </c>
      <c r="BJ21" s="197">
        <f t="shared" si="198"/>
        <v>18455.630850705569</v>
      </c>
      <c r="BK21" s="224">
        <f t="shared" si="199"/>
        <v>4500</v>
      </c>
      <c r="BL21" s="261">
        <f>VLOOKUP($C21,Прайс!$D$8:$E$119,2,0)</f>
        <v>900</v>
      </c>
      <c r="BM21" s="198">
        <f>ROUNDUP(VLOOKUP($C21,Прайс!$D$6:$F$1004,3,0)*VLOOKUP($C$19,Прайс!$D$6:$F$1004,3,0)*BN$16,0)</f>
        <v>5</v>
      </c>
      <c r="BN21" s="197">
        <f t="shared" si="200"/>
        <v>19629.487229902395</v>
      </c>
      <c r="BO21" s="224">
        <f t="shared" si="201"/>
        <v>4500</v>
      </c>
      <c r="BP21" s="261">
        <f>VLOOKUP($C21,Прайс!$D$8:$E$119,2,0)</f>
        <v>900</v>
      </c>
      <c r="BQ21" s="198">
        <f>ROUNDUP(VLOOKUP($C21,Прайс!$D$6:$F$1004,3,0)*VLOOKUP($C$19,Прайс!$D$6:$F$1004,3,0)*BR$16,0)</f>
        <v>5</v>
      </c>
      <c r="BR21" s="197">
        <f t="shared" si="202"/>
        <v>18791.018387618944</v>
      </c>
      <c r="BS21" s="224">
        <f t="shared" si="203"/>
        <v>4500</v>
      </c>
      <c r="BT21" s="261">
        <f>VLOOKUP($C21,Прайс!$D$8:$E$119,2,0)</f>
        <v>900</v>
      </c>
      <c r="BU21" s="198">
        <f>ROUNDUP(VLOOKUP($C21,Прайс!$D$6:$F$1004,3,0)*VLOOKUP($C$19,Прайс!$D$6:$F$1004,3,0)*BV$16,0)</f>
        <v>5</v>
      </c>
      <c r="BV21" s="197">
        <f t="shared" si="204"/>
        <v>19471.109781915518</v>
      </c>
      <c r="BW21" s="224">
        <f t="shared" si="205"/>
        <v>4500</v>
      </c>
      <c r="BX21" s="261">
        <f>VLOOKUP($C21,Прайс!$D$8:$E$119,2,0)</f>
        <v>900</v>
      </c>
      <c r="BY21" s="198">
        <f>ROUNDUP(VLOOKUP($C21,Прайс!$D$6:$F$1004,3,0)*VLOOKUP($C$19,Прайс!$D$6:$F$1004,3,0)*BZ$16,0)</f>
        <v>5</v>
      </c>
      <c r="BZ21" s="197">
        <f t="shared" si="206"/>
        <v>17980.498506744949</v>
      </c>
      <c r="CA21" s="224">
        <f t="shared" si="207"/>
        <v>4500</v>
      </c>
      <c r="CB21" s="261">
        <f>VLOOKUP($C21,Прайс!$D$8:$E$119,2,0)</f>
        <v>900</v>
      </c>
      <c r="CC21" s="198">
        <f>ROUNDUP(VLOOKUP($C21,Прайс!$D$6:$F$1004,3,0)*VLOOKUP($C$19,Прайс!$D$6:$F$1004,3,0)*CD$16,0)</f>
        <v>4</v>
      </c>
      <c r="CD21" s="197">
        <f t="shared" si="208"/>
        <v>16489.887231574383</v>
      </c>
      <c r="CE21" s="224">
        <f t="shared" si="209"/>
        <v>3600</v>
      </c>
      <c r="CF21" s="261">
        <f>VLOOKUP($C21,Прайс!$D$8:$E$119,2,0)</f>
        <v>900</v>
      </c>
      <c r="CG21" s="198">
        <f>ROUNDUP(VLOOKUP($C21,Прайс!$D$6:$F$1004,3,0)*VLOOKUP($C$19,Прайс!$D$6:$F$1004,3,0)*CH$16,0)</f>
        <v>4</v>
      </c>
      <c r="CH21" s="197">
        <f t="shared" si="210"/>
        <v>16974.335896004817</v>
      </c>
      <c r="CI21" s="224">
        <f t="shared" si="211"/>
        <v>3600</v>
      </c>
      <c r="CJ21" s="261">
        <f>VLOOKUP($C21,Прайс!$D$8:$E$119,2,0)</f>
        <v>900</v>
      </c>
      <c r="CK21" s="198">
        <f>ROUNDUP(VLOOKUP($C21,Прайс!$D$6:$F$1004,3,0)*VLOOKUP($C$19,Прайс!$D$6:$F$1004,3,0)*CL$16,0)</f>
        <v>5</v>
      </c>
      <c r="CL21" s="197">
        <f t="shared" si="212"/>
        <v>18092.294352382742</v>
      </c>
      <c r="CM21" s="224">
        <f t="shared" si="213"/>
        <v>4500</v>
      </c>
      <c r="CN21" s="261">
        <f>VLOOKUP($C21,Прайс!$D$8:$E$119,2,0)</f>
        <v>900</v>
      </c>
      <c r="CO21" s="198">
        <f>ROUNDUP(VLOOKUP($C21,Прайс!$D$6:$F$1004,3,0)*VLOOKUP($C$19,Прайс!$D$6:$F$1004,3,0)*CP$16,0)</f>
        <v>4</v>
      </c>
      <c r="CP21" s="197">
        <f t="shared" si="214"/>
        <v>16732.111563789596</v>
      </c>
      <c r="CQ21" s="224">
        <f t="shared" si="215"/>
        <v>3600</v>
      </c>
      <c r="CR21" s="261">
        <f>VLOOKUP($C21,Прайс!$D$8:$E$119,2,0)</f>
        <v>900</v>
      </c>
      <c r="CS21" s="198">
        <f>ROUNDUP(VLOOKUP($C21,Прайс!$D$6:$F$1004,3,0)*VLOOKUP($C$19,Прайс!$D$6:$F$1004,3,0)*CT$16,0)</f>
        <v>5</v>
      </c>
      <c r="CT21" s="197">
        <f t="shared" si="216"/>
        <v>18092.294352382742</v>
      </c>
      <c r="CU21" s="224">
        <f t="shared" si="217"/>
        <v>4500</v>
      </c>
      <c r="CV21" s="261">
        <f>VLOOKUP($C21,Прайс!$D$8:$E$119,2,0)</f>
        <v>900</v>
      </c>
      <c r="CW21" s="198">
        <f>ROUNDUP(VLOOKUP($C21,Прайс!$D$6:$F$1004,3,0)*VLOOKUP($C$19,Прайс!$D$6:$F$1004,3,0)*CX$16,0)</f>
        <v>5</v>
      </c>
      <c r="CX21" s="197">
        <f t="shared" si="218"/>
        <v>19471.109781915515</v>
      </c>
      <c r="CY21" s="224">
        <f t="shared" si="219"/>
        <v>4500</v>
      </c>
      <c r="CZ21" s="164"/>
    </row>
    <row r="22" spans="2:104" s="165" customFormat="1" ht="39" hidden="1" outlineLevel="1" thickBot="1">
      <c r="B22" s="162"/>
      <c r="C22" s="253" t="s">
        <v>253</v>
      </c>
      <c r="D22" s="262">
        <f>VLOOKUP($C22,Прайс!$D$8:$E$119,2,0)</f>
        <v>900</v>
      </c>
      <c r="E22" s="227">
        <f>ROUNDUP(VLOOKUP($C22,Прайс!$D$6:$F$1004,3,0)*VLOOKUP($C$19,Прайс!$D$6:$F$1004,3,0)*F$16,0)</f>
        <v>25</v>
      </c>
      <c r="F22" s="226">
        <f>F$17*$D22/SUM($D$20:$D$22,$D$24:$D$28,$D$30:$D$32,$D$34:$D$45,$D$48:$D$51,$D$53:$D$56)</f>
        <v>5408.6416060876427</v>
      </c>
      <c r="G22" s="228">
        <f>D22*E22</f>
        <v>22500</v>
      </c>
      <c r="H22" s="262">
        <f>VLOOKUP($C22,Прайс!$D$8:$E$119,2,0)</f>
        <v>900</v>
      </c>
      <c r="I22" s="227">
        <f>ROUNDUP(VLOOKUP($C22,Прайс!$D$6:$F$1004,3,0)*VLOOKUP($C$19,Прайс!$D$6:$F$1004,3,0)*J$16,0)</f>
        <v>28</v>
      </c>
      <c r="J22" s="226">
        <f t="shared" si="172"/>
        <v>6036.9756644407917</v>
      </c>
      <c r="K22" s="228">
        <f t="shared" si="173"/>
        <v>25200</v>
      </c>
      <c r="L22" s="262">
        <f>VLOOKUP($C22,Прайс!$D$8:$E$119,2,0)</f>
        <v>900</v>
      </c>
      <c r="M22" s="227">
        <f>ROUNDUP(VLOOKUP($C22,Прайс!$D$6:$F$1004,3,0)*VLOOKUP($C$19,Прайс!$D$6:$F$1004,3,0)*N$16,0)</f>
        <v>33</v>
      </c>
      <c r="N22" s="226">
        <f t="shared" si="174"/>
        <v>7177.1897752743862</v>
      </c>
      <c r="O22" s="228">
        <f t="shared" si="175"/>
        <v>29700</v>
      </c>
      <c r="P22" s="262">
        <f>VLOOKUP($C22,Прайс!$D$8:$E$119,2,0)</f>
        <v>900</v>
      </c>
      <c r="Q22" s="227">
        <f>ROUNDUP(VLOOKUP($C22,Прайс!$D$6:$F$1004,3,0)*VLOOKUP($C$19,Прайс!$D$6:$F$1004,3,0)*R$16,0)</f>
        <v>40</v>
      </c>
      <c r="R22" s="226">
        <f t="shared" si="176"/>
        <v>8724.2165466232818</v>
      </c>
      <c r="S22" s="228">
        <f t="shared" si="177"/>
        <v>36000</v>
      </c>
      <c r="T22" s="262">
        <f>VLOOKUP($C22,Прайс!$D$8:$E$119,2,0)</f>
        <v>900</v>
      </c>
      <c r="U22" s="227">
        <f>ROUNDUP(VLOOKUP($C22,Прайс!$D$6:$F$1004,3,0)*VLOOKUP($C$19,Прайс!$D$6:$F$1004,3,0)*V$16,0)</f>
        <v>43</v>
      </c>
      <c r="V22" s="226">
        <f t="shared" si="178"/>
        <v>9395.509193809472</v>
      </c>
      <c r="W22" s="228">
        <f t="shared" si="179"/>
        <v>38700</v>
      </c>
      <c r="X22" s="262">
        <f>VLOOKUP($C22,Прайс!$D$8:$E$119,2,0)</f>
        <v>900</v>
      </c>
      <c r="Y22" s="227">
        <f>ROUNDUP(VLOOKUP($C22,Прайс!$D$6:$F$1004,3,0)*VLOOKUP($C$19,Прайс!$D$6:$F$1004,3,0)*Z$16,0)</f>
        <v>49</v>
      </c>
      <c r="Z22" s="226">
        <f t="shared" si="180"/>
        <v>10817.283212175284</v>
      </c>
      <c r="AA22" s="228">
        <f t="shared" si="181"/>
        <v>44100</v>
      </c>
      <c r="AB22" s="262">
        <f>VLOOKUP($C22,Прайс!$D$8:$E$119,2,0)</f>
        <v>900</v>
      </c>
      <c r="AC22" s="227">
        <f>ROUNDUP(VLOOKUP($C22,Прайс!$D$6:$F$1004,3,0)*VLOOKUP($C$19,Прайс!$D$6:$F$1004,3,0)*AD$16,0)</f>
        <v>50</v>
      </c>
      <c r="AD22" s="226">
        <f t="shared" si="182"/>
        <v>10988.082420788578</v>
      </c>
      <c r="AE22" s="228">
        <f t="shared" si="183"/>
        <v>45000</v>
      </c>
      <c r="AF22" s="262">
        <f>VLOOKUP($C22,Прайс!$D$8:$E$119,2,0)</f>
        <v>900</v>
      </c>
      <c r="AG22" s="227">
        <f>ROUNDUP(VLOOKUP($C22,Прайс!$D$6:$F$1004,3,0)*VLOOKUP($C$19,Прайс!$D$6:$F$1004,3,0)*AH$16,0)</f>
        <v>50</v>
      </c>
      <c r="AH22" s="226">
        <f t="shared" si="184"/>
        <v>10993.258154382922</v>
      </c>
      <c r="AI22" s="228">
        <f t="shared" si="185"/>
        <v>45000</v>
      </c>
      <c r="AJ22" s="262">
        <f>VLOOKUP($C22,Прайс!$D$8:$E$119,2,0)</f>
        <v>900</v>
      </c>
      <c r="AK22" s="227">
        <f>ROUNDUP(VLOOKUP($C22,Прайс!$D$6:$F$1004,3,0)*VLOOKUP($C$19,Прайс!$D$6:$F$1004,3,0)*AL$16,0)</f>
        <v>56</v>
      </c>
      <c r="AL22" s="226">
        <f t="shared" si="186"/>
        <v>12259.242591559034</v>
      </c>
      <c r="AM22" s="228">
        <f t="shared" si="187"/>
        <v>50400</v>
      </c>
      <c r="AN22" s="262">
        <f>VLOOKUP($C22,Прайс!$D$8:$E$119,2,0)</f>
        <v>900</v>
      </c>
      <c r="AO22" s="227">
        <f>ROUNDUP(VLOOKUP($C22,Прайс!$D$6:$F$1004,3,0)*VLOOKUP($C$19,Прайс!$D$6:$F$1004,3,0)*AP$16,0)</f>
        <v>64</v>
      </c>
      <c r="AP22" s="226">
        <f t="shared" si="188"/>
        <v>14071.784496297687</v>
      </c>
      <c r="AQ22" s="228">
        <f t="shared" si="189"/>
        <v>57600</v>
      </c>
      <c r="AR22" s="262">
        <f>VLOOKUP($C22,Прайс!$D$8:$E$119,2,0)</f>
        <v>900</v>
      </c>
      <c r="AS22" s="227">
        <f>ROUNDUP(VLOOKUP($C22,Прайс!$D$6:$F$1004,3,0)*VLOOKUP($C$19,Прайс!$D$6:$F$1004,3,0)*AT$16,0)</f>
        <v>64</v>
      </c>
      <c r="AT22" s="226">
        <f t="shared" si="190"/>
        <v>13943.426303157999</v>
      </c>
      <c r="AU22" s="228">
        <f t="shared" si="191"/>
        <v>57600</v>
      </c>
      <c r="AV22" s="262">
        <f>VLOOKUP($C22,Прайс!$D$8:$E$119,2,0)</f>
        <v>900</v>
      </c>
      <c r="AW22" s="227">
        <f>ROUNDUP(VLOOKUP($C22,Прайс!$D$6:$F$1004,3,0)*VLOOKUP($C$19,Прайс!$D$6:$F$1004,3,0)*AX$16,0)</f>
        <v>73</v>
      </c>
      <c r="AX22" s="226">
        <f t="shared" si="192"/>
        <v>16082.039424340217</v>
      </c>
      <c r="AY22" s="228">
        <f t="shared" si="193"/>
        <v>65700</v>
      </c>
      <c r="AZ22" s="262">
        <f>VLOOKUP($C22,Прайс!$D$8:$E$119,2,0)</f>
        <v>900</v>
      </c>
      <c r="BA22" s="227">
        <f>ROUNDUP(VLOOKUP($C22,Прайс!$D$6:$F$1004,3,0)*VLOOKUP($C$19,Прайс!$D$6:$F$1004,3,0)*BB$16,0)</f>
        <v>84</v>
      </c>
      <c r="BB22" s="226">
        <f t="shared" si="194"/>
        <v>18389.381460697987</v>
      </c>
      <c r="BC22" s="228">
        <f t="shared" si="195"/>
        <v>75600</v>
      </c>
      <c r="BD22" s="262">
        <f>VLOOKUP($C22,Прайс!$D$8:$E$119,2,0)</f>
        <v>900</v>
      </c>
      <c r="BE22" s="227">
        <f>ROUNDUP(VLOOKUP($C22,Прайс!$D$6:$F$1004,3,0)*VLOOKUP($C$19,Прайс!$D$6:$F$1004,3,0)*BF$16,0)</f>
        <v>82</v>
      </c>
      <c r="BF22" s="226">
        <f t="shared" si="196"/>
        <v>18110.926993322377</v>
      </c>
      <c r="BG22" s="228">
        <f t="shared" si="197"/>
        <v>73800</v>
      </c>
      <c r="BH22" s="262">
        <f>VLOOKUP($C22,Прайс!$D$8:$E$119,2,0)</f>
        <v>900</v>
      </c>
      <c r="BI22" s="227">
        <f>ROUNDUP(VLOOKUP($C22,Прайс!$D$6:$F$1004,3,0)*VLOOKUP($C$19,Прайс!$D$6:$F$1004,3,0)*BJ$16,0)</f>
        <v>84</v>
      </c>
      <c r="BJ22" s="226">
        <f t="shared" si="198"/>
        <v>18455.630850705569</v>
      </c>
      <c r="BK22" s="228">
        <f t="shared" si="199"/>
        <v>75600</v>
      </c>
      <c r="BL22" s="262">
        <f>VLOOKUP($C22,Прайс!$D$8:$E$119,2,0)</f>
        <v>900</v>
      </c>
      <c r="BM22" s="227">
        <f>ROUNDUP(VLOOKUP($C22,Прайс!$D$6:$F$1004,3,0)*VLOOKUP($C$19,Прайс!$D$6:$F$1004,3,0)*BN$16,0)</f>
        <v>89</v>
      </c>
      <c r="BN22" s="226">
        <f t="shared" si="200"/>
        <v>19629.487229902395</v>
      </c>
      <c r="BO22" s="228">
        <f t="shared" si="201"/>
        <v>80100</v>
      </c>
      <c r="BP22" s="262">
        <f>VLOOKUP($C22,Прайс!$D$8:$E$119,2,0)</f>
        <v>900</v>
      </c>
      <c r="BQ22" s="227">
        <f>ROUNDUP(VLOOKUP($C22,Прайс!$D$6:$F$1004,3,0)*VLOOKUP($C$19,Прайс!$D$6:$F$1004,3,0)*BR$16,0)</f>
        <v>85</v>
      </c>
      <c r="BR22" s="226">
        <f t="shared" si="202"/>
        <v>18791.018387618944</v>
      </c>
      <c r="BS22" s="228">
        <f t="shared" si="203"/>
        <v>76500</v>
      </c>
      <c r="BT22" s="262">
        <f>VLOOKUP($C22,Прайс!$D$8:$E$119,2,0)</f>
        <v>900</v>
      </c>
      <c r="BU22" s="227">
        <f>ROUNDUP(VLOOKUP($C22,Прайс!$D$6:$F$1004,3,0)*VLOOKUP($C$19,Прайс!$D$6:$F$1004,3,0)*BV$16,0)</f>
        <v>88</v>
      </c>
      <c r="BV22" s="226">
        <f t="shared" si="204"/>
        <v>19471.109781915518</v>
      </c>
      <c r="BW22" s="228">
        <f t="shared" si="205"/>
        <v>79200</v>
      </c>
      <c r="BX22" s="262">
        <f>VLOOKUP($C22,Прайс!$D$8:$E$119,2,0)</f>
        <v>900</v>
      </c>
      <c r="BY22" s="227">
        <f>ROUNDUP(VLOOKUP($C22,Прайс!$D$6:$F$1004,3,0)*VLOOKUP($C$19,Прайс!$D$6:$F$1004,3,0)*BZ$16,0)</f>
        <v>82</v>
      </c>
      <c r="BZ22" s="226">
        <f t="shared" si="206"/>
        <v>17980.498506744949</v>
      </c>
      <c r="CA22" s="228">
        <f t="shared" si="207"/>
        <v>73800</v>
      </c>
      <c r="CB22" s="262">
        <f>VLOOKUP($C22,Прайс!$D$8:$E$119,2,0)</f>
        <v>900</v>
      </c>
      <c r="CC22" s="227">
        <f>ROUNDUP(VLOOKUP($C22,Прайс!$D$6:$F$1004,3,0)*VLOOKUP($C$19,Прайс!$D$6:$F$1004,3,0)*CD$16,0)</f>
        <v>75</v>
      </c>
      <c r="CD22" s="226">
        <f t="shared" si="208"/>
        <v>16489.887231574383</v>
      </c>
      <c r="CE22" s="228">
        <f t="shared" si="209"/>
        <v>67500</v>
      </c>
      <c r="CF22" s="262">
        <f>VLOOKUP($C22,Прайс!$D$8:$E$119,2,0)</f>
        <v>900</v>
      </c>
      <c r="CG22" s="227">
        <f>ROUNDUP(VLOOKUP($C22,Прайс!$D$6:$F$1004,3,0)*VLOOKUP($C$19,Прайс!$D$6:$F$1004,3,0)*CH$16,0)</f>
        <v>77</v>
      </c>
      <c r="CH22" s="226">
        <f t="shared" si="210"/>
        <v>16974.335896004817</v>
      </c>
      <c r="CI22" s="228">
        <f t="shared" si="211"/>
        <v>69300</v>
      </c>
      <c r="CJ22" s="262">
        <f>VLOOKUP($C22,Прайс!$D$8:$E$119,2,0)</f>
        <v>900</v>
      </c>
      <c r="CK22" s="227">
        <f>ROUNDUP(VLOOKUP($C22,Прайс!$D$6:$F$1004,3,0)*VLOOKUP($C$19,Прайс!$D$6:$F$1004,3,0)*CL$16,0)</f>
        <v>82</v>
      </c>
      <c r="CL22" s="226">
        <f t="shared" si="212"/>
        <v>18092.294352382742</v>
      </c>
      <c r="CM22" s="228">
        <f t="shared" si="213"/>
        <v>73800</v>
      </c>
      <c r="CN22" s="262">
        <f>VLOOKUP($C22,Прайс!$D$8:$E$119,2,0)</f>
        <v>900</v>
      </c>
      <c r="CO22" s="227">
        <f>ROUNDUP(VLOOKUP($C22,Прайс!$D$6:$F$1004,3,0)*VLOOKUP($C$19,Прайс!$D$6:$F$1004,3,0)*CP$16,0)</f>
        <v>76</v>
      </c>
      <c r="CP22" s="226">
        <f t="shared" si="214"/>
        <v>16732.111563789596</v>
      </c>
      <c r="CQ22" s="228">
        <f t="shared" si="215"/>
        <v>68400</v>
      </c>
      <c r="CR22" s="262">
        <f>VLOOKUP($C22,Прайс!$D$8:$E$119,2,0)</f>
        <v>900</v>
      </c>
      <c r="CS22" s="227">
        <f>ROUNDUP(VLOOKUP($C22,Прайс!$D$6:$F$1004,3,0)*VLOOKUP($C$19,Прайс!$D$6:$F$1004,3,0)*CT$16,0)</f>
        <v>82</v>
      </c>
      <c r="CT22" s="226">
        <f t="shared" si="216"/>
        <v>18092.294352382742</v>
      </c>
      <c r="CU22" s="228">
        <f t="shared" si="217"/>
        <v>73800</v>
      </c>
      <c r="CV22" s="262">
        <f>VLOOKUP($C22,Прайс!$D$8:$E$119,2,0)</f>
        <v>900</v>
      </c>
      <c r="CW22" s="227">
        <f>ROUNDUP(VLOOKUP($C22,Прайс!$D$6:$F$1004,3,0)*VLOOKUP($C$19,Прайс!$D$6:$F$1004,3,0)*CX$16,0)</f>
        <v>88</v>
      </c>
      <c r="CX22" s="226">
        <f t="shared" si="218"/>
        <v>19471.109781915515</v>
      </c>
      <c r="CY22" s="228">
        <f t="shared" si="219"/>
        <v>79200</v>
      </c>
      <c r="CZ22" s="164"/>
    </row>
    <row r="23" spans="2:104" s="168" customFormat="1" ht="38.25" collapsed="1" thickBot="1">
      <c r="B23" s="162"/>
      <c r="C23" s="251" t="s">
        <v>107</v>
      </c>
      <c r="D23" s="260">
        <f>AVERAGE(D24:D28)</f>
        <v>875</v>
      </c>
      <c r="E23" s="243">
        <f>SUM(E24:E28)</f>
        <v>127</v>
      </c>
      <c r="F23" s="242">
        <f t="shared" ref="F23:G23" si="220">SUM(F24:F28)</f>
        <v>26292.007807370486</v>
      </c>
      <c r="G23" s="244">
        <f t="shared" si="220"/>
        <v>74750</v>
      </c>
      <c r="H23" s="260">
        <f t="shared" ref="H23" si="221">AVERAGE(H24:H28)</f>
        <v>1400</v>
      </c>
      <c r="I23" s="243">
        <f t="shared" ref="I23" si="222">SUM(I24:I28)</f>
        <v>142</v>
      </c>
      <c r="J23" s="242">
        <f t="shared" ref="J23:K23" si="223">SUM(J24:J28)</f>
        <v>29346.409479920512</v>
      </c>
      <c r="K23" s="244">
        <f t="shared" si="223"/>
        <v>134320</v>
      </c>
      <c r="L23" s="260">
        <f t="shared" ref="L23" si="224">AVERAGE(L24:L28)</f>
        <v>1400</v>
      </c>
      <c r="M23" s="243">
        <f t="shared" ref="M23" si="225">SUM(M24:M28)</f>
        <v>169</v>
      </c>
      <c r="N23" s="242">
        <f t="shared" ref="N23:O23" si="226">SUM(N24:N28)</f>
        <v>34889.116963139379</v>
      </c>
      <c r="O23" s="244">
        <f t="shared" si="226"/>
        <v>160480</v>
      </c>
      <c r="P23" s="260">
        <f t="shared" ref="P23" si="227">AVERAGE(P24:P28)</f>
        <v>1750</v>
      </c>
      <c r="Q23" s="243">
        <f t="shared" ref="Q23" si="228">SUM(Q24:Q28)</f>
        <v>204</v>
      </c>
      <c r="R23" s="242">
        <f t="shared" ref="R23:S23" si="229">SUM(R24:R28)</f>
        <v>42409.385990529845</v>
      </c>
      <c r="S23" s="244">
        <f t="shared" si="229"/>
        <v>240600</v>
      </c>
      <c r="T23" s="260">
        <f t="shared" ref="T23" si="230">AVERAGE(T24:T28)</f>
        <v>1750</v>
      </c>
      <c r="U23" s="243">
        <f t="shared" ref="U23" si="231">SUM(U24:U28)</f>
        <v>220</v>
      </c>
      <c r="V23" s="242">
        <f t="shared" ref="V23:W23" si="232">SUM(V24:V28)</f>
        <v>45672.614136573815</v>
      </c>
      <c r="W23" s="244">
        <f t="shared" si="232"/>
        <v>259650</v>
      </c>
      <c r="X23" s="260">
        <f t="shared" ref="X23" si="233">AVERAGE(X24:X28)</f>
        <v>1750</v>
      </c>
      <c r="Y23" s="243">
        <f t="shared" ref="Y23" si="234">SUM(Y24:Y28)</f>
        <v>253</v>
      </c>
      <c r="Z23" s="242">
        <f t="shared" ref="Z23:AA23" si="235">SUM(Z24:Z28)</f>
        <v>52584.015614740958</v>
      </c>
      <c r="AA23" s="244">
        <f t="shared" si="235"/>
        <v>298350</v>
      </c>
      <c r="AB23" s="260">
        <f t="shared" ref="AB23" si="236">AVERAGE(AB24:AB28)</f>
        <v>1750</v>
      </c>
      <c r="AC23" s="243">
        <f t="shared" ref="AC23" si="237">SUM(AC24:AC28)</f>
        <v>257</v>
      </c>
      <c r="AD23" s="242">
        <f t="shared" ref="AD23:AE23" si="238">SUM(AD24:AD28)</f>
        <v>53414.289545500025</v>
      </c>
      <c r="AE23" s="244">
        <f t="shared" si="238"/>
        <v>303850</v>
      </c>
      <c r="AF23" s="260">
        <f t="shared" ref="AF23" si="239">AVERAGE(AF24:AF28)</f>
        <v>1750</v>
      </c>
      <c r="AG23" s="243">
        <f t="shared" ref="AG23" si="240">SUM(AG24:AG28)</f>
        <v>257</v>
      </c>
      <c r="AH23" s="242">
        <f t="shared" ref="AH23:AI23" si="241">SUM(AH24:AH28)</f>
        <v>53439.449361583647</v>
      </c>
      <c r="AI23" s="244">
        <f t="shared" si="241"/>
        <v>303850</v>
      </c>
      <c r="AJ23" s="260">
        <f t="shared" ref="AJ23" si="242">AVERAGE(AJ24:AJ28)</f>
        <v>1750</v>
      </c>
      <c r="AK23" s="243">
        <f t="shared" ref="AK23" si="243">SUM(AK24:AK28)</f>
        <v>286</v>
      </c>
      <c r="AL23" s="242">
        <f t="shared" ref="AL23:AM23" si="244">SUM(AL24:AL28)</f>
        <v>59593.540375634191</v>
      </c>
      <c r="AM23" s="244">
        <f t="shared" si="244"/>
        <v>337850</v>
      </c>
      <c r="AN23" s="260">
        <f t="shared" ref="AN23" si="245">AVERAGE(AN24:AN28)</f>
        <v>1750</v>
      </c>
      <c r="AO23" s="243">
        <f t="shared" ref="AO23" si="246">SUM(AO24:AO28)</f>
        <v>327</v>
      </c>
      <c r="AP23" s="242">
        <f t="shared" ref="AP23:AQ23" si="247">SUM(AP24:AP28)</f>
        <v>68404.507968113758</v>
      </c>
      <c r="AQ23" s="244">
        <f t="shared" si="247"/>
        <v>385400</v>
      </c>
      <c r="AR23" s="260">
        <f t="shared" ref="AR23" si="248">AVERAGE(AR24:AR28)</f>
        <v>1750</v>
      </c>
      <c r="AS23" s="243">
        <f t="shared" ref="AS23" si="249">SUM(AS24:AS28)</f>
        <v>325</v>
      </c>
      <c r="AT23" s="242">
        <f t="shared" ref="AT23:AU23" si="250">SUM(AT24:AT28)</f>
        <v>67780.544529240287</v>
      </c>
      <c r="AU23" s="244">
        <f t="shared" si="250"/>
        <v>383350</v>
      </c>
      <c r="AV23" s="260">
        <f t="shared" ref="AV23" si="251">AVERAGE(AV24:AV28)</f>
        <v>1750</v>
      </c>
      <c r="AW23" s="243">
        <f t="shared" ref="AW23" si="252">SUM(AW24:AW28)</f>
        <v>375</v>
      </c>
      <c r="AX23" s="242">
        <f t="shared" ref="AX23:AY23" si="253">SUM(AX24:AX28)</f>
        <v>78176.580534987166</v>
      </c>
      <c r="AY23" s="244">
        <f t="shared" si="253"/>
        <v>442500</v>
      </c>
      <c r="AZ23" s="260">
        <f t="shared" ref="AZ23" si="254">AVERAGE(AZ24:AZ28)</f>
        <v>1750</v>
      </c>
      <c r="BA23" s="243">
        <f t="shared" ref="BA23" si="255">SUM(BA24:BA28)</f>
        <v>428</v>
      </c>
      <c r="BB23" s="242">
        <f t="shared" ref="BB23:BC23" si="256">SUM(BB24:BB28)</f>
        <v>89392.826545059666</v>
      </c>
      <c r="BC23" s="244">
        <f t="shared" si="256"/>
        <v>504200</v>
      </c>
      <c r="BD23" s="260">
        <f t="shared" ref="BD23" si="257">AVERAGE(BD24:BD28)</f>
        <v>1750</v>
      </c>
      <c r="BE23" s="243">
        <f t="shared" ref="BE23" si="258">SUM(BE24:BE28)</f>
        <v>420</v>
      </c>
      <c r="BF23" s="242">
        <f t="shared" ref="BF23:BG23" si="259">SUM(BF24:BF28)</f>
        <v>88039.228439761544</v>
      </c>
      <c r="BG23" s="244">
        <f t="shared" si="259"/>
        <v>494000</v>
      </c>
      <c r="BH23" s="260">
        <f t="shared" ref="BH23" si="260">AVERAGE(BH24:BH28)</f>
        <v>1750</v>
      </c>
      <c r="BI23" s="243">
        <f t="shared" ref="BI23" si="261">SUM(BI24:BI28)</f>
        <v>429</v>
      </c>
      <c r="BJ23" s="242">
        <f t="shared" ref="BJ23:BK23" si="262">SUM(BJ24:BJ28)</f>
        <v>89714.872190929877</v>
      </c>
      <c r="BK23" s="244">
        <f t="shared" si="262"/>
        <v>505600</v>
      </c>
      <c r="BL23" s="260">
        <f t="shared" ref="BL23" si="263">AVERAGE(BL24:BL28)</f>
        <v>1750</v>
      </c>
      <c r="BM23" s="243">
        <f t="shared" ref="BM23" si="264">SUM(BM24:BM28)</f>
        <v>456</v>
      </c>
      <c r="BN23" s="242">
        <f t="shared" ref="BN23:BO23" si="265">SUM(BN24:BN28)</f>
        <v>95421.118478692195</v>
      </c>
      <c r="BO23" s="244">
        <f t="shared" si="265"/>
        <v>537550</v>
      </c>
      <c r="BP23" s="260">
        <f t="shared" ref="BP23" si="266">AVERAGE(BP24:BP28)</f>
        <v>1750</v>
      </c>
      <c r="BQ23" s="243">
        <f t="shared" ref="BQ23" si="267">SUM(BQ24:BQ28)</f>
        <v>437</v>
      </c>
      <c r="BR23" s="242">
        <f t="shared" ref="BR23:BS23" si="268">SUM(BR24:BR28)</f>
        <v>91345.228273147659</v>
      </c>
      <c r="BS23" s="244">
        <f t="shared" si="268"/>
        <v>514450</v>
      </c>
      <c r="BT23" s="260">
        <f t="shared" ref="BT23" si="269">AVERAGE(BT24:BT28)</f>
        <v>1750</v>
      </c>
      <c r="BU23" s="243">
        <f t="shared" ref="BU23" si="270">SUM(BU24:BU28)</f>
        <v>452</v>
      </c>
      <c r="BV23" s="242">
        <f t="shared" ref="BV23:BW23" si="271">SUM(BV24:BV28)</f>
        <v>94651.228106533759</v>
      </c>
      <c r="BW23" s="244">
        <f t="shared" si="271"/>
        <v>532850</v>
      </c>
      <c r="BX23" s="260">
        <f t="shared" ref="BX23" si="272">AVERAGE(BX24:BX28)</f>
        <v>1750</v>
      </c>
      <c r="BY23" s="243">
        <f t="shared" ref="BY23" si="273">SUM(BY24:BY28)</f>
        <v>418</v>
      </c>
      <c r="BZ23" s="242">
        <f t="shared" ref="BZ23:CA23" si="274">SUM(BZ24:BZ28)</f>
        <v>87405.201074454613</v>
      </c>
      <c r="CA23" s="244">
        <f t="shared" si="274"/>
        <v>492700</v>
      </c>
      <c r="CB23" s="260">
        <f t="shared" ref="CB23" si="275">AVERAGE(CB24:CB28)</f>
        <v>1750</v>
      </c>
      <c r="CC23" s="243">
        <f t="shared" ref="CC23" si="276">SUM(CC24:CC28)</f>
        <v>384</v>
      </c>
      <c r="CD23" s="242">
        <f t="shared" ref="CD23:CE23" si="277">SUM(CD24:CD28)</f>
        <v>80159.174042375467</v>
      </c>
      <c r="CE23" s="244">
        <f t="shared" si="277"/>
        <v>453350</v>
      </c>
      <c r="CF23" s="260">
        <f t="shared" ref="CF23" si="278">AVERAGE(CF24:CF28)</f>
        <v>1750</v>
      </c>
      <c r="CG23" s="243">
        <f t="shared" ref="CG23" si="279">SUM(CG24:CG28)</f>
        <v>396</v>
      </c>
      <c r="CH23" s="242">
        <f t="shared" ref="CH23:CI23" si="280">SUM(CH24:CH28)</f>
        <v>82514.132827801193</v>
      </c>
      <c r="CI23" s="244">
        <f t="shared" si="280"/>
        <v>466900</v>
      </c>
      <c r="CJ23" s="260">
        <f t="shared" ref="CJ23" si="281">AVERAGE(CJ24:CJ28)</f>
        <v>1750</v>
      </c>
      <c r="CK23" s="243">
        <f t="shared" ref="CK23" si="282">SUM(CK24:CK28)</f>
        <v>420</v>
      </c>
      <c r="CL23" s="242">
        <f t="shared" ref="CL23:CM23" si="283">SUM(CL24:CL28)</f>
        <v>87948.653101860546</v>
      </c>
      <c r="CM23" s="244">
        <f t="shared" si="283"/>
        <v>494000</v>
      </c>
      <c r="CN23" s="260">
        <f t="shared" ref="CN23" si="284">AVERAGE(CN24:CN28)</f>
        <v>1750</v>
      </c>
      <c r="CO23" s="243">
        <f t="shared" ref="CO23" si="285">SUM(CO24:CO28)</f>
        <v>389</v>
      </c>
      <c r="CP23" s="242">
        <f t="shared" ref="CP23:CQ23" si="286">SUM(CP24:CP28)</f>
        <v>81336.653435088316</v>
      </c>
      <c r="CQ23" s="244">
        <f t="shared" si="286"/>
        <v>458700</v>
      </c>
      <c r="CR23" s="260">
        <f t="shared" ref="CR23" si="287">AVERAGE(CR24:CR28)</f>
        <v>1750</v>
      </c>
      <c r="CS23" s="243">
        <f t="shared" ref="CS23" si="288">SUM(CS24:CS28)</f>
        <v>420</v>
      </c>
      <c r="CT23" s="242">
        <f t="shared" ref="CT23:CU23" si="289">SUM(CT24:CT28)</f>
        <v>87948.653101860546</v>
      </c>
      <c r="CU23" s="244">
        <f t="shared" si="289"/>
        <v>494000</v>
      </c>
      <c r="CV23" s="260">
        <f t="shared" ref="CV23" si="290">AVERAGE(CV24:CV28)</f>
        <v>1750</v>
      </c>
      <c r="CW23" s="243">
        <f t="shared" ref="CW23" si="291">SUM(CW24:CW28)</f>
        <v>452</v>
      </c>
      <c r="CX23" s="242">
        <f t="shared" ref="CX23:CY23" si="292">SUM(CX24:CX28)</f>
        <v>94651.228106533759</v>
      </c>
      <c r="CY23" s="244">
        <f t="shared" si="292"/>
        <v>532850</v>
      </c>
      <c r="CZ23" s="164"/>
    </row>
    <row r="24" spans="2:104" s="165" customFormat="1" ht="25.5" hidden="1" outlineLevel="1">
      <c r="B24" s="162"/>
      <c r="C24" s="252" t="s">
        <v>95</v>
      </c>
      <c r="D24" s="261">
        <f>VLOOKUP($C24,Прайс!$D$8:$E$119,2,0)*0.5</f>
        <v>1250</v>
      </c>
      <c r="E24" s="198">
        <f>ROUNDUP(VLOOKUP($C24,Прайс!$D$6:$F$1004,3,0)*VLOOKUP($C$23,Прайс!$D$6:$F$1004,3,0)*F$16,0)</f>
        <v>0</v>
      </c>
      <c r="F24" s="197">
        <f>F$17*$D24/SUM($D$20:$D$22,$D$24:$D$28,$D$30:$D$32,$D$34:$D$45,$D$48:$D$51,$D$53:$D$56)</f>
        <v>7512.0022306772817</v>
      </c>
      <c r="G24" s="224">
        <f t="shared" ref="G24:G28" si="293">D24*E24</f>
        <v>0</v>
      </c>
      <c r="H24" s="261">
        <f>VLOOKUP($C24,Прайс!$D$8:$E$119,2,0)*0.8</f>
        <v>2000</v>
      </c>
      <c r="I24" s="198">
        <f>ROUNDUP(VLOOKUP($C24,Прайс!$D$6:$F$1004,3,0)*VLOOKUP($C$23,Прайс!$D$6:$F$1004,3,0)*J$16,0)</f>
        <v>0</v>
      </c>
      <c r="J24" s="197">
        <f t="shared" ref="J24:J28" si="294">J$17*$D24/SUM($D$20:$D$22,$D$24:$D$28,$D$30:$D$32,$D$34:$D$45,$D$48:$D$51,$D$53:$D$56)</f>
        <v>8384.6884228344315</v>
      </c>
      <c r="K24" s="224">
        <f t="shared" ref="K24:K28" si="295">H24*I24</f>
        <v>0</v>
      </c>
      <c r="L24" s="261">
        <f>VLOOKUP($C24,Прайс!$D$8:$E$119,2,0)*0.8</f>
        <v>2000</v>
      </c>
      <c r="M24" s="198">
        <f>ROUNDUP(VLOOKUP($C24,Прайс!$D$6:$F$1004,3,0)*VLOOKUP($C$23,Прайс!$D$6:$F$1004,3,0)*N$16,0)</f>
        <v>0</v>
      </c>
      <c r="N24" s="197">
        <f t="shared" ref="N24:N28" si="296">N$17*$D24/SUM($D$20:$D$22,$D$24:$D$28,$D$30:$D$32,$D$34:$D$45,$D$48:$D$51,$D$53:$D$56)</f>
        <v>9968.319132325536</v>
      </c>
      <c r="O24" s="224">
        <f t="shared" ref="O24:O28" si="297">L24*M24</f>
        <v>0</v>
      </c>
      <c r="P24" s="261">
        <f>VLOOKUP($C24,Прайс!$D$8:$E$119,2,0)</f>
        <v>2500</v>
      </c>
      <c r="Q24" s="198">
        <f>ROUNDUP(VLOOKUP($C24,Прайс!$D$6:$F$1004,3,0)*VLOOKUP($C$23,Прайс!$D$6:$F$1004,3,0)*R$16,0)</f>
        <v>0</v>
      </c>
      <c r="R24" s="197">
        <f t="shared" ref="R24:R28" si="298">R$17*$D24/SUM($D$20:$D$22,$D$24:$D$28,$D$30:$D$32,$D$34:$D$45,$D$48:$D$51,$D$53:$D$56)</f>
        <v>12116.967425865669</v>
      </c>
      <c r="S24" s="224">
        <f>P24*Q24</f>
        <v>0</v>
      </c>
      <c r="T24" s="261">
        <f>VLOOKUP($C24,Прайс!$D$8:$E$119,2,0)</f>
        <v>2500</v>
      </c>
      <c r="U24" s="198">
        <f>ROUNDUP(VLOOKUP($C24,Прайс!$D$6:$F$1004,3,0)*VLOOKUP($C$23,Прайс!$D$6:$F$1004,3,0)*V$16,0)</f>
        <v>0</v>
      </c>
      <c r="V24" s="197">
        <f t="shared" ref="V24:V28" si="299">V$17*$D24/SUM($D$20:$D$22,$D$24:$D$28,$D$30:$D$32,$D$34:$D$45,$D$48:$D$51,$D$53:$D$56)</f>
        <v>13049.318324735375</v>
      </c>
      <c r="W24" s="224">
        <f t="shared" ref="W24:W28" si="300">T24*U24</f>
        <v>0</v>
      </c>
      <c r="X24" s="261">
        <f>VLOOKUP($C24,Прайс!$D$8:$E$119,2,0)</f>
        <v>2500</v>
      </c>
      <c r="Y24" s="198">
        <f>ROUNDUP(VLOOKUP($C24,Прайс!$D$6:$F$1004,3,0)*VLOOKUP($C$23,Прайс!$D$6:$F$1004,3,0)*Z$16,0)</f>
        <v>0</v>
      </c>
      <c r="Z24" s="197">
        <f t="shared" ref="Z24:Z28" si="301">Z$17*$D24/SUM($D$20:$D$22,$D$24:$D$28,$D$30:$D$32,$D$34:$D$45,$D$48:$D$51,$D$53:$D$56)</f>
        <v>15024.004461354558</v>
      </c>
      <c r="AA24" s="224">
        <f t="shared" ref="AA24:AA28" si="302">X24*Y24</f>
        <v>0</v>
      </c>
      <c r="AB24" s="261">
        <f>VLOOKUP($C24,Прайс!$D$8:$E$119,2,0)</f>
        <v>2500</v>
      </c>
      <c r="AC24" s="198">
        <f>ROUNDUP(VLOOKUP($C24,Прайс!$D$6:$F$1004,3,0)*VLOOKUP($C$23,Прайс!$D$6:$F$1004,3,0)*AD$16,0)</f>
        <v>0</v>
      </c>
      <c r="AD24" s="197">
        <f t="shared" ref="AD24:AD28" si="303">AD$17*$D24/SUM($D$20:$D$22,$D$24:$D$28,$D$30:$D$32,$D$34:$D$45,$D$48:$D$51,$D$53:$D$56)</f>
        <v>15261.225584428579</v>
      </c>
      <c r="AE24" s="224">
        <f t="shared" ref="AE24:AE28" si="304">AB24*AC24</f>
        <v>0</v>
      </c>
      <c r="AF24" s="261">
        <f>VLOOKUP($C24,Прайс!$D$8:$E$119,2,0)</f>
        <v>2500</v>
      </c>
      <c r="AG24" s="198">
        <f>ROUNDUP(VLOOKUP($C24,Прайс!$D$6:$F$1004,3,0)*VLOOKUP($C$23,Прайс!$D$6:$F$1004,3,0)*AH$16,0)</f>
        <v>0</v>
      </c>
      <c r="AH24" s="197">
        <f t="shared" ref="AH24:AH28" si="305">AH$17*$D24/SUM($D$20:$D$22,$D$24:$D$28,$D$30:$D$32,$D$34:$D$45,$D$48:$D$51,$D$53:$D$56)</f>
        <v>15268.414103309613</v>
      </c>
      <c r="AI24" s="224">
        <f t="shared" ref="AI24:AI28" si="306">AF24*AG24</f>
        <v>0</v>
      </c>
      <c r="AJ24" s="261">
        <f>VLOOKUP($C24,Прайс!$D$8:$E$119,2,0)</f>
        <v>2500</v>
      </c>
      <c r="AK24" s="198">
        <f>ROUNDUP(VLOOKUP($C24,Прайс!$D$6:$F$1004,3,0)*VLOOKUP($C$23,Прайс!$D$6:$F$1004,3,0)*AL$16,0)</f>
        <v>0</v>
      </c>
      <c r="AL24" s="197">
        <f t="shared" ref="AL24:AL28" si="307">AL$17*$D24/SUM($D$20:$D$22,$D$24:$D$28,$D$30:$D$32,$D$34:$D$45,$D$48:$D$51,$D$53:$D$56)</f>
        <v>17026.725821609773</v>
      </c>
      <c r="AM24" s="224">
        <f t="shared" ref="AM24:AM28" si="308">AJ24*AK24</f>
        <v>0</v>
      </c>
      <c r="AN24" s="261">
        <f>VLOOKUP($C24,Прайс!$D$8:$E$119,2,0)</f>
        <v>2500</v>
      </c>
      <c r="AO24" s="198">
        <f>ROUNDUP(VLOOKUP($C24,Прайс!$D$6:$F$1004,3,0)*VLOOKUP($C$23,Прайс!$D$6:$F$1004,3,0)*AP$16,0)</f>
        <v>0</v>
      </c>
      <c r="AP24" s="197">
        <f t="shared" ref="AP24:AP28" si="309">AP$17*$D24/SUM($D$20:$D$22,$D$24:$D$28,$D$30:$D$32,$D$34:$D$45,$D$48:$D$51,$D$53:$D$56)</f>
        <v>19544.145133746792</v>
      </c>
      <c r="AQ24" s="224">
        <f t="shared" ref="AQ24:AQ28" si="310">AN24*AO24</f>
        <v>0</v>
      </c>
      <c r="AR24" s="261">
        <f>VLOOKUP($C24,Прайс!$D$8:$E$119,2,0)</f>
        <v>2500</v>
      </c>
      <c r="AS24" s="198">
        <f>ROUNDUP(VLOOKUP($C24,Прайс!$D$6:$F$1004,3,0)*VLOOKUP($C$23,Прайс!$D$6:$F$1004,3,0)*AT$16,0)</f>
        <v>0</v>
      </c>
      <c r="AT24" s="197">
        <f t="shared" ref="AT24:AT28" si="311">AT$17*$D24/SUM($D$20:$D$22,$D$24:$D$28,$D$30:$D$32,$D$34:$D$45,$D$48:$D$51,$D$53:$D$56)</f>
        <v>19365.869865497225</v>
      </c>
      <c r="AU24" s="224">
        <f t="shared" ref="AU24:AU28" si="312">AR24*AS24</f>
        <v>0</v>
      </c>
      <c r="AV24" s="261">
        <f>VLOOKUP($C24,Прайс!$D$8:$E$119,2,0)</f>
        <v>2500</v>
      </c>
      <c r="AW24" s="198">
        <f>ROUNDUP(VLOOKUP($C24,Прайс!$D$6:$F$1004,3,0)*VLOOKUP($C$23,Прайс!$D$6:$F$1004,3,0)*AX$16,0)</f>
        <v>0</v>
      </c>
      <c r="AX24" s="197">
        <f t="shared" ref="AX24:AX28" si="313">AX$17*$D24/SUM($D$20:$D$22,$D$24:$D$28,$D$30:$D$32,$D$34:$D$45,$D$48:$D$51,$D$53:$D$56)</f>
        <v>22336.165867139192</v>
      </c>
      <c r="AY24" s="224">
        <f t="shared" ref="AY24:AY28" si="314">AV24*AW24</f>
        <v>0</v>
      </c>
      <c r="AZ24" s="261">
        <f>VLOOKUP($C24,Прайс!$D$8:$E$119,2,0)</f>
        <v>2500</v>
      </c>
      <c r="BA24" s="198">
        <f>ROUNDUP(VLOOKUP($C24,Прайс!$D$6:$F$1004,3,0)*VLOOKUP($C$23,Прайс!$D$6:$F$1004,3,0)*BB$16,0)</f>
        <v>0</v>
      </c>
      <c r="BB24" s="197">
        <f t="shared" ref="BB24:BB28" si="315">BB$17*$D24/SUM($D$20:$D$22,$D$24:$D$28,$D$30:$D$32,$D$34:$D$45,$D$48:$D$51,$D$53:$D$56)</f>
        <v>25540.807584302762</v>
      </c>
      <c r="BC24" s="224">
        <f t="shared" ref="BC24:BC28" si="316">AZ24*BA24</f>
        <v>0</v>
      </c>
      <c r="BD24" s="261">
        <f>VLOOKUP($C24,Прайс!$D$8:$E$119,2,0)</f>
        <v>2500</v>
      </c>
      <c r="BE24" s="198">
        <f>ROUNDUP(VLOOKUP($C24,Прайс!$D$6:$F$1004,3,0)*VLOOKUP($C$23,Прайс!$D$6:$F$1004,3,0)*BF$16,0)</f>
        <v>0</v>
      </c>
      <c r="BF24" s="197">
        <f t="shared" ref="BF24:BF28" si="317">BF$17*$D24/SUM($D$20:$D$22,$D$24:$D$28,$D$30:$D$32,$D$34:$D$45,$D$48:$D$51,$D$53:$D$56)</f>
        <v>25154.065268503302</v>
      </c>
      <c r="BG24" s="224">
        <f t="shared" ref="BG24:BG28" si="318">BD24*BE24</f>
        <v>0</v>
      </c>
      <c r="BH24" s="261">
        <f>VLOOKUP($C24,Прайс!$D$8:$E$119,2,0)</f>
        <v>2500</v>
      </c>
      <c r="BI24" s="198">
        <f>ROUNDUP(VLOOKUP($C24,Прайс!$D$6:$F$1004,3,0)*VLOOKUP($C$23,Прайс!$D$6:$F$1004,3,0)*BJ$16,0)</f>
        <v>0</v>
      </c>
      <c r="BJ24" s="197">
        <f t="shared" ref="BJ24:BJ28" si="319">BJ$17*$D24/SUM($D$20:$D$22,$D$24:$D$28,$D$30:$D$32,$D$34:$D$45,$D$48:$D$51,$D$53:$D$56)</f>
        <v>25632.820625979959</v>
      </c>
      <c r="BK24" s="224">
        <f t="shared" ref="BK24:BK28" si="320">BH24*BI24</f>
        <v>0</v>
      </c>
      <c r="BL24" s="261">
        <f>VLOOKUP($C24,Прайс!$D$8:$E$119,2,0)</f>
        <v>2500</v>
      </c>
      <c r="BM24" s="198">
        <f>ROUNDUP(VLOOKUP($C24,Прайс!$D$6:$F$1004,3,0)*VLOOKUP($C$23,Прайс!$D$6:$F$1004,3,0)*BN$16,0)</f>
        <v>0</v>
      </c>
      <c r="BN24" s="197">
        <f t="shared" ref="BN24:BN28" si="321">BN$17*$D24/SUM($D$20:$D$22,$D$24:$D$28,$D$30:$D$32,$D$34:$D$45,$D$48:$D$51,$D$53:$D$56)</f>
        <v>27263.17670819777</v>
      </c>
      <c r="BO24" s="224">
        <f t="shared" ref="BO24:BO28" si="322">BL24*BM24</f>
        <v>0</v>
      </c>
      <c r="BP24" s="261">
        <f>VLOOKUP($C24,Прайс!$D$8:$E$119,2,0)</f>
        <v>2500</v>
      </c>
      <c r="BQ24" s="198">
        <f>ROUNDUP(VLOOKUP($C24,Прайс!$D$6:$F$1004,3,0)*VLOOKUP($C$23,Прайс!$D$6:$F$1004,3,0)*BR$16,0)</f>
        <v>0</v>
      </c>
      <c r="BR24" s="197">
        <f t="shared" ref="BR24:BR28" si="323">BR$17*$D24/SUM($D$20:$D$22,$D$24:$D$28,$D$30:$D$32,$D$34:$D$45,$D$48:$D$51,$D$53:$D$56)</f>
        <v>26098.636649470762</v>
      </c>
      <c r="BS24" s="224">
        <f t="shared" ref="BS24:BS28" si="324">BP24*BQ24</f>
        <v>0</v>
      </c>
      <c r="BT24" s="261">
        <f>VLOOKUP($C24,Прайс!$D$8:$E$119,2,0)</f>
        <v>2500</v>
      </c>
      <c r="BU24" s="198">
        <f>ROUNDUP(VLOOKUP($C24,Прайс!$D$6:$F$1004,3,0)*VLOOKUP($C$23,Прайс!$D$6:$F$1004,3,0)*BV$16,0)</f>
        <v>0</v>
      </c>
      <c r="BV24" s="197">
        <f t="shared" ref="BV24:BV28" si="325">BV$17*$D24/SUM($D$20:$D$22,$D$24:$D$28,$D$30:$D$32,$D$34:$D$45,$D$48:$D$51,$D$53:$D$56)</f>
        <v>27043.208030438218</v>
      </c>
      <c r="BW24" s="224">
        <f t="shared" ref="BW24:BW28" si="326">BT24*BU24</f>
        <v>0</v>
      </c>
      <c r="BX24" s="261">
        <f>VLOOKUP($C24,Прайс!$D$8:$E$119,2,0)</f>
        <v>2500</v>
      </c>
      <c r="BY24" s="198">
        <f>ROUNDUP(VLOOKUP($C24,Прайс!$D$6:$F$1004,3,0)*VLOOKUP($C$23,Прайс!$D$6:$F$1004,3,0)*BZ$16,0)</f>
        <v>0</v>
      </c>
      <c r="BZ24" s="197">
        <f t="shared" ref="BZ24:BZ28" si="327">BZ$17*$D24/SUM($D$20:$D$22,$D$24:$D$28,$D$30:$D$32,$D$34:$D$45,$D$48:$D$51,$D$53:$D$56)</f>
        <v>24972.91459270132</v>
      </c>
      <c r="CA24" s="224">
        <f t="shared" ref="CA24:CA28" si="328">BX24*BY24</f>
        <v>0</v>
      </c>
      <c r="CB24" s="261">
        <f>VLOOKUP($C24,Прайс!$D$8:$E$119,2,0)</f>
        <v>2500</v>
      </c>
      <c r="CC24" s="198">
        <f>ROUNDUP(VLOOKUP($C24,Прайс!$D$6:$F$1004,3,0)*VLOOKUP($C$23,Прайс!$D$6:$F$1004,3,0)*CD$16,0)</f>
        <v>0</v>
      </c>
      <c r="CD24" s="197">
        <f t="shared" ref="CD24:CD28" si="329">CD$17*$D24/SUM($D$20:$D$22,$D$24:$D$28,$D$30:$D$32,$D$34:$D$45,$D$48:$D$51,$D$53:$D$56)</f>
        <v>22902.621154964421</v>
      </c>
      <c r="CE24" s="224">
        <f t="shared" ref="CE24:CE28" si="330">CB24*CC24</f>
        <v>0</v>
      </c>
      <c r="CF24" s="261">
        <f>VLOOKUP($C24,Прайс!$D$8:$E$119,2,0)</f>
        <v>2500</v>
      </c>
      <c r="CG24" s="198">
        <f>ROUNDUP(VLOOKUP($C24,Прайс!$D$6:$F$1004,3,0)*VLOOKUP($C$23,Прайс!$D$6:$F$1004,3,0)*CH$16,0)</f>
        <v>0</v>
      </c>
      <c r="CH24" s="197">
        <f t="shared" ref="CH24:CH28" si="331">CH$17*$D24/SUM($D$20:$D$22,$D$24:$D$28,$D$30:$D$32,$D$34:$D$45,$D$48:$D$51,$D$53:$D$56)</f>
        <v>23575.466522228911</v>
      </c>
      <c r="CI24" s="224">
        <f t="shared" ref="CI24:CI28" si="332">CF24*CG24</f>
        <v>0</v>
      </c>
      <c r="CJ24" s="261">
        <f>VLOOKUP($C24,Прайс!$D$8:$E$119,2,0)</f>
        <v>2500</v>
      </c>
      <c r="CK24" s="198">
        <f>ROUNDUP(VLOOKUP($C24,Прайс!$D$6:$F$1004,3,0)*VLOOKUP($C$23,Прайс!$D$6:$F$1004,3,0)*CL$16,0)</f>
        <v>0</v>
      </c>
      <c r="CL24" s="197">
        <f t="shared" ref="CL24:CL28" si="333">CL$17*$D24/SUM($D$20:$D$22,$D$24:$D$28,$D$30:$D$32,$D$34:$D$45,$D$48:$D$51,$D$53:$D$56)</f>
        <v>25128.186600531586</v>
      </c>
      <c r="CM24" s="224">
        <f t="shared" ref="CM24:CM28" si="334">CJ24*CK24</f>
        <v>0</v>
      </c>
      <c r="CN24" s="261">
        <f>VLOOKUP($C24,Прайс!$D$8:$E$119,2,0)</f>
        <v>2500</v>
      </c>
      <c r="CO24" s="198">
        <f>ROUNDUP(VLOOKUP($C24,Прайс!$D$6:$F$1004,3,0)*VLOOKUP($C$23,Прайс!$D$6:$F$1004,3,0)*CP$16,0)</f>
        <v>0</v>
      </c>
      <c r="CP24" s="197">
        <f t="shared" ref="CP24:CP28" si="335">CP$17*$D24/SUM($D$20:$D$22,$D$24:$D$28,$D$30:$D$32,$D$34:$D$45,$D$48:$D$51,$D$53:$D$56)</f>
        <v>23239.043838596663</v>
      </c>
      <c r="CQ24" s="224">
        <f t="shared" ref="CQ24:CQ28" si="336">CN24*CO24</f>
        <v>0</v>
      </c>
      <c r="CR24" s="261">
        <f>VLOOKUP($C24,Прайс!$D$8:$E$119,2,0)</f>
        <v>2500</v>
      </c>
      <c r="CS24" s="198">
        <f>ROUNDUP(VLOOKUP($C24,Прайс!$D$6:$F$1004,3,0)*VLOOKUP($C$23,Прайс!$D$6:$F$1004,3,0)*CT$16,0)</f>
        <v>0</v>
      </c>
      <c r="CT24" s="197">
        <f t="shared" ref="CT24:CT28" si="337">CT$17*$D24/SUM($D$20:$D$22,$D$24:$D$28,$D$30:$D$32,$D$34:$D$45,$D$48:$D$51,$D$53:$D$56)</f>
        <v>25128.186600531586</v>
      </c>
      <c r="CU24" s="224">
        <f t="shared" ref="CU24:CU28" si="338">CR24*CS24</f>
        <v>0</v>
      </c>
      <c r="CV24" s="261">
        <f>VLOOKUP($C24,Прайс!$D$8:$E$119,2,0)</f>
        <v>2500</v>
      </c>
      <c r="CW24" s="198">
        <f>ROUNDUP(VLOOKUP($C24,Прайс!$D$6:$F$1004,3,0)*VLOOKUP($C$23,Прайс!$D$6:$F$1004,3,0)*CX$16,0)</f>
        <v>0</v>
      </c>
      <c r="CX24" s="197">
        <f t="shared" ref="CX24:CX28" si="339">CX$17*$D24/SUM($D$20:$D$22,$D$24:$D$28,$D$30:$D$32,$D$34:$D$45,$D$48:$D$51,$D$53:$D$56)</f>
        <v>27043.208030438218</v>
      </c>
      <c r="CY24" s="224">
        <f t="shared" ref="CY24:CY28" si="340">CV24*CW24</f>
        <v>0</v>
      </c>
      <c r="CZ24" s="164"/>
    </row>
    <row r="25" spans="2:104" s="165" customFormat="1" ht="25.5" hidden="1" outlineLevel="1">
      <c r="B25" s="162"/>
      <c r="C25" s="252" t="s">
        <v>254</v>
      </c>
      <c r="D25" s="261">
        <f>VLOOKUP($C25,Прайс!$D$8:$E$119,2,0)*0.5</f>
        <v>1100</v>
      </c>
      <c r="E25" s="198">
        <f>ROUNDUP(VLOOKUP($C25,Прайс!$D$6:$F$1004,3,0)*VLOOKUP($C$23,Прайс!$D$6:$F$1004,3,0)*F$16,0)</f>
        <v>13</v>
      </c>
      <c r="F25" s="197">
        <f>F$17*$D25/SUM($D$20:$D$22,$D$24:$D$28,$D$30:$D$32,$D$34:$D$45,$D$48:$D$51,$D$53:$D$56)</f>
        <v>6610.5619629960074</v>
      </c>
      <c r="G25" s="224">
        <f t="shared" si="293"/>
        <v>14300</v>
      </c>
      <c r="H25" s="261">
        <f>VLOOKUP($C25,Прайс!$D$8:$E$119,2,0)*0.8</f>
        <v>1760</v>
      </c>
      <c r="I25" s="198">
        <f>ROUNDUP(VLOOKUP($C25,Прайс!$D$6:$F$1004,3,0)*VLOOKUP($C$23,Прайс!$D$6:$F$1004,3,0)*J$16,0)</f>
        <v>15</v>
      </c>
      <c r="J25" s="197">
        <f t="shared" si="294"/>
        <v>7378.5258120943008</v>
      </c>
      <c r="K25" s="224">
        <f t="shared" si="295"/>
        <v>26400</v>
      </c>
      <c r="L25" s="261">
        <f>VLOOKUP($C25,Прайс!$D$8:$E$119,2,0)*0.8</f>
        <v>1760</v>
      </c>
      <c r="M25" s="198">
        <f>ROUNDUP(VLOOKUP($C25,Прайс!$D$6:$F$1004,3,0)*VLOOKUP($C$23,Прайс!$D$6:$F$1004,3,0)*N$16,0)</f>
        <v>18</v>
      </c>
      <c r="N25" s="197">
        <f t="shared" si="296"/>
        <v>8772.120836446471</v>
      </c>
      <c r="O25" s="224">
        <f t="shared" si="297"/>
        <v>31680</v>
      </c>
      <c r="P25" s="261">
        <f>VLOOKUP($C25,Прайс!$D$8:$E$119,2,0)</f>
        <v>2200</v>
      </c>
      <c r="Q25" s="198">
        <f>ROUNDUP(VLOOKUP($C25,Прайс!$D$6:$F$1004,3,0)*VLOOKUP($C$23,Прайс!$D$6:$F$1004,3,0)*R$16,0)</f>
        <v>21</v>
      </c>
      <c r="R25" s="197">
        <f t="shared" si="298"/>
        <v>10662.93133476179</v>
      </c>
      <c r="S25" s="224">
        <f t="shared" ref="S25:S28" si="341">P25*Q25</f>
        <v>46200</v>
      </c>
      <c r="T25" s="261">
        <f>VLOOKUP($C25,Прайс!$D$8:$E$119,2,0)</f>
        <v>2200</v>
      </c>
      <c r="U25" s="198">
        <f>ROUNDUP(VLOOKUP($C25,Прайс!$D$6:$F$1004,3,0)*VLOOKUP($C$23,Прайс!$D$6:$F$1004,3,0)*V$16,0)</f>
        <v>23</v>
      </c>
      <c r="V25" s="197">
        <f t="shared" si="299"/>
        <v>11483.400125767132</v>
      </c>
      <c r="W25" s="224">
        <f t="shared" si="300"/>
        <v>50600</v>
      </c>
      <c r="X25" s="261">
        <f>VLOOKUP($C25,Прайс!$D$8:$E$119,2,0)</f>
        <v>2200</v>
      </c>
      <c r="Y25" s="198">
        <f>ROUNDUP(VLOOKUP($C25,Прайс!$D$6:$F$1004,3,0)*VLOOKUP($C$23,Прайс!$D$6:$F$1004,3,0)*Z$16,0)</f>
        <v>26</v>
      </c>
      <c r="Z25" s="197">
        <f t="shared" si="301"/>
        <v>13221.123925992011</v>
      </c>
      <c r="AA25" s="224">
        <f t="shared" si="302"/>
        <v>57200</v>
      </c>
      <c r="AB25" s="261">
        <f>VLOOKUP($C25,Прайс!$D$8:$E$119,2,0)</f>
        <v>2200</v>
      </c>
      <c r="AC25" s="198">
        <f>ROUNDUP(VLOOKUP($C25,Прайс!$D$6:$F$1004,3,0)*VLOOKUP($C$23,Прайс!$D$6:$F$1004,3,0)*AD$16,0)</f>
        <v>27</v>
      </c>
      <c r="AD25" s="197">
        <f t="shared" si="303"/>
        <v>13429.87851429715</v>
      </c>
      <c r="AE25" s="224">
        <f t="shared" si="304"/>
        <v>59400</v>
      </c>
      <c r="AF25" s="261">
        <f>VLOOKUP($C25,Прайс!$D$8:$E$119,2,0)</f>
        <v>2200</v>
      </c>
      <c r="AG25" s="198">
        <f>ROUNDUP(VLOOKUP($C25,Прайс!$D$6:$F$1004,3,0)*VLOOKUP($C$23,Прайс!$D$6:$F$1004,3,0)*AH$16,0)</f>
        <v>27</v>
      </c>
      <c r="AH25" s="197">
        <f t="shared" si="305"/>
        <v>13436.20441091246</v>
      </c>
      <c r="AI25" s="224">
        <f t="shared" si="306"/>
        <v>59400</v>
      </c>
      <c r="AJ25" s="261">
        <f>VLOOKUP($C25,Прайс!$D$8:$E$119,2,0)</f>
        <v>2200</v>
      </c>
      <c r="AK25" s="198">
        <f>ROUNDUP(VLOOKUP($C25,Прайс!$D$6:$F$1004,3,0)*VLOOKUP($C$23,Прайс!$D$6:$F$1004,3,0)*AL$16,0)</f>
        <v>30</v>
      </c>
      <c r="AL25" s="197">
        <f t="shared" si="307"/>
        <v>14983.518723016598</v>
      </c>
      <c r="AM25" s="224">
        <f t="shared" si="308"/>
        <v>66000</v>
      </c>
      <c r="AN25" s="261">
        <f>VLOOKUP($C25,Прайс!$D$8:$E$119,2,0)</f>
        <v>2200</v>
      </c>
      <c r="AO25" s="198">
        <f>ROUNDUP(VLOOKUP($C25,Прайс!$D$6:$F$1004,3,0)*VLOOKUP($C$23,Прайс!$D$6:$F$1004,3,0)*AP$16,0)</f>
        <v>34</v>
      </c>
      <c r="AP25" s="197">
        <f t="shared" si="309"/>
        <v>17198.847717697176</v>
      </c>
      <c r="AQ25" s="224">
        <f t="shared" si="310"/>
        <v>74800</v>
      </c>
      <c r="AR25" s="261">
        <f>VLOOKUP($C25,Прайс!$D$8:$E$119,2,0)</f>
        <v>2200</v>
      </c>
      <c r="AS25" s="198">
        <f>ROUNDUP(VLOOKUP($C25,Прайс!$D$6:$F$1004,3,0)*VLOOKUP($C$23,Прайс!$D$6:$F$1004,3,0)*AT$16,0)</f>
        <v>34</v>
      </c>
      <c r="AT25" s="197">
        <f t="shared" si="311"/>
        <v>17041.965481637559</v>
      </c>
      <c r="AU25" s="224">
        <f t="shared" si="312"/>
        <v>74800</v>
      </c>
      <c r="AV25" s="261">
        <f>VLOOKUP($C25,Прайс!$D$8:$E$119,2,0)</f>
        <v>2200</v>
      </c>
      <c r="AW25" s="198">
        <f>ROUNDUP(VLOOKUP($C25,Прайс!$D$6:$F$1004,3,0)*VLOOKUP($C$23,Прайс!$D$6:$F$1004,3,0)*AX$16,0)</f>
        <v>39</v>
      </c>
      <c r="AX25" s="197">
        <f t="shared" si="313"/>
        <v>19655.82596308249</v>
      </c>
      <c r="AY25" s="224">
        <f t="shared" si="314"/>
        <v>85800</v>
      </c>
      <c r="AZ25" s="261">
        <f>VLOOKUP($C25,Прайс!$D$8:$E$119,2,0)</f>
        <v>2200</v>
      </c>
      <c r="BA25" s="198">
        <f>ROUNDUP(VLOOKUP($C25,Прайс!$D$6:$F$1004,3,0)*VLOOKUP($C$23,Прайс!$D$6:$F$1004,3,0)*BB$16,0)</f>
        <v>44</v>
      </c>
      <c r="BB25" s="197">
        <f t="shared" si="315"/>
        <v>22475.910674186431</v>
      </c>
      <c r="BC25" s="224">
        <f t="shared" si="316"/>
        <v>96800</v>
      </c>
      <c r="BD25" s="261">
        <f>VLOOKUP($C25,Прайс!$D$8:$E$119,2,0)</f>
        <v>2200</v>
      </c>
      <c r="BE25" s="198">
        <f>ROUNDUP(VLOOKUP($C25,Прайс!$D$6:$F$1004,3,0)*VLOOKUP($C$23,Прайс!$D$6:$F$1004,3,0)*BF$16,0)</f>
        <v>43</v>
      </c>
      <c r="BF25" s="197">
        <f t="shared" si="317"/>
        <v>22135.577436282903</v>
      </c>
      <c r="BG25" s="224">
        <f t="shared" si="318"/>
        <v>94600</v>
      </c>
      <c r="BH25" s="261">
        <f>VLOOKUP($C25,Прайс!$D$8:$E$119,2,0)</f>
        <v>2200</v>
      </c>
      <c r="BI25" s="198">
        <f>ROUNDUP(VLOOKUP($C25,Прайс!$D$6:$F$1004,3,0)*VLOOKUP($C$23,Прайс!$D$6:$F$1004,3,0)*BJ$16,0)</f>
        <v>44</v>
      </c>
      <c r="BJ25" s="197">
        <f t="shared" si="319"/>
        <v>22556.882150862366</v>
      </c>
      <c r="BK25" s="224">
        <f t="shared" si="320"/>
        <v>96800</v>
      </c>
      <c r="BL25" s="261">
        <f>VLOOKUP($C25,Прайс!$D$8:$E$119,2,0)</f>
        <v>2200</v>
      </c>
      <c r="BM25" s="198">
        <f>ROUNDUP(VLOOKUP($C25,Прайс!$D$6:$F$1004,3,0)*VLOOKUP($C$23,Прайс!$D$6:$F$1004,3,0)*BN$16,0)</f>
        <v>47</v>
      </c>
      <c r="BN25" s="197">
        <f t="shared" si="321"/>
        <v>23991.595503214037</v>
      </c>
      <c r="BO25" s="224">
        <f t="shared" si="322"/>
        <v>103400</v>
      </c>
      <c r="BP25" s="261">
        <f>VLOOKUP($C25,Прайс!$D$8:$E$119,2,0)</f>
        <v>2200</v>
      </c>
      <c r="BQ25" s="198">
        <f>ROUNDUP(VLOOKUP($C25,Прайс!$D$6:$F$1004,3,0)*VLOOKUP($C$23,Прайс!$D$6:$F$1004,3,0)*BR$16,0)</f>
        <v>45</v>
      </c>
      <c r="BR25" s="197">
        <f t="shared" si="323"/>
        <v>22966.800251534271</v>
      </c>
      <c r="BS25" s="224">
        <f t="shared" si="324"/>
        <v>99000</v>
      </c>
      <c r="BT25" s="261">
        <f>VLOOKUP($C25,Прайс!$D$8:$E$119,2,0)</f>
        <v>2200</v>
      </c>
      <c r="BU25" s="198">
        <f>ROUNDUP(VLOOKUP($C25,Прайс!$D$6:$F$1004,3,0)*VLOOKUP($C$23,Прайс!$D$6:$F$1004,3,0)*BV$16,0)</f>
        <v>47</v>
      </c>
      <c r="BV25" s="197">
        <f t="shared" si="325"/>
        <v>23798.02306678563</v>
      </c>
      <c r="BW25" s="224">
        <f t="shared" si="326"/>
        <v>103400</v>
      </c>
      <c r="BX25" s="261">
        <f>VLOOKUP($C25,Прайс!$D$8:$E$119,2,0)</f>
        <v>2200</v>
      </c>
      <c r="BY25" s="198">
        <f>ROUNDUP(VLOOKUP($C25,Прайс!$D$6:$F$1004,3,0)*VLOOKUP($C$23,Прайс!$D$6:$F$1004,3,0)*BZ$16,0)</f>
        <v>43</v>
      </c>
      <c r="BZ25" s="197">
        <f t="shared" si="327"/>
        <v>21976.16484157716</v>
      </c>
      <c r="CA25" s="224">
        <f t="shared" si="328"/>
        <v>94600</v>
      </c>
      <c r="CB25" s="261">
        <f>VLOOKUP($C25,Прайс!$D$8:$E$119,2,0)</f>
        <v>2200</v>
      </c>
      <c r="CC25" s="198">
        <f>ROUNDUP(VLOOKUP($C25,Прайс!$D$6:$F$1004,3,0)*VLOOKUP($C$23,Прайс!$D$6:$F$1004,3,0)*CD$16,0)</f>
        <v>40</v>
      </c>
      <c r="CD25" s="197">
        <f t="shared" si="329"/>
        <v>20154.306616368689</v>
      </c>
      <c r="CE25" s="224">
        <f t="shared" si="330"/>
        <v>88000</v>
      </c>
      <c r="CF25" s="261">
        <f>VLOOKUP($C25,Прайс!$D$8:$E$119,2,0)</f>
        <v>2200</v>
      </c>
      <c r="CG25" s="198">
        <f>ROUNDUP(VLOOKUP($C25,Прайс!$D$6:$F$1004,3,0)*VLOOKUP($C$23,Прайс!$D$6:$F$1004,3,0)*CH$16,0)</f>
        <v>41</v>
      </c>
      <c r="CH25" s="197">
        <f t="shared" si="331"/>
        <v>20746.410539561442</v>
      </c>
      <c r="CI25" s="224">
        <f t="shared" si="332"/>
        <v>90200</v>
      </c>
      <c r="CJ25" s="261">
        <f>VLOOKUP($C25,Прайс!$D$8:$E$119,2,0)</f>
        <v>2200</v>
      </c>
      <c r="CK25" s="198">
        <f>ROUNDUP(VLOOKUP($C25,Прайс!$D$6:$F$1004,3,0)*VLOOKUP($C$23,Прайс!$D$6:$F$1004,3,0)*CL$16,0)</f>
        <v>43</v>
      </c>
      <c r="CL25" s="197">
        <f t="shared" si="333"/>
        <v>22112.804208467795</v>
      </c>
      <c r="CM25" s="224">
        <f t="shared" si="334"/>
        <v>94600</v>
      </c>
      <c r="CN25" s="261">
        <f>VLOOKUP($C25,Прайс!$D$8:$E$119,2,0)</f>
        <v>2200</v>
      </c>
      <c r="CO25" s="198">
        <f>ROUNDUP(VLOOKUP($C25,Прайс!$D$6:$F$1004,3,0)*VLOOKUP($C$23,Прайс!$D$6:$F$1004,3,0)*CP$16,0)</f>
        <v>40</v>
      </c>
      <c r="CP25" s="197">
        <f t="shared" si="335"/>
        <v>20450.358577965064</v>
      </c>
      <c r="CQ25" s="224">
        <f t="shared" si="336"/>
        <v>88000</v>
      </c>
      <c r="CR25" s="261">
        <f>VLOOKUP($C25,Прайс!$D$8:$E$119,2,0)</f>
        <v>2200</v>
      </c>
      <c r="CS25" s="198">
        <f>ROUNDUP(VLOOKUP($C25,Прайс!$D$6:$F$1004,3,0)*VLOOKUP($C$23,Прайс!$D$6:$F$1004,3,0)*CT$16,0)</f>
        <v>43</v>
      </c>
      <c r="CT25" s="197">
        <f t="shared" si="337"/>
        <v>22112.804208467795</v>
      </c>
      <c r="CU25" s="224">
        <f t="shared" si="338"/>
        <v>94600</v>
      </c>
      <c r="CV25" s="261">
        <f>VLOOKUP($C25,Прайс!$D$8:$E$119,2,0)</f>
        <v>2200</v>
      </c>
      <c r="CW25" s="198">
        <f>ROUNDUP(VLOOKUP($C25,Прайс!$D$6:$F$1004,3,0)*VLOOKUP($C$23,Прайс!$D$6:$F$1004,3,0)*CX$16,0)</f>
        <v>47</v>
      </c>
      <c r="CX25" s="197">
        <f t="shared" si="339"/>
        <v>23798.02306678563</v>
      </c>
      <c r="CY25" s="224">
        <f t="shared" si="340"/>
        <v>103400</v>
      </c>
      <c r="CZ25" s="164"/>
    </row>
    <row r="26" spans="2:104" s="165" customFormat="1" ht="25.5" hidden="1" outlineLevel="1">
      <c r="B26" s="162"/>
      <c r="C26" s="252" t="s">
        <v>255</v>
      </c>
      <c r="D26" s="261">
        <f>VLOOKUP($C26,Прайс!$D$8:$E$119,2,0)*0.5</f>
        <v>1000</v>
      </c>
      <c r="E26" s="198">
        <f>ROUNDUP(VLOOKUP($C26,Прайс!$D$6:$F$1004,3,0)*VLOOKUP($C$23,Прайс!$D$6:$F$1004,3,0)*F$16,0)</f>
        <v>23</v>
      </c>
      <c r="F26" s="197">
        <f>F$17*$D26/SUM($D$20:$D$22,$D$24:$D$28,$D$30:$D$32,$D$34:$D$45,$D$48:$D$51,$D$53:$D$56)</f>
        <v>6009.6017845418246</v>
      </c>
      <c r="G26" s="224">
        <f t="shared" si="293"/>
        <v>23000</v>
      </c>
      <c r="H26" s="261">
        <f>VLOOKUP($C26,Прайс!$D$8:$E$119,2,0)*0.8</f>
        <v>1600</v>
      </c>
      <c r="I26" s="198">
        <f>ROUNDUP(VLOOKUP($C26,Прайс!$D$6:$F$1004,3,0)*VLOOKUP($C$23,Прайс!$D$6:$F$1004,3,0)*J$16,0)</f>
        <v>26</v>
      </c>
      <c r="J26" s="197">
        <f t="shared" si="294"/>
        <v>6707.7507382675458</v>
      </c>
      <c r="K26" s="224">
        <f t="shared" si="295"/>
        <v>41600</v>
      </c>
      <c r="L26" s="261">
        <f>VLOOKUP($C26,Прайс!$D$8:$E$119,2,0)*0.8</f>
        <v>1600</v>
      </c>
      <c r="M26" s="198">
        <f>ROUNDUP(VLOOKUP($C26,Прайс!$D$6:$F$1004,3,0)*VLOOKUP($C$23,Прайс!$D$6:$F$1004,3,0)*N$16,0)</f>
        <v>31</v>
      </c>
      <c r="N26" s="197">
        <f t="shared" si="296"/>
        <v>7974.6553058604295</v>
      </c>
      <c r="O26" s="224">
        <f t="shared" si="297"/>
        <v>49600</v>
      </c>
      <c r="P26" s="261">
        <f>VLOOKUP($C26,Прайс!$D$8:$E$119,2,0)</f>
        <v>2000</v>
      </c>
      <c r="Q26" s="198">
        <f>ROUNDUP(VLOOKUP($C26,Прайс!$D$6:$F$1004,3,0)*VLOOKUP($C$23,Прайс!$D$6:$F$1004,3,0)*R$16,0)</f>
        <v>37</v>
      </c>
      <c r="R26" s="197">
        <f t="shared" si="298"/>
        <v>9693.573940692535</v>
      </c>
      <c r="S26" s="224">
        <f t="shared" si="341"/>
        <v>74000</v>
      </c>
      <c r="T26" s="261">
        <f>VLOOKUP($C26,Прайс!$D$8:$E$119,2,0)</f>
        <v>2000</v>
      </c>
      <c r="U26" s="198">
        <f>ROUNDUP(VLOOKUP($C26,Прайс!$D$6:$F$1004,3,0)*VLOOKUP($C$23,Прайс!$D$6:$F$1004,3,0)*V$16,0)</f>
        <v>40</v>
      </c>
      <c r="V26" s="197">
        <f t="shared" si="299"/>
        <v>10439.4546597883</v>
      </c>
      <c r="W26" s="224">
        <f t="shared" si="300"/>
        <v>80000</v>
      </c>
      <c r="X26" s="261">
        <f>VLOOKUP($C26,Прайс!$D$8:$E$119,2,0)</f>
        <v>2000</v>
      </c>
      <c r="Y26" s="198">
        <f>ROUNDUP(VLOOKUP($C26,Прайс!$D$6:$F$1004,3,0)*VLOOKUP($C$23,Прайс!$D$6:$F$1004,3,0)*Z$16,0)</f>
        <v>46</v>
      </c>
      <c r="Z26" s="197">
        <f t="shared" si="301"/>
        <v>12019.203569083647</v>
      </c>
      <c r="AA26" s="224">
        <f t="shared" si="302"/>
        <v>92000</v>
      </c>
      <c r="AB26" s="261">
        <f>VLOOKUP($C26,Прайс!$D$8:$E$119,2,0)</f>
        <v>2000</v>
      </c>
      <c r="AC26" s="198">
        <f>ROUNDUP(VLOOKUP($C26,Прайс!$D$6:$F$1004,3,0)*VLOOKUP($C$23,Прайс!$D$6:$F$1004,3,0)*AD$16,0)</f>
        <v>47</v>
      </c>
      <c r="AD26" s="197">
        <f t="shared" si="303"/>
        <v>12208.980467542864</v>
      </c>
      <c r="AE26" s="224">
        <f t="shared" si="304"/>
        <v>94000</v>
      </c>
      <c r="AF26" s="261">
        <f>VLOOKUP($C26,Прайс!$D$8:$E$119,2,0)</f>
        <v>2000</v>
      </c>
      <c r="AG26" s="198">
        <f>ROUNDUP(VLOOKUP($C26,Прайс!$D$6:$F$1004,3,0)*VLOOKUP($C$23,Прайс!$D$6:$F$1004,3,0)*AH$16,0)</f>
        <v>47</v>
      </c>
      <c r="AH26" s="197">
        <f t="shared" si="305"/>
        <v>12214.73128264769</v>
      </c>
      <c r="AI26" s="224">
        <f t="shared" si="306"/>
        <v>94000</v>
      </c>
      <c r="AJ26" s="261">
        <f>VLOOKUP($C26,Прайс!$D$8:$E$119,2,0)</f>
        <v>2000</v>
      </c>
      <c r="AK26" s="198">
        <f>ROUNDUP(VLOOKUP($C26,Прайс!$D$6:$F$1004,3,0)*VLOOKUP($C$23,Прайс!$D$6:$F$1004,3,0)*AL$16,0)</f>
        <v>52</v>
      </c>
      <c r="AL26" s="197">
        <f t="shared" si="307"/>
        <v>13621.380657287817</v>
      </c>
      <c r="AM26" s="224">
        <f t="shared" si="308"/>
        <v>104000</v>
      </c>
      <c r="AN26" s="261">
        <f>VLOOKUP($C26,Прайс!$D$8:$E$119,2,0)</f>
        <v>2000</v>
      </c>
      <c r="AO26" s="198">
        <f>ROUNDUP(VLOOKUP($C26,Прайс!$D$6:$F$1004,3,0)*VLOOKUP($C$23,Прайс!$D$6:$F$1004,3,0)*AP$16,0)</f>
        <v>59</v>
      </c>
      <c r="AP26" s="197">
        <f t="shared" si="309"/>
        <v>15635.316106997432</v>
      </c>
      <c r="AQ26" s="224">
        <f t="shared" si="310"/>
        <v>118000</v>
      </c>
      <c r="AR26" s="261">
        <f>VLOOKUP($C26,Прайс!$D$8:$E$119,2,0)</f>
        <v>2000</v>
      </c>
      <c r="AS26" s="198">
        <f>ROUNDUP(VLOOKUP($C26,Прайс!$D$6:$F$1004,3,0)*VLOOKUP($C$23,Прайс!$D$6:$F$1004,3,0)*AT$16,0)</f>
        <v>59</v>
      </c>
      <c r="AT26" s="197">
        <f t="shared" si="311"/>
        <v>15492.695892397778</v>
      </c>
      <c r="AU26" s="224">
        <f t="shared" si="312"/>
        <v>118000</v>
      </c>
      <c r="AV26" s="261">
        <f>VLOOKUP($C26,Прайс!$D$8:$E$119,2,0)</f>
        <v>2000</v>
      </c>
      <c r="AW26" s="198">
        <f>ROUNDUP(VLOOKUP($C26,Прайс!$D$6:$F$1004,3,0)*VLOOKUP($C$23,Прайс!$D$6:$F$1004,3,0)*AX$16,0)</f>
        <v>68</v>
      </c>
      <c r="AX26" s="197">
        <f t="shared" si="313"/>
        <v>17868.932693711355</v>
      </c>
      <c r="AY26" s="224">
        <f t="shared" si="314"/>
        <v>136000</v>
      </c>
      <c r="AZ26" s="261">
        <f>VLOOKUP($C26,Прайс!$D$8:$E$119,2,0)</f>
        <v>2000</v>
      </c>
      <c r="BA26" s="198">
        <f>ROUNDUP(VLOOKUP($C26,Прайс!$D$6:$F$1004,3,0)*VLOOKUP($C$23,Прайс!$D$6:$F$1004,3,0)*BB$16,0)</f>
        <v>78</v>
      </c>
      <c r="BB26" s="197">
        <f t="shared" si="315"/>
        <v>20432.646067442209</v>
      </c>
      <c r="BC26" s="224">
        <f t="shared" si="316"/>
        <v>156000</v>
      </c>
      <c r="BD26" s="261">
        <f>VLOOKUP($C26,Прайс!$D$8:$E$119,2,0)</f>
        <v>2000</v>
      </c>
      <c r="BE26" s="198">
        <f>ROUNDUP(VLOOKUP($C26,Прайс!$D$6:$F$1004,3,0)*VLOOKUP($C$23,Прайс!$D$6:$F$1004,3,0)*BF$16,0)</f>
        <v>76</v>
      </c>
      <c r="BF26" s="197">
        <f t="shared" si="317"/>
        <v>20123.25221480264</v>
      </c>
      <c r="BG26" s="224">
        <f t="shared" si="318"/>
        <v>152000</v>
      </c>
      <c r="BH26" s="261">
        <f>VLOOKUP($C26,Прайс!$D$8:$E$119,2,0)</f>
        <v>2000</v>
      </c>
      <c r="BI26" s="198">
        <f>ROUNDUP(VLOOKUP($C26,Прайс!$D$6:$F$1004,3,0)*VLOOKUP($C$23,Прайс!$D$6:$F$1004,3,0)*BJ$16,0)</f>
        <v>78</v>
      </c>
      <c r="BJ26" s="197">
        <f t="shared" si="319"/>
        <v>20506.256500783966</v>
      </c>
      <c r="BK26" s="224">
        <f t="shared" si="320"/>
        <v>156000</v>
      </c>
      <c r="BL26" s="261">
        <f>VLOOKUP($C26,Прайс!$D$8:$E$119,2,0)</f>
        <v>2000</v>
      </c>
      <c r="BM26" s="198">
        <f>ROUNDUP(VLOOKUP($C26,Прайс!$D$6:$F$1004,3,0)*VLOOKUP($C$23,Прайс!$D$6:$F$1004,3,0)*BN$16,0)</f>
        <v>83</v>
      </c>
      <c r="BN26" s="197">
        <f t="shared" si="321"/>
        <v>21810.541366558216</v>
      </c>
      <c r="BO26" s="224">
        <f t="shared" si="322"/>
        <v>166000</v>
      </c>
      <c r="BP26" s="261">
        <f>VLOOKUP($C26,Прайс!$D$8:$E$119,2,0)</f>
        <v>2000</v>
      </c>
      <c r="BQ26" s="198">
        <f>ROUNDUP(VLOOKUP($C26,Прайс!$D$6:$F$1004,3,0)*VLOOKUP($C$23,Прайс!$D$6:$F$1004,3,0)*BR$16,0)</f>
        <v>79</v>
      </c>
      <c r="BR26" s="197">
        <f t="shared" si="323"/>
        <v>20878.909319576607</v>
      </c>
      <c r="BS26" s="224">
        <f t="shared" si="324"/>
        <v>158000</v>
      </c>
      <c r="BT26" s="261">
        <f>VLOOKUP($C26,Прайс!$D$8:$E$119,2,0)</f>
        <v>2000</v>
      </c>
      <c r="BU26" s="198">
        <f>ROUNDUP(VLOOKUP($C26,Прайс!$D$6:$F$1004,3,0)*VLOOKUP($C$23,Прайс!$D$6:$F$1004,3,0)*BV$16,0)</f>
        <v>82</v>
      </c>
      <c r="BV26" s="197">
        <f t="shared" si="325"/>
        <v>21634.566424350574</v>
      </c>
      <c r="BW26" s="224">
        <f t="shared" si="326"/>
        <v>164000</v>
      </c>
      <c r="BX26" s="261">
        <f>VLOOKUP($C26,Прайс!$D$8:$E$119,2,0)</f>
        <v>2000</v>
      </c>
      <c r="BY26" s="198">
        <f>ROUNDUP(VLOOKUP($C26,Прайс!$D$6:$F$1004,3,0)*VLOOKUP($C$23,Прайс!$D$6:$F$1004,3,0)*BZ$16,0)</f>
        <v>76</v>
      </c>
      <c r="BZ26" s="197">
        <f t="shared" si="327"/>
        <v>19978.331674161054</v>
      </c>
      <c r="CA26" s="224">
        <f t="shared" si="328"/>
        <v>152000</v>
      </c>
      <c r="CB26" s="261">
        <f>VLOOKUP($C26,Прайс!$D$8:$E$119,2,0)</f>
        <v>2000</v>
      </c>
      <c r="CC26" s="198">
        <f>ROUNDUP(VLOOKUP($C26,Прайс!$D$6:$F$1004,3,0)*VLOOKUP($C$23,Прайс!$D$6:$F$1004,3,0)*CD$16,0)</f>
        <v>70</v>
      </c>
      <c r="CD26" s="197">
        <f t="shared" si="329"/>
        <v>18322.096923971538</v>
      </c>
      <c r="CE26" s="224">
        <f t="shared" si="330"/>
        <v>140000</v>
      </c>
      <c r="CF26" s="261">
        <f>VLOOKUP($C26,Прайс!$D$8:$E$119,2,0)</f>
        <v>2000</v>
      </c>
      <c r="CG26" s="198">
        <f>ROUNDUP(VLOOKUP($C26,Прайс!$D$6:$F$1004,3,0)*VLOOKUP($C$23,Прайс!$D$6:$F$1004,3,0)*CH$16,0)</f>
        <v>72</v>
      </c>
      <c r="CH26" s="197">
        <f t="shared" si="331"/>
        <v>18860.37321778313</v>
      </c>
      <c r="CI26" s="224">
        <f t="shared" si="332"/>
        <v>144000</v>
      </c>
      <c r="CJ26" s="261">
        <f>VLOOKUP($C26,Прайс!$D$8:$E$119,2,0)</f>
        <v>2000</v>
      </c>
      <c r="CK26" s="198">
        <f>ROUNDUP(VLOOKUP($C26,Прайс!$D$6:$F$1004,3,0)*VLOOKUP($C$23,Прайс!$D$6:$F$1004,3,0)*CL$16,0)</f>
        <v>76</v>
      </c>
      <c r="CL26" s="197">
        <f t="shared" si="333"/>
        <v>20102.549280425268</v>
      </c>
      <c r="CM26" s="224">
        <f t="shared" si="334"/>
        <v>152000</v>
      </c>
      <c r="CN26" s="261">
        <f>VLOOKUP($C26,Прайс!$D$8:$E$119,2,0)</f>
        <v>2000</v>
      </c>
      <c r="CO26" s="198">
        <f>ROUNDUP(VLOOKUP($C26,Прайс!$D$6:$F$1004,3,0)*VLOOKUP($C$23,Прайс!$D$6:$F$1004,3,0)*CP$16,0)</f>
        <v>71</v>
      </c>
      <c r="CP26" s="197">
        <f t="shared" si="335"/>
        <v>18591.23507087733</v>
      </c>
      <c r="CQ26" s="224">
        <f t="shared" si="336"/>
        <v>142000</v>
      </c>
      <c r="CR26" s="261">
        <f>VLOOKUP($C26,Прайс!$D$8:$E$119,2,0)</f>
        <v>2000</v>
      </c>
      <c r="CS26" s="198">
        <f>ROUNDUP(VLOOKUP($C26,Прайс!$D$6:$F$1004,3,0)*VLOOKUP($C$23,Прайс!$D$6:$F$1004,3,0)*CT$16,0)</f>
        <v>76</v>
      </c>
      <c r="CT26" s="197">
        <f t="shared" si="337"/>
        <v>20102.549280425268</v>
      </c>
      <c r="CU26" s="224">
        <f t="shared" si="338"/>
        <v>152000</v>
      </c>
      <c r="CV26" s="261">
        <f>VLOOKUP($C26,Прайс!$D$8:$E$119,2,0)</f>
        <v>2000</v>
      </c>
      <c r="CW26" s="198">
        <f>ROUNDUP(VLOOKUP($C26,Прайс!$D$6:$F$1004,3,0)*VLOOKUP($C$23,Прайс!$D$6:$F$1004,3,0)*CX$16,0)</f>
        <v>82</v>
      </c>
      <c r="CX26" s="197">
        <f t="shared" si="339"/>
        <v>21634.566424350571</v>
      </c>
      <c r="CY26" s="224">
        <f t="shared" si="340"/>
        <v>164000</v>
      </c>
      <c r="CZ26" s="164"/>
    </row>
    <row r="27" spans="2:104" s="165" customFormat="1" ht="25.5" hidden="1" outlineLevel="1">
      <c r="B27" s="162"/>
      <c r="C27" s="252" t="s">
        <v>256</v>
      </c>
      <c r="D27" s="261">
        <f>VLOOKUP($C27,Прайс!$D$8:$E$119,2,0)*0.5</f>
        <v>700</v>
      </c>
      <c r="E27" s="198">
        <f>ROUNDUP(VLOOKUP($C27,Прайс!$D$6:$F$1004,3,0)*VLOOKUP($C$23,Прайс!$D$6:$F$1004,3,0)*F$16,0)</f>
        <v>21</v>
      </c>
      <c r="F27" s="197">
        <f>F$17*$D27/SUM($D$20:$D$22,$D$24:$D$28,$D$30:$D$32,$D$34:$D$45,$D$48:$D$51,$D$53:$D$56)</f>
        <v>4206.7212491792779</v>
      </c>
      <c r="G27" s="224">
        <f t="shared" si="293"/>
        <v>14700</v>
      </c>
      <c r="H27" s="261">
        <f>VLOOKUP($C27,Прайс!$D$8:$E$119,2,0)*0.8</f>
        <v>1120</v>
      </c>
      <c r="I27" s="198">
        <f>ROUNDUP(VLOOKUP($C27,Прайс!$D$6:$F$1004,3,0)*VLOOKUP($C$23,Прайс!$D$6:$F$1004,3,0)*J$16,0)</f>
        <v>23</v>
      </c>
      <c r="J27" s="197">
        <f t="shared" si="294"/>
        <v>4695.4255167872816</v>
      </c>
      <c r="K27" s="224">
        <f t="shared" si="295"/>
        <v>25760</v>
      </c>
      <c r="L27" s="261">
        <f>VLOOKUP($C27,Прайс!$D$8:$E$119,2,0)*0.8</f>
        <v>1120</v>
      </c>
      <c r="M27" s="198">
        <f>ROUNDUP(VLOOKUP($C27,Прайс!$D$6:$F$1004,3,0)*VLOOKUP($C$23,Прайс!$D$6:$F$1004,3,0)*N$16,0)</f>
        <v>28</v>
      </c>
      <c r="N27" s="197">
        <f t="shared" si="296"/>
        <v>5582.2587141022996</v>
      </c>
      <c r="O27" s="224">
        <f t="shared" si="297"/>
        <v>31360</v>
      </c>
      <c r="P27" s="261">
        <f>VLOOKUP($C27,Прайс!$D$8:$E$119,2,0)</f>
        <v>1400</v>
      </c>
      <c r="Q27" s="198">
        <f>ROUNDUP(VLOOKUP($C27,Прайс!$D$6:$F$1004,3,0)*VLOOKUP($C$23,Прайс!$D$6:$F$1004,3,0)*R$16,0)</f>
        <v>34</v>
      </c>
      <c r="R27" s="197">
        <f t="shared" si="298"/>
        <v>6785.5017584847747</v>
      </c>
      <c r="S27" s="224">
        <f t="shared" si="341"/>
        <v>47600</v>
      </c>
      <c r="T27" s="261">
        <f>VLOOKUP($C27,Прайс!$D$8:$E$119,2,0)</f>
        <v>1400</v>
      </c>
      <c r="U27" s="198">
        <f>ROUNDUP(VLOOKUP($C27,Прайс!$D$6:$F$1004,3,0)*VLOOKUP($C$23,Прайс!$D$6:$F$1004,3,0)*V$16,0)</f>
        <v>36</v>
      </c>
      <c r="V27" s="197">
        <f t="shared" si="299"/>
        <v>7307.6182618518105</v>
      </c>
      <c r="W27" s="224">
        <f t="shared" si="300"/>
        <v>50400</v>
      </c>
      <c r="X27" s="261">
        <f>VLOOKUP($C27,Прайс!$D$8:$E$119,2,0)</f>
        <v>1400</v>
      </c>
      <c r="Y27" s="198">
        <f>ROUNDUP(VLOOKUP($C27,Прайс!$D$6:$F$1004,3,0)*VLOOKUP($C$23,Прайс!$D$6:$F$1004,3,0)*Z$16,0)</f>
        <v>42</v>
      </c>
      <c r="Z27" s="197">
        <f t="shared" si="301"/>
        <v>8413.4424983585523</v>
      </c>
      <c r="AA27" s="224">
        <f t="shared" si="302"/>
        <v>58800</v>
      </c>
      <c r="AB27" s="261">
        <f>VLOOKUP($C27,Прайс!$D$8:$E$119,2,0)</f>
        <v>1400</v>
      </c>
      <c r="AC27" s="198">
        <f>ROUNDUP(VLOOKUP($C27,Прайс!$D$6:$F$1004,3,0)*VLOOKUP($C$23,Прайс!$D$6:$F$1004,3,0)*AD$16,0)</f>
        <v>42</v>
      </c>
      <c r="AD27" s="197">
        <f t="shared" si="303"/>
        <v>8546.2863272800041</v>
      </c>
      <c r="AE27" s="224">
        <f t="shared" si="304"/>
        <v>58800</v>
      </c>
      <c r="AF27" s="261">
        <f>VLOOKUP($C27,Прайс!$D$8:$E$119,2,0)</f>
        <v>1400</v>
      </c>
      <c r="AG27" s="198">
        <f>ROUNDUP(VLOOKUP($C27,Прайс!$D$6:$F$1004,3,0)*VLOOKUP($C$23,Прайс!$D$6:$F$1004,3,0)*AH$16,0)</f>
        <v>42</v>
      </c>
      <c r="AH27" s="197">
        <f t="shared" si="305"/>
        <v>8550.3118978533839</v>
      </c>
      <c r="AI27" s="224">
        <f t="shared" si="306"/>
        <v>58800</v>
      </c>
      <c r="AJ27" s="261">
        <f>VLOOKUP($C27,Прайс!$D$8:$E$119,2,0)</f>
        <v>1400</v>
      </c>
      <c r="AK27" s="198">
        <f>ROUNDUP(VLOOKUP($C27,Прайс!$D$6:$F$1004,3,0)*VLOOKUP($C$23,Прайс!$D$6:$F$1004,3,0)*AL$16,0)</f>
        <v>47</v>
      </c>
      <c r="AL27" s="197">
        <f t="shared" si="307"/>
        <v>9534.9664601014701</v>
      </c>
      <c r="AM27" s="224">
        <f t="shared" si="308"/>
        <v>65800</v>
      </c>
      <c r="AN27" s="261">
        <f>VLOOKUP($C27,Прайс!$D$8:$E$119,2,0)</f>
        <v>1400</v>
      </c>
      <c r="AO27" s="198">
        <f>ROUNDUP(VLOOKUP($C27,Прайс!$D$6:$F$1004,3,0)*VLOOKUP($C$23,Прайс!$D$6:$F$1004,3,0)*AP$16,0)</f>
        <v>54</v>
      </c>
      <c r="AP27" s="197">
        <f t="shared" si="309"/>
        <v>10944.721274898202</v>
      </c>
      <c r="AQ27" s="224">
        <f t="shared" si="310"/>
        <v>75600</v>
      </c>
      <c r="AR27" s="261">
        <f>VLOOKUP($C27,Прайс!$D$8:$E$119,2,0)</f>
        <v>1400</v>
      </c>
      <c r="AS27" s="198">
        <f>ROUNDUP(VLOOKUP($C27,Прайс!$D$6:$F$1004,3,0)*VLOOKUP($C$23,Прайс!$D$6:$F$1004,3,0)*AT$16,0)</f>
        <v>53</v>
      </c>
      <c r="AT27" s="197">
        <f t="shared" si="311"/>
        <v>10844.887124678446</v>
      </c>
      <c r="AU27" s="224">
        <f t="shared" si="312"/>
        <v>74200</v>
      </c>
      <c r="AV27" s="261">
        <f>VLOOKUP($C27,Прайс!$D$8:$E$119,2,0)</f>
        <v>1400</v>
      </c>
      <c r="AW27" s="198">
        <f>ROUNDUP(VLOOKUP($C27,Прайс!$D$6:$F$1004,3,0)*VLOOKUP($C$23,Прайс!$D$6:$F$1004,3,0)*AX$16,0)</f>
        <v>62</v>
      </c>
      <c r="AX27" s="197">
        <f t="shared" si="313"/>
        <v>12508.252885597947</v>
      </c>
      <c r="AY27" s="224">
        <f t="shared" si="314"/>
        <v>86800</v>
      </c>
      <c r="AZ27" s="261">
        <f>VLOOKUP($C27,Прайс!$D$8:$E$119,2,0)</f>
        <v>1400</v>
      </c>
      <c r="BA27" s="198">
        <f>ROUNDUP(VLOOKUP($C27,Прайс!$D$6:$F$1004,3,0)*VLOOKUP($C$23,Прайс!$D$6:$F$1004,3,0)*BB$16,0)</f>
        <v>70</v>
      </c>
      <c r="BB27" s="197">
        <f t="shared" si="315"/>
        <v>14302.852247209546</v>
      </c>
      <c r="BC27" s="224">
        <f t="shared" si="316"/>
        <v>98000</v>
      </c>
      <c r="BD27" s="261">
        <f>VLOOKUP($C27,Прайс!$D$8:$E$119,2,0)</f>
        <v>1400</v>
      </c>
      <c r="BE27" s="198">
        <f>ROUNDUP(VLOOKUP($C27,Прайс!$D$6:$F$1004,3,0)*VLOOKUP($C$23,Прайс!$D$6:$F$1004,3,0)*BF$16,0)</f>
        <v>69</v>
      </c>
      <c r="BF27" s="197">
        <f t="shared" si="317"/>
        <v>14086.276550361847</v>
      </c>
      <c r="BG27" s="224">
        <f t="shared" si="318"/>
        <v>96600</v>
      </c>
      <c r="BH27" s="261">
        <f>VLOOKUP($C27,Прайс!$D$8:$E$119,2,0)</f>
        <v>1400</v>
      </c>
      <c r="BI27" s="198">
        <f>ROUNDUP(VLOOKUP($C27,Прайс!$D$6:$F$1004,3,0)*VLOOKUP($C$23,Прайс!$D$6:$F$1004,3,0)*BJ$16,0)</f>
        <v>71</v>
      </c>
      <c r="BJ27" s="197">
        <f t="shared" si="319"/>
        <v>14354.379550548778</v>
      </c>
      <c r="BK27" s="224">
        <f t="shared" si="320"/>
        <v>99400</v>
      </c>
      <c r="BL27" s="261">
        <f>VLOOKUP($C27,Прайс!$D$8:$E$119,2,0)</f>
        <v>1400</v>
      </c>
      <c r="BM27" s="198">
        <f>ROUNDUP(VLOOKUP($C27,Прайс!$D$6:$F$1004,3,0)*VLOOKUP($C$23,Прайс!$D$6:$F$1004,3,0)*BN$16,0)</f>
        <v>75</v>
      </c>
      <c r="BN27" s="197">
        <f t="shared" si="321"/>
        <v>15267.378956590752</v>
      </c>
      <c r="BO27" s="224">
        <f t="shared" si="322"/>
        <v>105000</v>
      </c>
      <c r="BP27" s="261">
        <f>VLOOKUP($C27,Прайс!$D$8:$E$119,2,0)</f>
        <v>1400</v>
      </c>
      <c r="BQ27" s="198">
        <f>ROUNDUP(VLOOKUP($C27,Прайс!$D$6:$F$1004,3,0)*VLOOKUP($C$23,Прайс!$D$6:$F$1004,3,0)*BR$16,0)</f>
        <v>72</v>
      </c>
      <c r="BR27" s="197">
        <f t="shared" si="323"/>
        <v>14615.236523703625</v>
      </c>
      <c r="BS27" s="224">
        <f t="shared" si="324"/>
        <v>100800</v>
      </c>
      <c r="BT27" s="261">
        <f>VLOOKUP($C27,Прайс!$D$8:$E$119,2,0)</f>
        <v>1400</v>
      </c>
      <c r="BU27" s="198">
        <f>ROUNDUP(VLOOKUP($C27,Прайс!$D$6:$F$1004,3,0)*VLOOKUP($C$23,Прайс!$D$6:$F$1004,3,0)*BV$16,0)</f>
        <v>74</v>
      </c>
      <c r="BV27" s="197">
        <f t="shared" si="325"/>
        <v>15144.196497045403</v>
      </c>
      <c r="BW27" s="224">
        <f t="shared" si="326"/>
        <v>103600</v>
      </c>
      <c r="BX27" s="261">
        <f>VLOOKUP($C27,Прайс!$D$8:$E$119,2,0)</f>
        <v>1400</v>
      </c>
      <c r="BY27" s="198">
        <f>ROUNDUP(VLOOKUP($C27,Прайс!$D$6:$F$1004,3,0)*VLOOKUP($C$23,Прайс!$D$6:$F$1004,3,0)*BZ$16,0)</f>
        <v>69</v>
      </c>
      <c r="BZ27" s="197">
        <f t="shared" si="327"/>
        <v>13984.832171912738</v>
      </c>
      <c r="CA27" s="224">
        <f t="shared" si="328"/>
        <v>96600</v>
      </c>
      <c r="CB27" s="261">
        <f>VLOOKUP($C27,Прайс!$D$8:$E$119,2,0)</f>
        <v>1400</v>
      </c>
      <c r="CC27" s="198">
        <f>ROUNDUP(VLOOKUP($C27,Прайс!$D$6:$F$1004,3,0)*VLOOKUP($C$23,Прайс!$D$6:$F$1004,3,0)*CD$16,0)</f>
        <v>63</v>
      </c>
      <c r="CD27" s="197">
        <f t="shared" si="329"/>
        <v>12825.467846780077</v>
      </c>
      <c r="CE27" s="224">
        <f t="shared" si="330"/>
        <v>88200</v>
      </c>
      <c r="CF27" s="261">
        <f>VLOOKUP($C27,Прайс!$D$8:$E$119,2,0)</f>
        <v>1400</v>
      </c>
      <c r="CG27" s="198">
        <f>ROUNDUP(VLOOKUP($C27,Прайс!$D$6:$F$1004,3,0)*VLOOKUP($C$23,Прайс!$D$6:$F$1004,3,0)*CH$16,0)</f>
        <v>65</v>
      </c>
      <c r="CH27" s="197">
        <f t="shared" si="331"/>
        <v>13202.26125244819</v>
      </c>
      <c r="CI27" s="224">
        <f t="shared" si="332"/>
        <v>91000</v>
      </c>
      <c r="CJ27" s="261">
        <f>VLOOKUP($C27,Прайс!$D$8:$E$119,2,0)</f>
        <v>1400</v>
      </c>
      <c r="CK27" s="198">
        <f>ROUNDUP(VLOOKUP($C27,Прайс!$D$6:$F$1004,3,0)*VLOOKUP($C$23,Прайс!$D$6:$F$1004,3,0)*CL$16,0)</f>
        <v>69</v>
      </c>
      <c r="CL27" s="197">
        <f t="shared" si="333"/>
        <v>14071.784496297687</v>
      </c>
      <c r="CM27" s="224">
        <f t="shared" si="334"/>
        <v>96600</v>
      </c>
      <c r="CN27" s="261">
        <f>VLOOKUP($C27,Прайс!$D$8:$E$119,2,0)</f>
        <v>1400</v>
      </c>
      <c r="CO27" s="198">
        <f>ROUNDUP(VLOOKUP($C27,Прайс!$D$6:$F$1004,3,0)*VLOOKUP($C$23,Прайс!$D$6:$F$1004,3,0)*CP$16,0)</f>
        <v>64</v>
      </c>
      <c r="CP27" s="197">
        <f t="shared" si="335"/>
        <v>13013.864549614131</v>
      </c>
      <c r="CQ27" s="224">
        <f t="shared" si="336"/>
        <v>89600</v>
      </c>
      <c r="CR27" s="261">
        <f>VLOOKUP($C27,Прайс!$D$8:$E$119,2,0)</f>
        <v>1400</v>
      </c>
      <c r="CS27" s="198">
        <f>ROUNDUP(VLOOKUP($C27,Прайс!$D$6:$F$1004,3,0)*VLOOKUP($C$23,Прайс!$D$6:$F$1004,3,0)*CT$16,0)</f>
        <v>69</v>
      </c>
      <c r="CT27" s="197">
        <f t="shared" si="337"/>
        <v>14071.784496297687</v>
      </c>
      <c r="CU27" s="224">
        <f t="shared" si="338"/>
        <v>96600</v>
      </c>
      <c r="CV27" s="261">
        <f>VLOOKUP($C27,Прайс!$D$8:$E$119,2,0)</f>
        <v>1400</v>
      </c>
      <c r="CW27" s="198">
        <f>ROUNDUP(VLOOKUP($C27,Прайс!$D$6:$F$1004,3,0)*VLOOKUP($C$23,Прайс!$D$6:$F$1004,3,0)*CX$16,0)</f>
        <v>74</v>
      </c>
      <c r="CX27" s="197">
        <f t="shared" si="339"/>
        <v>15144.196497045399</v>
      </c>
      <c r="CY27" s="224">
        <f t="shared" si="340"/>
        <v>103600</v>
      </c>
      <c r="CZ27" s="164"/>
    </row>
    <row r="28" spans="2:104" s="165" customFormat="1" ht="26.25" hidden="1" outlineLevel="1" thickBot="1">
      <c r="B28" s="162"/>
      <c r="C28" s="253" t="s">
        <v>244</v>
      </c>
      <c r="D28" s="261">
        <f>VLOOKUP($C28,Прайс!$D$8:$E$119,2,0)*0.5</f>
        <v>325</v>
      </c>
      <c r="E28" s="227">
        <f>ROUNDUP(VLOOKUP($C28,Прайс!$D$6:$F$1004,3,0)*VLOOKUP($C$23,Прайс!$D$6:$F$1004,3,0)*F$16,0)</f>
        <v>70</v>
      </c>
      <c r="F28" s="226">
        <f>F$17*$D28/SUM($D$20:$D$22,$D$24:$D$28,$D$30:$D$32,$D$34:$D$45,$D$48:$D$51,$D$53:$D$56)</f>
        <v>1953.1205799760933</v>
      </c>
      <c r="G28" s="228">
        <f t="shared" si="293"/>
        <v>22750</v>
      </c>
      <c r="H28" s="262">
        <f>VLOOKUP($C28,Прайс!$D$8:$E$119,2,0)*0.8</f>
        <v>520</v>
      </c>
      <c r="I28" s="227">
        <f>ROUNDUP(VLOOKUP($C28,Прайс!$D$6:$F$1004,3,0)*VLOOKUP($C$23,Прайс!$D$6:$F$1004,3,0)*J$16,0)</f>
        <v>78</v>
      </c>
      <c r="J28" s="226">
        <f t="shared" si="294"/>
        <v>2180.018989936952</v>
      </c>
      <c r="K28" s="228">
        <f t="shared" si="295"/>
        <v>40560</v>
      </c>
      <c r="L28" s="262">
        <f>VLOOKUP($C28,Прайс!$D$8:$E$119,2,0)*0.8</f>
        <v>520</v>
      </c>
      <c r="M28" s="227">
        <f>ROUNDUP(VLOOKUP($C28,Прайс!$D$6:$F$1004,3,0)*VLOOKUP($C$23,Прайс!$D$6:$F$1004,3,0)*N$16,0)</f>
        <v>92</v>
      </c>
      <c r="N28" s="226">
        <f t="shared" si="296"/>
        <v>2591.7629744046394</v>
      </c>
      <c r="O28" s="228">
        <f t="shared" si="297"/>
        <v>47840</v>
      </c>
      <c r="P28" s="262">
        <f>VLOOKUP($C28,Прайс!$D$8:$E$119,2,0)</f>
        <v>650</v>
      </c>
      <c r="Q28" s="227">
        <f>ROUNDUP(VLOOKUP($C28,Прайс!$D$6:$F$1004,3,0)*VLOOKUP($C$23,Прайс!$D$6:$F$1004,3,0)*R$16,0)</f>
        <v>112</v>
      </c>
      <c r="R28" s="226">
        <f t="shared" si="298"/>
        <v>3150.411530725074</v>
      </c>
      <c r="S28" s="228">
        <f t="shared" si="341"/>
        <v>72800</v>
      </c>
      <c r="T28" s="262">
        <f>VLOOKUP($C28,Прайс!$D$8:$E$119,2,0)</f>
        <v>650</v>
      </c>
      <c r="U28" s="227">
        <f>ROUNDUP(VLOOKUP($C28,Прайс!$D$6:$F$1004,3,0)*VLOOKUP($C$23,Прайс!$D$6:$F$1004,3,0)*V$16,0)</f>
        <v>121</v>
      </c>
      <c r="V28" s="226">
        <f t="shared" si="299"/>
        <v>3392.8227644311978</v>
      </c>
      <c r="W28" s="228">
        <f t="shared" si="300"/>
        <v>78650</v>
      </c>
      <c r="X28" s="262">
        <f>VLOOKUP($C28,Прайс!$D$8:$E$119,2,0)</f>
        <v>650</v>
      </c>
      <c r="Y28" s="227">
        <f>ROUNDUP(VLOOKUP($C28,Прайс!$D$6:$F$1004,3,0)*VLOOKUP($C$23,Прайс!$D$6:$F$1004,3,0)*Z$16,0)</f>
        <v>139</v>
      </c>
      <c r="Z28" s="226">
        <f t="shared" si="301"/>
        <v>3906.2411599521852</v>
      </c>
      <c r="AA28" s="228">
        <f t="shared" si="302"/>
        <v>90350</v>
      </c>
      <c r="AB28" s="262">
        <f>VLOOKUP($C28,Прайс!$D$8:$E$119,2,0)</f>
        <v>650</v>
      </c>
      <c r="AC28" s="227">
        <f>ROUNDUP(VLOOKUP($C28,Прайс!$D$6:$F$1004,3,0)*VLOOKUP($C$23,Прайс!$D$6:$F$1004,3,0)*AD$16,0)</f>
        <v>141</v>
      </c>
      <c r="AD28" s="226">
        <f t="shared" si="303"/>
        <v>3967.918651951431</v>
      </c>
      <c r="AE28" s="228">
        <f t="shared" si="304"/>
        <v>91650</v>
      </c>
      <c r="AF28" s="262">
        <f>VLOOKUP($C28,Прайс!$D$8:$E$119,2,0)</f>
        <v>650</v>
      </c>
      <c r="AG28" s="227">
        <f>ROUNDUP(VLOOKUP($C28,Прайс!$D$6:$F$1004,3,0)*VLOOKUP($C$23,Прайс!$D$6:$F$1004,3,0)*AH$16,0)</f>
        <v>141</v>
      </c>
      <c r="AH28" s="226">
        <f t="shared" si="305"/>
        <v>3969.787666860499</v>
      </c>
      <c r="AI28" s="228">
        <f t="shared" si="306"/>
        <v>91650</v>
      </c>
      <c r="AJ28" s="262">
        <f>VLOOKUP($C28,Прайс!$D$8:$E$119,2,0)</f>
        <v>650</v>
      </c>
      <c r="AK28" s="227">
        <f>ROUNDUP(VLOOKUP($C28,Прайс!$D$6:$F$1004,3,0)*VLOOKUP($C$23,Прайс!$D$6:$F$1004,3,0)*AL$16,0)</f>
        <v>157</v>
      </c>
      <c r="AL28" s="226">
        <f t="shared" si="307"/>
        <v>4426.9487136185398</v>
      </c>
      <c r="AM28" s="228">
        <f t="shared" si="308"/>
        <v>102050</v>
      </c>
      <c r="AN28" s="262">
        <f>VLOOKUP($C28,Прайс!$D$8:$E$119,2,0)</f>
        <v>650</v>
      </c>
      <c r="AO28" s="227">
        <f>ROUNDUP(VLOOKUP($C28,Прайс!$D$6:$F$1004,3,0)*VLOOKUP($C$23,Прайс!$D$6:$F$1004,3,0)*AP$16,0)</f>
        <v>180</v>
      </c>
      <c r="AP28" s="226">
        <f t="shared" si="309"/>
        <v>5081.4777347741656</v>
      </c>
      <c r="AQ28" s="228">
        <f t="shared" si="310"/>
        <v>117000</v>
      </c>
      <c r="AR28" s="262">
        <f>VLOOKUP($C28,Прайс!$D$8:$E$119,2,0)</f>
        <v>650</v>
      </c>
      <c r="AS28" s="227">
        <f>ROUNDUP(VLOOKUP($C28,Прайс!$D$6:$F$1004,3,0)*VLOOKUP($C$23,Прайс!$D$6:$F$1004,3,0)*AT$16,0)</f>
        <v>179</v>
      </c>
      <c r="AT28" s="226">
        <f t="shared" si="311"/>
        <v>5035.1261650292781</v>
      </c>
      <c r="AU28" s="228">
        <f t="shared" si="312"/>
        <v>116350</v>
      </c>
      <c r="AV28" s="262">
        <f>VLOOKUP($C28,Прайс!$D$8:$E$119,2,0)</f>
        <v>650</v>
      </c>
      <c r="AW28" s="227">
        <f>ROUNDUP(VLOOKUP($C28,Прайс!$D$6:$F$1004,3,0)*VLOOKUP($C$23,Прайс!$D$6:$F$1004,3,0)*AX$16,0)</f>
        <v>206</v>
      </c>
      <c r="AX28" s="226">
        <f t="shared" si="313"/>
        <v>5807.4031254561896</v>
      </c>
      <c r="AY28" s="228">
        <f t="shared" si="314"/>
        <v>133900</v>
      </c>
      <c r="AZ28" s="262">
        <f>VLOOKUP($C28,Прайс!$D$8:$E$119,2,0)</f>
        <v>650</v>
      </c>
      <c r="BA28" s="227">
        <f>ROUNDUP(VLOOKUP($C28,Прайс!$D$6:$F$1004,3,0)*VLOOKUP($C$23,Прайс!$D$6:$F$1004,3,0)*BB$16,0)</f>
        <v>236</v>
      </c>
      <c r="BB28" s="226">
        <f t="shared" si="315"/>
        <v>6640.6099719187177</v>
      </c>
      <c r="BC28" s="228">
        <f t="shared" si="316"/>
        <v>153400</v>
      </c>
      <c r="BD28" s="262">
        <f>VLOOKUP($C28,Прайс!$D$8:$E$119,2,0)</f>
        <v>650</v>
      </c>
      <c r="BE28" s="227">
        <f>ROUNDUP(VLOOKUP($C28,Прайс!$D$6:$F$1004,3,0)*VLOOKUP($C$23,Прайс!$D$6:$F$1004,3,0)*BF$16,0)</f>
        <v>232</v>
      </c>
      <c r="BF28" s="226">
        <f t="shared" si="317"/>
        <v>6540.0569698108584</v>
      </c>
      <c r="BG28" s="228">
        <f t="shared" si="318"/>
        <v>150800</v>
      </c>
      <c r="BH28" s="262">
        <f>VLOOKUP($C28,Прайс!$D$8:$E$119,2,0)</f>
        <v>650</v>
      </c>
      <c r="BI28" s="227">
        <f>ROUNDUP(VLOOKUP($C28,Прайс!$D$6:$F$1004,3,0)*VLOOKUP($C$23,Прайс!$D$6:$F$1004,3,0)*BJ$16,0)</f>
        <v>236</v>
      </c>
      <c r="BJ28" s="226">
        <f t="shared" si="319"/>
        <v>6664.5333627547898</v>
      </c>
      <c r="BK28" s="228">
        <f t="shared" si="320"/>
        <v>153400</v>
      </c>
      <c r="BL28" s="262">
        <f>VLOOKUP($C28,Прайс!$D$8:$E$119,2,0)</f>
        <v>650</v>
      </c>
      <c r="BM28" s="227">
        <f>ROUNDUP(VLOOKUP($C28,Прайс!$D$6:$F$1004,3,0)*VLOOKUP($C$23,Прайс!$D$6:$F$1004,3,0)*BN$16,0)</f>
        <v>251</v>
      </c>
      <c r="BN28" s="226">
        <f t="shared" si="321"/>
        <v>7088.4259441314198</v>
      </c>
      <c r="BO28" s="228">
        <f t="shared" si="322"/>
        <v>163150</v>
      </c>
      <c r="BP28" s="262">
        <f>VLOOKUP($C28,Прайс!$D$8:$E$119,2,0)</f>
        <v>650</v>
      </c>
      <c r="BQ28" s="227">
        <f>ROUNDUP(VLOOKUP($C28,Прайс!$D$6:$F$1004,3,0)*VLOOKUP($C$23,Прайс!$D$6:$F$1004,3,0)*BR$16,0)</f>
        <v>241</v>
      </c>
      <c r="BR28" s="226">
        <f t="shared" si="323"/>
        <v>6785.6455288623974</v>
      </c>
      <c r="BS28" s="228">
        <f t="shared" si="324"/>
        <v>156650</v>
      </c>
      <c r="BT28" s="262">
        <f>VLOOKUP($C28,Прайс!$D$8:$E$119,2,0)</f>
        <v>650</v>
      </c>
      <c r="BU28" s="227">
        <f>ROUNDUP(VLOOKUP($C28,Прайс!$D$6:$F$1004,3,0)*VLOOKUP($C$23,Прайс!$D$6:$F$1004,3,0)*BV$16,0)</f>
        <v>249</v>
      </c>
      <c r="BV28" s="226">
        <f t="shared" si="325"/>
        <v>7031.2340879139365</v>
      </c>
      <c r="BW28" s="228">
        <f t="shared" si="326"/>
        <v>161850</v>
      </c>
      <c r="BX28" s="262">
        <f>VLOOKUP($C28,Прайс!$D$8:$E$119,2,0)</f>
        <v>650</v>
      </c>
      <c r="BY28" s="227">
        <f>ROUNDUP(VLOOKUP($C28,Прайс!$D$6:$F$1004,3,0)*VLOOKUP($C$23,Прайс!$D$6:$F$1004,3,0)*BZ$16,0)</f>
        <v>230</v>
      </c>
      <c r="BZ28" s="226">
        <f t="shared" si="327"/>
        <v>6492.9577941023426</v>
      </c>
      <c r="CA28" s="228">
        <f t="shared" si="328"/>
        <v>149500</v>
      </c>
      <c r="CB28" s="262">
        <f>VLOOKUP($C28,Прайс!$D$8:$E$119,2,0)</f>
        <v>650</v>
      </c>
      <c r="CC28" s="227">
        <f>ROUNDUP(VLOOKUP($C28,Прайс!$D$6:$F$1004,3,0)*VLOOKUP($C$23,Прайс!$D$6:$F$1004,3,0)*CD$16,0)</f>
        <v>211</v>
      </c>
      <c r="CD28" s="226">
        <f t="shared" si="329"/>
        <v>5954.6815002907497</v>
      </c>
      <c r="CE28" s="228">
        <f t="shared" si="330"/>
        <v>137150</v>
      </c>
      <c r="CF28" s="262">
        <f>VLOOKUP($C28,Прайс!$D$8:$E$119,2,0)</f>
        <v>650</v>
      </c>
      <c r="CG28" s="227">
        <f>ROUNDUP(VLOOKUP($C28,Прайс!$D$6:$F$1004,3,0)*VLOOKUP($C$23,Прайс!$D$6:$F$1004,3,0)*CH$16,0)</f>
        <v>218</v>
      </c>
      <c r="CH28" s="226">
        <f t="shared" si="331"/>
        <v>6129.6212957795169</v>
      </c>
      <c r="CI28" s="228">
        <f t="shared" si="332"/>
        <v>141700</v>
      </c>
      <c r="CJ28" s="262">
        <f>VLOOKUP($C28,Прайс!$D$8:$E$119,2,0)</f>
        <v>650</v>
      </c>
      <c r="CK28" s="227">
        <f>ROUNDUP(VLOOKUP($C28,Прайс!$D$6:$F$1004,3,0)*VLOOKUP($C$23,Прайс!$D$6:$F$1004,3,0)*CL$16,0)</f>
        <v>232</v>
      </c>
      <c r="CL28" s="226">
        <f t="shared" si="333"/>
        <v>6533.3285161382119</v>
      </c>
      <c r="CM28" s="228">
        <f t="shared" si="334"/>
        <v>150800</v>
      </c>
      <c r="CN28" s="262">
        <f>VLOOKUP($C28,Прайс!$D$8:$E$119,2,0)</f>
        <v>650</v>
      </c>
      <c r="CO28" s="227">
        <f>ROUNDUP(VLOOKUP($C28,Прайс!$D$6:$F$1004,3,0)*VLOOKUP($C$23,Прайс!$D$6:$F$1004,3,0)*CP$16,0)</f>
        <v>214</v>
      </c>
      <c r="CP28" s="226">
        <f t="shared" si="335"/>
        <v>6042.1513980351328</v>
      </c>
      <c r="CQ28" s="228">
        <f t="shared" si="336"/>
        <v>139100</v>
      </c>
      <c r="CR28" s="262">
        <f>VLOOKUP($C28,Прайс!$D$8:$E$119,2,0)</f>
        <v>650</v>
      </c>
      <c r="CS28" s="227">
        <f>ROUNDUP(VLOOKUP($C28,Прайс!$D$6:$F$1004,3,0)*VLOOKUP($C$23,Прайс!$D$6:$F$1004,3,0)*CT$16,0)</f>
        <v>232</v>
      </c>
      <c r="CT28" s="226">
        <f t="shared" si="337"/>
        <v>6533.3285161382119</v>
      </c>
      <c r="CU28" s="228">
        <f t="shared" si="338"/>
        <v>150800</v>
      </c>
      <c r="CV28" s="262">
        <f>VLOOKUP($C28,Прайс!$D$8:$E$119,2,0)</f>
        <v>650</v>
      </c>
      <c r="CW28" s="227">
        <f>ROUNDUP(VLOOKUP($C28,Прайс!$D$6:$F$1004,3,0)*VLOOKUP($C$23,Прайс!$D$6:$F$1004,3,0)*CX$16,0)</f>
        <v>249</v>
      </c>
      <c r="CX28" s="226">
        <f t="shared" si="339"/>
        <v>7031.2340879139365</v>
      </c>
      <c r="CY28" s="228">
        <f t="shared" si="340"/>
        <v>161850</v>
      </c>
      <c r="CZ28" s="204"/>
    </row>
    <row r="29" spans="2:104" s="168" customFormat="1" ht="19.5" collapsed="1" thickBot="1">
      <c r="B29" s="162"/>
      <c r="C29" s="251" t="s">
        <v>106</v>
      </c>
      <c r="D29" s="260">
        <f>AVERAGE(D30:D32)</f>
        <v>1016.6666666666666</v>
      </c>
      <c r="E29" s="243">
        <f>SUM(E30:E32)</f>
        <v>2</v>
      </c>
      <c r="F29" s="242">
        <f t="shared" ref="F29:G29" si="342">SUM(F30:F32)</f>
        <v>18329.285442852568</v>
      </c>
      <c r="G29" s="244">
        <f t="shared" si="342"/>
        <v>1800</v>
      </c>
      <c r="H29" s="260">
        <f t="shared" ref="H29" si="343">AVERAGE(H30:H32)</f>
        <v>1486.6666666666667</v>
      </c>
      <c r="I29" s="243">
        <f t="shared" ref="I29" si="344">SUM(I30:I32)</f>
        <v>2</v>
      </c>
      <c r="J29" s="242">
        <f t="shared" ref="J29:K29" si="345">SUM(J30:J32)</f>
        <v>20458.639751716015</v>
      </c>
      <c r="K29" s="244">
        <f t="shared" si="345"/>
        <v>2460</v>
      </c>
      <c r="L29" s="260">
        <f t="shared" ref="L29" si="346">AVERAGE(L30:L32)</f>
        <v>1486.6666666666667</v>
      </c>
      <c r="M29" s="243">
        <f t="shared" ref="M29" si="347">SUM(M30:M32)</f>
        <v>2</v>
      </c>
      <c r="N29" s="242">
        <f t="shared" ref="N29:O29" si="348">SUM(N30:N32)</f>
        <v>24322.698682874307</v>
      </c>
      <c r="O29" s="244">
        <f t="shared" si="348"/>
        <v>2460</v>
      </c>
      <c r="P29" s="260">
        <f t="shared" ref="P29" si="349">AVERAGE(P30:P32)</f>
        <v>1800</v>
      </c>
      <c r="Q29" s="243">
        <f t="shared" ref="Q29" si="350">SUM(Q30:Q32)</f>
        <v>2</v>
      </c>
      <c r="R29" s="242">
        <f t="shared" ref="R29:S29" si="351">SUM(R30:R32)</f>
        <v>29565.400519112234</v>
      </c>
      <c r="S29" s="244">
        <f t="shared" si="351"/>
        <v>2900</v>
      </c>
      <c r="T29" s="260">
        <f t="shared" ref="T29" si="352">AVERAGE(T30:T32)</f>
        <v>1800</v>
      </c>
      <c r="U29" s="243">
        <f t="shared" ref="U29" si="353">SUM(U30:U32)</f>
        <v>2</v>
      </c>
      <c r="V29" s="242">
        <f t="shared" ref="V29:W29" si="354">SUM(V30:V32)</f>
        <v>31840.336712354318</v>
      </c>
      <c r="W29" s="244">
        <f t="shared" si="354"/>
        <v>2900</v>
      </c>
      <c r="X29" s="260">
        <f t="shared" ref="X29" si="355">AVERAGE(X30:X32)</f>
        <v>1800</v>
      </c>
      <c r="Y29" s="243">
        <f t="shared" ref="Y29" si="356">SUM(Y30:Y32)</f>
        <v>2</v>
      </c>
      <c r="Z29" s="242">
        <f t="shared" ref="Z29:AA29" si="357">SUM(Z30:Z32)</f>
        <v>36658.570885705121</v>
      </c>
      <c r="AA29" s="244">
        <f t="shared" si="357"/>
        <v>2900</v>
      </c>
      <c r="AB29" s="260">
        <f t="shared" ref="AB29" si="358">AVERAGE(AB30:AB32)</f>
        <v>1800</v>
      </c>
      <c r="AC29" s="243">
        <f t="shared" ref="AC29" si="359">SUM(AC30:AC32)</f>
        <v>2</v>
      </c>
      <c r="AD29" s="242">
        <f t="shared" ref="AD29:AE29" si="360">SUM(AD30:AD32)</f>
        <v>37237.390426005732</v>
      </c>
      <c r="AE29" s="244">
        <f t="shared" si="360"/>
        <v>2900</v>
      </c>
      <c r="AF29" s="260">
        <f t="shared" ref="AF29" si="361">AVERAGE(AF30:AF32)</f>
        <v>1800</v>
      </c>
      <c r="AG29" s="243">
        <f t="shared" ref="AG29" si="362">SUM(AG30:AG32)</f>
        <v>2</v>
      </c>
      <c r="AH29" s="242">
        <f t="shared" ref="AH29:AI29" si="363">SUM(AH30:AH32)</f>
        <v>37254.930412075453</v>
      </c>
      <c r="AI29" s="244">
        <f t="shared" si="363"/>
        <v>2900</v>
      </c>
      <c r="AJ29" s="260">
        <f t="shared" ref="AJ29" si="364">AVERAGE(AJ30:AJ32)</f>
        <v>1800</v>
      </c>
      <c r="AK29" s="243">
        <f t="shared" ref="AK29" si="365">SUM(AK30:AK32)</f>
        <v>2</v>
      </c>
      <c r="AL29" s="242">
        <f t="shared" ref="AL29:AM29" si="366">SUM(AL30:AL32)</f>
        <v>41545.21100472784</v>
      </c>
      <c r="AM29" s="244">
        <f t="shared" si="366"/>
        <v>2900</v>
      </c>
      <c r="AN29" s="260">
        <f t="shared" ref="AN29" si="367">AVERAGE(AN30:AN32)</f>
        <v>1800</v>
      </c>
      <c r="AO29" s="243">
        <f t="shared" ref="AO29" si="368">SUM(AO30:AO32)</f>
        <v>2</v>
      </c>
      <c r="AP29" s="242">
        <f t="shared" ref="AP29:AQ29" si="369">SUM(AP30:AP32)</f>
        <v>47687.714126342165</v>
      </c>
      <c r="AQ29" s="244">
        <f t="shared" si="369"/>
        <v>2900</v>
      </c>
      <c r="AR29" s="260">
        <f t="shared" ref="AR29" si="370">AVERAGE(AR30:AR32)</f>
        <v>1800</v>
      </c>
      <c r="AS29" s="243">
        <f t="shared" ref="AS29" si="371">SUM(AS30:AS32)</f>
        <v>2</v>
      </c>
      <c r="AT29" s="242">
        <f t="shared" ref="AT29:AU29" si="372">SUM(AT30:AT32)</f>
        <v>47252.722471813227</v>
      </c>
      <c r="AU29" s="244">
        <f t="shared" si="372"/>
        <v>2900</v>
      </c>
      <c r="AV29" s="260">
        <f t="shared" ref="AV29" si="373">AVERAGE(AV30:AV32)</f>
        <v>1800</v>
      </c>
      <c r="AW29" s="243">
        <f t="shared" ref="AW29" si="374">SUM(AW30:AW32)</f>
        <v>2</v>
      </c>
      <c r="AX29" s="242">
        <f t="shared" ref="AX29:AY29" si="375">SUM(AX30:AX32)</f>
        <v>54500.24471581963</v>
      </c>
      <c r="AY29" s="244">
        <f t="shared" si="375"/>
        <v>2900</v>
      </c>
      <c r="AZ29" s="260">
        <f t="shared" ref="AZ29" si="376">AVERAGE(AZ30:AZ32)</f>
        <v>1800</v>
      </c>
      <c r="BA29" s="243">
        <f t="shared" ref="BA29" si="377">SUM(BA30:BA32)</f>
        <v>2</v>
      </c>
      <c r="BB29" s="242">
        <f t="shared" ref="BB29:BC29" si="378">SUM(BB30:BB32)</f>
        <v>62319.570505698735</v>
      </c>
      <c r="BC29" s="244">
        <f t="shared" si="378"/>
        <v>2900</v>
      </c>
      <c r="BD29" s="260">
        <f t="shared" ref="BD29" si="379">AVERAGE(BD30:BD32)</f>
        <v>1800</v>
      </c>
      <c r="BE29" s="243">
        <f t="shared" ref="BE29" si="380">SUM(BE30:BE32)</f>
        <v>2</v>
      </c>
      <c r="BF29" s="242">
        <f t="shared" ref="BF29:BG29" si="381">SUM(BF30:BF32)</f>
        <v>61375.919255148052</v>
      </c>
      <c r="BG29" s="244">
        <f t="shared" si="381"/>
        <v>2900</v>
      </c>
      <c r="BH29" s="260">
        <f t="shared" ref="BH29" si="382">AVERAGE(BH30:BH32)</f>
        <v>1800</v>
      </c>
      <c r="BI29" s="243">
        <f t="shared" ref="BI29" si="383">SUM(BI30:BI32)</f>
        <v>2</v>
      </c>
      <c r="BJ29" s="242">
        <f t="shared" ref="BJ29:BK29" si="384">SUM(BJ30:BJ32)</f>
        <v>62544.082327391108</v>
      </c>
      <c r="BK29" s="244">
        <f t="shared" si="384"/>
        <v>2900</v>
      </c>
      <c r="BL29" s="260">
        <f t="shared" ref="BL29" si="385">AVERAGE(BL30:BL32)</f>
        <v>1800</v>
      </c>
      <c r="BM29" s="243">
        <f t="shared" ref="BM29" si="386">SUM(BM30:BM32)</f>
        <v>2</v>
      </c>
      <c r="BN29" s="242">
        <f t="shared" ref="BN29:BO29" si="387">SUM(BN30:BN32)</f>
        <v>66522.151168002558</v>
      </c>
      <c r="BO29" s="244">
        <f t="shared" si="387"/>
        <v>2900</v>
      </c>
      <c r="BP29" s="260">
        <f t="shared" ref="BP29" si="388">AVERAGE(BP30:BP32)</f>
        <v>1800</v>
      </c>
      <c r="BQ29" s="243">
        <f t="shared" ref="BQ29" si="389">SUM(BQ30:BQ32)</f>
        <v>2</v>
      </c>
      <c r="BR29" s="242">
        <f t="shared" ref="BR29:BS29" si="390">SUM(BR30:BR32)</f>
        <v>63680.673424708657</v>
      </c>
      <c r="BS29" s="244">
        <f t="shared" si="390"/>
        <v>2900</v>
      </c>
      <c r="BT29" s="260">
        <f t="shared" ref="BT29" si="391">AVERAGE(BT30:BT32)</f>
        <v>1800</v>
      </c>
      <c r="BU29" s="243">
        <f t="shared" ref="BU29" si="392">SUM(BU30:BU32)</f>
        <v>2</v>
      </c>
      <c r="BV29" s="242">
        <f t="shared" ref="BV29:BW29" si="393">SUM(BV30:BV32)</f>
        <v>65985.427594269247</v>
      </c>
      <c r="BW29" s="244">
        <f t="shared" si="393"/>
        <v>2900</v>
      </c>
      <c r="BX29" s="260">
        <f t="shared" ref="BX29" si="394">AVERAGE(BX30:BX32)</f>
        <v>1800</v>
      </c>
      <c r="BY29" s="243">
        <f t="shared" ref="BY29" si="395">SUM(BY30:BY32)</f>
        <v>2</v>
      </c>
      <c r="BZ29" s="242">
        <f t="shared" ref="BZ29:CA29" si="396">SUM(BZ30:BZ32)</f>
        <v>60933.911606191221</v>
      </c>
      <c r="CA29" s="244">
        <f t="shared" si="396"/>
        <v>2900</v>
      </c>
      <c r="CB29" s="260">
        <f t="shared" ref="CB29" si="397">AVERAGE(CB30:CB32)</f>
        <v>1800</v>
      </c>
      <c r="CC29" s="243">
        <f t="shared" ref="CC29" si="398">SUM(CC30:CC32)</f>
        <v>2</v>
      </c>
      <c r="CD29" s="242">
        <f t="shared" ref="CD29:CE29" si="399">SUM(CD30:CD32)</f>
        <v>55882.395618113187</v>
      </c>
      <c r="CE29" s="244">
        <f t="shared" si="399"/>
        <v>2900</v>
      </c>
      <c r="CF29" s="260">
        <f t="shared" ref="CF29" si="400">AVERAGE(CF30:CF32)</f>
        <v>1800</v>
      </c>
      <c r="CG29" s="243">
        <f t="shared" ref="CG29" si="401">SUM(CG30:CG32)</f>
        <v>2</v>
      </c>
      <c r="CH29" s="242">
        <f t="shared" ref="CH29:CI29" si="402">SUM(CH30:CH32)</f>
        <v>57524.138314238538</v>
      </c>
      <c r="CI29" s="244">
        <f t="shared" si="402"/>
        <v>2900</v>
      </c>
      <c r="CJ29" s="260">
        <f t="shared" ref="CJ29" si="403">AVERAGE(CJ30:CJ32)</f>
        <v>1800</v>
      </c>
      <c r="CK29" s="243">
        <f t="shared" ref="CK29" si="404">SUM(CK30:CK32)</f>
        <v>2</v>
      </c>
      <c r="CL29" s="242">
        <f t="shared" ref="CL29:CM29" si="405">SUM(CL30:CL32)</f>
        <v>61312.775305297073</v>
      </c>
      <c r="CM29" s="244">
        <f t="shared" si="405"/>
        <v>2900</v>
      </c>
      <c r="CN29" s="260">
        <f t="shared" ref="CN29" si="406">AVERAGE(CN30:CN32)</f>
        <v>1800</v>
      </c>
      <c r="CO29" s="243">
        <f t="shared" ref="CO29" si="407">SUM(CO30:CO32)</f>
        <v>2</v>
      </c>
      <c r="CP29" s="242">
        <f t="shared" ref="CP29:CQ29" si="408">SUM(CP30:CP32)</f>
        <v>56703.266966175863</v>
      </c>
      <c r="CQ29" s="244">
        <f t="shared" si="408"/>
        <v>2900</v>
      </c>
      <c r="CR29" s="260">
        <f t="shared" ref="CR29" si="409">AVERAGE(CR30:CR32)</f>
        <v>1800</v>
      </c>
      <c r="CS29" s="243">
        <f t="shared" ref="CS29" si="410">SUM(CS30:CS32)</f>
        <v>2</v>
      </c>
      <c r="CT29" s="242">
        <f t="shared" ref="CT29:CU29" si="411">SUM(CT30:CT32)</f>
        <v>61312.775305297073</v>
      </c>
      <c r="CU29" s="244">
        <f t="shared" si="411"/>
        <v>2900</v>
      </c>
      <c r="CV29" s="260">
        <f t="shared" ref="CV29" si="412">AVERAGE(CV30:CV32)</f>
        <v>1800</v>
      </c>
      <c r="CW29" s="243">
        <f t="shared" ref="CW29" si="413">SUM(CW30:CW32)</f>
        <v>2</v>
      </c>
      <c r="CX29" s="242">
        <f t="shared" ref="CX29:CY29" si="414">SUM(CX30:CX32)</f>
        <v>65985.427594269247</v>
      </c>
      <c r="CY29" s="244">
        <f t="shared" si="414"/>
        <v>2900</v>
      </c>
      <c r="CZ29" s="205"/>
    </row>
    <row r="30" spans="2:104" s="165" customFormat="1" ht="25.5" hidden="1" outlineLevel="1">
      <c r="B30" s="162"/>
      <c r="C30" s="252" t="s">
        <v>257</v>
      </c>
      <c r="D30" s="261">
        <f>VLOOKUP($C30,Прайс!$D$8:$E$119,2,0)*0.5</f>
        <v>1250</v>
      </c>
      <c r="E30" s="198">
        <f>ROUNDUP(VLOOKUP($C30,Прайс!$D$6:$F$1004,3,0)*VLOOKUP($C$29,Прайс!$D$6:$F$1004,3,0)*F$16,0)</f>
        <v>0</v>
      </c>
      <c r="F30" s="197">
        <f>F$17*$D30/SUM($D$20:$D$22,$D$24:$D$28,$D$30:$D$32,$D$34:$D$45,$D$48:$D$51,$D$53:$D$56)</f>
        <v>7512.0022306772817</v>
      </c>
      <c r="G30" s="224">
        <f t="shared" ref="G30:G32" si="415">D30*E30</f>
        <v>0</v>
      </c>
      <c r="H30" s="261">
        <f>VLOOKUP($C30,Прайс!$D$8:$E$119,2,0)*0.8</f>
        <v>2000</v>
      </c>
      <c r="I30" s="198">
        <f>ROUNDUP(VLOOKUP($C30,Прайс!$D$6:$F$1004,3,0)*VLOOKUP($C$29,Прайс!$D$6:$F$1004,3,0)*J$16,0)</f>
        <v>0</v>
      </c>
      <c r="J30" s="197">
        <f t="shared" ref="J30:J32" si="416">J$17*$D30/SUM($D$20:$D$22,$D$24:$D$28,$D$30:$D$32,$D$34:$D$45,$D$48:$D$51,$D$53:$D$56)</f>
        <v>8384.6884228344315</v>
      </c>
      <c r="K30" s="224">
        <f t="shared" ref="K30:K32" si="417">H30*I30</f>
        <v>0</v>
      </c>
      <c r="L30" s="261">
        <f>VLOOKUP($C30,Прайс!$D$8:$E$119,2,0)*0.8</f>
        <v>2000</v>
      </c>
      <c r="M30" s="198">
        <f>ROUNDUP(VLOOKUP($C30,Прайс!$D$6:$F$1004,3,0)*VLOOKUP($C$29,Прайс!$D$6:$F$1004,3,0)*N$16,0)</f>
        <v>0</v>
      </c>
      <c r="N30" s="197">
        <f t="shared" ref="N30:N32" si="418">N$17*$D30/SUM($D$20:$D$22,$D$24:$D$28,$D$30:$D$32,$D$34:$D$45,$D$48:$D$51,$D$53:$D$56)</f>
        <v>9968.319132325536</v>
      </c>
      <c r="O30" s="224">
        <f t="shared" ref="O30:O32" si="419">L30*M30</f>
        <v>0</v>
      </c>
      <c r="P30" s="261">
        <f>VLOOKUP($C30,Прайс!$D$8:$E$119,2,0)</f>
        <v>2500</v>
      </c>
      <c r="Q30" s="198">
        <f>ROUNDUP(VLOOKUP($C30,Прайс!$D$6:$F$1004,3,0)*VLOOKUP($C$29,Прайс!$D$6:$F$1004,3,0)*R$16,0)</f>
        <v>0</v>
      </c>
      <c r="R30" s="197">
        <f t="shared" ref="R30:R32" si="420">R$17*$D30/SUM($D$20:$D$22,$D$24:$D$28,$D$30:$D$32,$D$34:$D$45,$D$48:$D$51,$D$53:$D$56)</f>
        <v>12116.967425865669</v>
      </c>
      <c r="S30" s="224">
        <f t="shared" ref="S30:S32" si="421">P30*Q30</f>
        <v>0</v>
      </c>
      <c r="T30" s="261">
        <f>VLOOKUP($C30,Прайс!$D$8:$E$119,2,0)</f>
        <v>2500</v>
      </c>
      <c r="U30" s="198">
        <f>ROUNDUP(VLOOKUP($C30,Прайс!$D$6:$F$1004,3,0)*VLOOKUP($C$29,Прайс!$D$6:$F$1004,3,0)*V$16,0)</f>
        <v>0</v>
      </c>
      <c r="V30" s="197">
        <f t="shared" ref="V30:V32" si="422">V$17*$D30/SUM($D$20:$D$22,$D$24:$D$28,$D$30:$D$32,$D$34:$D$45,$D$48:$D$51,$D$53:$D$56)</f>
        <v>13049.318324735375</v>
      </c>
      <c r="W30" s="224">
        <f t="shared" ref="W30:W32" si="423">T30*U30</f>
        <v>0</v>
      </c>
      <c r="X30" s="261">
        <f>VLOOKUP($C30,Прайс!$D$8:$E$119,2,0)</f>
        <v>2500</v>
      </c>
      <c r="Y30" s="198">
        <f>ROUNDUP(VLOOKUP($C30,Прайс!$D$6:$F$1004,3,0)*VLOOKUP($C$29,Прайс!$D$6:$F$1004,3,0)*Z$16,0)</f>
        <v>0</v>
      </c>
      <c r="Z30" s="197">
        <f t="shared" ref="Z30:Z32" si="424">Z$17*$D30/SUM($D$20:$D$22,$D$24:$D$28,$D$30:$D$32,$D$34:$D$45,$D$48:$D$51,$D$53:$D$56)</f>
        <v>15024.004461354558</v>
      </c>
      <c r="AA30" s="224">
        <f t="shared" ref="AA30:AA32" si="425">X30*Y30</f>
        <v>0</v>
      </c>
      <c r="AB30" s="261">
        <f>VLOOKUP($C30,Прайс!$D$8:$E$119,2,0)</f>
        <v>2500</v>
      </c>
      <c r="AC30" s="198">
        <f>ROUNDUP(VLOOKUP($C30,Прайс!$D$6:$F$1004,3,0)*VLOOKUP($C$29,Прайс!$D$6:$F$1004,3,0)*AD$16,0)</f>
        <v>0</v>
      </c>
      <c r="AD30" s="197">
        <f t="shared" ref="AD30:AD32" si="426">AD$17*$D30/SUM($D$20:$D$22,$D$24:$D$28,$D$30:$D$32,$D$34:$D$45,$D$48:$D$51,$D$53:$D$56)</f>
        <v>15261.225584428579</v>
      </c>
      <c r="AE30" s="224">
        <f t="shared" ref="AE30:AE32" si="427">AB30*AC30</f>
        <v>0</v>
      </c>
      <c r="AF30" s="261">
        <f>VLOOKUP($C30,Прайс!$D$8:$E$119,2,0)</f>
        <v>2500</v>
      </c>
      <c r="AG30" s="198">
        <f>ROUNDUP(VLOOKUP($C30,Прайс!$D$6:$F$1004,3,0)*VLOOKUP($C$29,Прайс!$D$6:$F$1004,3,0)*AH$16,0)</f>
        <v>0</v>
      </c>
      <c r="AH30" s="197">
        <f t="shared" ref="AH30:AH32" si="428">AH$17*$D30/SUM($D$20:$D$22,$D$24:$D$28,$D$30:$D$32,$D$34:$D$45,$D$48:$D$51,$D$53:$D$56)</f>
        <v>15268.414103309613</v>
      </c>
      <c r="AI30" s="224">
        <f t="shared" ref="AI30:AI32" si="429">AF30*AG30</f>
        <v>0</v>
      </c>
      <c r="AJ30" s="261">
        <f>VLOOKUP($C30,Прайс!$D$8:$E$119,2,0)</f>
        <v>2500</v>
      </c>
      <c r="AK30" s="198">
        <f>ROUNDUP(VLOOKUP($C30,Прайс!$D$6:$F$1004,3,0)*VLOOKUP($C$29,Прайс!$D$6:$F$1004,3,0)*AL$16,0)</f>
        <v>0</v>
      </c>
      <c r="AL30" s="197">
        <f t="shared" ref="AL30:AL32" si="430">AL$17*$D30/SUM($D$20:$D$22,$D$24:$D$28,$D$30:$D$32,$D$34:$D$45,$D$48:$D$51,$D$53:$D$56)</f>
        <v>17026.725821609773</v>
      </c>
      <c r="AM30" s="224">
        <f t="shared" ref="AM30:AM32" si="431">AJ30*AK30</f>
        <v>0</v>
      </c>
      <c r="AN30" s="261">
        <f>VLOOKUP($C30,Прайс!$D$8:$E$119,2,0)</f>
        <v>2500</v>
      </c>
      <c r="AO30" s="198">
        <f>ROUNDUP(VLOOKUP($C30,Прайс!$D$6:$F$1004,3,0)*VLOOKUP($C$29,Прайс!$D$6:$F$1004,3,0)*AP$16,0)</f>
        <v>0</v>
      </c>
      <c r="AP30" s="197">
        <f t="shared" ref="AP30:AP32" si="432">AP$17*$D30/SUM($D$20:$D$22,$D$24:$D$28,$D$30:$D$32,$D$34:$D$45,$D$48:$D$51,$D$53:$D$56)</f>
        <v>19544.145133746792</v>
      </c>
      <c r="AQ30" s="224">
        <f t="shared" ref="AQ30:AQ32" si="433">AN30*AO30</f>
        <v>0</v>
      </c>
      <c r="AR30" s="261">
        <f>VLOOKUP($C30,Прайс!$D$8:$E$119,2,0)</f>
        <v>2500</v>
      </c>
      <c r="AS30" s="198">
        <f>ROUNDUP(VLOOKUP($C30,Прайс!$D$6:$F$1004,3,0)*VLOOKUP($C$29,Прайс!$D$6:$F$1004,3,0)*AT$16,0)</f>
        <v>0</v>
      </c>
      <c r="AT30" s="197">
        <f t="shared" ref="AT30:AT32" si="434">AT$17*$D30/SUM($D$20:$D$22,$D$24:$D$28,$D$30:$D$32,$D$34:$D$45,$D$48:$D$51,$D$53:$D$56)</f>
        <v>19365.869865497225</v>
      </c>
      <c r="AU30" s="224">
        <f t="shared" ref="AU30:AU32" si="435">AR30*AS30</f>
        <v>0</v>
      </c>
      <c r="AV30" s="261">
        <f>VLOOKUP($C30,Прайс!$D$8:$E$119,2,0)</f>
        <v>2500</v>
      </c>
      <c r="AW30" s="198">
        <f>ROUNDUP(VLOOKUP($C30,Прайс!$D$6:$F$1004,3,0)*VLOOKUP($C$29,Прайс!$D$6:$F$1004,3,0)*AX$16,0)</f>
        <v>0</v>
      </c>
      <c r="AX30" s="197">
        <f t="shared" ref="AX30:AX32" si="436">AX$17*$D30/SUM($D$20:$D$22,$D$24:$D$28,$D$30:$D$32,$D$34:$D$45,$D$48:$D$51,$D$53:$D$56)</f>
        <v>22336.165867139192</v>
      </c>
      <c r="AY30" s="224">
        <f t="shared" ref="AY30:AY32" si="437">AV30*AW30</f>
        <v>0</v>
      </c>
      <c r="AZ30" s="261">
        <f>VLOOKUP($C30,Прайс!$D$8:$E$119,2,0)</f>
        <v>2500</v>
      </c>
      <c r="BA30" s="198">
        <f>ROUNDUP(VLOOKUP($C30,Прайс!$D$6:$F$1004,3,0)*VLOOKUP($C$29,Прайс!$D$6:$F$1004,3,0)*BB$16,0)</f>
        <v>0</v>
      </c>
      <c r="BB30" s="197">
        <f t="shared" ref="BB30:BB32" si="438">BB$17*$D30/SUM($D$20:$D$22,$D$24:$D$28,$D$30:$D$32,$D$34:$D$45,$D$48:$D$51,$D$53:$D$56)</f>
        <v>25540.807584302762</v>
      </c>
      <c r="BC30" s="224">
        <f t="shared" ref="BC30:BC32" si="439">AZ30*BA30</f>
        <v>0</v>
      </c>
      <c r="BD30" s="261">
        <f>VLOOKUP($C30,Прайс!$D$8:$E$119,2,0)</f>
        <v>2500</v>
      </c>
      <c r="BE30" s="198">
        <f>ROUNDUP(VLOOKUP($C30,Прайс!$D$6:$F$1004,3,0)*VLOOKUP($C$29,Прайс!$D$6:$F$1004,3,0)*BF$16,0)</f>
        <v>0</v>
      </c>
      <c r="BF30" s="197">
        <f t="shared" ref="BF30:BF32" si="440">BF$17*$D30/SUM($D$20:$D$22,$D$24:$D$28,$D$30:$D$32,$D$34:$D$45,$D$48:$D$51,$D$53:$D$56)</f>
        <v>25154.065268503302</v>
      </c>
      <c r="BG30" s="224">
        <f t="shared" ref="BG30:BG32" si="441">BD30*BE30</f>
        <v>0</v>
      </c>
      <c r="BH30" s="261">
        <f>VLOOKUP($C30,Прайс!$D$8:$E$119,2,0)</f>
        <v>2500</v>
      </c>
      <c r="BI30" s="198">
        <f>ROUNDUP(VLOOKUP($C30,Прайс!$D$6:$F$1004,3,0)*VLOOKUP($C$29,Прайс!$D$6:$F$1004,3,0)*BJ$16,0)</f>
        <v>0</v>
      </c>
      <c r="BJ30" s="197">
        <f t="shared" ref="BJ30:BJ32" si="442">BJ$17*$D30/SUM($D$20:$D$22,$D$24:$D$28,$D$30:$D$32,$D$34:$D$45,$D$48:$D$51,$D$53:$D$56)</f>
        <v>25632.820625979959</v>
      </c>
      <c r="BK30" s="224">
        <f t="shared" ref="BK30:BK32" si="443">BH30*BI30</f>
        <v>0</v>
      </c>
      <c r="BL30" s="261">
        <f>VLOOKUP($C30,Прайс!$D$8:$E$119,2,0)</f>
        <v>2500</v>
      </c>
      <c r="BM30" s="198">
        <f>ROUNDUP(VLOOKUP($C30,Прайс!$D$6:$F$1004,3,0)*VLOOKUP($C$29,Прайс!$D$6:$F$1004,3,0)*BN$16,0)</f>
        <v>0</v>
      </c>
      <c r="BN30" s="197">
        <f t="shared" ref="BN30:BN32" si="444">BN$17*$D30/SUM($D$20:$D$22,$D$24:$D$28,$D$30:$D$32,$D$34:$D$45,$D$48:$D$51,$D$53:$D$56)</f>
        <v>27263.17670819777</v>
      </c>
      <c r="BO30" s="224">
        <f t="shared" ref="BO30:BO32" si="445">BL30*BM30</f>
        <v>0</v>
      </c>
      <c r="BP30" s="261">
        <f>VLOOKUP($C30,Прайс!$D$8:$E$119,2,0)</f>
        <v>2500</v>
      </c>
      <c r="BQ30" s="198">
        <f>ROUNDUP(VLOOKUP($C30,Прайс!$D$6:$F$1004,3,0)*VLOOKUP($C$29,Прайс!$D$6:$F$1004,3,0)*BR$16,0)</f>
        <v>0</v>
      </c>
      <c r="BR30" s="197">
        <f t="shared" ref="BR30:BR32" si="446">BR$17*$D30/SUM($D$20:$D$22,$D$24:$D$28,$D$30:$D$32,$D$34:$D$45,$D$48:$D$51,$D$53:$D$56)</f>
        <v>26098.636649470762</v>
      </c>
      <c r="BS30" s="224">
        <f t="shared" ref="BS30:BS32" si="447">BP30*BQ30</f>
        <v>0</v>
      </c>
      <c r="BT30" s="261">
        <f>VLOOKUP($C30,Прайс!$D$8:$E$119,2,0)</f>
        <v>2500</v>
      </c>
      <c r="BU30" s="198">
        <f>ROUNDUP(VLOOKUP($C30,Прайс!$D$6:$F$1004,3,0)*VLOOKUP($C$29,Прайс!$D$6:$F$1004,3,0)*BV$16,0)</f>
        <v>0</v>
      </c>
      <c r="BV30" s="197">
        <f t="shared" ref="BV30:BV32" si="448">BV$17*$D30/SUM($D$20:$D$22,$D$24:$D$28,$D$30:$D$32,$D$34:$D$45,$D$48:$D$51,$D$53:$D$56)</f>
        <v>27043.208030438218</v>
      </c>
      <c r="BW30" s="224">
        <f t="shared" ref="BW30:BW32" si="449">BT30*BU30</f>
        <v>0</v>
      </c>
      <c r="BX30" s="261">
        <f>VLOOKUP($C30,Прайс!$D$8:$E$119,2,0)</f>
        <v>2500</v>
      </c>
      <c r="BY30" s="198">
        <f>ROUNDUP(VLOOKUP($C30,Прайс!$D$6:$F$1004,3,0)*VLOOKUP($C$29,Прайс!$D$6:$F$1004,3,0)*BZ$16,0)</f>
        <v>0</v>
      </c>
      <c r="BZ30" s="197">
        <f t="shared" ref="BZ30:BZ32" si="450">BZ$17*$D30/SUM($D$20:$D$22,$D$24:$D$28,$D$30:$D$32,$D$34:$D$45,$D$48:$D$51,$D$53:$D$56)</f>
        <v>24972.91459270132</v>
      </c>
      <c r="CA30" s="224">
        <f t="shared" ref="CA30:CA32" si="451">BX30*BY30</f>
        <v>0</v>
      </c>
      <c r="CB30" s="261">
        <f>VLOOKUP($C30,Прайс!$D$8:$E$119,2,0)</f>
        <v>2500</v>
      </c>
      <c r="CC30" s="198">
        <f>ROUNDUP(VLOOKUP($C30,Прайс!$D$6:$F$1004,3,0)*VLOOKUP($C$29,Прайс!$D$6:$F$1004,3,0)*CD$16,0)</f>
        <v>0</v>
      </c>
      <c r="CD30" s="197">
        <f t="shared" ref="CD30:CD32" si="452">CD$17*$D30/SUM($D$20:$D$22,$D$24:$D$28,$D$30:$D$32,$D$34:$D$45,$D$48:$D$51,$D$53:$D$56)</f>
        <v>22902.621154964421</v>
      </c>
      <c r="CE30" s="224">
        <f t="shared" ref="CE30:CE32" si="453">CB30*CC30</f>
        <v>0</v>
      </c>
      <c r="CF30" s="261">
        <f>VLOOKUP($C30,Прайс!$D$8:$E$119,2,0)</f>
        <v>2500</v>
      </c>
      <c r="CG30" s="198">
        <f>ROUNDUP(VLOOKUP($C30,Прайс!$D$6:$F$1004,3,0)*VLOOKUP($C$29,Прайс!$D$6:$F$1004,3,0)*CH$16,0)</f>
        <v>0</v>
      </c>
      <c r="CH30" s="197">
        <f t="shared" ref="CH30:CH32" si="454">CH$17*$D30/SUM($D$20:$D$22,$D$24:$D$28,$D$30:$D$32,$D$34:$D$45,$D$48:$D$51,$D$53:$D$56)</f>
        <v>23575.466522228911</v>
      </c>
      <c r="CI30" s="224">
        <f t="shared" ref="CI30:CI32" si="455">CF30*CG30</f>
        <v>0</v>
      </c>
      <c r="CJ30" s="261">
        <f>VLOOKUP($C30,Прайс!$D$8:$E$119,2,0)</f>
        <v>2500</v>
      </c>
      <c r="CK30" s="198">
        <f>ROUNDUP(VLOOKUP($C30,Прайс!$D$6:$F$1004,3,0)*VLOOKUP($C$29,Прайс!$D$6:$F$1004,3,0)*CL$16,0)</f>
        <v>0</v>
      </c>
      <c r="CL30" s="197">
        <f t="shared" ref="CL30:CL32" si="456">CL$17*$D30/SUM($D$20:$D$22,$D$24:$D$28,$D$30:$D$32,$D$34:$D$45,$D$48:$D$51,$D$53:$D$56)</f>
        <v>25128.186600531586</v>
      </c>
      <c r="CM30" s="224">
        <f t="shared" ref="CM30:CM32" si="457">CJ30*CK30</f>
        <v>0</v>
      </c>
      <c r="CN30" s="261">
        <f>VLOOKUP($C30,Прайс!$D$8:$E$119,2,0)</f>
        <v>2500</v>
      </c>
      <c r="CO30" s="198">
        <f>ROUNDUP(VLOOKUP($C30,Прайс!$D$6:$F$1004,3,0)*VLOOKUP($C$29,Прайс!$D$6:$F$1004,3,0)*CP$16,0)</f>
        <v>0</v>
      </c>
      <c r="CP30" s="197">
        <f t="shared" ref="CP30:CP32" si="458">CP$17*$D30/SUM($D$20:$D$22,$D$24:$D$28,$D$30:$D$32,$D$34:$D$45,$D$48:$D$51,$D$53:$D$56)</f>
        <v>23239.043838596663</v>
      </c>
      <c r="CQ30" s="224">
        <f t="shared" ref="CQ30:CQ32" si="459">CN30*CO30</f>
        <v>0</v>
      </c>
      <c r="CR30" s="261">
        <f>VLOOKUP($C30,Прайс!$D$8:$E$119,2,0)</f>
        <v>2500</v>
      </c>
      <c r="CS30" s="198">
        <f>ROUNDUP(VLOOKUP($C30,Прайс!$D$6:$F$1004,3,0)*VLOOKUP($C$29,Прайс!$D$6:$F$1004,3,0)*CT$16,0)</f>
        <v>0</v>
      </c>
      <c r="CT30" s="197">
        <f t="shared" ref="CT30:CT32" si="460">CT$17*$D30/SUM($D$20:$D$22,$D$24:$D$28,$D$30:$D$32,$D$34:$D$45,$D$48:$D$51,$D$53:$D$56)</f>
        <v>25128.186600531586</v>
      </c>
      <c r="CU30" s="224">
        <f t="shared" ref="CU30:CU32" si="461">CR30*CS30</f>
        <v>0</v>
      </c>
      <c r="CV30" s="261">
        <f>VLOOKUP($C30,Прайс!$D$8:$E$119,2,0)</f>
        <v>2500</v>
      </c>
      <c r="CW30" s="198">
        <f>ROUNDUP(VLOOKUP($C30,Прайс!$D$6:$F$1004,3,0)*VLOOKUP($C$29,Прайс!$D$6:$F$1004,3,0)*CX$16,0)</f>
        <v>0</v>
      </c>
      <c r="CX30" s="197">
        <f t="shared" ref="CX30:CX32" si="462">CX$17*$D30/SUM($D$20:$D$22,$D$24:$D$28,$D$30:$D$32,$D$34:$D$45,$D$48:$D$51,$D$53:$D$56)</f>
        <v>27043.208030438218</v>
      </c>
      <c r="CY30" s="224">
        <f t="shared" ref="CY30:CY32" si="463">CV30*CW30</f>
        <v>0</v>
      </c>
      <c r="CZ30" s="204"/>
    </row>
    <row r="31" spans="2:104" s="165" customFormat="1" ht="38.25" hidden="1" outlineLevel="1">
      <c r="B31" s="162"/>
      <c r="C31" s="252" t="s">
        <v>258</v>
      </c>
      <c r="D31" s="261">
        <f>VLOOKUP($C31,Прайс!$D$8:$E$119,2,0)*0.5</f>
        <v>1100</v>
      </c>
      <c r="E31" s="198">
        <f>ROUNDUP(VLOOKUP($C31,Прайс!$D$6:$F$1004,3,0)*VLOOKUP($C$29,Прайс!$D$6:$F$1004,3,0)*F$16,0)</f>
        <v>1</v>
      </c>
      <c r="F31" s="197">
        <f>F$17*$D31/SUM($D$20:$D$22,$D$24:$D$28,$D$30:$D$32,$D$34:$D$45,$D$48:$D$51,$D$53:$D$56)</f>
        <v>6610.5619629960074</v>
      </c>
      <c r="G31" s="224">
        <f t="shared" si="415"/>
        <v>1100</v>
      </c>
      <c r="H31" s="261">
        <f>VLOOKUP($C31,Прайс!$D$8:$E$119,2,0)*0.8</f>
        <v>1760</v>
      </c>
      <c r="I31" s="198">
        <f>ROUNDUP(VLOOKUP($C31,Прайс!$D$6:$F$1004,3,0)*VLOOKUP($C$29,Прайс!$D$6:$F$1004,3,0)*J$16,0)</f>
        <v>1</v>
      </c>
      <c r="J31" s="197">
        <f t="shared" si="416"/>
        <v>7378.5258120943008</v>
      </c>
      <c r="K31" s="224">
        <f t="shared" si="417"/>
        <v>1760</v>
      </c>
      <c r="L31" s="261">
        <f>VLOOKUP($C31,Прайс!$D$8:$E$119,2,0)*0.8</f>
        <v>1760</v>
      </c>
      <c r="M31" s="198">
        <f>ROUNDUP(VLOOKUP($C31,Прайс!$D$6:$F$1004,3,0)*VLOOKUP($C$29,Прайс!$D$6:$F$1004,3,0)*N$16,0)</f>
        <v>1</v>
      </c>
      <c r="N31" s="197">
        <f t="shared" si="418"/>
        <v>8772.120836446471</v>
      </c>
      <c r="O31" s="224">
        <f t="shared" si="419"/>
        <v>1760</v>
      </c>
      <c r="P31" s="261">
        <f>VLOOKUP($C31,Прайс!$D$8:$E$119,2,0)</f>
        <v>2200</v>
      </c>
      <c r="Q31" s="198">
        <f>ROUNDUP(VLOOKUP($C31,Прайс!$D$6:$F$1004,3,0)*VLOOKUP($C$29,Прайс!$D$6:$F$1004,3,0)*R$16,0)</f>
        <v>1</v>
      </c>
      <c r="R31" s="197">
        <f t="shared" si="420"/>
        <v>10662.93133476179</v>
      </c>
      <c r="S31" s="224">
        <f t="shared" si="421"/>
        <v>2200</v>
      </c>
      <c r="T31" s="261">
        <f>VLOOKUP($C31,Прайс!$D$8:$E$119,2,0)</f>
        <v>2200</v>
      </c>
      <c r="U31" s="198">
        <f>ROUNDUP(VLOOKUP($C31,Прайс!$D$6:$F$1004,3,0)*VLOOKUP($C$29,Прайс!$D$6:$F$1004,3,0)*V$16,0)</f>
        <v>1</v>
      </c>
      <c r="V31" s="197">
        <f t="shared" si="422"/>
        <v>11483.400125767132</v>
      </c>
      <c r="W31" s="224">
        <f t="shared" si="423"/>
        <v>2200</v>
      </c>
      <c r="X31" s="261">
        <f>VLOOKUP($C31,Прайс!$D$8:$E$119,2,0)</f>
        <v>2200</v>
      </c>
      <c r="Y31" s="198">
        <f>ROUNDUP(VLOOKUP($C31,Прайс!$D$6:$F$1004,3,0)*VLOOKUP($C$29,Прайс!$D$6:$F$1004,3,0)*Z$16,0)</f>
        <v>1</v>
      </c>
      <c r="Z31" s="197">
        <f t="shared" si="424"/>
        <v>13221.123925992011</v>
      </c>
      <c r="AA31" s="224">
        <f t="shared" si="425"/>
        <v>2200</v>
      </c>
      <c r="AB31" s="261">
        <f>VLOOKUP($C31,Прайс!$D$8:$E$119,2,0)</f>
        <v>2200</v>
      </c>
      <c r="AC31" s="198">
        <f>ROUNDUP(VLOOKUP($C31,Прайс!$D$6:$F$1004,3,0)*VLOOKUP($C$29,Прайс!$D$6:$F$1004,3,0)*AD$16,0)</f>
        <v>1</v>
      </c>
      <c r="AD31" s="197">
        <f t="shared" si="426"/>
        <v>13429.87851429715</v>
      </c>
      <c r="AE31" s="224">
        <f t="shared" si="427"/>
        <v>2200</v>
      </c>
      <c r="AF31" s="261">
        <f>VLOOKUP($C31,Прайс!$D$8:$E$119,2,0)</f>
        <v>2200</v>
      </c>
      <c r="AG31" s="198">
        <f>ROUNDUP(VLOOKUP($C31,Прайс!$D$6:$F$1004,3,0)*VLOOKUP($C$29,Прайс!$D$6:$F$1004,3,0)*AH$16,0)</f>
        <v>1</v>
      </c>
      <c r="AH31" s="197">
        <f t="shared" si="428"/>
        <v>13436.20441091246</v>
      </c>
      <c r="AI31" s="224">
        <f t="shared" si="429"/>
        <v>2200</v>
      </c>
      <c r="AJ31" s="261">
        <f>VLOOKUP($C31,Прайс!$D$8:$E$119,2,0)</f>
        <v>2200</v>
      </c>
      <c r="AK31" s="198">
        <f>ROUNDUP(VLOOKUP($C31,Прайс!$D$6:$F$1004,3,0)*VLOOKUP($C$29,Прайс!$D$6:$F$1004,3,0)*AL$16,0)</f>
        <v>1</v>
      </c>
      <c r="AL31" s="197">
        <f t="shared" si="430"/>
        <v>14983.518723016598</v>
      </c>
      <c r="AM31" s="224">
        <f t="shared" si="431"/>
        <v>2200</v>
      </c>
      <c r="AN31" s="261">
        <f>VLOOKUP($C31,Прайс!$D$8:$E$119,2,0)</f>
        <v>2200</v>
      </c>
      <c r="AO31" s="198">
        <f>ROUNDUP(VLOOKUP($C31,Прайс!$D$6:$F$1004,3,0)*VLOOKUP($C$29,Прайс!$D$6:$F$1004,3,0)*AP$16,0)</f>
        <v>1</v>
      </c>
      <c r="AP31" s="197">
        <f t="shared" si="432"/>
        <v>17198.847717697176</v>
      </c>
      <c r="AQ31" s="224">
        <f t="shared" si="433"/>
        <v>2200</v>
      </c>
      <c r="AR31" s="261">
        <f>VLOOKUP($C31,Прайс!$D$8:$E$119,2,0)</f>
        <v>2200</v>
      </c>
      <c r="AS31" s="198">
        <f>ROUNDUP(VLOOKUP($C31,Прайс!$D$6:$F$1004,3,0)*VLOOKUP($C$29,Прайс!$D$6:$F$1004,3,0)*AT$16,0)</f>
        <v>1</v>
      </c>
      <c r="AT31" s="197">
        <f t="shared" si="434"/>
        <v>17041.965481637559</v>
      </c>
      <c r="AU31" s="224">
        <f t="shared" si="435"/>
        <v>2200</v>
      </c>
      <c r="AV31" s="261">
        <f>VLOOKUP($C31,Прайс!$D$8:$E$119,2,0)</f>
        <v>2200</v>
      </c>
      <c r="AW31" s="198">
        <f>ROUNDUP(VLOOKUP($C31,Прайс!$D$6:$F$1004,3,0)*VLOOKUP($C$29,Прайс!$D$6:$F$1004,3,0)*AX$16,0)</f>
        <v>1</v>
      </c>
      <c r="AX31" s="197">
        <f t="shared" si="436"/>
        <v>19655.82596308249</v>
      </c>
      <c r="AY31" s="224">
        <f t="shared" si="437"/>
        <v>2200</v>
      </c>
      <c r="AZ31" s="261">
        <f>VLOOKUP($C31,Прайс!$D$8:$E$119,2,0)</f>
        <v>2200</v>
      </c>
      <c r="BA31" s="198">
        <f>ROUNDUP(VLOOKUP($C31,Прайс!$D$6:$F$1004,3,0)*VLOOKUP($C$29,Прайс!$D$6:$F$1004,3,0)*BB$16,0)</f>
        <v>1</v>
      </c>
      <c r="BB31" s="197">
        <f t="shared" si="438"/>
        <v>22475.910674186431</v>
      </c>
      <c r="BC31" s="224">
        <f t="shared" si="439"/>
        <v>2200</v>
      </c>
      <c r="BD31" s="261">
        <f>VLOOKUP($C31,Прайс!$D$8:$E$119,2,0)</f>
        <v>2200</v>
      </c>
      <c r="BE31" s="198">
        <f>ROUNDUP(VLOOKUP($C31,Прайс!$D$6:$F$1004,3,0)*VLOOKUP($C$29,Прайс!$D$6:$F$1004,3,0)*BF$16,0)</f>
        <v>1</v>
      </c>
      <c r="BF31" s="197">
        <f t="shared" si="440"/>
        <v>22135.577436282903</v>
      </c>
      <c r="BG31" s="224">
        <f t="shared" si="441"/>
        <v>2200</v>
      </c>
      <c r="BH31" s="261">
        <f>VLOOKUP($C31,Прайс!$D$8:$E$119,2,0)</f>
        <v>2200</v>
      </c>
      <c r="BI31" s="198">
        <f>ROUNDUP(VLOOKUP($C31,Прайс!$D$6:$F$1004,3,0)*VLOOKUP($C$29,Прайс!$D$6:$F$1004,3,0)*BJ$16,0)</f>
        <v>1</v>
      </c>
      <c r="BJ31" s="197">
        <f t="shared" si="442"/>
        <v>22556.882150862366</v>
      </c>
      <c r="BK31" s="224">
        <f t="shared" si="443"/>
        <v>2200</v>
      </c>
      <c r="BL31" s="261">
        <f>VLOOKUP($C31,Прайс!$D$8:$E$119,2,0)</f>
        <v>2200</v>
      </c>
      <c r="BM31" s="198">
        <f>ROUNDUP(VLOOKUP($C31,Прайс!$D$6:$F$1004,3,0)*VLOOKUP($C$29,Прайс!$D$6:$F$1004,3,0)*BN$16,0)</f>
        <v>1</v>
      </c>
      <c r="BN31" s="197">
        <f t="shared" si="444"/>
        <v>23991.595503214037</v>
      </c>
      <c r="BO31" s="224">
        <f t="shared" si="445"/>
        <v>2200</v>
      </c>
      <c r="BP31" s="261">
        <f>VLOOKUP($C31,Прайс!$D$8:$E$119,2,0)</f>
        <v>2200</v>
      </c>
      <c r="BQ31" s="198">
        <f>ROUNDUP(VLOOKUP($C31,Прайс!$D$6:$F$1004,3,0)*VLOOKUP($C$29,Прайс!$D$6:$F$1004,3,0)*BR$16,0)</f>
        <v>1</v>
      </c>
      <c r="BR31" s="197">
        <f t="shared" si="446"/>
        <v>22966.800251534271</v>
      </c>
      <c r="BS31" s="224">
        <f t="shared" si="447"/>
        <v>2200</v>
      </c>
      <c r="BT31" s="261">
        <f>VLOOKUP($C31,Прайс!$D$8:$E$119,2,0)</f>
        <v>2200</v>
      </c>
      <c r="BU31" s="198">
        <f>ROUNDUP(VLOOKUP($C31,Прайс!$D$6:$F$1004,3,0)*VLOOKUP($C$29,Прайс!$D$6:$F$1004,3,0)*BV$16,0)</f>
        <v>1</v>
      </c>
      <c r="BV31" s="197">
        <f t="shared" si="448"/>
        <v>23798.02306678563</v>
      </c>
      <c r="BW31" s="224">
        <f t="shared" si="449"/>
        <v>2200</v>
      </c>
      <c r="BX31" s="261">
        <f>VLOOKUP($C31,Прайс!$D$8:$E$119,2,0)</f>
        <v>2200</v>
      </c>
      <c r="BY31" s="198">
        <f>ROUNDUP(VLOOKUP($C31,Прайс!$D$6:$F$1004,3,0)*VLOOKUP($C$29,Прайс!$D$6:$F$1004,3,0)*BZ$16,0)</f>
        <v>1</v>
      </c>
      <c r="BZ31" s="197">
        <f t="shared" si="450"/>
        <v>21976.16484157716</v>
      </c>
      <c r="CA31" s="224">
        <f t="shared" si="451"/>
        <v>2200</v>
      </c>
      <c r="CB31" s="261">
        <f>VLOOKUP($C31,Прайс!$D$8:$E$119,2,0)</f>
        <v>2200</v>
      </c>
      <c r="CC31" s="198">
        <f>ROUNDUP(VLOOKUP($C31,Прайс!$D$6:$F$1004,3,0)*VLOOKUP($C$29,Прайс!$D$6:$F$1004,3,0)*CD$16,0)</f>
        <v>1</v>
      </c>
      <c r="CD31" s="197">
        <f t="shared" si="452"/>
        <v>20154.306616368689</v>
      </c>
      <c r="CE31" s="224">
        <f t="shared" si="453"/>
        <v>2200</v>
      </c>
      <c r="CF31" s="261">
        <f>VLOOKUP($C31,Прайс!$D$8:$E$119,2,0)</f>
        <v>2200</v>
      </c>
      <c r="CG31" s="198">
        <f>ROUNDUP(VLOOKUP($C31,Прайс!$D$6:$F$1004,3,0)*VLOOKUP($C$29,Прайс!$D$6:$F$1004,3,0)*CH$16,0)</f>
        <v>1</v>
      </c>
      <c r="CH31" s="197">
        <f t="shared" si="454"/>
        <v>20746.410539561442</v>
      </c>
      <c r="CI31" s="224">
        <f t="shared" si="455"/>
        <v>2200</v>
      </c>
      <c r="CJ31" s="261">
        <f>VLOOKUP($C31,Прайс!$D$8:$E$119,2,0)</f>
        <v>2200</v>
      </c>
      <c r="CK31" s="198">
        <f>ROUNDUP(VLOOKUP($C31,Прайс!$D$6:$F$1004,3,0)*VLOOKUP($C$29,Прайс!$D$6:$F$1004,3,0)*CL$16,0)</f>
        <v>1</v>
      </c>
      <c r="CL31" s="197">
        <f t="shared" si="456"/>
        <v>22112.804208467795</v>
      </c>
      <c r="CM31" s="224">
        <f t="shared" si="457"/>
        <v>2200</v>
      </c>
      <c r="CN31" s="261">
        <f>VLOOKUP($C31,Прайс!$D$8:$E$119,2,0)</f>
        <v>2200</v>
      </c>
      <c r="CO31" s="198">
        <f>ROUNDUP(VLOOKUP($C31,Прайс!$D$6:$F$1004,3,0)*VLOOKUP($C$29,Прайс!$D$6:$F$1004,3,0)*CP$16,0)</f>
        <v>1</v>
      </c>
      <c r="CP31" s="197">
        <f t="shared" si="458"/>
        <v>20450.358577965064</v>
      </c>
      <c r="CQ31" s="224">
        <f t="shared" si="459"/>
        <v>2200</v>
      </c>
      <c r="CR31" s="261">
        <f>VLOOKUP($C31,Прайс!$D$8:$E$119,2,0)</f>
        <v>2200</v>
      </c>
      <c r="CS31" s="198">
        <f>ROUNDUP(VLOOKUP($C31,Прайс!$D$6:$F$1004,3,0)*VLOOKUP($C$29,Прайс!$D$6:$F$1004,3,0)*CT$16,0)</f>
        <v>1</v>
      </c>
      <c r="CT31" s="197">
        <f t="shared" si="460"/>
        <v>22112.804208467795</v>
      </c>
      <c r="CU31" s="224">
        <f t="shared" si="461"/>
        <v>2200</v>
      </c>
      <c r="CV31" s="261">
        <f>VLOOKUP($C31,Прайс!$D$8:$E$119,2,0)</f>
        <v>2200</v>
      </c>
      <c r="CW31" s="198">
        <f>ROUNDUP(VLOOKUP($C31,Прайс!$D$6:$F$1004,3,0)*VLOOKUP($C$29,Прайс!$D$6:$F$1004,3,0)*CX$16,0)</f>
        <v>1</v>
      </c>
      <c r="CX31" s="197">
        <f t="shared" si="462"/>
        <v>23798.02306678563</v>
      </c>
      <c r="CY31" s="224">
        <f t="shared" si="463"/>
        <v>2200</v>
      </c>
      <c r="CZ31" s="204"/>
    </row>
    <row r="32" spans="2:104" s="165" customFormat="1" ht="39" hidden="1" outlineLevel="1" thickBot="1">
      <c r="B32" s="162"/>
      <c r="C32" s="253" t="s">
        <v>259</v>
      </c>
      <c r="D32" s="262">
        <f>VLOOKUP($C32,Прайс!$D$8:$E$119,2,0)</f>
        <v>700</v>
      </c>
      <c r="E32" s="227">
        <f>ROUNDUP(VLOOKUP($C32,Прайс!$D$6:$F$1004,3,0)*VLOOKUP($C$29,Прайс!$D$6:$F$1004,3,0)*F$16,0)</f>
        <v>1</v>
      </c>
      <c r="F32" s="226">
        <f>F$17*$D32/SUM($D$20:$D$22,$D$24:$D$28,$D$30:$D$32,$D$34:$D$45,$D$48:$D$51,$D$53:$D$56)</f>
        <v>4206.7212491792779</v>
      </c>
      <c r="G32" s="228">
        <f t="shared" si="415"/>
        <v>700</v>
      </c>
      <c r="H32" s="262">
        <f>VLOOKUP($C32,Прайс!$D$8:$E$119,2,0)</f>
        <v>700</v>
      </c>
      <c r="I32" s="227">
        <f>ROUNDUP(VLOOKUP($C32,Прайс!$D$6:$F$1004,3,0)*VLOOKUP($C$29,Прайс!$D$6:$F$1004,3,0)*J$16,0)</f>
        <v>1</v>
      </c>
      <c r="J32" s="226">
        <f t="shared" si="416"/>
        <v>4695.4255167872816</v>
      </c>
      <c r="K32" s="228">
        <f t="shared" si="417"/>
        <v>700</v>
      </c>
      <c r="L32" s="262">
        <f>VLOOKUP($C32,Прайс!$D$8:$E$119,2,0)</f>
        <v>700</v>
      </c>
      <c r="M32" s="227">
        <f>ROUNDUP(VLOOKUP($C32,Прайс!$D$6:$F$1004,3,0)*VLOOKUP($C$29,Прайс!$D$6:$F$1004,3,0)*N$16,0)</f>
        <v>1</v>
      </c>
      <c r="N32" s="226">
        <f t="shared" si="418"/>
        <v>5582.2587141022996</v>
      </c>
      <c r="O32" s="228">
        <f t="shared" si="419"/>
        <v>700</v>
      </c>
      <c r="P32" s="262">
        <f>VLOOKUP($C32,Прайс!$D$8:$E$119,2,0)</f>
        <v>700</v>
      </c>
      <c r="Q32" s="227">
        <f>ROUNDUP(VLOOKUP($C32,Прайс!$D$6:$F$1004,3,0)*VLOOKUP($C$29,Прайс!$D$6:$F$1004,3,0)*R$16,0)</f>
        <v>1</v>
      </c>
      <c r="R32" s="226">
        <f t="shared" si="420"/>
        <v>6785.5017584847747</v>
      </c>
      <c r="S32" s="228">
        <f t="shared" si="421"/>
        <v>700</v>
      </c>
      <c r="T32" s="262">
        <f>VLOOKUP($C32,Прайс!$D$8:$E$119,2,0)</f>
        <v>700</v>
      </c>
      <c r="U32" s="227">
        <f>ROUNDUP(VLOOKUP($C32,Прайс!$D$6:$F$1004,3,0)*VLOOKUP($C$29,Прайс!$D$6:$F$1004,3,0)*V$16,0)</f>
        <v>1</v>
      </c>
      <c r="V32" s="226">
        <f t="shared" si="422"/>
        <v>7307.6182618518105</v>
      </c>
      <c r="W32" s="228">
        <f t="shared" si="423"/>
        <v>700</v>
      </c>
      <c r="X32" s="262">
        <f>VLOOKUP($C32,Прайс!$D$8:$E$119,2,0)</f>
        <v>700</v>
      </c>
      <c r="Y32" s="227">
        <f>ROUNDUP(VLOOKUP($C32,Прайс!$D$6:$F$1004,3,0)*VLOOKUP($C$29,Прайс!$D$6:$F$1004,3,0)*Z$16,0)</f>
        <v>1</v>
      </c>
      <c r="Z32" s="226">
        <f t="shared" si="424"/>
        <v>8413.4424983585523</v>
      </c>
      <c r="AA32" s="228">
        <f t="shared" si="425"/>
        <v>700</v>
      </c>
      <c r="AB32" s="262">
        <f>VLOOKUP($C32,Прайс!$D$8:$E$119,2,0)</f>
        <v>700</v>
      </c>
      <c r="AC32" s="227">
        <f>ROUNDUP(VLOOKUP($C32,Прайс!$D$6:$F$1004,3,0)*VLOOKUP($C$29,Прайс!$D$6:$F$1004,3,0)*AD$16,0)</f>
        <v>1</v>
      </c>
      <c r="AD32" s="226">
        <f t="shared" si="426"/>
        <v>8546.2863272800041</v>
      </c>
      <c r="AE32" s="228">
        <f t="shared" si="427"/>
        <v>700</v>
      </c>
      <c r="AF32" s="262">
        <f>VLOOKUP($C32,Прайс!$D$8:$E$119,2,0)</f>
        <v>700</v>
      </c>
      <c r="AG32" s="227">
        <f>ROUNDUP(VLOOKUP($C32,Прайс!$D$6:$F$1004,3,0)*VLOOKUP($C$29,Прайс!$D$6:$F$1004,3,0)*AH$16,0)</f>
        <v>1</v>
      </c>
      <c r="AH32" s="226">
        <f t="shared" si="428"/>
        <v>8550.3118978533839</v>
      </c>
      <c r="AI32" s="228">
        <f t="shared" si="429"/>
        <v>700</v>
      </c>
      <c r="AJ32" s="262">
        <f>VLOOKUP($C32,Прайс!$D$8:$E$119,2,0)</f>
        <v>700</v>
      </c>
      <c r="AK32" s="227">
        <f>ROUNDUP(VLOOKUP($C32,Прайс!$D$6:$F$1004,3,0)*VLOOKUP($C$29,Прайс!$D$6:$F$1004,3,0)*AL$16,0)</f>
        <v>1</v>
      </c>
      <c r="AL32" s="226">
        <f t="shared" si="430"/>
        <v>9534.9664601014701</v>
      </c>
      <c r="AM32" s="228">
        <f t="shared" si="431"/>
        <v>700</v>
      </c>
      <c r="AN32" s="262">
        <f>VLOOKUP($C32,Прайс!$D$8:$E$119,2,0)</f>
        <v>700</v>
      </c>
      <c r="AO32" s="227">
        <f>ROUNDUP(VLOOKUP($C32,Прайс!$D$6:$F$1004,3,0)*VLOOKUP($C$29,Прайс!$D$6:$F$1004,3,0)*AP$16,0)</f>
        <v>1</v>
      </c>
      <c r="AP32" s="226">
        <f t="shared" si="432"/>
        <v>10944.721274898202</v>
      </c>
      <c r="AQ32" s="228">
        <f t="shared" si="433"/>
        <v>700</v>
      </c>
      <c r="AR32" s="262">
        <f>VLOOKUP($C32,Прайс!$D$8:$E$119,2,0)</f>
        <v>700</v>
      </c>
      <c r="AS32" s="227">
        <f>ROUNDUP(VLOOKUP($C32,Прайс!$D$6:$F$1004,3,0)*VLOOKUP($C$29,Прайс!$D$6:$F$1004,3,0)*AT$16,0)</f>
        <v>1</v>
      </c>
      <c r="AT32" s="226">
        <f t="shared" si="434"/>
        <v>10844.887124678446</v>
      </c>
      <c r="AU32" s="228">
        <f t="shared" si="435"/>
        <v>700</v>
      </c>
      <c r="AV32" s="262">
        <f>VLOOKUP($C32,Прайс!$D$8:$E$119,2,0)</f>
        <v>700</v>
      </c>
      <c r="AW32" s="227">
        <f>ROUNDUP(VLOOKUP($C32,Прайс!$D$6:$F$1004,3,0)*VLOOKUP($C$29,Прайс!$D$6:$F$1004,3,0)*AX$16,0)</f>
        <v>1</v>
      </c>
      <c r="AX32" s="226">
        <f t="shared" si="436"/>
        <v>12508.252885597947</v>
      </c>
      <c r="AY32" s="228">
        <f t="shared" si="437"/>
        <v>700</v>
      </c>
      <c r="AZ32" s="262">
        <f>VLOOKUP($C32,Прайс!$D$8:$E$119,2,0)</f>
        <v>700</v>
      </c>
      <c r="BA32" s="227">
        <f>ROUNDUP(VLOOKUP($C32,Прайс!$D$6:$F$1004,3,0)*VLOOKUP($C$29,Прайс!$D$6:$F$1004,3,0)*BB$16,0)</f>
        <v>1</v>
      </c>
      <c r="BB32" s="226">
        <f t="shared" si="438"/>
        <v>14302.852247209546</v>
      </c>
      <c r="BC32" s="228">
        <f t="shared" si="439"/>
        <v>700</v>
      </c>
      <c r="BD32" s="262">
        <f>VLOOKUP($C32,Прайс!$D$8:$E$119,2,0)</f>
        <v>700</v>
      </c>
      <c r="BE32" s="227">
        <f>ROUNDUP(VLOOKUP($C32,Прайс!$D$6:$F$1004,3,0)*VLOOKUP($C$29,Прайс!$D$6:$F$1004,3,0)*BF$16,0)</f>
        <v>1</v>
      </c>
      <c r="BF32" s="226">
        <f t="shared" si="440"/>
        <v>14086.276550361847</v>
      </c>
      <c r="BG32" s="228">
        <f t="shared" si="441"/>
        <v>700</v>
      </c>
      <c r="BH32" s="262">
        <f>VLOOKUP($C32,Прайс!$D$8:$E$119,2,0)</f>
        <v>700</v>
      </c>
      <c r="BI32" s="227">
        <f>ROUNDUP(VLOOKUP($C32,Прайс!$D$6:$F$1004,3,0)*VLOOKUP($C$29,Прайс!$D$6:$F$1004,3,0)*BJ$16,0)</f>
        <v>1</v>
      </c>
      <c r="BJ32" s="226">
        <f t="shared" si="442"/>
        <v>14354.379550548778</v>
      </c>
      <c r="BK32" s="228">
        <f t="shared" si="443"/>
        <v>700</v>
      </c>
      <c r="BL32" s="262">
        <f>VLOOKUP($C32,Прайс!$D$8:$E$119,2,0)</f>
        <v>700</v>
      </c>
      <c r="BM32" s="227">
        <f>ROUNDUP(VLOOKUP($C32,Прайс!$D$6:$F$1004,3,0)*VLOOKUP($C$29,Прайс!$D$6:$F$1004,3,0)*BN$16,0)</f>
        <v>1</v>
      </c>
      <c r="BN32" s="226">
        <f t="shared" si="444"/>
        <v>15267.378956590752</v>
      </c>
      <c r="BO32" s="228">
        <f t="shared" si="445"/>
        <v>700</v>
      </c>
      <c r="BP32" s="262">
        <f>VLOOKUP($C32,Прайс!$D$8:$E$119,2,0)</f>
        <v>700</v>
      </c>
      <c r="BQ32" s="227">
        <f>ROUNDUP(VLOOKUP($C32,Прайс!$D$6:$F$1004,3,0)*VLOOKUP($C$29,Прайс!$D$6:$F$1004,3,0)*BR$16,0)</f>
        <v>1</v>
      </c>
      <c r="BR32" s="226">
        <f t="shared" si="446"/>
        <v>14615.236523703625</v>
      </c>
      <c r="BS32" s="228">
        <f t="shared" si="447"/>
        <v>700</v>
      </c>
      <c r="BT32" s="262">
        <f>VLOOKUP($C32,Прайс!$D$8:$E$119,2,0)</f>
        <v>700</v>
      </c>
      <c r="BU32" s="227">
        <f>ROUNDUP(VLOOKUP($C32,Прайс!$D$6:$F$1004,3,0)*VLOOKUP($C$29,Прайс!$D$6:$F$1004,3,0)*BV$16,0)</f>
        <v>1</v>
      </c>
      <c r="BV32" s="226">
        <f t="shared" si="448"/>
        <v>15144.196497045403</v>
      </c>
      <c r="BW32" s="228">
        <f t="shared" si="449"/>
        <v>700</v>
      </c>
      <c r="BX32" s="262">
        <f>VLOOKUP($C32,Прайс!$D$8:$E$119,2,0)</f>
        <v>700</v>
      </c>
      <c r="BY32" s="227">
        <f>ROUNDUP(VLOOKUP($C32,Прайс!$D$6:$F$1004,3,0)*VLOOKUP($C$29,Прайс!$D$6:$F$1004,3,0)*BZ$16,0)</f>
        <v>1</v>
      </c>
      <c r="BZ32" s="226">
        <f t="shared" si="450"/>
        <v>13984.832171912738</v>
      </c>
      <c r="CA32" s="228">
        <f t="shared" si="451"/>
        <v>700</v>
      </c>
      <c r="CB32" s="262">
        <f>VLOOKUP($C32,Прайс!$D$8:$E$119,2,0)</f>
        <v>700</v>
      </c>
      <c r="CC32" s="227">
        <f>ROUNDUP(VLOOKUP($C32,Прайс!$D$6:$F$1004,3,0)*VLOOKUP($C$29,Прайс!$D$6:$F$1004,3,0)*CD$16,0)</f>
        <v>1</v>
      </c>
      <c r="CD32" s="226">
        <f t="shared" si="452"/>
        <v>12825.467846780077</v>
      </c>
      <c r="CE32" s="228">
        <f t="shared" si="453"/>
        <v>700</v>
      </c>
      <c r="CF32" s="262">
        <f>VLOOKUP($C32,Прайс!$D$8:$E$119,2,0)</f>
        <v>700</v>
      </c>
      <c r="CG32" s="227">
        <f>ROUNDUP(VLOOKUP($C32,Прайс!$D$6:$F$1004,3,0)*VLOOKUP($C$29,Прайс!$D$6:$F$1004,3,0)*CH$16,0)</f>
        <v>1</v>
      </c>
      <c r="CH32" s="226">
        <f t="shared" si="454"/>
        <v>13202.26125244819</v>
      </c>
      <c r="CI32" s="228">
        <f t="shared" si="455"/>
        <v>700</v>
      </c>
      <c r="CJ32" s="262">
        <f>VLOOKUP($C32,Прайс!$D$8:$E$119,2,0)</f>
        <v>700</v>
      </c>
      <c r="CK32" s="227">
        <f>ROUNDUP(VLOOKUP($C32,Прайс!$D$6:$F$1004,3,0)*VLOOKUP($C$29,Прайс!$D$6:$F$1004,3,0)*CL$16,0)</f>
        <v>1</v>
      </c>
      <c r="CL32" s="226">
        <f t="shared" si="456"/>
        <v>14071.784496297687</v>
      </c>
      <c r="CM32" s="228">
        <f t="shared" si="457"/>
        <v>700</v>
      </c>
      <c r="CN32" s="262">
        <f>VLOOKUP($C32,Прайс!$D$8:$E$119,2,0)</f>
        <v>700</v>
      </c>
      <c r="CO32" s="227">
        <f>ROUNDUP(VLOOKUP($C32,Прайс!$D$6:$F$1004,3,0)*VLOOKUP($C$29,Прайс!$D$6:$F$1004,3,0)*CP$16,0)</f>
        <v>1</v>
      </c>
      <c r="CP32" s="226">
        <f t="shared" si="458"/>
        <v>13013.864549614131</v>
      </c>
      <c r="CQ32" s="228">
        <f t="shared" si="459"/>
        <v>700</v>
      </c>
      <c r="CR32" s="262">
        <f>VLOOKUP($C32,Прайс!$D$8:$E$119,2,0)</f>
        <v>700</v>
      </c>
      <c r="CS32" s="227">
        <f>ROUNDUP(VLOOKUP($C32,Прайс!$D$6:$F$1004,3,0)*VLOOKUP($C$29,Прайс!$D$6:$F$1004,3,0)*CT$16,0)</f>
        <v>1</v>
      </c>
      <c r="CT32" s="226">
        <f t="shared" si="460"/>
        <v>14071.784496297687</v>
      </c>
      <c r="CU32" s="228">
        <f t="shared" si="461"/>
        <v>700</v>
      </c>
      <c r="CV32" s="262">
        <f>VLOOKUP($C32,Прайс!$D$8:$E$119,2,0)</f>
        <v>700</v>
      </c>
      <c r="CW32" s="227">
        <f>ROUNDUP(VLOOKUP($C32,Прайс!$D$6:$F$1004,3,0)*VLOOKUP($C$29,Прайс!$D$6:$F$1004,3,0)*CX$16,0)</f>
        <v>1</v>
      </c>
      <c r="CX32" s="226">
        <f t="shared" si="462"/>
        <v>15144.196497045399</v>
      </c>
      <c r="CY32" s="228">
        <f t="shared" si="463"/>
        <v>700</v>
      </c>
      <c r="CZ32" s="204"/>
    </row>
    <row r="33" spans="2:104" s="168" customFormat="1" ht="18.75" collapsed="1">
      <c r="B33" s="162"/>
      <c r="C33" s="251" t="s">
        <v>105</v>
      </c>
      <c r="D33" s="260">
        <f>AVERAGE(D34:D45)</f>
        <v>795.83333333333337</v>
      </c>
      <c r="E33" s="243">
        <f>SUM(E34:E45)</f>
        <v>13</v>
      </c>
      <c r="F33" s="242">
        <f>SUM(F34:F45)</f>
        <v>57391.697042374428</v>
      </c>
      <c r="G33" s="244">
        <f>SUM(G34:G45)</f>
        <v>9650</v>
      </c>
      <c r="H33" s="260">
        <f t="shared" ref="H33" si="464">AVERAGE(H34:H45)</f>
        <v>795.83333333333337</v>
      </c>
      <c r="I33" s="243">
        <f t="shared" ref="I33:K33" si="465">SUM(I34:I45)</f>
        <v>13</v>
      </c>
      <c r="J33" s="242">
        <f t="shared" si="465"/>
        <v>64059.019550455065</v>
      </c>
      <c r="K33" s="244">
        <f t="shared" si="465"/>
        <v>9650</v>
      </c>
      <c r="L33" s="260">
        <f t="shared" ref="L33" si="466">AVERAGE(L34:L45)</f>
        <v>795.83333333333337</v>
      </c>
      <c r="M33" s="243">
        <f t="shared" ref="M33:O33" si="467">SUM(M34:M45)</f>
        <v>13</v>
      </c>
      <c r="N33" s="242">
        <f t="shared" si="467"/>
        <v>76157.958170967075</v>
      </c>
      <c r="O33" s="244">
        <f t="shared" si="467"/>
        <v>9650</v>
      </c>
      <c r="P33" s="260">
        <f t="shared" ref="P33" si="468">AVERAGE(P34:P45)</f>
        <v>795.83333333333337</v>
      </c>
      <c r="Q33" s="243">
        <f t="shared" ref="Q33:S33" si="469">SUM(Q34:Q45)</f>
        <v>15</v>
      </c>
      <c r="R33" s="242">
        <f t="shared" si="469"/>
        <v>92573.631133613715</v>
      </c>
      <c r="S33" s="244">
        <f t="shared" si="469"/>
        <v>11050</v>
      </c>
      <c r="T33" s="260">
        <f t="shared" ref="T33" si="470">AVERAGE(T34:T45)</f>
        <v>795.83333333333337</v>
      </c>
      <c r="U33" s="243">
        <f t="shared" ref="U33:W33" si="471">SUM(U34:U45)</f>
        <v>15</v>
      </c>
      <c r="V33" s="242">
        <f t="shared" si="471"/>
        <v>99696.792000978268</v>
      </c>
      <c r="W33" s="244">
        <f t="shared" si="471"/>
        <v>11050</v>
      </c>
      <c r="X33" s="260">
        <f t="shared" ref="X33" si="472">AVERAGE(X34:X45)</f>
        <v>795.83333333333337</v>
      </c>
      <c r="Y33" s="243">
        <f t="shared" ref="Y33:AA33" si="473">SUM(Y34:Y45)</f>
        <v>16</v>
      </c>
      <c r="Z33" s="242">
        <f t="shared" si="473"/>
        <v>114783.39408474883</v>
      </c>
      <c r="AA33" s="244">
        <f t="shared" si="473"/>
        <v>12600</v>
      </c>
      <c r="AB33" s="260">
        <f t="shared" ref="AB33" si="474">AVERAGE(AB34:AB45)</f>
        <v>795.83333333333337</v>
      </c>
      <c r="AC33" s="243">
        <f t="shared" ref="AC33:AE33" si="475">SUM(AC34:AC45)</f>
        <v>17</v>
      </c>
      <c r="AD33" s="242">
        <f t="shared" si="475"/>
        <v>116595.76346503434</v>
      </c>
      <c r="AE33" s="244">
        <f t="shared" si="475"/>
        <v>12700</v>
      </c>
      <c r="AF33" s="260">
        <f t="shared" ref="AF33" si="476">AVERAGE(AF34:AF45)</f>
        <v>795.83333333333337</v>
      </c>
      <c r="AG33" s="243">
        <f t="shared" ref="AG33:AI33" si="477">SUM(AG34:AG45)</f>
        <v>17</v>
      </c>
      <c r="AH33" s="242">
        <f t="shared" si="477"/>
        <v>116650.68374928545</v>
      </c>
      <c r="AI33" s="244">
        <f t="shared" si="477"/>
        <v>12700</v>
      </c>
      <c r="AJ33" s="260">
        <f t="shared" ref="AJ33" si="478">AVERAGE(AJ34:AJ45)</f>
        <v>795.83333333333337</v>
      </c>
      <c r="AK33" s="243">
        <f t="shared" ref="AK33:AM33" si="479">SUM(AK34:AK45)</f>
        <v>19</v>
      </c>
      <c r="AL33" s="242">
        <f t="shared" si="479"/>
        <v>130084.18527709863</v>
      </c>
      <c r="AM33" s="244">
        <f t="shared" si="479"/>
        <v>14100</v>
      </c>
      <c r="AN33" s="260">
        <f t="shared" ref="AN33" si="480">AVERAGE(AN34:AN45)</f>
        <v>795.83333333333337</v>
      </c>
      <c r="AO33" s="243">
        <f t="shared" ref="AO33:AQ33" si="481">SUM(AO34:AO45)</f>
        <v>19</v>
      </c>
      <c r="AP33" s="242">
        <f t="shared" si="481"/>
        <v>149317.26882182551</v>
      </c>
      <c r="AQ33" s="244">
        <f t="shared" si="481"/>
        <v>14100</v>
      </c>
      <c r="AR33" s="260">
        <f t="shared" ref="AR33" si="482">AVERAGE(AR34:AR45)</f>
        <v>795.83333333333337</v>
      </c>
      <c r="AS33" s="243">
        <f t="shared" ref="AS33:AU33" si="483">SUM(AS34:AS45)</f>
        <v>19</v>
      </c>
      <c r="AT33" s="242">
        <f t="shared" si="483"/>
        <v>147955.2457723988</v>
      </c>
      <c r="AU33" s="244">
        <f t="shared" si="483"/>
        <v>14100</v>
      </c>
      <c r="AV33" s="260">
        <f t="shared" ref="AV33" si="484">AVERAGE(AV34:AV45)</f>
        <v>795.83333333333337</v>
      </c>
      <c r="AW33" s="243">
        <f t="shared" ref="AW33:AY33" si="485">SUM(AW34:AW45)</f>
        <v>20</v>
      </c>
      <c r="AX33" s="242">
        <f t="shared" si="485"/>
        <v>170648.30722494342</v>
      </c>
      <c r="AY33" s="244">
        <f t="shared" si="485"/>
        <v>14200</v>
      </c>
      <c r="AZ33" s="260">
        <f t="shared" ref="AZ33" si="486">AVERAGE(AZ34:AZ45)</f>
        <v>795.83333333333337</v>
      </c>
      <c r="BA33" s="243">
        <f t="shared" ref="BA33:BC33" si="487">SUM(BA34:BA45)</f>
        <v>22</v>
      </c>
      <c r="BB33" s="242">
        <f t="shared" si="487"/>
        <v>195131.76994407308</v>
      </c>
      <c r="BC33" s="244">
        <f t="shared" si="487"/>
        <v>15600</v>
      </c>
      <c r="BD33" s="260">
        <f t="shared" ref="BD33" si="488">AVERAGE(BD34:BD45)</f>
        <v>795.83333333333337</v>
      </c>
      <c r="BE33" s="243">
        <f t="shared" ref="BE33:BG33" si="489">SUM(BE34:BE45)</f>
        <v>21</v>
      </c>
      <c r="BF33" s="242">
        <f t="shared" si="489"/>
        <v>192177.05865136522</v>
      </c>
      <c r="BG33" s="244">
        <f t="shared" si="489"/>
        <v>15500</v>
      </c>
      <c r="BH33" s="260">
        <f t="shared" ref="BH33" si="490">AVERAGE(BH34:BH45)</f>
        <v>795.83333333333337</v>
      </c>
      <c r="BI33" s="243">
        <f t="shared" ref="BI33:BK33" si="491">SUM(BI34:BI45)</f>
        <v>22</v>
      </c>
      <c r="BJ33" s="242">
        <f t="shared" si="491"/>
        <v>195834.7495824869</v>
      </c>
      <c r="BK33" s="244">
        <f t="shared" si="491"/>
        <v>15600</v>
      </c>
      <c r="BL33" s="260">
        <f t="shared" ref="BL33" si="492">AVERAGE(BL34:BL45)</f>
        <v>795.83333333333337</v>
      </c>
      <c r="BM33" s="243">
        <f t="shared" ref="BM33:BO33" si="493">SUM(BM34:BM45)</f>
        <v>23</v>
      </c>
      <c r="BN33" s="242">
        <f t="shared" si="493"/>
        <v>208290.67005063099</v>
      </c>
      <c r="BO33" s="244">
        <f t="shared" si="493"/>
        <v>17150</v>
      </c>
      <c r="BP33" s="260">
        <f t="shared" ref="BP33" si="494">AVERAGE(BP34:BP45)</f>
        <v>795.83333333333337</v>
      </c>
      <c r="BQ33" s="243">
        <f t="shared" ref="BQ33:BS33" si="495">SUM(BQ34:BQ45)</f>
        <v>22</v>
      </c>
      <c r="BR33" s="242">
        <f t="shared" si="495"/>
        <v>199393.58400195662</v>
      </c>
      <c r="BS33" s="244">
        <f t="shared" si="495"/>
        <v>15600</v>
      </c>
      <c r="BT33" s="260">
        <f t="shared" ref="BT33" si="496">AVERAGE(BT34:BT45)</f>
        <v>795.83333333333337</v>
      </c>
      <c r="BU33" s="243">
        <f t="shared" ref="BU33:BW33" si="497">SUM(BU34:BU45)</f>
        <v>23</v>
      </c>
      <c r="BV33" s="242">
        <f t="shared" si="497"/>
        <v>206610.10935254802</v>
      </c>
      <c r="BW33" s="244">
        <f t="shared" si="497"/>
        <v>17150</v>
      </c>
      <c r="BX33" s="260">
        <f t="shared" ref="BX33" si="498">AVERAGE(BX34:BX45)</f>
        <v>795.83333333333337</v>
      </c>
      <c r="BY33" s="243">
        <f t="shared" ref="BY33:CA33" si="499">SUM(BY34:BY45)</f>
        <v>21</v>
      </c>
      <c r="BZ33" s="242">
        <f t="shared" si="499"/>
        <v>190793.0674882381</v>
      </c>
      <c r="CA33" s="244">
        <f t="shared" si="499"/>
        <v>15500</v>
      </c>
      <c r="CB33" s="260">
        <f t="shared" ref="CB33" si="500">AVERAGE(CB34:CB45)</f>
        <v>795.83333333333337</v>
      </c>
      <c r="CC33" s="243">
        <f t="shared" ref="CC33:CE33" si="501">SUM(CC34:CC45)</f>
        <v>20</v>
      </c>
      <c r="CD33" s="242">
        <f t="shared" si="501"/>
        <v>174976.0256239282</v>
      </c>
      <c r="CE33" s="244">
        <f t="shared" si="501"/>
        <v>14200</v>
      </c>
      <c r="CF33" s="260">
        <f t="shared" ref="CF33" si="502">AVERAGE(CF34:CF45)</f>
        <v>795.83333333333337</v>
      </c>
      <c r="CG33" s="243">
        <f t="shared" ref="CG33:CI33" si="503">SUM(CG34:CG45)</f>
        <v>21</v>
      </c>
      <c r="CH33" s="242">
        <f t="shared" si="503"/>
        <v>180116.56422982889</v>
      </c>
      <c r="CI33" s="244">
        <f t="shared" si="503"/>
        <v>15500</v>
      </c>
      <c r="CJ33" s="260">
        <f t="shared" ref="CJ33" si="504">AVERAGE(CJ34:CJ45)</f>
        <v>795.83333333333337</v>
      </c>
      <c r="CK33" s="243">
        <f t="shared" ref="CK33:CM33" si="505">SUM(CK34:CK45)</f>
        <v>21</v>
      </c>
      <c r="CL33" s="242">
        <f t="shared" si="505"/>
        <v>191979.34562806127</v>
      </c>
      <c r="CM33" s="244">
        <f t="shared" si="505"/>
        <v>15500</v>
      </c>
      <c r="CN33" s="260">
        <f t="shared" ref="CN33" si="506">AVERAGE(CN34:CN45)</f>
        <v>795.83333333333337</v>
      </c>
      <c r="CO33" s="243">
        <f t="shared" ref="CO33:CQ33" si="507">SUM(CO34:CO45)</f>
        <v>21</v>
      </c>
      <c r="CP33" s="242">
        <f t="shared" si="507"/>
        <v>177546.2949268785</v>
      </c>
      <c r="CQ33" s="244">
        <f t="shared" si="507"/>
        <v>15500</v>
      </c>
      <c r="CR33" s="260">
        <f t="shared" ref="CR33" si="508">AVERAGE(CR34:CR45)</f>
        <v>795.83333333333337</v>
      </c>
      <c r="CS33" s="243">
        <f t="shared" ref="CS33:CU33" si="509">SUM(CS34:CS45)</f>
        <v>21</v>
      </c>
      <c r="CT33" s="242">
        <f t="shared" si="509"/>
        <v>191979.34562806127</v>
      </c>
      <c r="CU33" s="244">
        <f t="shared" si="509"/>
        <v>15500</v>
      </c>
      <c r="CV33" s="260">
        <f t="shared" ref="CV33" si="510">AVERAGE(CV34:CV45)</f>
        <v>795.83333333333337</v>
      </c>
      <c r="CW33" s="243">
        <f t="shared" ref="CW33:CY33" si="511">SUM(CW34:CW45)</f>
        <v>23</v>
      </c>
      <c r="CX33" s="242">
        <f t="shared" si="511"/>
        <v>206610.10935254794</v>
      </c>
      <c r="CY33" s="244">
        <f t="shared" si="511"/>
        <v>17150</v>
      </c>
      <c r="CZ33" s="205"/>
    </row>
    <row r="34" spans="2:104" s="165" customFormat="1" ht="38.25" hidden="1" outlineLevel="1">
      <c r="B34" s="162"/>
      <c r="C34" s="252" t="s">
        <v>263</v>
      </c>
      <c r="D34" s="261">
        <f>VLOOKUP($C34,Прайс!$D$8:$E$119,2,0)</f>
        <v>1300</v>
      </c>
      <c r="E34" s="198">
        <f>ROUNDUP(VLOOKUP($C34,Прайс!$D$6:$F$1004,3,0)*VLOOKUP($C$33,Прайс!$D$6:$F$1004,3,0)*F$16,0)</f>
        <v>1</v>
      </c>
      <c r="F34" s="197">
        <f t="shared" ref="F34:F45" si="512">F$17*$D34/SUM($D$20:$D$22,$D$24:$D$28,$D$30:$D$32,$D$34:$D$45,$D$48:$D$51,$D$53:$D$56)</f>
        <v>7812.4823199043731</v>
      </c>
      <c r="G34" s="224">
        <f t="shared" ref="G34:G45" si="513">D34*E34</f>
        <v>1300</v>
      </c>
      <c r="H34" s="261">
        <f>VLOOKUP($C34,Прайс!$D$8:$E$119,2,0)</f>
        <v>1300</v>
      </c>
      <c r="I34" s="198">
        <f>ROUNDUP(VLOOKUP($C34,Прайс!$D$6:$F$1004,3,0)*VLOOKUP($C$33,Прайс!$D$6:$F$1004,3,0)*J$16,0)</f>
        <v>1</v>
      </c>
      <c r="J34" s="197">
        <f t="shared" ref="J34:J45" si="514">J$17*$D34/SUM($D$20:$D$22,$D$24:$D$28,$D$30:$D$32,$D$34:$D$45,$D$48:$D$51,$D$53:$D$56)</f>
        <v>8720.0759597478082</v>
      </c>
      <c r="K34" s="224">
        <f t="shared" ref="K34:K45" si="515">H34*I34</f>
        <v>1300</v>
      </c>
      <c r="L34" s="261">
        <f>VLOOKUP($C34,Прайс!$D$8:$E$119,2,0)</f>
        <v>1300</v>
      </c>
      <c r="M34" s="198">
        <f>ROUNDUP(VLOOKUP($C34,Прайс!$D$6:$F$1004,3,0)*VLOOKUP($C$33,Прайс!$D$6:$F$1004,3,0)*N$16,0)</f>
        <v>1</v>
      </c>
      <c r="N34" s="197">
        <f t="shared" ref="N34:N45" si="516">N$17*$D34/SUM($D$20:$D$22,$D$24:$D$28,$D$30:$D$32,$D$34:$D$45,$D$48:$D$51,$D$53:$D$56)</f>
        <v>10367.051897618558</v>
      </c>
      <c r="O34" s="224">
        <f t="shared" ref="O34:O45" si="517">L34*M34</f>
        <v>1300</v>
      </c>
      <c r="P34" s="261">
        <f>VLOOKUP($C34,Прайс!$D$8:$E$119,2,0)</f>
        <v>1300</v>
      </c>
      <c r="Q34" s="198">
        <f>ROUNDUP(VLOOKUP($C34,Прайс!$D$6:$F$1004,3,0)*VLOOKUP($C$33,Прайс!$D$6:$F$1004,3,0)*R$16,0)</f>
        <v>2</v>
      </c>
      <c r="R34" s="197">
        <f t="shared" ref="R34:R45" si="518">R$17*$D34/SUM($D$20:$D$22,$D$24:$D$28,$D$30:$D$32,$D$34:$D$45,$D$48:$D$51,$D$53:$D$56)</f>
        <v>12601.646122900296</v>
      </c>
      <c r="S34" s="224">
        <f t="shared" ref="S34:S45" si="519">P34*Q34</f>
        <v>2600</v>
      </c>
      <c r="T34" s="261">
        <f>VLOOKUP($C34,Прайс!$D$8:$E$119,2,0)</f>
        <v>1300</v>
      </c>
      <c r="U34" s="198">
        <f>ROUNDUP(VLOOKUP($C34,Прайс!$D$6:$F$1004,3,0)*VLOOKUP($C$33,Прайс!$D$6:$F$1004,3,0)*V$16,0)</f>
        <v>2</v>
      </c>
      <c r="V34" s="197">
        <f t="shared" ref="V34:V45" si="520">V$17*$D34/SUM($D$20:$D$22,$D$24:$D$28,$D$30:$D$32,$D$34:$D$45,$D$48:$D$51,$D$53:$D$56)</f>
        <v>13571.291057724791</v>
      </c>
      <c r="W34" s="224">
        <f t="shared" ref="W34:W45" si="521">T34*U34</f>
        <v>2600</v>
      </c>
      <c r="X34" s="261">
        <f>VLOOKUP($C34,Прайс!$D$8:$E$119,2,0)</f>
        <v>1300</v>
      </c>
      <c r="Y34" s="198">
        <f>ROUNDUP(VLOOKUP($C34,Прайс!$D$6:$F$1004,3,0)*VLOOKUP($C$33,Прайс!$D$6:$F$1004,3,0)*Z$16,0)</f>
        <v>2</v>
      </c>
      <c r="Z34" s="197">
        <f t="shared" ref="Z34:Z45" si="522">Z$17*$D34/SUM($D$20:$D$22,$D$24:$D$28,$D$30:$D$32,$D$34:$D$45,$D$48:$D$51,$D$53:$D$56)</f>
        <v>15624.964639808741</v>
      </c>
      <c r="AA34" s="224">
        <f t="shared" ref="AA34:AA45" si="523">X34*Y34</f>
        <v>2600</v>
      </c>
      <c r="AB34" s="261">
        <f>VLOOKUP($C34,Прайс!$D$8:$E$119,2,0)</f>
        <v>1300</v>
      </c>
      <c r="AC34" s="198">
        <f>ROUNDUP(VLOOKUP($C34,Прайс!$D$6:$F$1004,3,0)*VLOOKUP($C$33,Прайс!$D$6:$F$1004,3,0)*AD$16,0)</f>
        <v>2</v>
      </c>
      <c r="AD34" s="197">
        <f t="shared" ref="AD34:AD45" si="524">AD$17*$D34/SUM($D$20:$D$22,$D$24:$D$28,$D$30:$D$32,$D$34:$D$45,$D$48:$D$51,$D$53:$D$56)</f>
        <v>15871.674607805724</v>
      </c>
      <c r="AE34" s="224">
        <f t="shared" ref="AE34:AE45" si="525">AB34*AC34</f>
        <v>2600</v>
      </c>
      <c r="AF34" s="261">
        <f>VLOOKUP($C34,Прайс!$D$8:$E$119,2,0)</f>
        <v>1300</v>
      </c>
      <c r="AG34" s="198">
        <f>ROUNDUP(VLOOKUP($C34,Прайс!$D$6:$F$1004,3,0)*VLOOKUP($C$33,Прайс!$D$6:$F$1004,3,0)*AH$16,0)</f>
        <v>2</v>
      </c>
      <c r="AH34" s="197">
        <f t="shared" ref="AH34:AH45" si="526">AH$17*$D34/SUM($D$20:$D$22,$D$24:$D$28,$D$30:$D$32,$D$34:$D$45,$D$48:$D$51,$D$53:$D$56)</f>
        <v>15879.150667441996</v>
      </c>
      <c r="AI34" s="224">
        <f t="shared" ref="AI34:AI45" si="527">AF34*AG34</f>
        <v>2600</v>
      </c>
      <c r="AJ34" s="261">
        <f>VLOOKUP($C34,Прайс!$D$8:$E$119,2,0)</f>
        <v>1300</v>
      </c>
      <c r="AK34" s="198">
        <f>ROUNDUP(VLOOKUP($C34,Прайс!$D$6:$F$1004,3,0)*VLOOKUP($C$33,Прайс!$D$6:$F$1004,3,0)*AL$16,0)</f>
        <v>2</v>
      </c>
      <c r="AL34" s="197">
        <f t="shared" ref="AL34:AL45" si="528">AL$17*$D34/SUM($D$20:$D$22,$D$24:$D$28,$D$30:$D$32,$D$34:$D$45,$D$48:$D$51,$D$53:$D$56)</f>
        <v>17707.794854474159</v>
      </c>
      <c r="AM34" s="224">
        <f t="shared" ref="AM34:AM45" si="529">AJ34*AK34</f>
        <v>2600</v>
      </c>
      <c r="AN34" s="261">
        <f>VLOOKUP($C34,Прайс!$D$8:$E$119,2,0)</f>
        <v>1300</v>
      </c>
      <c r="AO34" s="198">
        <f>ROUNDUP(VLOOKUP($C34,Прайс!$D$6:$F$1004,3,0)*VLOOKUP($C$33,Прайс!$D$6:$F$1004,3,0)*AP$16,0)</f>
        <v>2</v>
      </c>
      <c r="AP34" s="197">
        <f t="shared" ref="AP34:AP45" si="530">AP$17*$D34/SUM($D$20:$D$22,$D$24:$D$28,$D$30:$D$32,$D$34:$D$45,$D$48:$D$51,$D$53:$D$56)</f>
        <v>20325.910939096662</v>
      </c>
      <c r="AQ34" s="224">
        <f t="shared" ref="AQ34:AQ45" si="531">AN34*AO34</f>
        <v>2600</v>
      </c>
      <c r="AR34" s="261">
        <f>VLOOKUP($C34,Прайс!$D$8:$E$119,2,0)</f>
        <v>1300</v>
      </c>
      <c r="AS34" s="198">
        <f>ROUNDUP(VLOOKUP($C34,Прайс!$D$6:$F$1004,3,0)*VLOOKUP($C$33,Прайс!$D$6:$F$1004,3,0)*AT$16,0)</f>
        <v>2</v>
      </c>
      <c r="AT34" s="197">
        <f t="shared" ref="AT34:AT45" si="532">AT$17*$D34/SUM($D$20:$D$22,$D$24:$D$28,$D$30:$D$32,$D$34:$D$45,$D$48:$D$51,$D$53:$D$56)</f>
        <v>20140.504660117113</v>
      </c>
      <c r="AU34" s="224">
        <f t="shared" ref="AU34:AU45" si="533">AR34*AS34</f>
        <v>2600</v>
      </c>
      <c r="AV34" s="261">
        <f>VLOOKUP($C34,Прайс!$D$8:$E$119,2,0)</f>
        <v>1300</v>
      </c>
      <c r="AW34" s="198">
        <f>ROUNDUP(VLOOKUP($C34,Прайс!$D$6:$F$1004,3,0)*VLOOKUP($C$33,Прайс!$D$6:$F$1004,3,0)*AX$16,0)</f>
        <v>2</v>
      </c>
      <c r="AX34" s="197">
        <f t="shared" ref="AX34:AX45" si="534">AX$17*$D34/SUM($D$20:$D$22,$D$24:$D$28,$D$30:$D$32,$D$34:$D$45,$D$48:$D$51,$D$53:$D$56)</f>
        <v>23229.612501824759</v>
      </c>
      <c r="AY34" s="224">
        <f t="shared" ref="AY34:AY45" si="535">AV34*AW34</f>
        <v>2600</v>
      </c>
      <c r="AZ34" s="261">
        <f>VLOOKUP($C34,Прайс!$D$8:$E$119,2,0)</f>
        <v>1300</v>
      </c>
      <c r="BA34" s="198">
        <f>ROUNDUP(VLOOKUP($C34,Прайс!$D$6:$F$1004,3,0)*VLOOKUP($C$33,Прайс!$D$6:$F$1004,3,0)*BB$16,0)</f>
        <v>3</v>
      </c>
      <c r="BB34" s="197">
        <f t="shared" ref="BB34:BB45" si="536">BB$17*$D34/SUM($D$20:$D$22,$D$24:$D$28,$D$30:$D$32,$D$34:$D$45,$D$48:$D$51,$D$53:$D$56)</f>
        <v>26562.439887674871</v>
      </c>
      <c r="BC34" s="224">
        <f t="shared" ref="BC34:BC45" si="537">AZ34*BA34</f>
        <v>3900</v>
      </c>
      <c r="BD34" s="261">
        <f>VLOOKUP($C34,Прайс!$D$8:$E$119,2,0)</f>
        <v>1300</v>
      </c>
      <c r="BE34" s="198">
        <f>ROUNDUP(VLOOKUP($C34,Прайс!$D$6:$F$1004,3,0)*VLOOKUP($C$33,Прайс!$D$6:$F$1004,3,0)*BF$16,0)</f>
        <v>3</v>
      </c>
      <c r="BF34" s="197">
        <f t="shared" ref="BF34:BF45" si="538">BF$17*$D34/SUM($D$20:$D$22,$D$24:$D$28,$D$30:$D$32,$D$34:$D$45,$D$48:$D$51,$D$53:$D$56)</f>
        <v>26160.227879243434</v>
      </c>
      <c r="BG34" s="224">
        <f t="shared" ref="BG34:BG45" si="539">BD34*BE34</f>
        <v>3900</v>
      </c>
      <c r="BH34" s="261">
        <f>VLOOKUP($C34,Прайс!$D$8:$E$119,2,0)</f>
        <v>1300</v>
      </c>
      <c r="BI34" s="198">
        <f>ROUNDUP(VLOOKUP($C34,Прайс!$D$6:$F$1004,3,0)*VLOOKUP($C$33,Прайс!$D$6:$F$1004,3,0)*BJ$16,0)</f>
        <v>3</v>
      </c>
      <c r="BJ34" s="197">
        <f t="shared" ref="BJ34:BJ45" si="540">BJ$17*$D34/SUM($D$20:$D$22,$D$24:$D$28,$D$30:$D$32,$D$34:$D$45,$D$48:$D$51,$D$53:$D$56)</f>
        <v>26658.133451019159</v>
      </c>
      <c r="BK34" s="224">
        <f t="shared" ref="BK34:BK45" si="541">BH34*BI34</f>
        <v>3900</v>
      </c>
      <c r="BL34" s="261">
        <f>VLOOKUP($C34,Прайс!$D$8:$E$119,2,0)</f>
        <v>1300</v>
      </c>
      <c r="BM34" s="198">
        <f>ROUNDUP(VLOOKUP($C34,Прайс!$D$6:$F$1004,3,0)*VLOOKUP($C$33,Прайс!$D$6:$F$1004,3,0)*BN$16,0)</f>
        <v>3</v>
      </c>
      <c r="BN34" s="197">
        <f t="shared" ref="BN34:BN45" si="542">BN$17*$D34/SUM($D$20:$D$22,$D$24:$D$28,$D$30:$D$32,$D$34:$D$45,$D$48:$D$51,$D$53:$D$56)</f>
        <v>28353.703776525679</v>
      </c>
      <c r="BO34" s="224">
        <f t="shared" ref="BO34:BO45" si="543">BL34*BM34</f>
        <v>3900</v>
      </c>
      <c r="BP34" s="261">
        <f>VLOOKUP($C34,Прайс!$D$8:$E$119,2,0)</f>
        <v>1300</v>
      </c>
      <c r="BQ34" s="198">
        <f>ROUNDUP(VLOOKUP($C34,Прайс!$D$6:$F$1004,3,0)*VLOOKUP($C$33,Прайс!$D$6:$F$1004,3,0)*BR$16,0)</f>
        <v>3</v>
      </c>
      <c r="BR34" s="197">
        <f t="shared" ref="BR34:BR45" si="544">BR$17*$D34/SUM($D$20:$D$22,$D$24:$D$28,$D$30:$D$32,$D$34:$D$45,$D$48:$D$51,$D$53:$D$56)</f>
        <v>27142.58211544959</v>
      </c>
      <c r="BS34" s="224">
        <f t="shared" ref="BS34:BS45" si="545">BP34*BQ34</f>
        <v>3900</v>
      </c>
      <c r="BT34" s="261">
        <f>VLOOKUP($C34,Прайс!$D$8:$E$119,2,0)</f>
        <v>1300</v>
      </c>
      <c r="BU34" s="198">
        <f>ROUNDUP(VLOOKUP($C34,Прайс!$D$6:$F$1004,3,0)*VLOOKUP($C$33,Прайс!$D$6:$F$1004,3,0)*BV$16,0)</f>
        <v>3</v>
      </c>
      <c r="BV34" s="197">
        <f t="shared" ref="BV34:BV45" si="546">BV$17*$D34/SUM($D$20:$D$22,$D$24:$D$28,$D$30:$D$32,$D$34:$D$45,$D$48:$D$51,$D$53:$D$56)</f>
        <v>28124.936351655746</v>
      </c>
      <c r="BW34" s="224">
        <f t="shared" ref="BW34:BW45" si="547">BT34*BU34</f>
        <v>3900</v>
      </c>
      <c r="BX34" s="261">
        <f>VLOOKUP($C34,Прайс!$D$8:$E$119,2,0)</f>
        <v>1300</v>
      </c>
      <c r="BY34" s="198">
        <f>ROUNDUP(VLOOKUP($C34,Прайс!$D$6:$F$1004,3,0)*VLOOKUP($C$33,Прайс!$D$6:$F$1004,3,0)*BZ$16,0)</f>
        <v>3</v>
      </c>
      <c r="BZ34" s="197">
        <f t="shared" ref="BZ34:BZ45" si="548">BZ$17*$D34/SUM($D$20:$D$22,$D$24:$D$28,$D$30:$D$32,$D$34:$D$45,$D$48:$D$51,$D$53:$D$56)</f>
        <v>25971.831176409371</v>
      </c>
      <c r="CA34" s="224">
        <f t="shared" ref="CA34:CA45" si="549">BX34*BY34</f>
        <v>3900</v>
      </c>
      <c r="CB34" s="261">
        <f>VLOOKUP($C34,Прайс!$D$8:$E$119,2,0)</f>
        <v>1300</v>
      </c>
      <c r="CC34" s="198">
        <f>ROUNDUP(VLOOKUP($C34,Прайс!$D$6:$F$1004,3,0)*VLOOKUP($C$33,Прайс!$D$6:$F$1004,3,0)*CD$16,0)</f>
        <v>2</v>
      </c>
      <c r="CD34" s="197">
        <f t="shared" ref="CD34:CD45" si="550">CD$17*$D34/SUM($D$20:$D$22,$D$24:$D$28,$D$30:$D$32,$D$34:$D$45,$D$48:$D$51,$D$53:$D$56)</f>
        <v>23818.726001162999</v>
      </c>
      <c r="CE34" s="224">
        <f t="shared" ref="CE34:CE45" si="551">CB34*CC34</f>
        <v>2600</v>
      </c>
      <c r="CF34" s="261">
        <f>VLOOKUP($C34,Прайс!$D$8:$E$119,2,0)</f>
        <v>1300</v>
      </c>
      <c r="CG34" s="198">
        <f>ROUNDUP(VLOOKUP($C34,Прайс!$D$6:$F$1004,3,0)*VLOOKUP($C$33,Прайс!$D$6:$F$1004,3,0)*CH$16,0)</f>
        <v>3</v>
      </c>
      <c r="CH34" s="197">
        <f t="shared" ref="CH34:CH45" si="552">CH$17*$D34/SUM($D$20:$D$22,$D$24:$D$28,$D$30:$D$32,$D$34:$D$45,$D$48:$D$51,$D$53:$D$56)</f>
        <v>24518.485183118068</v>
      </c>
      <c r="CI34" s="224">
        <f t="shared" ref="CI34:CI45" si="553">CF34*CG34</f>
        <v>3900</v>
      </c>
      <c r="CJ34" s="261">
        <f>VLOOKUP($C34,Прайс!$D$8:$E$119,2,0)</f>
        <v>1300</v>
      </c>
      <c r="CK34" s="198">
        <f>ROUNDUP(VLOOKUP($C34,Прайс!$D$6:$F$1004,3,0)*VLOOKUP($C$33,Прайс!$D$6:$F$1004,3,0)*CL$16,0)</f>
        <v>3</v>
      </c>
      <c r="CL34" s="197">
        <f t="shared" ref="CL34:CL45" si="554">CL$17*$D34/SUM($D$20:$D$22,$D$24:$D$28,$D$30:$D$32,$D$34:$D$45,$D$48:$D$51,$D$53:$D$56)</f>
        <v>26133.314064552847</v>
      </c>
      <c r="CM34" s="224">
        <f t="shared" ref="CM34:CM45" si="555">CJ34*CK34</f>
        <v>3900</v>
      </c>
      <c r="CN34" s="261">
        <f>VLOOKUP($C34,Прайс!$D$8:$E$119,2,0)</f>
        <v>1300</v>
      </c>
      <c r="CO34" s="198">
        <f>ROUNDUP(VLOOKUP($C34,Прайс!$D$6:$F$1004,3,0)*VLOOKUP($C$33,Прайс!$D$6:$F$1004,3,0)*CP$16,0)</f>
        <v>3</v>
      </c>
      <c r="CP34" s="197">
        <f t="shared" ref="CP34:CP45" si="556">CP$17*$D34/SUM($D$20:$D$22,$D$24:$D$28,$D$30:$D$32,$D$34:$D$45,$D$48:$D$51,$D$53:$D$56)</f>
        <v>24168.605592140531</v>
      </c>
      <c r="CQ34" s="224">
        <f t="shared" ref="CQ34:CQ45" si="557">CN34*CO34</f>
        <v>3900</v>
      </c>
      <c r="CR34" s="261">
        <f>VLOOKUP($C34,Прайс!$D$8:$E$119,2,0)</f>
        <v>1300</v>
      </c>
      <c r="CS34" s="198">
        <f>ROUNDUP(VLOOKUP($C34,Прайс!$D$6:$F$1004,3,0)*VLOOKUP($C$33,Прайс!$D$6:$F$1004,3,0)*CT$16,0)</f>
        <v>3</v>
      </c>
      <c r="CT34" s="197">
        <f t="shared" ref="CT34:CT45" si="558">CT$17*$D34/SUM($D$20:$D$22,$D$24:$D$28,$D$30:$D$32,$D$34:$D$45,$D$48:$D$51,$D$53:$D$56)</f>
        <v>26133.314064552847</v>
      </c>
      <c r="CU34" s="224">
        <f t="shared" ref="CU34:CU45" si="559">CR34*CS34</f>
        <v>3900</v>
      </c>
      <c r="CV34" s="261">
        <f>VLOOKUP($C34,Прайс!$D$8:$E$119,2,0)</f>
        <v>1300</v>
      </c>
      <c r="CW34" s="198">
        <f>ROUNDUP(VLOOKUP($C34,Прайс!$D$6:$F$1004,3,0)*VLOOKUP($C$33,Прайс!$D$6:$F$1004,3,0)*CX$16,0)</f>
        <v>3</v>
      </c>
      <c r="CX34" s="197">
        <f t="shared" ref="CX34:CX45" si="560">CX$17*$D34/SUM($D$20:$D$22,$D$24:$D$28,$D$30:$D$32,$D$34:$D$45,$D$48:$D$51,$D$53:$D$56)</f>
        <v>28124.936351655746</v>
      </c>
      <c r="CY34" s="224">
        <f t="shared" ref="CY34:CY45" si="561">CV34*CW34</f>
        <v>3900</v>
      </c>
      <c r="CZ34" s="204"/>
    </row>
    <row r="35" spans="2:104" s="165" customFormat="1" ht="38.25" hidden="1" outlineLevel="1">
      <c r="B35" s="162"/>
      <c r="C35" s="252" t="s">
        <v>264</v>
      </c>
      <c r="D35" s="261">
        <f>VLOOKUP($C35,Прайс!$D$8:$E$119,2,0)</f>
        <v>1100</v>
      </c>
      <c r="E35" s="198">
        <f>ROUNDUP(VLOOKUP($C35,Прайс!$D$6:$F$1004,3,0)*VLOOKUP($C$33,Прайс!$D$6:$F$1004,3,0)*F$16,0)</f>
        <v>1</v>
      </c>
      <c r="F35" s="197">
        <f t="shared" si="512"/>
        <v>6610.5619629960074</v>
      </c>
      <c r="G35" s="224">
        <f t="shared" si="513"/>
        <v>1100</v>
      </c>
      <c r="H35" s="261">
        <f>VLOOKUP($C35,Прайс!$D$8:$E$119,2,0)</f>
        <v>1100</v>
      </c>
      <c r="I35" s="198">
        <f>ROUNDUP(VLOOKUP($C35,Прайс!$D$6:$F$1004,3,0)*VLOOKUP($C$33,Прайс!$D$6:$F$1004,3,0)*J$16,0)</f>
        <v>1</v>
      </c>
      <c r="J35" s="197">
        <f t="shared" si="514"/>
        <v>7378.5258120943008</v>
      </c>
      <c r="K35" s="224">
        <f t="shared" si="515"/>
        <v>1100</v>
      </c>
      <c r="L35" s="261">
        <f>VLOOKUP($C35,Прайс!$D$8:$E$119,2,0)</f>
        <v>1100</v>
      </c>
      <c r="M35" s="198">
        <f>ROUNDUP(VLOOKUP($C35,Прайс!$D$6:$F$1004,3,0)*VLOOKUP($C$33,Прайс!$D$6:$F$1004,3,0)*N$16,0)</f>
        <v>1</v>
      </c>
      <c r="N35" s="197">
        <f t="shared" si="516"/>
        <v>8772.120836446471</v>
      </c>
      <c r="O35" s="224">
        <f t="shared" si="517"/>
        <v>1100</v>
      </c>
      <c r="P35" s="261">
        <f>VLOOKUP($C35,Прайс!$D$8:$E$119,2,0)</f>
        <v>1100</v>
      </c>
      <c r="Q35" s="198">
        <f>ROUNDUP(VLOOKUP($C35,Прайс!$D$6:$F$1004,3,0)*VLOOKUP($C$33,Прайс!$D$6:$F$1004,3,0)*R$16,0)</f>
        <v>1</v>
      </c>
      <c r="R35" s="197">
        <f t="shared" si="518"/>
        <v>10662.93133476179</v>
      </c>
      <c r="S35" s="224">
        <f t="shared" si="519"/>
        <v>1100</v>
      </c>
      <c r="T35" s="261">
        <f>VLOOKUP($C35,Прайс!$D$8:$E$119,2,0)</f>
        <v>1100</v>
      </c>
      <c r="U35" s="198">
        <f>ROUNDUP(VLOOKUP($C35,Прайс!$D$6:$F$1004,3,0)*VLOOKUP($C$33,Прайс!$D$6:$F$1004,3,0)*V$16,0)</f>
        <v>1</v>
      </c>
      <c r="V35" s="197">
        <f t="shared" si="520"/>
        <v>11483.400125767132</v>
      </c>
      <c r="W35" s="224">
        <f t="shared" si="521"/>
        <v>1100</v>
      </c>
      <c r="X35" s="261">
        <f>VLOOKUP($C35,Прайс!$D$8:$E$119,2,0)</f>
        <v>1100</v>
      </c>
      <c r="Y35" s="198">
        <f>ROUNDUP(VLOOKUP($C35,Прайс!$D$6:$F$1004,3,0)*VLOOKUP($C$33,Прайс!$D$6:$F$1004,3,0)*Z$16,0)</f>
        <v>1</v>
      </c>
      <c r="Z35" s="197">
        <f t="shared" si="522"/>
        <v>13221.123925992011</v>
      </c>
      <c r="AA35" s="224">
        <f t="shared" si="523"/>
        <v>1100</v>
      </c>
      <c r="AB35" s="261">
        <f>VLOOKUP($C35,Прайс!$D$8:$E$119,2,0)</f>
        <v>1100</v>
      </c>
      <c r="AC35" s="198">
        <f>ROUNDUP(VLOOKUP($C35,Прайс!$D$6:$F$1004,3,0)*VLOOKUP($C$33,Прайс!$D$6:$F$1004,3,0)*AD$16,0)</f>
        <v>1</v>
      </c>
      <c r="AD35" s="197">
        <f t="shared" si="524"/>
        <v>13429.87851429715</v>
      </c>
      <c r="AE35" s="224">
        <f t="shared" si="525"/>
        <v>1100</v>
      </c>
      <c r="AF35" s="261">
        <f>VLOOKUP($C35,Прайс!$D$8:$E$119,2,0)</f>
        <v>1100</v>
      </c>
      <c r="AG35" s="198">
        <f>ROUNDUP(VLOOKUP($C35,Прайс!$D$6:$F$1004,3,0)*VLOOKUP($C$33,Прайс!$D$6:$F$1004,3,0)*AH$16,0)</f>
        <v>1</v>
      </c>
      <c r="AH35" s="197">
        <f t="shared" si="526"/>
        <v>13436.20441091246</v>
      </c>
      <c r="AI35" s="224">
        <f t="shared" si="527"/>
        <v>1100</v>
      </c>
      <c r="AJ35" s="261">
        <f>VLOOKUP($C35,Прайс!$D$8:$E$119,2,0)</f>
        <v>1100</v>
      </c>
      <c r="AK35" s="198">
        <f>ROUNDUP(VLOOKUP($C35,Прайс!$D$6:$F$1004,3,0)*VLOOKUP($C$33,Прайс!$D$6:$F$1004,3,0)*AL$16,0)</f>
        <v>1</v>
      </c>
      <c r="AL35" s="197">
        <f t="shared" si="528"/>
        <v>14983.518723016598</v>
      </c>
      <c r="AM35" s="224">
        <f t="shared" si="529"/>
        <v>1100</v>
      </c>
      <c r="AN35" s="261">
        <f>VLOOKUP($C35,Прайс!$D$8:$E$119,2,0)</f>
        <v>1100</v>
      </c>
      <c r="AO35" s="198">
        <f>ROUNDUP(VLOOKUP($C35,Прайс!$D$6:$F$1004,3,0)*VLOOKUP($C$33,Прайс!$D$6:$F$1004,3,0)*AP$16,0)</f>
        <v>1</v>
      </c>
      <c r="AP35" s="197">
        <f t="shared" si="530"/>
        <v>17198.847717697176</v>
      </c>
      <c r="AQ35" s="224">
        <f t="shared" si="531"/>
        <v>1100</v>
      </c>
      <c r="AR35" s="261">
        <f>VLOOKUP($C35,Прайс!$D$8:$E$119,2,0)</f>
        <v>1100</v>
      </c>
      <c r="AS35" s="198">
        <f>ROUNDUP(VLOOKUP($C35,Прайс!$D$6:$F$1004,3,0)*VLOOKUP($C$33,Прайс!$D$6:$F$1004,3,0)*AT$16,0)</f>
        <v>1</v>
      </c>
      <c r="AT35" s="197">
        <f t="shared" si="532"/>
        <v>17041.965481637559</v>
      </c>
      <c r="AU35" s="224">
        <f t="shared" si="533"/>
        <v>1100</v>
      </c>
      <c r="AV35" s="261">
        <f>VLOOKUP($C35,Прайс!$D$8:$E$119,2,0)</f>
        <v>1100</v>
      </c>
      <c r="AW35" s="198">
        <f>ROUNDUP(VLOOKUP($C35,Прайс!$D$6:$F$1004,3,0)*VLOOKUP($C$33,Прайс!$D$6:$F$1004,3,0)*AX$16,0)</f>
        <v>1</v>
      </c>
      <c r="AX35" s="197">
        <f t="shared" si="534"/>
        <v>19655.82596308249</v>
      </c>
      <c r="AY35" s="224">
        <f t="shared" si="535"/>
        <v>1100</v>
      </c>
      <c r="AZ35" s="261">
        <f>VLOOKUP($C35,Прайс!$D$8:$E$119,2,0)</f>
        <v>1100</v>
      </c>
      <c r="BA35" s="198">
        <f>ROUNDUP(VLOOKUP($C35,Прайс!$D$6:$F$1004,3,0)*VLOOKUP($C$33,Прайс!$D$6:$F$1004,3,0)*BB$16,0)</f>
        <v>1</v>
      </c>
      <c r="BB35" s="197">
        <f t="shared" si="536"/>
        <v>22475.910674186431</v>
      </c>
      <c r="BC35" s="224">
        <f t="shared" si="537"/>
        <v>1100</v>
      </c>
      <c r="BD35" s="261">
        <f>VLOOKUP($C35,Прайс!$D$8:$E$119,2,0)</f>
        <v>1100</v>
      </c>
      <c r="BE35" s="198">
        <f>ROUNDUP(VLOOKUP($C35,Прайс!$D$6:$F$1004,3,0)*VLOOKUP($C$33,Прайс!$D$6:$F$1004,3,0)*BF$16,0)</f>
        <v>1</v>
      </c>
      <c r="BF35" s="197">
        <f t="shared" si="538"/>
        <v>22135.577436282903</v>
      </c>
      <c r="BG35" s="224">
        <f t="shared" si="539"/>
        <v>1100</v>
      </c>
      <c r="BH35" s="261">
        <f>VLOOKUP($C35,Прайс!$D$8:$E$119,2,0)</f>
        <v>1100</v>
      </c>
      <c r="BI35" s="198">
        <f>ROUNDUP(VLOOKUP($C35,Прайс!$D$6:$F$1004,3,0)*VLOOKUP($C$33,Прайс!$D$6:$F$1004,3,0)*BJ$16,0)</f>
        <v>1</v>
      </c>
      <c r="BJ35" s="197">
        <f t="shared" si="540"/>
        <v>22556.882150862366</v>
      </c>
      <c r="BK35" s="224">
        <f t="shared" si="541"/>
        <v>1100</v>
      </c>
      <c r="BL35" s="261">
        <f>VLOOKUP($C35,Прайс!$D$8:$E$119,2,0)</f>
        <v>1100</v>
      </c>
      <c r="BM35" s="198">
        <f>ROUNDUP(VLOOKUP($C35,Прайс!$D$6:$F$1004,3,0)*VLOOKUP($C$33,Прайс!$D$6:$F$1004,3,0)*BN$16,0)</f>
        <v>1</v>
      </c>
      <c r="BN35" s="197">
        <f t="shared" si="542"/>
        <v>23991.595503214037</v>
      </c>
      <c r="BO35" s="224">
        <f t="shared" si="543"/>
        <v>1100</v>
      </c>
      <c r="BP35" s="261">
        <f>VLOOKUP($C35,Прайс!$D$8:$E$119,2,0)</f>
        <v>1100</v>
      </c>
      <c r="BQ35" s="198">
        <f>ROUNDUP(VLOOKUP($C35,Прайс!$D$6:$F$1004,3,0)*VLOOKUP($C$33,Прайс!$D$6:$F$1004,3,0)*BR$16,0)</f>
        <v>1</v>
      </c>
      <c r="BR35" s="197">
        <f t="shared" si="544"/>
        <v>22966.800251534271</v>
      </c>
      <c r="BS35" s="224">
        <f t="shared" si="545"/>
        <v>1100</v>
      </c>
      <c r="BT35" s="261">
        <f>VLOOKUP($C35,Прайс!$D$8:$E$119,2,0)</f>
        <v>1100</v>
      </c>
      <c r="BU35" s="198">
        <f>ROUNDUP(VLOOKUP($C35,Прайс!$D$6:$F$1004,3,0)*VLOOKUP($C$33,Прайс!$D$6:$F$1004,3,0)*BV$16,0)</f>
        <v>1</v>
      </c>
      <c r="BV35" s="197">
        <f t="shared" si="546"/>
        <v>23798.02306678563</v>
      </c>
      <c r="BW35" s="224">
        <f t="shared" si="547"/>
        <v>1100</v>
      </c>
      <c r="BX35" s="261">
        <f>VLOOKUP($C35,Прайс!$D$8:$E$119,2,0)</f>
        <v>1100</v>
      </c>
      <c r="BY35" s="198">
        <f>ROUNDUP(VLOOKUP($C35,Прайс!$D$6:$F$1004,3,0)*VLOOKUP($C$33,Прайс!$D$6:$F$1004,3,0)*BZ$16,0)</f>
        <v>1</v>
      </c>
      <c r="BZ35" s="197">
        <f t="shared" si="548"/>
        <v>21976.16484157716</v>
      </c>
      <c r="CA35" s="224">
        <f t="shared" si="549"/>
        <v>1100</v>
      </c>
      <c r="CB35" s="261">
        <f>VLOOKUP($C35,Прайс!$D$8:$E$119,2,0)</f>
        <v>1100</v>
      </c>
      <c r="CC35" s="198">
        <f>ROUNDUP(VLOOKUP($C35,Прайс!$D$6:$F$1004,3,0)*VLOOKUP($C$33,Прайс!$D$6:$F$1004,3,0)*CD$16,0)</f>
        <v>1</v>
      </c>
      <c r="CD35" s="197">
        <f t="shared" si="550"/>
        <v>20154.306616368689</v>
      </c>
      <c r="CE35" s="224">
        <f t="shared" si="551"/>
        <v>1100</v>
      </c>
      <c r="CF35" s="261">
        <f>VLOOKUP($C35,Прайс!$D$8:$E$119,2,0)</f>
        <v>1100</v>
      </c>
      <c r="CG35" s="198">
        <f>ROUNDUP(VLOOKUP($C35,Прайс!$D$6:$F$1004,3,0)*VLOOKUP($C$33,Прайс!$D$6:$F$1004,3,0)*CH$16,0)</f>
        <v>1</v>
      </c>
      <c r="CH35" s="197">
        <f t="shared" si="552"/>
        <v>20746.410539561442</v>
      </c>
      <c r="CI35" s="224">
        <f t="shared" si="553"/>
        <v>1100</v>
      </c>
      <c r="CJ35" s="261">
        <f>VLOOKUP($C35,Прайс!$D$8:$E$119,2,0)</f>
        <v>1100</v>
      </c>
      <c r="CK35" s="198">
        <f>ROUNDUP(VLOOKUP($C35,Прайс!$D$6:$F$1004,3,0)*VLOOKUP($C$33,Прайс!$D$6:$F$1004,3,0)*CL$16,0)</f>
        <v>1</v>
      </c>
      <c r="CL35" s="197">
        <f t="shared" si="554"/>
        <v>22112.804208467795</v>
      </c>
      <c r="CM35" s="224">
        <f t="shared" si="555"/>
        <v>1100</v>
      </c>
      <c r="CN35" s="261">
        <f>VLOOKUP($C35,Прайс!$D$8:$E$119,2,0)</f>
        <v>1100</v>
      </c>
      <c r="CO35" s="198">
        <f>ROUNDUP(VLOOKUP($C35,Прайс!$D$6:$F$1004,3,0)*VLOOKUP($C$33,Прайс!$D$6:$F$1004,3,0)*CP$16,0)</f>
        <v>1</v>
      </c>
      <c r="CP35" s="197">
        <f t="shared" si="556"/>
        <v>20450.358577965064</v>
      </c>
      <c r="CQ35" s="224">
        <f t="shared" si="557"/>
        <v>1100</v>
      </c>
      <c r="CR35" s="261">
        <f>VLOOKUP($C35,Прайс!$D$8:$E$119,2,0)</f>
        <v>1100</v>
      </c>
      <c r="CS35" s="198">
        <f>ROUNDUP(VLOOKUP($C35,Прайс!$D$6:$F$1004,3,0)*VLOOKUP($C$33,Прайс!$D$6:$F$1004,3,0)*CT$16,0)</f>
        <v>1</v>
      </c>
      <c r="CT35" s="197">
        <f t="shared" si="558"/>
        <v>22112.804208467795</v>
      </c>
      <c r="CU35" s="224">
        <f t="shared" si="559"/>
        <v>1100</v>
      </c>
      <c r="CV35" s="261">
        <f>VLOOKUP($C35,Прайс!$D$8:$E$119,2,0)</f>
        <v>1100</v>
      </c>
      <c r="CW35" s="198">
        <f>ROUNDUP(VLOOKUP($C35,Прайс!$D$6:$F$1004,3,0)*VLOOKUP($C$33,Прайс!$D$6:$F$1004,3,0)*CX$16,0)</f>
        <v>1</v>
      </c>
      <c r="CX35" s="197">
        <f t="shared" si="560"/>
        <v>23798.02306678563</v>
      </c>
      <c r="CY35" s="224">
        <f t="shared" si="561"/>
        <v>1100</v>
      </c>
      <c r="CZ35" s="204"/>
    </row>
    <row r="36" spans="2:104" s="165" customFormat="1" ht="38.25" hidden="1" outlineLevel="1">
      <c r="B36" s="162"/>
      <c r="C36" s="252" t="s">
        <v>265</v>
      </c>
      <c r="D36" s="261">
        <f>VLOOKUP($C36,Прайс!$D$8:$E$119,2,0)</f>
        <v>900</v>
      </c>
      <c r="E36" s="198">
        <f>ROUNDUP(VLOOKUP($C36,Прайс!$D$6:$F$1004,3,0)*VLOOKUP($C$33,Прайс!$D$6:$F$1004,3,0)*F$16,0)</f>
        <v>1</v>
      </c>
      <c r="F36" s="197">
        <f t="shared" si="512"/>
        <v>5408.6416060876427</v>
      </c>
      <c r="G36" s="224">
        <f t="shared" si="513"/>
        <v>900</v>
      </c>
      <c r="H36" s="261">
        <f>VLOOKUP($C36,Прайс!$D$8:$E$119,2,0)</f>
        <v>900</v>
      </c>
      <c r="I36" s="198">
        <f>ROUNDUP(VLOOKUP($C36,Прайс!$D$6:$F$1004,3,0)*VLOOKUP($C$33,Прайс!$D$6:$F$1004,3,0)*J$16,0)</f>
        <v>1</v>
      </c>
      <c r="J36" s="197">
        <f t="shared" si="514"/>
        <v>6036.9756644407917</v>
      </c>
      <c r="K36" s="224">
        <f t="shared" si="515"/>
        <v>900</v>
      </c>
      <c r="L36" s="261">
        <f>VLOOKUP($C36,Прайс!$D$8:$E$119,2,0)</f>
        <v>900</v>
      </c>
      <c r="M36" s="198">
        <f>ROUNDUP(VLOOKUP($C36,Прайс!$D$6:$F$1004,3,0)*VLOOKUP($C$33,Прайс!$D$6:$F$1004,3,0)*N$16,0)</f>
        <v>1</v>
      </c>
      <c r="N36" s="197">
        <f t="shared" si="516"/>
        <v>7177.1897752743862</v>
      </c>
      <c r="O36" s="224">
        <f t="shared" si="517"/>
        <v>900</v>
      </c>
      <c r="P36" s="261">
        <f>VLOOKUP($C36,Прайс!$D$8:$E$119,2,0)</f>
        <v>900</v>
      </c>
      <c r="Q36" s="198">
        <f>ROUNDUP(VLOOKUP($C36,Прайс!$D$6:$F$1004,3,0)*VLOOKUP($C$33,Прайс!$D$6:$F$1004,3,0)*R$16,0)</f>
        <v>1</v>
      </c>
      <c r="R36" s="197">
        <f t="shared" si="518"/>
        <v>8724.2165466232818</v>
      </c>
      <c r="S36" s="224">
        <f t="shared" si="519"/>
        <v>900</v>
      </c>
      <c r="T36" s="261">
        <f>VLOOKUP($C36,Прайс!$D$8:$E$119,2,0)</f>
        <v>900</v>
      </c>
      <c r="U36" s="198">
        <f>ROUNDUP(VLOOKUP($C36,Прайс!$D$6:$F$1004,3,0)*VLOOKUP($C$33,Прайс!$D$6:$F$1004,3,0)*V$16,0)</f>
        <v>1</v>
      </c>
      <c r="V36" s="197">
        <f t="shared" si="520"/>
        <v>9395.509193809472</v>
      </c>
      <c r="W36" s="224">
        <f t="shared" si="521"/>
        <v>900</v>
      </c>
      <c r="X36" s="261">
        <f>VLOOKUP($C36,Прайс!$D$8:$E$119,2,0)</f>
        <v>900</v>
      </c>
      <c r="Y36" s="198">
        <f>ROUNDUP(VLOOKUP($C36,Прайс!$D$6:$F$1004,3,0)*VLOOKUP($C$33,Прайс!$D$6:$F$1004,3,0)*Z$16,0)</f>
        <v>1</v>
      </c>
      <c r="Z36" s="197">
        <f t="shared" si="522"/>
        <v>10817.283212175284</v>
      </c>
      <c r="AA36" s="224">
        <f t="shared" si="523"/>
        <v>900</v>
      </c>
      <c r="AB36" s="261">
        <f>VLOOKUP($C36,Прайс!$D$8:$E$119,2,0)</f>
        <v>900</v>
      </c>
      <c r="AC36" s="198">
        <f>ROUNDUP(VLOOKUP($C36,Прайс!$D$6:$F$1004,3,0)*VLOOKUP($C$33,Прайс!$D$6:$F$1004,3,0)*AD$16,0)</f>
        <v>1</v>
      </c>
      <c r="AD36" s="197">
        <f t="shared" si="524"/>
        <v>10988.082420788578</v>
      </c>
      <c r="AE36" s="224">
        <f t="shared" si="525"/>
        <v>900</v>
      </c>
      <c r="AF36" s="261">
        <f>VLOOKUP($C36,Прайс!$D$8:$E$119,2,0)</f>
        <v>900</v>
      </c>
      <c r="AG36" s="198">
        <f>ROUNDUP(VLOOKUP($C36,Прайс!$D$6:$F$1004,3,0)*VLOOKUP($C$33,Прайс!$D$6:$F$1004,3,0)*AH$16,0)</f>
        <v>1</v>
      </c>
      <c r="AH36" s="197">
        <f t="shared" si="526"/>
        <v>10993.258154382922</v>
      </c>
      <c r="AI36" s="224">
        <f t="shared" si="527"/>
        <v>900</v>
      </c>
      <c r="AJ36" s="261">
        <f>VLOOKUP($C36,Прайс!$D$8:$E$119,2,0)</f>
        <v>900</v>
      </c>
      <c r="AK36" s="198">
        <f>ROUNDUP(VLOOKUP($C36,Прайс!$D$6:$F$1004,3,0)*VLOOKUP($C$33,Прайс!$D$6:$F$1004,3,0)*AL$16,0)</f>
        <v>2</v>
      </c>
      <c r="AL36" s="197">
        <f t="shared" si="528"/>
        <v>12259.242591559034</v>
      </c>
      <c r="AM36" s="224">
        <f t="shared" si="529"/>
        <v>1800</v>
      </c>
      <c r="AN36" s="261">
        <f>VLOOKUP($C36,Прайс!$D$8:$E$119,2,0)</f>
        <v>900</v>
      </c>
      <c r="AO36" s="198">
        <f>ROUNDUP(VLOOKUP($C36,Прайс!$D$6:$F$1004,3,0)*VLOOKUP($C$33,Прайс!$D$6:$F$1004,3,0)*AP$16,0)</f>
        <v>2</v>
      </c>
      <c r="AP36" s="197">
        <f t="shared" si="530"/>
        <v>14071.784496297687</v>
      </c>
      <c r="AQ36" s="224">
        <f t="shared" si="531"/>
        <v>1800</v>
      </c>
      <c r="AR36" s="261">
        <f>VLOOKUP($C36,Прайс!$D$8:$E$119,2,0)</f>
        <v>900</v>
      </c>
      <c r="AS36" s="198">
        <f>ROUNDUP(VLOOKUP($C36,Прайс!$D$6:$F$1004,3,0)*VLOOKUP($C$33,Прайс!$D$6:$F$1004,3,0)*AT$16,0)</f>
        <v>2</v>
      </c>
      <c r="AT36" s="197">
        <f t="shared" si="532"/>
        <v>13943.426303157999</v>
      </c>
      <c r="AU36" s="224">
        <f t="shared" si="533"/>
        <v>1800</v>
      </c>
      <c r="AV36" s="261">
        <f>VLOOKUP($C36,Прайс!$D$8:$E$119,2,0)</f>
        <v>900</v>
      </c>
      <c r="AW36" s="198">
        <f>ROUNDUP(VLOOKUP($C36,Прайс!$D$6:$F$1004,3,0)*VLOOKUP($C$33,Прайс!$D$6:$F$1004,3,0)*AX$16,0)</f>
        <v>2</v>
      </c>
      <c r="AX36" s="197">
        <f t="shared" si="534"/>
        <v>16082.039424340217</v>
      </c>
      <c r="AY36" s="224">
        <f t="shared" si="535"/>
        <v>1800</v>
      </c>
      <c r="AZ36" s="261">
        <f>VLOOKUP($C36,Прайс!$D$8:$E$119,2,0)</f>
        <v>900</v>
      </c>
      <c r="BA36" s="198">
        <f>ROUNDUP(VLOOKUP($C36,Прайс!$D$6:$F$1004,3,0)*VLOOKUP($C$33,Прайс!$D$6:$F$1004,3,0)*BB$16,0)</f>
        <v>2</v>
      </c>
      <c r="BB36" s="197">
        <f t="shared" si="536"/>
        <v>18389.381460697987</v>
      </c>
      <c r="BC36" s="224">
        <f t="shared" si="537"/>
        <v>1800</v>
      </c>
      <c r="BD36" s="261">
        <f>VLOOKUP($C36,Прайс!$D$8:$E$119,2,0)</f>
        <v>900</v>
      </c>
      <c r="BE36" s="198">
        <f>ROUNDUP(VLOOKUP($C36,Прайс!$D$6:$F$1004,3,0)*VLOOKUP($C$33,Прайс!$D$6:$F$1004,3,0)*BF$16,0)</f>
        <v>2</v>
      </c>
      <c r="BF36" s="197">
        <f t="shared" si="538"/>
        <v>18110.926993322377</v>
      </c>
      <c r="BG36" s="224">
        <f t="shared" si="539"/>
        <v>1800</v>
      </c>
      <c r="BH36" s="261">
        <f>VLOOKUP($C36,Прайс!$D$8:$E$119,2,0)</f>
        <v>900</v>
      </c>
      <c r="BI36" s="198">
        <f>ROUNDUP(VLOOKUP($C36,Прайс!$D$6:$F$1004,3,0)*VLOOKUP($C$33,Прайс!$D$6:$F$1004,3,0)*BJ$16,0)</f>
        <v>2</v>
      </c>
      <c r="BJ36" s="197">
        <f t="shared" si="540"/>
        <v>18455.630850705569</v>
      </c>
      <c r="BK36" s="224">
        <f t="shared" si="541"/>
        <v>1800</v>
      </c>
      <c r="BL36" s="261">
        <f>VLOOKUP($C36,Прайс!$D$8:$E$119,2,0)</f>
        <v>900</v>
      </c>
      <c r="BM36" s="198">
        <f>ROUNDUP(VLOOKUP($C36,Прайс!$D$6:$F$1004,3,0)*VLOOKUP($C$33,Прайс!$D$6:$F$1004,3,0)*BN$16,0)</f>
        <v>2</v>
      </c>
      <c r="BN36" s="197">
        <f t="shared" si="542"/>
        <v>19629.487229902395</v>
      </c>
      <c r="BO36" s="224">
        <f t="shared" si="543"/>
        <v>1800</v>
      </c>
      <c r="BP36" s="261">
        <f>VLOOKUP($C36,Прайс!$D$8:$E$119,2,0)</f>
        <v>900</v>
      </c>
      <c r="BQ36" s="198">
        <f>ROUNDUP(VLOOKUP($C36,Прайс!$D$6:$F$1004,3,0)*VLOOKUP($C$33,Прайс!$D$6:$F$1004,3,0)*BR$16,0)</f>
        <v>2</v>
      </c>
      <c r="BR36" s="197">
        <f t="shared" si="544"/>
        <v>18791.018387618944</v>
      </c>
      <c r="BS36" s="224">
        <f t="shared" si="545"/>
        <v>1800</v>
      </c>
      <c r="BT36" s="261">
        <f>VLOOKUP($C36,Прайс!$D$8:$E$119,2,0)</f>
        <v>900</v>
      </c>
      <c r="BU36" s="198">
        <f>ROUNDUP(VLOOKUP($C36,Прайс!$D$6:$F$1004,3,0)*VLOOKUP($C$33,Прайс!$D$6:$F$1004,3,0)*BV$16,0)</f>
        <v>2</v>
      </c>
      <c r="BV36" s="197">
        <f t="shared" si="546"/>
        <v>19471.109781915518</v>
      </c>
      <c r="BW36" s="224">
        <f t="shared" si="547"/>
        <v>1800</v>
      </c>
      <c r="BX36" s="261">
        <f>VLOOKUP($C36,Прайс!$D$8:$E$119,2,0)</f>
        <v>900</v>
      </c>
      <c r="BY36" s="198">
        <f>ROUNDUP(VLOOKUP($C36,Прайс!$D$6:$F$1004,3,0)*VLOOKUP($C$33,Прайс!$D$6:$F$1004,3,0)*BZ$16,0)</f>
        <v>2</v>
      </c>
      <c r="BZ36" s="197">
        <f t="shared" si="548"/>
        <v>17980.498506744949</v>
      </c>
      <c r="CA36" s="224">
        <f t="shared" si="549"/>
        <v>1800</v>
      </c>
      <c r="CB36" s="261">
        <f>VLOOKUP($C36,Прайс!$D$8:$E$119,2,0)</f>
        <v>900</v>
      </c>
      <c r="CC36" s="198">
        <f>ROUNDUP(VLOOKUP($C36,Прайс!$D$6:$F$1004,3,0)*VLOOKUP($C$33,Прайс!$D$6:$F$1004,3,0)*CD$16,0)</f>
        <v>2</v>
      </c>
      <c r="CD36" s="197">
        <f t="shared" si="550"/>
        <v>16489.887231574383</v>
      </c>
      <c r="CE36" s="224">
        <f t="shared" si="551"/>
        <v>1800</v>
      </c>
      <c r="CF36" s="261">
        <f>VLOOKUP($C36,Прайс!$D$8:$E$119,2,0)</f>
        <v>900</v>
      </c>
      <c r="CG36" s="198">
        <f>ROUNDUP(VLOOKUP($C36,Прайс!$D$6:$F$1004,3,0)*VLOOKUP($C$33,Прайс!$D$6:$F$1004,3,0)*CH$16,0)</f>
        <v>2</v>
      </c>
      <c r="CH36" s="197">
        <f t="shared" si="552"/>
        <v>16974.335896004817</v>
      </c>
      <c r="CI36" s="224">
        <f t="shared" si="553"/>
        <v>1800</v>
      </c>
      <c r="CJ36" s="261">
        <f>VLOOKUP($C36,Прайс!$D$8:$E$119,2,0)</f>
        <v>900</v>
      </c>
      <c r="CK36" s="198">
        <f>ROUNDUP(VLOOKUP($C36,Прайс!$D$6:$F$1004,3,0)*VLOOKUP($C$33,Прайс!$D$6:$F$1004,3,0)*CL$16,0)</f>
        <v>2</v>
      </c>
      <c r="CL36" s="197">
        <f t="shared" si="554"/>
        <v>18092.294352382742</v>
      </c>
      <c r="CM36" s="224">
        <f t="shared" si="555"/>
        <v>1800</v>
      </c>
      <c r="CN36" s="261">
        <f>VLOOKUP($C36,Прайс!$D$8:$E$119,2,0)</f>
        <v>900</v>
      </c>
      <c r="CO36" s="198">
        <f>ROUNDUP(VLOOKUP($C36,Прайс!$D$6:$F$1004,3,0)*VLOOKUP($C$33,Прайс!$D$6:$F$1004,3,0)*CP$16,0)</f>
        <v>2</v>
      </c>
      <c r="CP36" s="197">
        <f t="shared" si="556"/>
        <v>16732.111563789596</v>
      </c>
      <c r="CQ36" s="224">
        <f t="shared" si="557"/>
        <v>1800</v>
      </c>
      <c r="CR36" s="261">
        <f>VLOOKUP($C36,Прайс!$D$8:$E$119,2,0)</f>
        <v>900</v>
      </c>
      <c r="CS36" s="198">
        <f>ROUNDUP(VLOOKUP($C36,Прайс!$D$6:$F$1004,3,0)*VLOOKUP($C$33,Прайс!$D$6:$F$1004,3,0)*CT$16,0)</f>
        <v>2</v>
      </c>
      <c r="CT36" s="197">
        <f t="shared" si="558"/>
        <v>18092.294352382742</v>
      </c>
      <c r="CU36" s="224">
        <f t="shared" si="559"/>
        <v>1800</v>
      </c>
      <c r="CV36" s="261">
        <f>VLOOKUP($C36,Прайс!$D$8:$E$119,2,0)</f>
        <v>900</v>
      </c>
      <c r="CW36" s="198">
        <f>ROUNDUP(VLOOKUP($C36,Прайс!$D$6:$F$1004,3,0)*VLOOKUP($C$33,Прайс!$D$6:$F$1004,3,0)*CX$16,0)</f>
        <v>2</v>
      </c>
      <c r="CX36" s="197">
        <f t="shared" si="560"/>
        <v>19471.109781915515</v>
      </c>
      <c r="CY36" s="224">
        <f t="shared" si="561"/>
        <v>1800</v>
      </c>
      <c r="CZ36" s="204"/>
    </row>
    <row r="37" spans="2:104" s="165" customFormat="1" ht="25.5" hidden="1" outlineLevel="1">
      <c r="B37" s="162"/>
      <c r="C37" s="252" t="s">
        <v>266</v>
      </c>
      <c r="D37" s="261">
        <f>VLOOKUP($C37,Прайс!$D$8:$E$119,2,0)</f>
        <v>700</v>
      </c>
      <c r="E37" s="198">
        <f>ROUNDUP(VLOOKUP($C37,Прайс!$D$6:$F$1004,3,0)*VLOOKUP($C$33,Прайс!$D$6:$F$1004,3,0)*F$16,0)</f>
        <v>1</v>
      </c>
      <c r="F37" s="197">
        <f t="shared" si="512"/>
        <v>4206.7212491792779</v>
      </c>
      <c r="G37" s="224">
        <f t="shared" si="513"/>
        <v>700</v>
      </c>
      <c r="H37" s="261">
        <f>VLOOKUP($C37,Прайс!$D$8:$E$119,2,0)</f>
        <v>700</v>
      </c>
      <c r="I37" s="198">
        <f>ROUNDUP(VLOOKUP($C37,Прайс!$D$6:$F$1004,3,0)*VLOOKUP($C$33,Прайс!$D$6:$F$1004,3,0)*J$16,0)</f>
        <v>1</v>
      </c>
      <c r="J37" s="197">
        <f t="shared" si="514"/>
        <v>4695.4255167872816</v>
      </c>
      <c r="K37" s="224">
        <f t="shared" si="515"/>
        <v>700</v>
      </c>
      <c r="L37" s="261">
        <f>VLOOKUP($C37,Прайс!$D$8:$E$119,2,0)</f>
        <v>700</v>
      </c>
      <c r="M37" s="198">
        <f>ROUNDUP(VLOOKUP($C37,Прайс!$D$6:$F$1004,3,0)*VLOOKUP($C$33,Прайс!$D$6:$F$1004,3,0)*N$16,0)</f>
        <v>1</v>
      </c>
      <c r="N37" s="197">
        <f t="shared" si="516"/>
        <v>5582.2587141022996</v>
      </c>
      <c r="O37" s="224">
        <f t="shared" si="517"/>
        <v>700</v>
      </c>
      <c r="P37" s="261">
        <f>VLOOKUP($C37,Прайс!$D$8:$E$119,2,0)</f>
        <v>700</v>
      </c>
      <c r="Q37" s="198">
        <f>ROUNDUP(VLOOKUP($C37,Прайс!$D$6:$F$1004,3,0)*VLOOKUP($C$33,Прайс!$D$6:$F$1004,3,0)*R$16,0)</f>
        <v>1</v>
      </c>
      <c r="R37" s="197">
        <f t="shared" si="518"/>
        <v>6785.5017584847747</v>
      </c>
      <c r="S37" s="224">
        <f t="shared" si="519"/>
        <v>700</v>
      </c>
      <c r="T37" s="261">
        <f>VLOOKUP($C37,Прайс!$D$8:$E$119,2,0)</f>
        <v>700</v>
      </c>
      <c r="U37" s="198">
        <f>ROUNDUP(VLOOKUP($C37,Прайс!$D$6:$F$1004,3,0)*VLOOKUP($C$33,Прайс!$D$6:$F$1004,3,0)*V$16,0)</f>
        <v>1</v>
      </c>
      <c r="V37" s="197">
        <f t="shared" si="520"/>
        <v>7307.6182618518105</v>
      </c>
      <c r="W37" s="224">
        <f t="shared" si="521"/>
        <v>700</v>
      </c>
      <c r="X37" s="261">
        <f>VLOOKUP($C37,Прайс!$D$8:$E$119,2,0)</f>
        <v>700</v>
      </c>
      <c r="Y37" s="198">
        <f>ROUNDUP(VLOOKUP($C37,Прайс!$D$6:$F$1004,3,0)*VLOOKUP($C$33,Прайс!$D$6:$F$1004,3,0)*Z$16,0)</f>
        <v>1</v>
      </c>
      <c r="Z37" s="197">
        <f t="shared" si="522"/>
        <v>8413.4424983585523</v>
      </c>
      <c r="AA37" s="224">
        <f t="shared" si="523"/>
        <v>700</v>
      </c>
      <c r="AB37" s="261">
        <f>VLOOKUP($C37,Прайс!$D$8:$E$119,2,0)</f>
        <v>700</v>
      </c>
      <c r="AC37" s="198">
        <f>ROUNDUP(VLOOKUP($C37,Прайс!$D$6:$F$1004,3,0)*VLOOKUP($C$33,Прайс!$D$6:$F$1004,3,0)*AD$16,0)</f>
        <v>1</v>
      </c>
      <c r="AD37" s="197">
        <f t="shared" si="524"/>
        <v>8546.2863272800041</v>
      </c>
      <c r="AE37" s="224">
        <f t="shared" si="525"/>
        <v>700</v>
      </c>
      <c r="AF37" s="261">
        <f>VLOOKUP($C37,Прайс!$D$8:$E$119,2,0)</f>
        <v>700</v>
      </c>
      <c r="AG37" s="198">
        <f>ROUNDUP(VLOOKUP($C37,Прайс!$D$6:$F$1004,3,0)*VLOOKUP($C$33,Прайс!$D$6:$F$1004,3,0)*AH$16,0)</f>
        <v>1</v>
      </c>
      <c r="AH37" s="197">
        <f t="shared" si="526"/>
        <v>8550.3118978533839</v>
      </c>
      <c r="AI37" s="224">
        <f t="shared" si="527"/>
        <v>700</v>
      </c>
      <c r="AJ37" s="261">
        <f>VLOOKUP($C37,Прайс!$D$8:$E$119,2,0)</f>
        <v>700</v>
      </c>
      <c r="AK37" s="198">
        <f>ROUNDUP(VLOOKUP($C37,Прайс!$D$6:$F$1004,3,0)*VLOOKUP($C$33,Прайс!$D$6:$F$1004,3,0)*AL$16,0)</f>
        <v>1</v>
      </c>
      <c r="AL37" s="197">
        <f t="shared" si="528"/>
        <v>9534.9664601014701</v>
      </c>
      <c r="AM37" s="224">
        <f t="shared" si="529"/>
        <v>700</v>
      </c>
      <c r="AN37" s="261">
        <f>VLOOKUP($C37,Прайс!$D$8:$E$119,2,0)</f>
        <v>700</v>
      </c>
      <c r="AO37" s="198">
        <f>ROUNDUP(VLOOKUP($C37,Прайс!$D$6:$F$1004,3,0)*VLOOKUP($C$33,Прайс!$D$6:$F$1004,3,0)*AP$16,0)</f>
        <v>1</v>
      </c>
      <c r="AP37" s="197">
        <f t="shared" si="530"/>
        <v>10944.721274898202</v>
      </c>
      <c r="AQ37" s="224">
        <f t="shared" si="531"/>
        <v>700</v>
      </c>
      <c r="AR37" s="261">
        <f>VLOOKUP($C37,Прайс!$D$8:$E$119,2,0)</f>
        <v>700</v>
      </c>
      <c r="AS37" s="198">
        <f>ROUNDUP(VLOOKUP($C37,Прайс!$D$6:$F$1004,3,0)*VLOOKUP($C$33,Прайс!$D$6:$F$1004,3,0)*AT$16,0)</f>
        <v>1</v>
      </c>
      <c r="AT37" s="197">
        <f t="shared" si="532"/>
        <v>10844.887124678446</v>
      </c>
      <c r="AU37" s="224">
        <f t="shared" si="533"/>
        <v>700</v>
      </c>
      <c r="AV37" s="261">
        <f>VLOOKUP($C37,Прайс!$D$8:$E$119,2,0)</f>
        <v>700</v>
      </c>
      <c r="AW37" s="198">
        <f>ROUNDUP(VLOOKUP($C37,Прайс!$D$6:$F$1004,3,0)*VLOOKUP($C$33,Прайс!$D$6:$F$1004,3,0)*AX$16,0)</f>
        <v>1</v>
      </c>
      <c r="AX37" s="197">
        <f t="shared" si="534"/>
        <v>12508.252885597947</v>
      </c>
      <c r="AY37" s="224">
        <f t="shared" si="535"/>
        <v>700</v>
      </c>
      <c r="AZ37" s="261">
        <f>VLOOKUP($C37,Прайс!$D$8:$E$119,2,0)</f>
        <v>700</v>
      </c>
      <c r="BA37" s="198">
        <f>ROUNDUP(VLOOKUP($C37,Прайс!$D$6:$F$1004,3,0)*VLOOKUP($C$33,Прайс!$D$6:$F$1004,3,0)*BB$16,0)</f>
        <v>1</v>
      </c>
      <c r="BB37" s="197">
        <f t="shared" si="536"/>
        <v>14302.852247209546</v>
      </c>
      <c r="BC37" s="224">
        <f t="shared" si="537"/>
        <v>700</v>
      </c>
      <c r="BD37" s="261">
        <f>VLOOKUP($C37,Прайс!$D$8:$E$119,2,0)</f>
        <v>700</v>
      </c>
      <c r="BE37" s="198">
        <f>ROUNDUP(VLOOKUP($C37,Прайс!$D$6:$F$1004,3,0)*VLOOKUP($C$33,Прайс!$D$6:$F$1004,3,0)*BF$16,0)</f>
        <v>1</v>
      </c>
      <c r="BF37" s="197">
        <f t="shared" si="538"/>
        <v>14086.276550361847</v>
      </c>
      <c r="BG37" s="224">
        <f t="shared" si="539"/>
        <v>700</v>
      </c>
      <c r="BH37" s="261">
        <f>VLOOKUP($C37,Прайс!$D$8:$E$119,2,0)</f>
        <v>700</v>
      </c>
      <c r="BI37" s="198">
        <f>ROUNDUP(VLOOKUP($C37,Прайс!$D$6:$F$1004,3,0)*VLOOKUP($C$33,Прайс!$D$6:$F$1004,3,0)*BJ$16,0)</f>
        <v>1</v>
      </c>
      <c r="BJ37" s="197">
        <f t="shared" si="540"/>
        <v>14354.379550548778</v>
      </c>
      <c r="BK37" s="224">
        <f t="shared" si="541"/>
        <v>700</v>
      </c>
      <c r="BL37" s="261">
        <f>VLOOKUP($C37,Прайс!$D$8:$E$119,2,0)</f>
        <v>700</v>
      </c>
      <c r="BM37" s="198">
        <f>ROUNDUP(VLOOKUP($C37,Прайс!$D$6:$F$1004,3,0)*VLOOKUP($C$33,Прайс!$D$6:$F$1004,3,0)*BN$16,0)</f>
        <v>1</v>
      </c>
      <c r="BN37" s="197">
        <f t="shared" si="542"/>
        <v>15267.378956590752</v>
      </c>
      <c r="BO37" s="224">
        <f t="shared" si="543"/>
        <v>700</v>
      </c>
      <c r="BP37" s="261">
        <f>VLOOKUP($C37,Прайс!$D$8:$E$119,2,0)</f>
        <v>700</v>
      </c>
      <c r="BQ37" s="198">
        <f>ROUNDUP(VLOOKUP($C37,Прайс!$D$6:$F$1004,3,0)*VLOOKUP($C$33,Прайс!$D$6:$F$1004,3,0)*BR$16,0)</f>
        <v>1</v>
      </c>
      <c r="BR37" s="197">
        <f t="shared" si="544"/>
        <v>14615.236523703625</v>
      </c>
      <c r="BS37" s="224">
        <f t="shared" si="545"/>
        <v>700</v>
      </c>
      <c r="BT37" s="261">
        <f>VLOOKUP($C37,Прайс!$D$8:$E$119,2,0)</f>
        <v>700</v>
      </c>
      <c r="BU37" s="198">
        <f>ROUNDUP(VLOOKUP($C37,Прайс!$D$6:$F$1004,3,0)*VLOOKUP($C$33,Прайс!$D$6:$F$1004,3,0)*BV$16,0)</f>
        <v>1</v>
      </c>
      <c r="BV37" s="197">
        <f t="shared" si="546"/>
        <v>15144.196497045403</v>
      </c>
      <c r="BW37" s="224">
        <f t="shared" si="547"/>
        <v>700</v>
      </c>
      <c r="BX37" s="261">
        <f>VLOOKUP($C37,Прайс!$D$8:$E$119,2,0)</f>
        <v>700</v>
      </c>
      <c r="BY37" s="198">
        <f>ROUNDUP(VLOOKUP($C37,Прайс!$D$6:$F$1004,3,0)*VLOOKUP($C$33,Прайс!$D$6:$F$1004,3,0)*BZ$16,0)</f>
        <v>1</v>
      </c>
      <c r="BZ37" s="197">
        <f t="shared" si="548"/>
        <v>13984.832171912738</v>
      </c>
      <c r="CA37" s="224">
        <f t="shared" si="549"/>
        <v>700</v>
      </c>
      <c r="CB37" s="261">
        <f>VLOOKUP($C37,Прайс!$D$8:$E$119,2,0)</f>
        <v>700</v>
      </c>
      <c r="CC37" s="198">
        <f>ROUNDUP(VLOOKUP($C37,Прайс!$D$6:$F$1004,3,0)*VLOOKUP($C$33,Прайс!$D$6:$F$1004,3,0)*CD$16,0)</f>
        <v>1</v>
      </c>
      <c r="CD37" s="197">
        <f t="shared" si="550"/>
        <v>12825.467846780077</v>
      </c>
      <c r="CE37" s="224">
        <f t="shared" si="551"/>
        <v>700</v>
      </c>
      <c r="CF37" s="261">
        <f>VLOOKUP($C37,Прайс!$D$8:$E$119,2,0)</f>
        <v>700</v>
      </c>
      <c r="CG37" s="198">
        <f>ROUNDUP(VLOOKUP($C37,Прайс!$D$6:$F$1004,3,0)*VLOOKUP($C$33,Прайс!$D$6:$F$1004,3,0)*CH$16,0)</f>
        <v>1</v>
      </c>
      <c r="CH37" s="197">
        <f t="shared" si="552"/>
        <v>13202.26125244819</v>
      </c>
      <c r="CI37" s="224">
        <f t="shared" si="553"/>
        <v>700</v>
      </c>
      <c r="CJ37" s="261">
        <f>VLOOKUP($C37,Прайс!$D$8:$E$119,2,0)</f>
        <v>700</v>
      </c>
      <c r="CK37" s="198">
        <f>ROUNDUP(VLOOKUP($C37,Прайс!$D$6:$F$1004,3,0)*VLOOKUP($C$33,Прайс!$D$6:$F$1004,3,0)*CL$16,0)</f>
        <v>1</v>
      </c>
      <c r="CL37" s="197">
        <f t="shared" si="554"/>
        <v>14071.784496297687</v>
      </c>
      <c r="CM37" s="224">
        <f t="shared" si="555"/>
        <v>700</v>
      </c>
      <c r="CN37" s="261">
        <f>VLOOKUP($C37,Прайс!$D$8:$E$119,2,0)</f>
        <v>700</v>
      </c>
      <c r="CO37" s="198">
        <f>ROUNDUP(VLOOKUP($C37,Прайс!$D$6:$F$1004,3,0)*VLOOKUP($C$33,Прайс!$D$6:$F$1004,3,0)*CP$16,0)</f>
        <v>1</v>
      </c>
      <c r="CP37" s="197">
        <f t="shared" si="556"/>
        <v>13013.864549614131</v>
      </c>
      <c r="CQ37" s="224">
        <f t="shared" si="557"/>
        <v>700</v>
      </c>
      <c r="CR37" s="261">
        <f>VLOOKUP($C37,Прайс!$D$8:$E$119,2,0)</f>
        <v>700</v>
      </c>
      <c r="CS37" s="198">
        <f>ROUNDUP(VLOOKUP($C37,Прайс!$D$6:$F$1004,3,0)*VLOOKUP($C$33,Прайс!$D$6:$F$1004,3,0)*CT$16,0)</f>
        <v>1</v>
      </c>
      <c r="CT37" s="197">
        <f t="shared" si="558"/>
        <v>14071.784496297687</v>
      </c>
      <c r="CU37" s="224">
        <f t="shared" si="559"/>
        <v>700</v>
      </c>
      <c r="CV37" s="261">
        <f>VLOOKUP($C37,Прайс!$D$8:$E$119,2,0)</f>
        <v>700</v>
      </c>
      <c r="CW37" s="198">
        <f>ROUNDUP(VLOOKUP($C37,Прайс!$D$6:$F$1004,3,0)*VLOOKUP($C$33,Прайс!$D$6:$F$1004,3,0)*CX$16,0)</f>
        <v>1</v>
      </c>
      <c r="CX37" s="197">
        <f t="shared" si="560"/>
        <v>15144.196497045399</v>
      </c>
      <c r="CY37" s="224">
        <f t="shared" si="561"/>
        <v>700</v>
      </c>
      <c r="CZ37" s="204"/>
    </row>
    <row r="38" spans="2:104" s="165" customFormat="1" ht="38.25" hidden="1" outlineLevel="1">
      <c r="B38" s="162"/>
      <c r="C38" s="252" t="s">
        <v>268</v>
      </c>
      <c r="D38" s="261">
        <f>VLOOKUP($C38,Прайс!$D$8:$E$119,2,0)</f>
        <v>500</v>
      </c>
      <c r="E38" s="198">
        <f>ROUNDUP(VLOOKUP($C38,Прайс!$D$6:$F$1004,3,0)*VLOOKUP($C$33,Прайс!$D$6:$F$1004,3,0)*F$16,0)</f>
        <v>1</v>
      </c>
      <c r="F38" s="197">
        <f t="shared" si="512"/>
        <v>3004.8008922709123</v>
      </c>
      <c r="G38" s="224">
        <f t="shared" si="513"/>
        <v>500</v>
      </c>
      <c r="H38" s="261">
        <f>VLOOKUP($C38,Прайс!$D$8:$E$119,2,0)</f>
        <v>500</v>
      </c>
      <c r="I38" s="198">
        <f>ROUNDUP(VLOOKUP($C38,Прайс!$D$6:$F$1004,3,0)*VLOOKUP($C$33,Прайс!$D$6:$F$1004,3,0)*J$16,0)</f>
        <v>1</v>
      </c>
      <c r="J38" s="197">
        <f t="shared" si="514"/>
        <v>3353.8753691337729</v>
      </c>
      <c r="K38" s="224">
        <f t="shared" si="515"/>
        <v>500</v>
      </c>
      <c r="L38" s="261">
        <f>VLOOKUP($C38,Прайс!$D$8:$E$119,2,0)</f>
        <v>500</v>
      </c>
      <c r="M38" s="198">
        <f>ROUNDUP(VLOOKUP($C38,Прайс!$D$6:$F$1004,3,0)*VLOOKUP($C$33,Прайс!$D$6:$F$1004,3,0)*N$16,0)</f>
        <v>1</v>
      </c>
      <c r="N38" s="197">
        <f t="shared" si="516"/>
        <v>3987.3276529302148</v>
      </c>
      <c r="O38" s="224">
        <f t="shared" si="517"/>
        <v>500</v>
      </c>
      <c r="P38" s="261">
        <f>VLOOKUP($C38,Прайс!$D$8:$E$119,2,0)</f>
        <v>500</v>
      </c>
      <c r="Q38" s="198">
        <f>ROUNDUP(VLOOKUP($C38,Прайс!$D$6:$F$1004,3,0)*VLOOKUP($C$33,Прайс!$D$6:$F$1004,3,0)*R$16,0)</f>
        <v>1</v>
      </c>
      <c r="R38" s="197">
        <f t="shared" si="518"/>
        <v>4846.7869703462675</v>
      </c>
      <c r="S38" s="224">
        <f t="shared" si="519"/>
        <v>500</v>
      </c>
      <c r="T38" s="261">
        <f>VLOOKUP($C38,Прайс!$D$8:$E$119,2,0)</f>
        <v>500</v>
      </c>
      <c r="U38" s="198">
        <f>ROUNDUP(VLOOKUP($C38,Прайс!$D$6:$F$1004,3,0)*VLOOKUP($C$33,Прайс!$D$6:$F$1004,3,0)*V$16,0)</f>
        <v>1</v>
      </c>
      <c r="V38" s="197">
        <f t="shared" si="520"/>
        <v>5219.72732989415</v>
      </c>
      <c r="W38" s="224">
        <f t="shared" si="521"/>
        <v>500</v>
      </c>
      <c r="X38" s="261">
        <f>VLOOKUP($C38,Прайс!$D$8:$E$119,2,0)</f>
        <v>500</v>
      </c>
      <c r="Y38" s="198">
        <f>ROUNDUP(VLOOKUP($C38,Прайс!$D$6:$F$1004,3,0)*VLOOKUP($C$33,Прайс!$D$6:$F$1004,3,0)*Z$16,0)</f>
        <v>1</v>
      </c>
      <c r="Z38" s="197">
        <f t="shared" si="522"/>
        <v>6009.6017845418237</v>
      </c>
      <c r="AA38" s="224">
        <f t="shared" si="523"/>
        <v>500</v>
      </c>
      <c r="AB38" s="261">
        <f>VLOOKUP($C38,Прайс!$D$8:$E$119,2,0)</f>
        <v>500</v>
      </c>
      <c r="AC38" s="198">
        <f>ROUNDUP(VLOOKUP($C38,Прайс!$D$6:$F$1004,3,0)*VLOOKUP($C$33,Прайс!$D$6:$F$1004,3,0)*AD$16,0)</f>
        <v>1</v>
      </c>
      <c r="AD38" s="197">
        <f t="shared" si="524"/>
        <v>6104.490233771432</v>
      </c>
      <c r="AE38" s="224">
        <f t="shared" si="525"/>
        <v>500</v>
      </c>
      <c r="AF38" s="261">
        <f>VLOOKUP($C38,Прайс!$D$8:$E$119,2,0)</f>
        <v>500</v>
      </c>
      <c r="AG38" s="198">
        <f>ROUNDUP(VLOOKUP($C38,Прайс!$D$6:$F$1004,3,0)*VLOOKUP($C$33,Прайс!$D$6:$F$1004,3,0)*AH$16,0)</f>
        <v>1</v>
      </c>
      <c r="AH38" s="197">
        <f t="shared" si="526"/>
        <v>6107.365641323845</v>
      </c>
      <c r="AI38" s="224">
        <f t="shared" si="527"/>
        <v>500</v>
      </c>
      <c r="AJ38" s="261">
        <f>VLOOKUP($C38,Прайс!$D$8:$E$119,2,0)</f>
        <v>500</v>
      </c>
      <c r="AK38" s="198">
        <f>ROUNDUP(VLOOKUP($C38,Прайс!$D$6:$F$1004,3,0)*VLOOKUP($C$33,Прайс!$D$6:$F$1004,3,0)*AL$16,0)</f>
        <v>1</v>
      </c>
      <c r="AL38" s="197">
        <f t="shared" si="528"/>
        <v>6810.6903286439083</v>
      </c>
      <c r="AM38" s="224">
        <f t="shared" si="529"/>
        <v>500</v>
      </c>
      <c r="AN38" s="261">
        <f>VLOOKUP($C38,Прайс!$D$8:$E$119,2,0)</f>
        <v>500</v>
      </c>
      <c r="AO38" s="198">
        <f>ROUNDUP(VLOOKUP($C38,Прайс!$D$6:$F$1004,3,0)*VLOOKUP($C$33,Прайс!$D$6:$F$1004,3,0)*AP$16,0)</f>
        <v>1</v>
      </c>
      <c r="AP38" s="197">
        <f t="shared" si="530"/>
        <v>7817.6580534987161</v>
      </c>
      <c r="AQ38" s="224">
        <f t="shared" si="531"/>
        <v>500</v>
      </c>
      <c r="AR38" s="261">
        <f>VLOOKUP($C38,Прайс!$D$8:$E$119,2,0)</f>
        <v>500</v>
      </c>
      <c r="AS38" s="198">
        <f>ROUNDUP(VLOOKUP($C38,Прайс!$D$6:$F$1004,3,0)*VLOOKUP($C$33,Прайс!$D$6:$F$1004,3,0)*AT$16,0)</f>
        <v>1</v>
      </c>
      <c r="AT38" s="197">
        <f t="shared" si="532"/>
        <v>7746.3479461988891</v>
      </c>
      <c r="AU38" s="224">
        <f t="shared" si="533"/>
        <v>500</v>
      </c>
      <c r="AV38" s="261">
        <f>VLOOKUP($C38,Прайс!$D$8:$E$119,2,0)</f>
        <v>500</v>
      </c>
      <c r="AW38" s="198">
        <f>ROUNDUP(VLOOKUP($C38,Прайс!$D$6:$F$1004,3,0)*VLOOKUP($C$33,Прайс!$D$6:$F$1004,3,0)*AX$16,0)</f>
        <v>1</v>
      </c>
      <c r="AX38" s="197">
        <f t="shared" si="534"/>
        <v>8934.4663468556773</v>
      </c>
      <c r="AY38" s="224">
        <f t="shared" si="535"/>
        <v>500</v>
      </c>
      <c r="AZ38" s="261">
        <f>VLOOKUP($C38,Прайс!$D$8:$E$119,2,0)</f>
        <v>500</v>
      </c>
      <c r="BA38" s="198">
        <f>ROUNDUP(VLOOKUP($C38,Прайс!$D$6:$F$1004,3,0)*VLOOKUP($C$33,Прайс!$D$6:$F$1004,3,0)*BB$16,0)</f>
        <v>1</v>
      </c>
      <c r="BB38" s="197">
        <f t="shared" si="536"/>
        <v>10216.323033721104</v>
      </c>
      <c r="BC38" s="224">
        <f t="shared" si="537"/>
        <v>500</v>
      </c>
      <c r="BD38" s="261">
        <f>VLOOKUP($C38,Прайс!$D$8:$E$119,2,0)</f>
        <v>500</v>
      </c>
      <c r="BE38" s="198">
        <f>ROUNDUP(VLOOKUP($C38,Прайс!$D$6:$F$1004,3,0)*VLOOKUP($C$33,Прайс!$D$6:$F$1004,3,0)*BF$16,0)</f>
        <v>1</v>
      </c>
      <c r="BF38" s="197">
        <f t="shared" si="538"/>
        <v>10061.62610740132</v>
      </c>
      <c r="BG38" s="224">
        <f t="shared" si="539"/>
        <v>500</v>
      </c>
      <c r="BH38" s="261">
        <f>VLOOKUP($C38,Прайс!$D$8:$E$119,2,0)</f>
        <v>500</v>
      </c>
      <c r="BI38" s="198">
        <f>ROUNDUP(VLOOKUP($C38,Прайс!$D$6:$F$1004,3,0)*VLOOKUP($C$33,Прайс!$D$6:$F$1004,3,0)*BJ$16,0)</f>
        <v>1</v>
      </c>
      <c r="BJ38" s="197">
        <f t="shared" si="540"/>
        <v>10253.128250391983</v>
      </c>
      <c r="BK38" s="224">
        <f t="shared" si="541"/>
        <v>500</v>
      </c>
      <c r="BL38" s="261">
        <f>VLOOKUP($C38,Прайс!$D$8:$E$119,2,0)</f>
        <v>500</v>
      </c>
      <c r="BM38" s="198">
        <f>ROUNDUP(VLOOKUP($C38,Прайс!$D$6:$F$1004,3,0)*VLOOKUP($C$33,Прайс!$D$6:$F$1004,3,0)*BN$16,0)</f>
        <v>1</v>
      </c>
      <c r="BN38" s="197">
        <f t="shared" si="542"/>
        <v>10905.270683279108</v>
      </c>
      <c r="BO38" s="224">
        <f t="shared" si="543"/>
        <v>500</v>
      </c>
      <c r="BP38" s="261">
        <f>VLOOKUP($C38,Прайс!$D$8:$E$119,2,0)</f>
        <v>500</v>
      </c>
      <c r="BQ38" s="198">
        <f>ROUNDUP(VLOOKUP($C38,Прайс!$D$6:$F$1004,3,0)*VLOOKUP($C$33,Прайс!$D$6:$F$1004,3,0)*BR$16,0)</f>
        <v>1</v>
      </c>
      <c r="BR38" s="197">
        <f t="shared" si="544"/>
        <v>10439.454659788304</v>
      </c>
      <c r="BS38" s="224">
        <f t="shared" si="545"/>
        <v>500</v>
      </c>
      <c r="BT38" s="261">
        <f>VLOOKUP($C38,Прайс!$D$8:$E$119,2,0)</f>
        <v>500</v>
      </c>
      <c r="BU38" s="198">
        <f>ROUNDUP(VLOOKUP($C38,Прайс!$D$6:$F$1004,3,0)*VLOOKUP($C$33,Прайс!$D$6:$F$1004,3,0)*BV$16,0)</f>
        <v>1</v>
      </c>
      <c r="BV38" s="197">
        <f t="shared" si="546"/>
        <v>10817.283212175287</v>
      </c>
      <c r="BW38" s="224">
        <f t="shared" si="547"/>
        <v>500</v>
      </c>
      <c r="BX38" s="261">
        <f>VLOOKUP($C38,Прайс!$D$8:$E$119,2,0)</f>
        <v>500</v>
      </c>
      <c r="BY38" s="198">
        <f>ROUNDUP(VLOOKUP($C38,Прайс!$D$6:$F$1004,3,0)*VLOOKUP($C$33,Прайс!$D$6:$F$1004,3,0)*BZ$16,0)</f>
        <v>1</v>
      </c>
      <c r="BZ38" s="197">
        <f t="shared" si="548"/>
        <v>9989.1658370805271</v>
      </c>
      <c r="CA38" s="224">
        <f t="shared" si="549"/>
        <v>500</v>
      </c>
      <c r="CB38" s="261">
        <f>VLOOKUP($C38,Прайс!$D$8:$E$119,2,0)</f>
        <v>500</v>
      </c>
      <c r="CC38" s="198">
        <f>ROUNDUP(VLOOKUP($C38,Прайс!$D$6:$F$1004,3,0)*VLOOKUP($C$33,Прайс!$D$6:$F$1004,3,0)*CD$16,0)</f>
        <v>1</v>
      </c>
      <c r="CD38" s="197">
        <f t="shared" si="550"/>
        <v>9161.0484619857689</v>
      </c>
      <c r="CE38" s="224">
        <f t="shared" si="551"/>
        <v>500</v>
      </c>
      <c r="CF38" s="261">
        <f>VLOOKUP($C38,Прайс!$D$8:$E$119,2,0)</f>
        <v>500</v>
      </c>
      <c r="CG38" s="198">
        <f>ROUNDUP(VLOOKUP($C38,Прайс!$D$6:$F$1004,3,0)*VLOOKUP($C$33,Прайс!$D$6:$F$1004,3,0)*CH$16,0)</f>
        <v>1</v>
      </c>
      <c r="CH38" s="197">
        <f t="shared" si="552"/>
        <v>9430.1866088915649</v>
      </c>
      <c r="CI38" s="224">
        <f t="shared" si="553"/>
        <v>500</v>
      </c>
      <c r="CJ38" s="261">
        <f>VLOOKUP($C38,Прайс!$D$8:$E$119,2,0)</f>
        <v>500</v>
      </c>
      <c r="CK38" s="198">
        <f>ROUNDUP(VLOOKUP($C38,Прайс!$D$6:$F$1004,3,0)*VLOOKUP($C$33,Прайс!$D$6:$F$1004,3,0)*CL$16,0)</f>
        <v>1</v>
      </c>
      <c r="CL38" s="197">
        <f t="shared" si="554"/>
        <v>10051.274640212634</v>
      </c>
      <c r="CM38" s="224">
        <f t="shared" si="555"/>
        <v>500</v>
      </c>
      <c r="CN38" s="261">
        <f>VLOOKUP($C38,Прайс!$D$8:$E$119,2,0)</f>
        <v>500</v>
      </c>
      <c r="CO38" s="198">
        <f>ROUNDUP(VLOOKUP($C38,Прайс!$D$6:$F$1004,3,0)*VLOOKUP($C$33,Прайс!$D$6:$F$1004,3,0)*CP$16,0)</f>
        <v>1</v>
      </c>
      <c r="CP38" s="197">
        <f t="shared" si="556"/>
        <v>9295.6175354386651</v>
      </c>
      <c r="CQ38" s="224">
        <f t="shared" si="557"/>
        <v>500</v>
      </c>
      <c r="CR38" s="261">
        <f>VLOOKUP($C38,Прайс!$D$8:$E$119,2,0)</f>
        <v>500</v>
      </c>
      <c r="CS38" s="198">
        <f>ROUNDUP(VLOOKUP($C38,Прайс!$D$6:$F$1004,3,0)*VLOOKUP($C$33,Прайс!$D$6:$F$1004,3,0)*CT$16,0)</f>
        <v>1</v>
      </c>
      <c r="CT38" s="197">
        <f t="shared" si="558"/>
        <v>10051.274640212634</v>
      </c>
      <c r="CU38" s="224">
        <f t="shared" si="559"/>
        <v>500</v>
      </c>
      <c r="CV38" s="261">
        <f>VLOOKUP($C38,Прайс!$D$8:$E$119,2,0)</f>
        <v>500</v>
      </c>
      <c r="CW38" s="198">
        <f>ROUNDUP(VLOOKUP($C38,Прайс!$D$6:$F$1004,3,0)*VLOOKUP($C$33,Прайс!$D$6:$F$1004,3,0)*CX$16,0)</f>
        <v>1</v>
      </c>
      <c r="CX38" s="197">
        <f t="shared" si="560"/>
        <v>10817.283212175285</v>
      </c>
      <c r="CY38" s="224">
        <f t="shared" si="561"/>
        <v>500</v>
      </c>
      <c r="CZ38" s="204"/>
    </row>
    <row r="39" spans="2:104" s="165" customFormat="1" ht="25.5" hidden="1" outlineLevel="1">
      <c r="B39" s="162"/>
      <c r="C39" s="252" t="s">
        <v>96</v>
      </c>
      <c r="D39" s="261">
        <f>VLOOKUP($C39,Прайс!$D$8:$E$119,2,0)</f>
        <v>500</v>
      </c>
      <c r="E39" s="198">
        <f>ROUNDUP(VLOOKUP($C39,Прайс!$D$6:$F$1004,3,0)*VLOOKUP($C$33,Прайс!$D$6:$F$1004,3,0)*F$16,0)</f>
        <v>1</v>
      </c>
      <c r="F39" s="197">
        <f t="shared" si="512"/>
        <v>3004.8008922709123</v>
      </c>
      <c r="G39" s="224">
        <f t="shared" si="513"/>
        <v>500</v>
      </c>
      <c r="H39" s="261">
        <f>VLOOKUP($C39,Прайс!$D$8:$E$119,2,0)</f>
        <v>500</v>
      </c>
      <c r="I39" s="198">
        <f>ROUNDUP(VLOOKUP($C39,Прайс!$D$6:$F$1004,3,0)*VLOOKUP($C$33,Прайс!$D$6:$F$1004,3,0)*J$16,0)</f>
        <v>1</v>
      </c>
      <c r="J39" s="197">
        <f t="shared" si="514"/>
        <v>3353.8753691337729</v>
      </c>
      <c r="K39" s="224">
        <f t="shared" si="515"/>
        <v>500</v>
      </c>
      <c r="L39" s="261">
        <f>VLOOKUP($C39,Прайс!$D$8:$E$119,2,0)</f>
        <v>500</v>
      </c>
      <c r="M39" s="198">
        <f>ROUNDUP(VLOOKUP($C39,Прайс!$D$6:$F$1004,3,0)*VLOOKUP($C$33,Прайс!$D$6:$F$1004,3,0)*N$16,0)</f>
        <v>1</v>
      </c>
      <c r="N39" s="197">
        <f t="shared" si="516"/>
        <v>3987.3276529302148</v>
      </c>
      <c r="O39" s="224">
        <f t="shared" si="517"/>
        <v>500</v>
      </c>
      <c r="P39" s="261">
        <f>VLOOKUP($C39,Прайс!$D$8:$E$119,2,0)</f>
        <v>500</v>
      </c>
      <c r="Q39" s="198">
        <f>ROUNDUP(VLOOKUP($C39,Прайс!$D$6:$F$1004,3,0)*VLOOKUP($C$33,Прайс!$D$6:$F$1004,3,0)*R$16,0)</f>
        <v>1</v>
      </c>
      <c r="R39" s="197">
        <f t="shared" si="518"/>
        <v>4846.7869703462675</v>
      </c>
      <c r="S39" s="224">
        <f t="shared" si="519"/>
        <v>500</v>
      </c>
      <c r="T39" s="261">
        <f>VLOOKUP($C39,Прайс!$D$8:$E$119,2,0)</f>
        <v>500</v>
      </c>
      <c r="U39" s="198">
        <f>ROUNDUP(VLOOKUP($C39,Прайс!$D$6:$F$1004,3,0)*VLOOKUP($C$33,Прайс!$D$6:$F$1004,3,0)*V$16,0)</f>
        <v>1</v>
      </c>
      <c r="V39" s="197">
        <f t="shared" si="520"/>
        <v>5219.72732989415</v>
      </c>
      <c r="W39" s="224">
        <f t="shared" si="521"/>
        <v>500</v>
      </c>
      <c r="X39" s="261">
        <f>VLOOKUP($C39,Прайс!$D$8:$E$119,2,0)</f>
        <v>500</v>
      </c>
      <c r="Y39" s="198">
        <f>ROUNDUP(VLOOKUP($C39,Прайс!$D$6:$F$1004,3,0)*VLOOKUP($C$33,Прайс!$D$6:$F$1004,3,0)*Z$16,0)</f>
        <v>1</v>
      </c>
      <c r="Z39" s="197">
        <f t="shared" si="522"/>
        <v>6009.6017845418237</v>
      </c>
      <c r="AA39" s="224">
        <f t="shared" si="523"/>
        <v>500</v>
      </c>
      <c r="AB39" s="261">
        <f>VLOOKUP($C39,Прайс!$D$8:$E$119,2,0)</f>
        <v>500</v>
      </c>
      <c r="AC39" s="198">
        <f>ROUNDUP(VLOOKUP($C39,Прайс!$D$6:$F$1004,3,0)*VLOOKUP($C$33,Прайс!$D$6:$F$1004,3,0)*AD$16,0)</f>
        <v>1</v>
      </c>
      <c r="AD39" s="197">
        <f t="shared" si="524"/>
        <v>6104.490233771432</v>
      </c>
      <c r="AE39" s="224">
        <f t="shared" si="525"/>
        <v>500</v>
      </c>
      <c r="AF39" s="261">
        <f>VLOOKUP($C39,Прайс!$D$8:$E$119,2,0)</f>
        <v>500</v>
      </c>
      <c r="AG39" s="198">
        <f>ROUNDUP(VLOOKUP($C39,Прайс!$D$6:$F$1004,3,0)*VLOOKUP($C$33,Прайс!$D$6:$F$1004,3,0)*AH$16,0)</f>
        <v>1</v>
      </c>
      <c r="AH39" s="197">
        <f t="shared" si="526"/>
        <v>6107.365641323845</v>
      </c>
      <c r="AI39" s="224">
        <f t="shared" si="527"/>
        <v>500</v>
      </c>
      <c r="AJ39" s="261">
        <f>VLOOKUP($C39,Прайс!$D$8:$E$119,2,0)</f>
        <v>500</v>
      </c>
      <c r="AK39" s="198">
        <f>ROUNDUP(VLOOKUP($C39,Прайс!$D$6:$F$1004,3,0)*VLOOKUP($C$33,Прайс!$D$6:$F$1004,3,0)*AL$16,0)</f>
        <v>2</v>
      </c>
      <c r="AL39" s="197">
        <f t="shared" si="528"/>
        <v>6810.6903286439083</v>
      </c>
      <c r="AM39" s="224">
        <f t="shared" si="529"/>
        <v>1000</v>
      </c>
      <c r="AN39" s="261">
        <f>VLOOKUP($C39,Прайс!$D$8:$E$119,2,0)</f>
        <v>500</v>
      </c>
      <c r="AO39" s="198">
        <f>ROUNDUP(VLOOKUP($C39,Прайс!$D$6:$F$1004,3,0)*VLOOKUP($C$33,Прайс!$D$6:$F$1004,3,0)*AP$16,0)</f>
        <v>2</v>
      </c>
      <c r="AP39" s="197">
        <f t="shared" si="530"/>
        <v>7817.6580534987161</v>
      </c>
      <c r="AQ39" s="224">
        <f t="shared" si="531"/>
        <v>1000</v>
      </c>
      <c r="AR39" s="261">
        <f>VLOOKUP($C39,Прайс!$D$8:$E$119,2,0)</f>
        <v>500</v>
      </c>
      <c r="AS39" s="198">
        <f>ROUNDUP(VLOOKUP($C39,Прайс!$D$6:$F$1004,3,0)*VLOOKUP($C$33,Прайс!$D$6:$F$1004,3,0)*AT$16,0)</f>
        <v>2</v>
      </c>
      <c r="AT39" s="197">
        <f t="shared" si="532"/>
        <v>7746.3479461988891</v>
      </c>
      <c r="AU39" s="224">
        <f t="shared" si="533"/>
        <v>1000</v>
      </c>
      <c r="AV39" s="261">
        <f>VLOOKUP($C39,Прайс!$D$8:$E$119,2,0)</f>
        <v>500</v>
      </c>
      <c r="AW39" s="198">
        <f>ROUNDUP(VLOOKUP($C39,Прайс!$D$6:$F$1004,3,0)*VLOOKUP($C$33,Прайс!$D$6:$F$1004,3,0)*AX$16,0)</f>
        <v>2</v>
      </c>
      <c r="AX39" s="197">
        <f t="shared" si="534"/>
        <v>8934.4663468556773</v>
      </c>
      <c r="AY39" s="224">
        <f t="shared" si="535"/>
        <v>1000</v>
      </c>
      <c r="AZ39" s="261">
        <f>VLOOKUP($C39,Прайс!$D$8:$E$119,2,0)</f>
        <v>500</v>
      </c>
      <c r="BA39" s="198">
        <f>ROUNDUP(VLOOKUP($C39,Прайс!$D$6:$F$1004,3,0)*VLOOKUP($C$33,Прайс!$D$6:$F$1004,3,0)*BB$16,0)</f>
        <v>2</v>
      </c>
      <c r="BB39" s="197">
        <f t="shared" si="536"/>
        <v>10216.323033721104</v>
      </c>
      <c r="BC39" s="224">
        <f t="shared" si="537"/>
        <v>1000</v>
      </c>
      <c r="BD39" s="261">
        <f>VLOOKUP($C39,Прайс!$D$8:$E$119,2,0)</f>
        <v>500</v>
      </c>
      <c r="BE39" s="198">
        <f>ROUNDUP(VLOOKUP($C39,Прайс!$D$6:$F$1004,3,0)*VLOOKUP($C$33,Прайс!$D$6:$F$1004,3,0)*BF$16,0)</f>
        <v>2</v>
      </c>
      <c r="BF39" s="197">
        <f t="shared" si="538"/>
        <v>10061.62610740132</v>
      </c>
      <c r="BG39" s="224">
        <f t="shared" si="539"/>
        <v>1000</v>
      </c>
      <c r="BH39" s="261">
        <f>VLOOKUP($C39,Прайс!$D$8:$E$119,2,0)</f>
        <v>500</v>
      </c>
      <c r="BI39" s="198">
        <f>ROUNDUP(VLOOKUP($C39,Прайс!$D$6:$F$1004,3,0)*VLOOKUP($C$33,Прайс!$D$6:$F$1004,3,0)*BJ$16,0)</f>
        <v>2</v>
      </c>
      <c r="BJ39" s="197">
        <f t="shared" si="540"/>
        <v>10253.128250391983</v>
      </c>
      <c r="BK39" s="224">
        <f t="shared" si="541"/>
        <v>1000</v>
      </c>
      <c r="BL39" s="261">
        <f>VLOOKUP($C39,Прайс!$D$8:$E$119,2,0)</f>
        <v>500</v>
      </c>
      <c r="BM39" s="198">
        <f>ROUNDUP(VLOOKUP($C39,Прайс!$D$6:$F$1004,3,0)*VLOOKUP($C$33,Прайс!$D$6:$F$1004,3,0)*BN$16,0)</f>
        <v>2</v>
      </c>
      <c r="BN39" s="197">
        <f t="shared" si="542"/>
        <v>10905.270683279108</v>
      </c>
      <c r="BO39" s="224">
        <f t="shared" si="543"/>
        <v>1000</v>
      </c>
      <c r="BP39" s="261">
        <f>VLOOKUP($C39,Прайс!$D$8:$E$119,2,0)</f>
        <v>500</v>
      </c>
      <c r="BQ39" s="198">
        <f>ROUNDUP(VLOOKUP($C39,Прайс!$D$6:$F$1004,3,0)*VLOOKUP($C$33,Прайс!$D$6:$F$1004,3,0)*BR$16,0)</f>
        <v>2</v>
      </c>
      <c r="BR39" s="197">
        <f t="shared" si="544"/>
        <v>10439.454659788304</v>
      </c>
      <c r="BS39" s="224">
        <f t="shared" si="545"/>
        <v>1000</v>
      </c>
      <c r="BT39" s="261">
        <f>VLOOKUP($C39,Прайс!$D$8:$E$119,2,0)</f>
        <v>500</v>
      </c>
      <c r="BU39" s="198">
        <f>ROUNDUP(VLOOKUP($C39,Прайс!$D$6:$F$1004,3,0)*VLOOKUP($C$33,Прайс!$D$6:$F$1004,3,0)*BV$16,0)</f>
        <v>2</v>
      </c>
      <c r="BV39" s="197">
        <f t="shared" si="546"/>
        <v>10817.283212175287</v>
      </c>
      <c r="BW39" s="224">
        <f t="shared" si="547"/>
        <v>1000</v>
      </c>
      <c r="BX39" s="261">
        <f>VLOOKUP($C39,Прайс!$D$8:$E$119,2,0)</f>
        <v>500</v>
      </c>
      <c r="BY39" s="198">
        <f>ROUNDUP(VLOOKUP($C39,Прайс!$D$6:$F$1004,3,0)*VLOOKUP($C$33,Прайс!$D$6:$F$1004,3,0)*BZ$16,0)</f>
        <v>2</v>
      </c>
      <c r="BZ39" s="197">
        <f t="shared" si="548"/>
        <v>9989.1658370805271</v>
      </c>
      <c r="CA39" s="224">
        <f t="shared" si="549"/>
        <v>1000</v>
      </c>
      <c r="CB39" s="261">
        <f>VLOOKUP($C39,Прайс!$D$8:$E$119,2,0)</f>
        <v>500</v>
      </c>
      <c r="CC39" s="198">
        <f>ROUNDUP(VLOOKUP($C39,Прайс!$D$6:$F$1004,3,0)*VLOOKUP($C$33,Прайс!$D$6:$F$1004,3,0)*CD$16,0)</f>
        <v>2</v>
      </c>
      <c r="CD39" s="197">
        <f t="shared" si="550"/>
        <v>9161.0484619857689</v>
      </c>
      <c r="CE39" s="224">
        <f t="shared" si="551"/>
        <v>1000</v>
      </c>
      <c r="CF39" s="261">
        <f>VLOOKUP($C39,Прайс!$D$8:$E$119,2,0)</f>
        <v>500</v>
      </c>
      <c r="CG39" s="198">
        <f>ROUNDUP(VLOOKUP($C39,Прайс!$D$6:$F$1004,3,0)*VLOOKUP($C$33,Прайс!$D$6:$F$1004,3,0)*CH$16,0)</f>
        <v>2</v>
      </c>
      <c r="CH39" s="197">
        <f t="shared" si="552"/>
        <v>9430.1866088915649</v>
      </c>
      <c r="CI39" s="224">
        <f t="shared" si="553"/>
        <v>1000</v>
      </c>
      <c r="CJ39" s="261">
        <f>VLOOKUP($C39,Прайс!$D$8:$E$119,2,0)</f>
        <v>500</v>
      </c>
      <c r="CK39" s="198">
        <f>ROUNDUP(VLOOKUP($C39,Прайс!$D$6:$F$1004,3,0)*VLOOKUP($C$33,Прайс!$D$6:$F$1004,3,0)*CL$16,0)</f>
        <v>2</v>
      </c>
      <c r="CL39" s="197">
        <f t="shared" si="554"/>
        <v>10051.274640212634</v>
      </c>
      <c r="CM39" s="224">
        <f t="shared" si="555"/>
        <v>1000</v>
      </c>
      <c r="CN39" s="261">
        <f>VLOOKUP($C39,Прайс!$D$8:$E$119,2,0)</f>
        <v>500</v>
      </c>
      <c r="CO39" s="198">
        <f>ROUNDUP(VLOOKUP($C39,Прайс!$D$6:$F$1004,3,0)*VLOOKUP($C$33,Прайс!$D$6:$F$1004,3,0)*CP$16,0)</f>
        <v>2</v>
      </c>
      <c r="CP39" s="197">
        <f t="shared" si="556"/>
        <v>9295.6175354386651</v>
      </c>
      <c r="CQ39" s="224">
        <f t="shared" si="557"/>
        <v>1000</v>
      </c>
      <c r="CR39" s="261">
        <f>VLOOKUP($C39,Прайс!$D$8:$E$119,2,0)</f>
        <v>500</v>
      </c>
      <c r="CS39" s="198">
        <f>ROUNDUP(VLOOKUP($C39,Прайс!$D$6:$F$1004,3,0)*VLOOKUP($C$33,Прайс!$D$6:$F$1004,3,0)*CT$16,0)</f>
        <v>2</v>
      </c>
      <c r="CT39" s="197">
        <f t="shared" si="558"/>
        <v>10051.274640212634</v>
      </c>
      <c r="CU39" s="224">
        <f t="shared" si="559"/>
        <v>1000</v>
      </c>
      <c r="CV39" s="261">
        <f>VLOOKUP($C39,Прайс!$D$8:$E$119,2,0)</f>
        <v>500</v>
      </c>
      <c r="CW39" s="198">
        <f>ROUNDUP(VLOOKUP($C39,Прайс!$D$6:$F$1004,3,0)*VLOOKUP($C$33,Прайс!$D$6:$F$1004,3,0)*CX$16,0)</f>
        <v>2</v>
      </c>
      <c r="CX39" s="197">
        <f t="shared" si="560"/>
        <v>10817.283212175285</v>
      </c>
      <c r="CY39" s="224">
        <f t="shared" si="561"/>
        <v>1000</v>
      </c>
      <c r="CZ39" s="204"/>
    </row>
    <row r="40" spans="2:104" s="165" customFormat="1" ht="25.5" hidden="1" outlineLevel="1">
      <c r="B40" s="162"/>
      <c r="C40" s="252" t="s">
        <v>269</v>
      </c>
      <c r="D40" s="261">
        <f>VLOOKUP($C40,Прайс!$D$8:$E$119,2,0)</f>
        <v>1550</v>
      </c>
      <c r="E40" s="198">
        <f>ROUNDUP(VLOOKUP($C40,Прайс!$D$6:$F$1004,3,0)*VLOOKUP($C$33,Прайс!$D$6:$F$1004,3,0)*F$16,0)</f>
        <v>1</v>
      </c>
      <c r="F40" s="197">
        <f t="shared" si="512"/>
        <v>9314.8827660398292</v>
      </c>
      <c r="G40" s="224">
        <f t="shared" si="513"/>
        <v>1550</v>
      </c>
      <c r="H40" s="261">
        <f>VLOOKUP($C40,Прайс!$D$8:$E$119,2,0)</f>
        <v>1550</v>
      </c>
      <c r="I40" s="198">
        <f>ROUNDUP(VLOOKUP($C40,Прайс!$D$6:$F$1004,3,0)*VLOOKUP($C$33,Прайс!$D$6:$F$1004,3,0)*J$16,0)</f>
        <v>1</v>
      </c>
      <c r="J40" s="197">
        <f t="shared" si="514"/>
        <v>10397.013644314695</v>
      </c>
      <c r="K40" s="224">
        <f t="shared" si="515"/>
        <v>1550</v>
      </c>
      <c r="L40" s="261">
        <f>VLOOKUP($C40,Прайс!$D$8:$E$119,2,0)</f>
        <v>1550</v>
      </c>
      <c r="M40" s="198">
        <f>ROUNDUP(VLOOKUP($C40,Прайс!$D$6:$F$1004,3,0)*VLOOKUP($C$33,Прайс!$D$6:$F$1004,3,0)*N$16,0)</f>
        <v>1</v>
      </c>
      <c r="N40" s="197">
        <f t="shared" si="516"/>
        <v>12360.715724083664</v>
      </c>
      <c r="O40" s="224">
        <f t="shared" si="517"/>
        <v>1550</v>
      </c>
      <c r="P40" s="261">
        <f>VLOOKUP($C40,Прайс!$D$8:$E$119,2,0)</f>
        <v>1550</v>
      </c>
      <c r="Q40" s="198">
        <f>ROUNDUP(VLOOKUP($C40,Прайс!$D$6:$F$1004,3,0)*VLOOKUP($C$33,Прайс!$D$6:$F$1004,3,0)*R$16,0)</f>
        <v>1</v>
      </c>
      <c r="R40" s="197">
        <f t="shared" si="518"/>
        <v>15025.039608073432</v>
      </c>
      <c r="S40" s="224">
        <f t="shared" si="519"/>
        <v>1550</v>
      </c>
      <c r="T40" s="261">
        <f>VLOOKUP($C40,Прайс!$D$8:$E$119,2,0)</f>
        <v>1550</v>
      </c>
      <c r="U40" s="198">
        <f>ROUNDUP(VLOOKUP($C40,Прайс!$D$6:$F$1004,3,0)*VLOOKUP($C$33,Прайс!$D$6:$F$1004,3,0)*V$16,0)</f>
        <v>1</v>
      </c>
      <c r="V40" s="197">
        <f t="shared" si="520"/>
        <v>16181.154722671865</v>
      </c>
      <c r="W40" s="224">
        <f t="shared" si="521"/>
        <v>1550</v>
      </c>
      <c r="X40" s="261">
        <f>VLOOKUP($C40,Прайс!$D$8:$E$119,2,0)</f>
        <v>1550</v>
      </c>
      <c r="Y40" s="198">
        <f>ROUNDUP(VLOOKUP($C40,Прайс!$D$6:$F$1004,3,0)*VLOOKUP($C$33,Прайс!$D$6:$F$1004,3,0)*Z$16,0)</f>
        <v>2</v>
      </c>
      <c r="Z40" s="197">
        <f t="shared" si="522"/>
        <v>18629.765532079655</v>
      </c>
      <c r="AA40" s="224">
        <f t="shared" si="523"/>
        <v>3100</v>
      </c>
      <c r="AB40" s="261">
        <f>VLOOKUP($C40,Прайс!$D$8:$E$119,2,0)</f>
        <v>1550</v>
      </c>
      <c r="AC40" s="198">
        <f>ROUNDUP(VLOOKUP($C40,Прайс!$D$6:$F$1004,3,0)*VLOOKUP($C$33,Прайс!$D$6:$F$1004,3,0)*AD$16,0)</f>
        <v>2</v>
      </c>
      <c r="AD40" s="197">
        <f t="shared" si="524"/>
        <v>18923.919724691441</v>
      </c>
      <c r="AE40" s="224">
        <f t="shared" si="525"/>
        <v>3100</v>
      </c>
      <c r="AF40" s="261">
        <f>VLOOKUP($C40,Прайс!$D$8:$E$119,2,0)</f>
        <v>1550</v>
      </c>
      <c r="AG40" s="198">
        <f>ROUNDUP(VLOOKUP($C40,Прайс!$D$6:$F$1004,3,0)*VLOOKUP($C$33,Прайс!$D$6:$F$1004,3,0)*AH$16,0)</f>
        <v>2</v>
      </c>
      <c r="AH40" s="197">
        <f t="shared" si="526"/>
        <v>18932.833488103919</v>
      </c>
      <c r="AI40" s="224">
        <f t="shared" si="527"/>
        <v>3100</v>
      </c>
      <c r="AJ40" s="261">
        <f>VLOOKUP($C40,Прайс!$D$8:$E$119,2,0)</f>
        <v>1550</v>
      </c>
      <c r="AK40" s="198">
        <f>ROUNDUP(VLOOKUP($C40,Прайс!$D$6:$F$1004,3,0)*VLOOKUP($C$33,Прайс!$D$6:$F$1004,3,0)*AL$16,0)</f>
        <v>2</v>
      </c>
      <c r="AL40" s="197">
        <f t="shared" si="528"/>
        <v>21113.140018796115</v>
      </c>
      <c r="AM40" s="224">
        <f t="shared" si="529"/>
        <v>3100</v>
      </c>
      <c r="AN40" s="261">
        <f>VLOOKUP($C40,Прайс!$D$8:$E$119,2,0)</f>
        <v>1550</v>
      </c>
      <c r="AO40" s="198">
        <f>ROUNDUP(VLOOKUP($C40,Прайс!$D$6:$F$1004,3,0)*VLOOKUP($C$33,Прайс!$D$6:$F$1004,3,0)*AP$16,0)</f>
        <v>2</v>
      </c>
      <c r="AP40" s="197">
        <f t="shared" si="530"/>
        <v>24234.73996584602</v>
      </c>
      <c r="AQ40" s="224">
        <f t="shared" si="531"/>
        <v>3100</v>
      </c>
      <c r="AR40" s="261">
        <f>VLOOKUP($C40,Прайс!$D$8:$E$119,2,0)</f>
        <v>1550</v>
      </c>
      <c r="AS40" s="198">
        <f>ROUNDUP(VLOOKUP($C40,Прайс!$D$6:$F$1004,3,0)*VLOOKUP($C$33,Прайс!$D$6:$F$1004,3,0)*AT$16,0)</f>
        <v>2</v>
      </c>
      <c r="AT40" s="197">
        <f t="shared" si="532"/>
        <v>24013.678633216558</v>
      </c>
      <c r="AU40" s="224">
        <f t="shared" si="533"/>
        <v>3100</v>
      </c>
      <c r="AV40" s="261">
        <f>VLOOKUP($C40,Прайс!$D$8:$E$119,2,0)</f>
        <v>1550</v>
      </c>
      <c r="AW40" s="198">
        <f>ROUNDUP(VLOOKUP($C40,Прайс!$D$6:$F$1004,3,0)*VLOOKUP($C$33,Прайс!$D$6:$F$1004,3,0)*AX$16,0)</f>
        <v>2</v>
      </c>
      <c r="AX40" s="197">
        <f t="shared" si="534"/>
        <v>27696.845675252596</v>
      </c>
      <c r="AY40" s="224">
        <f t="shared" si="535"/>
        <v>3100</v>
      </c>
      <c r="AZ40" s="261">
        <f>VLOOKUP($C40,Прайс!$D$8:$E$119,2,0)</f>
        <v>1550</v>
      </c>
      <c r="BA40" s="198">
        <f>ROUNDUP(VLOOKUP($C40,Прайс!$D$6:$F$1004,3,0)*VLOOKUP($C$33,Прайс!$D$6:$F$1004,3,0)*BB$16,0)</f>
        <v>2</v>
      </c>
      <c r="BB40" s="197">
        <f t="shared" si="536"/>
        <v>31670.601404535428</v>
      </c>
      <c r="BC40" s="224">
        <f t="shared" si="537"/>
        <v>3100</v>
      </c>
      <c r="BD40" s="261">
        <f>VLOOKUP($C40,Прайс!$D$8:$E$119,2,0)</f>
        <v>1550</v>
      </c>
      <c r="BE40" s="198">
        <f>ROUNDUP(VLOOKUP($C40,Прайс!$D$6:$F$1004,3,0)*VLOOKUP($C$33,Прайс!$D$6:$F$1004,3,0)*BF$16,0)</f>
        <v>2</v>
      </c>
      <c r="BF40" s="197">
        <f t="shared" si="538"/>
        <v>31191.040932944092</v>
      </c>
      <c r="BG40" s="224">
        <f t="shared" si="539"/>
        <v>3100</v>
      </c>
      <c r="BH40" s="261">
        <f>VLOOKUP($C40,Прайс!$D$8:$E$119,2,0)</f>
        <v>1550</v>
      </c>
      <c r="BI40" s="198">
        <f>ROUNDUP(VLOOKUP($C40,Прайс!$D$6:$F$1004,3,0)*VLOOKUP($C$33,Прайс!$D$6:$F$1004,3,0)*BJ$16,0)</f>
        <v>2</v>
      </c>
      <c r="BJ40" s="197">
        <f t="shared" si="540"/>
        <v>31784.697576215145</v>
      </c>
      <c r="BK40" s="224">
        <f t="shared" si="541"/>
        <v>3100</v>
      </c>
      <c r="BL40" s="261">
        <f>VLOOKUP($C40,Прайс!$D$8:$E$119,2,0)</f>
        <v>1550</v>
      </c>
      <c r="BM40" s="198">
        <f>ROUNDUP(VLOOKUP($C40,Прайс!$D$6:$F$1004,3,0)*VLOOKUP($C$33,Прайс!$D$6:$F$1004,3,0)*BN$16,0)</f>
        <v>3</v>
      </c>
      <c r="BN40" s="197">
        <f t="shared" si="542"/>
        <v>33806.339118165233</v>
      </c>
      <c r="BO40" s="224">
        <f t="shared" si="543"/>
        <v>4650</v>
      </c>
      <c r="BP40" s="261">
        <f>VLOOKUP($C40,Прайс!$D$8:$E$119,2,0)</f>
        <v>1550</v>
      </c>
      <c r="BQ40" s="198">
        <f>ROUNDUP(VLOOKUP($C40,Прайс!$D$6:$F$1004,3,0)*VLOOKUP($C$33,Прайс!$D$6:$F$1004,3,0)*BR$16,0)</f>
        <v>2</v>
      </c>
      <c r="BR40" s="197">
        <f t="shared" si="544"/>
        <v>32362.309445343744</v>
      </c>
      <c r="BS40" s="224">
        <f t="shared" si="545"/>
        <v>3100</v>
      </c>
      <c r="BT40" s="261">
        <f>VLOOKUP($C40,Прайс!$D$8:$E$119,2,0)</f>
        <v>1550</v>
      </c>
      <c r="BU40" s="198">
        <f>ROUNDUP(VLOOKUP($C40,Прайс!$D$6:$F$1004,3,0)*VLOOKUP($C$33,Прайс!$D$6:$F$1004,3,0)*BV$16,0)</f>
        <v>3</v>
      </c>
      <c r="BV40" s="197">
        <f t="shared" si="546"/>
        <v>33533.577957743393</v>
      </c>
      <c r="BW40" s="224">
        <f t="shared" si="547"/>
        <v>4650</v>
      </c>
      <c r="BX40" s="261">
        <f>VLOOKUP($C40,Прайс!$D$8:$E$119,2,0)</f>
        <v>1550</v>
      </c>
      <c r="BY40" s="198">
        <f>ROUNDUP(VLOOKUP($C40,Прайс!$D$6:$F$1004,3,0)*VLOOKUP($C$33,Прайс!$D$6:$F$1004,3,0)*BZ$16,0)</f>
        <v>2</v>
      </c>
      <c r="BZ40" s="197">
        <f t="shared" si="548"/>
        <v>30966.414094949636</v>
      </c>
      <c r="CA40" s="224">
        <f t="shared" si="549"/>
        <v>3100</v>
      </c>
      <c r="CB40" s="261">
        <f>VLOOKUP($C40,Прайс!$D$8:$E$119,2,0)</f>
        <v>1550</v>
      </c>
      <c r="CC40" s="198">
        <f>ROUNDUP(VLOOKUP($C40,Прайс!$D$6:$F$1004,3,0)*VLOOKUP($C$33,Прайс!$D$6:$F$1004,3,0)*CD$16,0)</f>
        <v>2</v>
      </c>
      <c r="CD40" s="197">
        <f t="shared" si="550"/>
        <v>28399.250232155882</v>
      </c>
      <c r="CE40" s="224">
        <f t="shared" si="551"/>
        <v>3100</v>
      </c>
      <c r="CF40" s="261">
        <f>VLOOKUP($C40,Прайс!$D$8:$E$119,2,0)</f>
        <v>1550</v>
      </c>
      <c r="CG40" s="198">
        <f>ROUNDUP(VLOOKUP($C40,Прайс!$D$6:$F$1004,3,0)*VLOOKUP($C$33,Прайс!$D$6:$F$1004,3,0)*CH$16,0)</f>
        <v>2</v>
      </c>
      <c r="CH40" s="197">
        <f t="shared" si="552"/>
        <v>29233.578487563849</v>
      </c>
      <c r="CI40" s="224">
        <f t="shared" si="553"/>
        <v>3100</v>
      </c>
      <c r="CJ40" s="261">
        <f>VLOOKUP($C40,Прайс!$D$8:$E$119,2,0)</f>
        <v>1550</v>
      </c>
      <c r="CK40" s="198">
        <f>ROUNDUP(VLOOKUP($C40,Прайс!$D$6:$F$1004,3,0)*VLOOKUP($C$33,Прайс!$D$6:$F$1004,3,0)*CL$16,0)</f>
        <v>2</v>
      </c>
      <c r="CL40" s="197">
        <f t="shared" si="554"/>
        <v>31158.951384659165</v>
      </c>
      <c r="CM40" s="224">
        <f t="shared" si="555"/>
        <v>3100</v>
      </c>
      <c r="CN40" s="261">
        <f>VLOOKUP($C40,Прайс!$D$8:$E$119,2,0)</f>
        <v>1550</v>
      </c>
      <c r="CO40" s="198">
        <f>ROUNDUP(VLOOKUP($C40,Прайс!$D$6:$F$1004,3,0)*VLOOKUP($C$33,Прайс!$D$6:$F$1004,3,0)*CP$16,0)</f>
        <v>2</v>
      </c>
      <c r="CP40" s="197">
        <f t="shared" si="556"/>
        <v>28816.414359859864</v>
      </c>
      <c r="CQ40" s="224">
        <f t="shared" si="557"/>
        <v>3100</v>
      </c>
      <c r="CR40" s="261">
        <f>VLOOKUP($C40,Прайс!$D$8:$E$119,2,0)</f>
        <v>1550</v>
      </c>
      <c r="CS40" s="198">
        <f>ROUNDUP(VLOOKUP($C40,Прайс!$D$6:$F$1004,3,0)*VLOOKUP($C$33,Прайс!$D$6:$F$1004,3,0)*CT$16,0)</f>
        <v>2</v>
      </c>
      <c r="CT40" s="197">
        <f t="shared" si="558"/>
        <v>31158.951384659165</v>
      </c>
      <c r="CU40" s="224">
        <f t="shared" si="559"/>
        <v>3100</v>
      </c>
      <c r="CV40" s="261">
        <f>VLOOKUP($C40,Прайс!$D$8:$E$119,2,0)</f>
        <v>1550</v>
      </c>
      <c r="CW40" s="198">
        <f>ROUNDUP(VLOOKUP($C40,Прайс!$D$6:$F$1004,3,0)*VLOOKUP($C$33,Прайс!$D$6:$F$1004,3,0)*CX$16,0)</f>
        <v>3</v>
      </c>
      <c r="CX40" s="197">
        <f t="shared" si="560"/>
        <v>33533.577957743386</v>
      </c>
      <c r="CY40" s="224">
        <f t="shared" si="561"/>
        <v>4650</v>
      </c>
      <c r="CZ40" s="204"/>
    </row>
    <row r="41" spans="2:104" s="165" customFormat="1" ht="51" hidden="1" outlineLevel="1">
      <c r="B41" s="162"/>
      <c r="C41" s="252" t="s">
        <v>270</v>
      </c>
      <c r="D41" s="261">
        <f>VLOOKUP($C41,Прайс!$D$8:$E$119,2,0)</f>
        <v>500</v>
      </c>
      <c r="E41" s="198">
        <f>ROUNDUP(VLOOKUP($C41,Прайс!$D$6:$F$1004,3,0)*VLOOKUP($C$33,Прайс!$D$6:$F$1004,3,0)*F$16,0)</f>
        <v>1</v>
      </c>
      <c r="F41" s="197">
        <f t="shared" si="512"/>
        <v>3004.8008922709123</v>
      </c>
      <c r="G41" s="224">
        <f t="shared" si="513"/>
        <v>500</v>
      </c>
      <c r="H41" s="261">
        <f>VLOOKUP($C41,Прайс!$D$8:$E$119,2,0)</f>
        <v>500</v>
      </c>
      <c r="I41" s="198">
        <f>ROUNDUP(VLOOKUP($C41,Прайс!$D$6:$F$1004,3,0)*VLOOKUP($C$33,Прайс!$D$6:$F$1004,3,0)*J$16,0)</f>
        <v>1</v>
      </c>
      <c r="J41" s="197">
        <f t="shared" si="514"/>
        <v>3353.8753691337729</v>
      </c>
      <c r="K41" s="224">
        <f t="shared" si="515"/>
        <v>500</v>
      </c>
      <c r="L41" s="261">
        <f>VLOOKUP($C41,Прайс!$D$8:$E$119,2,0)</f>
        <v>500</v>
      </c>
      <c r="M41" s="198">
        <f>ROUNDUP(VLOOKUP($C41,Прайс!$D$6:$F$1004,3,0)*VLOOKUP($C$33,Прайс!$D$6:$F$1004,3,0)*N$16,0)</f>
        <v>1</v>
      </c>
      <c r="N41" s="197">
        <f t="shared" si="516"/>
        <v>3987.3276529302148</v>
      </c>
      <c r="O41" s="224">
        <f t="shared" si="517"/>
        <v>500</v>
      </c>
      <c r="P41" s="261">
        <f>VLOOKUP($C41,Прайс!$D$8:$E$119,2,0)</f>
        <v>500</v>
      </c>
      <c r="Q41" s="198">
        <f>ROUNDUP(VLOOKUP($C41,Прайс!$D$6:$F$1004,3,0)*VLOOKUP($C$33,Прайс!$D$6:$F$1004,3,0)*R$16,0)</f>
        <v>1</v>
      </c>
      <c r="R41" s="197">
        <f t="shared" si="518"/>
        <v>4846.7869703462675</v>
      </c>
      <c r="S41" s="224">
        <f t="shared" si="519"/>
        <v>500</v>
      </c>
      <c r="T41" s="261">
        <f>VLOOKUP($C41,Прайс!$D$8:$E$119,2,0)</f>
        <v>500</v>
      </c>
      <c r="U41" s="198">
        <f>ROUNDUP(VLOOKUP($C41,Прайс!$D$6:$F$1004,3,0)*VLOOKUP($C$33,Прайс!$D$6:$F$1004,3,0)*V$16,0)</f>
        <v>1</v>
      </c>
      <c r="V41" s="197">
        <f t="shared" si="520"/>
        <v>5219.72732989415</v>
      </c>
      <c r="W41" s="224">
        <f t="shared" si="521"/>
        <v>500</v>
      </c>
      <c r="X41" s="261">
        <f>VLOOKUP($C41,Прайс!$D$8:$E$119,2,0)</f>
        <v>500</v>
      </c>
      <c r="Y41" s="198">
        <f>ROUNDUP(VLOOKUP($C41,Прайс!$D$6:$F$1004,3,0)*VLOOKUP($C$33,Прайс!$D$6:$F$1004,3,0)*Z$16,0)</f>
        <v>1</v>
      </c>
      <c r="Z41" s="197">
        <f t="shared" si="522"/>
        <v>6009.6017845418237</v>
      </c>
      <c r="AA41" s="224">
        <f t="shared" si="523"/>
        <v>500</v>
      </c>
      <c r="AB41" s="261">
        <f>VLOOKUP($C41,Прайс!$D$8:$E$119,2,0)</f>
        <v>500</v>
      </c>
      <c r="AC41" s="198">
        <f>ROUNDUP(VLOOKUP($C41,Прайс!$D$6:$F$1004,3,0)*VLOOKUP($C$33,Прайс!$D$6:$F$1004,3,0)*AD$16,0)</f>
        <v>1</v>
      </c>
      <c r="AD41" s="197">
        <f t="shared" si="524"/>
        <v>6104.490233771432</v>
      </c>
      <c r="AE41" s="224">
        <f t="shared" si="525"/>
        <v>500</v>
      </c>
      <c r="AF41" s="261">
        <f>VLOOKUP($C41,Прайс!$D$8:$E$119,2,0)</f>
        <v>500</v>
      </c>
      <c r="AG41" s="198">
        <f>ROUNDUP(VLOOKUP($C41,Прайс!$D$6:$F$1004,3,0)*VLOOKUP($C$33,Прайс!$D$6:$F$1004,3,0)*AH$16,0)</f>
        <v>1</v>
      </c>
      <c r="AH41" s="197">
        <f t="shared" si="526"/>
        <v>6107.365641323845</v>
      </c>
      <c r="AI41" s="224">
        <f t="shared" si="527"/>
        <v>500</v>
      </c>
      <c r="AJ41" s="261">
        <f>VLOOKUP($C41,Прайс!$D$8:$E$119,2,0)</f>
        <v>500</v>
      </c>
      <c r="AK41" s="198">
        <f>ROUNDUP(VLOOKUP($C41,Прайс!$D$6:$F$1004,3,0)*VLOOKUP($C$33,Прайс!$D$6:$F$1004,3,0)*AL$16,0)</f>
        <v>1</v>
      </c>
      <c r="AL41" s="197">
        <f t="shared" si="528"/>
        <v>6810.6903286439083</v>
      </c>
      <c r="AM41" s="224">
        <f t="shared" si="529"/>
        <v>500</v>
      </c>
      <c r="AN41" s="261">
        <f>VLOOKUP($C41,Прайс!$D$8:$E$119,2,0)</f>
        <v>500</v>
      </c>
      <c r="AO41" s="198">
        <f>ROUNDUP(VLOOKUP($C41,Прайс!$D$6:$F$1004,3,0)*VLOOKUP($C$33,Прайс!$D$6:$F$1004,3,0)*AP$16,0)</f>
        <v>1</v>
      </c>
      <c r="AP41" s="197">
        <f t="shared" si="530"/>
        <v>7817.6580534987161</v>
      </c>
      <c r="AQ41" s="224">
        <f t="shared" si="531"/>
        <v>500</v>
      </c>
      <c r="AR41" s="261">
        <f>VLOOKUP($C41,Прайс!$D$8:$E$119,2,0)</f>
        <v>500</v>
      </c>
      <c r="AS41" s="198">
        <f>ROUNDUP(VLOOKUP($C41,Прайс!$D$6:$F$1004,3,0)*VLOOKUP($C$33,Прайс!$D$6:$F$1004,3,0)*AT$16,0)</f>
        <v>1</v>
      </c>
      <c r="AT41" s="197">
        <f t="shared" si="532"/>
        <v>7746.3479461988891</v>
      </c>
      <c r="AU41" s="224">
        <f t="shared" si="533"/>
        <v>500</v>
      </c>
      <c r="AV41" s="261">
        <f>VLOOKUP($C41,Прайс!$D$8:$E$119,2,0)</f>
        <v>500</v>
      </c>
      <c r="AW41" s="198">
        <f>ROUNDUP(VLOOKUP($C41,Прайс!$D$6:$F$1004,3,0)*VLOOKUP($C$33,Прайс!$D$6:$F$1004,3,0)*AX$16,0)</f>
        <v>1</v>
      </c>
      <c r="AX41" s="197">
        <f t="shared" si="534"/>
        <v>8934.4663468556773</v>
      </c>
      <c r="AY41" s="224">
        <f t="shared" si="535"/>
        <v>500</v>
      </c>
      <c r="AZ41" s="261">
        <f>VLOOKUP($C41,Прайс!$D$8:$E$119,2,0)</f>
        <v>500</v>
      </c>
      <c r="BA41" s="198">
        <f>ROUNDUP(VLOOKUP($C41,Прайс!$D$6:$F$1004,3,0)*VLOOKUP($C$33,Прайс!$D$6:$F$1004,3,0)*BB$16,0)</f>
        <v>1</v>
      </c>
      <c r="BB41" s="197">
        <f t="shared" si="536"/>
        <v>10216.323033721104</v>
      </c>
      <c r="BC41" s="224">
        <f t="shared" si="537"/>
        <v>500</v>
      </c>
      <c r="BD41" s="261">
        <f>VLOOKUP($C41,Прайс!$D$8:$E$119,2,0)</f>
        <v>500</v>
      </c>
      <c r="BE41" s="198">
        <f>ROUNDUP(VLOOKUP($C41,Прайс!$D$6:$F$1004,3,0)*VLOOKUP($C$33,Прайс!$D$6:$F$1004,3,0)*BF$16,0)</f>
        <v>1</v>
      </c>
      <c r="BF41" s="197">
        <f t="shared" si="538"/>
        <v>10061.62610740132</v>
      </c>
      <c r="BG41" s="224">
        <f t="shared" si="539"/>
        <v>500</v>
      </c>
      <c r="BH41" s="261">
        <f>VLOOKUP($C41,Прайс!$D$8:$E$119,2,0)</f>
        <v>500</v>
      </c>
      <c r="BI41" s="198">
        <f>ROUNDUP(VLOOKUP($C41,Прайс!$D$6:$F$1004,3,0)*VLOOKUP($C$33,Прайс!$D$6:$F$1004,3,0)*BJ$16,0)</f>
        <v>1</v>
      </c>
      <c r="BJ41" s="197">
        <f t="shared" si="540"/>
        <v>10253.128250391983</v>
      </c>
      <c r="BK41" s="224">
        <f t="shared" si="541"/>
        <v>500</v>
      </c>
      <c r="BL41" s="261">
        <f>VLOOKUP($C41,Прайс!$D$8:$E$119,2,0)</f>
        <v>500</v>
      </c>
      <c r="BM41" s="198">
        <f>ROUNDUP(VLOOKUP($C41,Прайс!$D$6:$F$1004,3,0)*VLOOKUP($C$33,Прайс!$D$6:$F$1004,3,0)*BN$16,0)</f>
        <v>1</v>
      </c>
      <c r="BN41" s="197">
        <f t="shared" si="542"/>
        <v>10905.270683279108</v>
      </c>
      <c r="BO41" s="224">
        <f t="shared" si="543"/>
        <v>500</v>
      </c>
      <c r="BP41" s="261">
        <f>VLOOKUP($C41,Прайс!$D$8:$E$119,2,0)</f>
        <v>500</v>
      </c>
      <c r="BQ41" s="198">
        <f>ROUNDUP(VLOOKUP($C41,Прайс!$D$6:$F$1004,3,0)*VLOOKUP($C$33,Прайс!$D$6:$F$1004,3,0)*BR$16,0)</f>
        <v>1</v>
      </c>
      <c r="BR41" s="197">
        <f t="shared" si="544"/>
        <v>10439.454659788304</v>
      </c>
      <c r="BS41" s="224">
        <f t="shared" si="545"/>
        <v>500</v>
      </c>
      <c r="BT41" s="261">
        <f>VLOOKUP($C41,Прайс!$D$8:$E$119,2,0)</f>
        <v>500</v>
      </c>
      <c r="BU41" s="198">
        <f>ROUNDUP(VLOOKUP($C41,Прайс!$D$6:$F$1004,3,0)*VLOOKUP($C$33,Прайс!$D$6:$F$1004,3,0)*BV$16,0)</f>
        <v>1</v>
      </c>
      <c r="BV41" s="197">
        <f t="shared" si="546"/>
        <v>10817.283212175287</v>
      </c>
      <c r="BW41" s="224">
        <f t="shared" si="547"/>
        <v>500</v>
      </c>
      <c r="BX41" s="261">
        <f>VLOOKUP($C41,Прайс!$D$8:$E$119,2,0)</f>
        <v>500</v>
      </c>
      <c r="BY41" s="198">
        <f>ROUNDUP(VLOOKUP($C41,Прайс!$D$6:$F$1004,3,0)*VLOOKUP($C$33,Прайс!$D$6:$F$1004,3,0)*BZ$16,0)</f>
        <v>1</v>
      </c>
      <c r="BZ41" s="197">
        <f t="shared" si="548"/>
        <v>9989.1658370805271</v>
      </c>
      <c r="CA41" s="224">
        <f t="shared" si="549"/>
        <v>500</v>
      </c>
      <c r="CB41" s="261">
        <f>VLOOKUP($C41,Прайс!$D$8:$E$119,2,0)</f>
        <v>500</v>
      </c>
      <c r="CC41" s="198">
        <f>ROUNDUP(VLOOKUP($C41,Прайс!$D$6:$F$1004,3,0)*VLOOKUP($C$33,Прайс!$D$6:$F$1004,3,0)*CD$16,0)</f>
        <v>1</v>
      </c>
      <c r="CD41" s="197">
        <f t="shared" si="550"/>
        <v>9161.0484619857689</v>
      </c>
      <c r="CE41" s="224">
        <f t="shared" si="551"/>
        <v>500</v>
      </c>
      <c r="CF41" s="261">
        <f>VLOOKUP($C41,Прайс!$D$8:$E$119,2,0)</f>
        <v>500</v>
      </c>
      <c r="CG41" s="198">
        <f>ROUNDUP(VLOOKUP($C41,Прайс!$D$6:$F$1004,3,0)*VLOOKUP($C$33,Прайс!$D$6:$F$1004,3,0)*CH$16,0)</f>
        <v>1</v>
      </c>
      <c r="CH41" s="197">
        <f t="shared" si="552"/>
        <v>9430.1866088915649</v>
      </c>
      <c r="CI41" s="224">
        <f t="shared" si="553"/>
        <v>500</v>
      </c>
      <c r="CJ41" s="261">
        <f>VLOOKUP($C41,Прайс!$D$8:$E$119,2,0)</f>
        <v>500</v>
      </c>
      <c r="CK41" s="198">
        <f>ROUNDUP(VLOOKUP($C41,Прайс!$D$6:$F$1004,3,0)*VLOOKUP($C$33,Прайс!$D$6:$F$1004,3,0)*CL$16,0)</f>
        <v>1</v>
      </c>
      <c r="CL41" s="197">
        <f t="shared" si="554"/>
        <v>10051.274640212634</v>
      </c>
      <c r="CM41" s="224">
        <f t="shared" si="555"/>
        <v>500</v>
      </c>
      <c r="CN41" s="261">
        <f>VLOOKUP($C41,Прайс!$D$8:$E$119,2,0)</f>
        <v>500</v>
      </c>
      <c r="CO41" s="198">
        <f>ROUNDUP(VLOOKUP($C41,Прайс!$D$6:$F$1004,3,0)*VLOOKUP($C$33,Прайс!$D$6:$F$1004,3,0)*CP$16,0)</f>
        <v>1</v>
      </c>
      <c r="CP41" s="197">
        <f t="shared" si="556"/>
        <v>9295.6175354386651</v>
      </c>
      <c r="CQ41" s="224">
        <f t="shared" si="557"/>
        <v>500</v>
      </c>
      <c r="CR41" s="261">
        <f>VLOOKUP($C41,Прайс!$D$8:$E$119,2,0)</f>
        <v>500</v>
      </c>
      <c r="CS41" s="198">
        <f>ROUNDUP(VLOOKUP($C41,Прайс!$D$6:$F$1004,3,0)*VLOOKUP($C$33,Прайс!$D$6:$F$1004,3,0)*CT$16,0)</f>
        <v>1</v>
      </c>
      <c r="CT41" s="197">
        <f t="shared" si="558"/>
        <v>10051.274640212634</v>
      </c>
      <c r="CU41" s="224">
        <f t="shared" si="559"/>
        <v>500</v>
      </c>
      <c r="CV41" s="261">
        <f>VLOOKUP($C41,Прайс!$D$8:$E$119,2,0)</f>
        <v>500</v>
      </c>
      <c r="CW41" s="198">
        <f>ROUNDUP(VLOOKUP($C41,Прайс!$D$6:$F$1004,3,0)*VLOOKUP($C$33,Прайс!$D$6:$F$1004,3,0)*CX$16,0)</f>
        <v>1</v>
      </c>
      <c r="CX41" s="197">
        <f t="shared" si="560"/>
        <v>10817.283212175285</v>
      </c>
      <c r="CY41" s="224">
        <f t="shared" si="561"/>
        <v>500</v>
      </c>
      <c r="CZ41" s="204"/>
    </row>
    <row r="42" spans="2:104" s="165" customFormat="1" ht="25.5" hidden="1" outlineLevel="1">
      <c r="B42" s="162"/>
      <c r="C42" s="252" t="s">
        <v>267</v>
      </c>
      <c r="D42" s="261">
        <f>VLOOKUP($C42,Прайс!$D$8:$E$119,2,0)</f>
        <v>1200</v>
      </c>
      <c r="E42" s="198">
        <f>ROUNDUP(VLOOKUP($C42,Прайс!$D$6:$F$1004,3,0)*VLOOKUP($C$33,Прайс!$D$6:$F$1004,3,0)*F$16,0)</f>
        <v>1</v>
      </c>
      <c r="F42" s="197">
        <f t="shared" si="512"/>
        <v>7211.5221414501902</v>
      </c>
      <c r="G42" s="224">
        <f t="shared" si="513"/>
        <v>1200</v>
      </c>
      <c r="H42" s="261">
        <f>VLOOKUP($C42,Прайс!$D$8:$E$119,2,0)</f>
        <v>1200</v>
      </c>
      <c r="I42" s="198">
        <f>ROUNDUP(VLOOKUP($C42,Прайс!$D$6:$F$1004,3,0)*VLOOKUP($C$33,Прайс!$D$6:$F$1004,3,0)*J$16,0)</f>
        <v>1</v>
      </c>
      <c r="J42" s="197">
        <f t="shared" si="514"/>
        <v>8049.300885921054</v>
      </c>
      <c r="K42" s="224">
        <f t="shared" si="515"/>
        <v>1200</v>
      </c>
      <c r="L42" s="261">
        <f>VLOOKUP($C42,Прайс!$D$8:$E$119,2,0)</f>
        <v>1200</v>
      </c>
      <c r="M42" s="198">
        <f>ROUNDUP(VLOOKUP($C42,Прайс!$D$6:$F$1004,3,0)*VLOOKUP($C$33,Прайс!$D$6:$F$1004,3,0)*N$16,0)</f>
        <v>1</v>
      </c>
      <c r="N42" s="197">
        <f t="shared" si="516"/>
        <v>9569.5863670325143</v>
      </c>
      <c r="O42" s="224">
        <f t="shared" si="517"/>
        <v>1200</v>
      </c>
      <c r="P42" s="261">
        <f>VLOOKUP($C42,Прайс!$D$8:$E$119,2,0)</f>
        <v>1200</v>
      </c>
      <c r="Q42" s="198">
        <f>ROUNDUP(VLOOKUP($C42,Прайс!$D$6:$F$1004,3,0)*VLOOKUP($C$33,Прайс!$D$6:$F$1004,3,0)*R$16,0)</f>
        <v>1</v>
      </c>
      <c r="R42" s="197">
        <f t="shared" si="518"/>
        <v>11632.288728831041</v>
      </c>
      <c r="S42" s="224">
        <f t="shared" si="519"/>
        <v>1200</v>
      </c>
      <c r="T42" s="261">
        <f>VLOOKUP($C42,Прайс!$D$8:$E$119,2,0)</f>
        <v>1200</v>
      </c>
      <c r="U42" s="198">
        <f>ROUNDUP(VLOOKUP($C42,Прайс!$D$6:$F$1004,3,0)*VLOOKUP($C$33,Прайс!$D$6:$F$1004,3,0)*V$16,0)</f>
        <v>1</v>
      </c>
      <c r="V42" s="197">
        <f t="shared" si="520"/>
        <v>12527.345591745961</v>
      </c>
      <c r="W42" s="224">
        <f t="shared" si="521"/>
        <v>1200</v>
      </c>
      <c r="X42" s="261">
        <f>VLOOKUP($C42,Прайс!$D$8:$E$119,2,0)</f>
        <v>1200</v>
      </c>
      <c r="Y42" s="198">
        <f>ROUNDUP(VLOOKUP($C42,Прайс!$D$6:$F$1004,3,0)*VLOOKUP($C$33,Прайс!$D$6:$F$1004,3,0)*Z$16,0)</f>
        <v>1</v>
      </c>
      <c r="Z42" s="197">
        <f t="shared" si="522"/>
        <v>14423.044282900379</v>
      </c>
      <c r="AA42" s="224">
        <f t="shared" si="523"/>
        <v>1200</v>
      </c>
      <c r="AB42" s="261">
        <f>VLOOKUP($C42,Прайс!$D$8:$E$119,2,0)</f>
        <v>1200</v>
      </c>
      <c r="AC42" s="198">
        <f>ROUNDUP(VLOOKUP($C42,Прайс!$D$6:$F$1004,3,0)*VLOOKUP($C$33,Прайс!$D$6:$F$1004,3,0)*AD$16,0)</f>
        <v>1</v>
      </c>
      <c r="AD42" s="197">
        <f t="shared" si="524"/>
        <v>14650.776561051436</v>
      </c>
      <c r="AE42" s="224">
        <f t="shared" si="525"/>
        <v>1200</v>
      </c>
      <c r="AF42" s="261">
        <f>VLOOKUP($C42,Прайс!$D$8:$E$119,2,0)</f>
        <v>1200</v>
      </c>
      <c r="AG42" s="198">
        <f>ROUNDUP(VLOOKUP($C42,Прайс!$D$6:$F$1004,3,0)*VLOOKUP($C$33,Прайс!$D$6:$F$1004,3,0)*AH$16,0)</f>
        <v>1</v>
      </c>
      <c r="AH42" s="197">
        <f t="shared" si="526"/>
        <v>14657.67753917723</v>
      </c>
      <c r="AI42" s="224">
        <f t="shared" si="527"/>
        <v>1200</v>
      </c>
      <c r="AJ42" s="261">
        <f>VLOOKUP($C42,Прайс!$D$8:$E$119,2,0)</f>
        <v>1200</v>
      </c>
      <c r="AK42" s="198">
        <f>ROUNDUP(VLOOKUP($C42,Прайс!$D$6:$F$1004,3,0)*VLOOKUP($C$33,Прайс!$D$6:$F$1004,3,0)*AL$16,0)</f>
        <v>1</v>
      </c>
      <c r="AL42" s="197">
        <f t="shared" si="528"/>
        <v>16345.656788745378</v>
      </c>
      <c r="AM42" s="224">
        <f t="shared" si="529"/>
        <v>1200</v>
      </c>
      <c r="AN42" s="261">
        <f>VLOOKUP($C42,Прайс!$D$8:$E$119,2,0)</f>
        <v>1200</v>
      </c>
      <c r="AO42" s="198">
        <f>ROUNDUP(VLOOKUP($C42,Прайс!$D$6:$F$1004,3,0)*VLOOKUP($C$33,Прайс!$D$6:$F$1004,3,0)*AP$16,0)</f>
        <v>1</v>
      </c>
      <c r="AP42" s="197">
        <f t="shared" si="530"/>
        <v>18762.379328396921</v>
      </c>
      <c r="AQ42" s="224">
        <f t="shared" si="531"/>
        <v>1200</v>
      </c>
      <c r="AR42" s="261">
        <f>VLOOKUP($C42,Прайс!$D$8:$E$119,2,0)</f>
        <v>1200</v>
      </c>
      <c r="AS42" s="198">
        <f>ROUNDUP(VLOOKUP($C42,Прайс!$D$6:$F$1004,3,0)*VLOOKUP($C$33,Прайс!$D$6:$F$1004,3,0)*AT$16,0)</f>
        <v>1</v>
      </c>
      <c r="AT42" s="197">
        <f t="shared" si="532"/>
        <v>18591.235070877334</v>
      </c>
      <c r="AU42" s="224">
        <f t="shared" si="533"/>
        <v>1200</v>
      </c>
      <c r="AV42" s="261">
        <f>VLOOKUP($C42,Прайс!$D$8:$E$119,2,0)</f>
        <v>1200</v>
      </c>
      <c r="AW42" s="198">
        <f>ROUNDUP(VLOOKUP($C42,Прайс!$D$6:$F$1004,3,0)*VLOOKUP($C$33,Прайс!$D$6:$F$1004,3,0)*AX$16,0)</f>
        <v>1</v>
      </c>
      <c r="AX42" s="197">
        <f t="shared" si="534"/>
        <v>21442.719232453626</v>
      </c>
      <c r="AY42" s="224">
        <f t="shared" si="535"/>
        <v>1200</v>
      </c>
      <c r="AZ42" s="261">
        <f>VLOOKUP($C42,Прайс!$D$8:$E$119,2,0)</f>
        <v>1200</v>
      </c>
      <c r="BA42" s="198">
        <f>ROUNDUP(VLOOKUP($C42,Прайс!$D$6:$F$1004,3,0)*VLOOKUP($C$33,Прайс!$D$6:$F$1004,3,0)*BB$16,0)</f>
        <v>1</v>
      </c>
      <c r="BB42" s="197">
        <f t="shared" si="536"/>
        <v>24519.175280930653</v>
      </c>
      <c r="BC42" s="224">
        <f t="shared" si="537"/>
        <v>1200</v>
      </c>
      <c r="BD42" s="261">
        <f>VLOOKUP($C42,Прайс!$D$8:$E$119,2,0)</f>
        <v>1200</v>
      </c>
      <c r="BE42" s="198">
        <f>ROUNDUP(VLOOKUP($C42,Прайс!$D$6:$F$1004,3,0)*VLOOKUP($C$33,Прайс!$D$6:$F$1004,3,0)*BF$16,0)</f>
        <v>1</v>
      </c>
      <c r="BF42" s="197">
        <f t="shared" si="538"/>
        <v>24147.902657763167</v>
      </c>
      <c r="BG42" s="224">
        <f t="shared" si="539"/>
        <v>1200</v>
      </c>
      <c r="BH42" s="261">
        <f>VLOOKUP($C42,Прайс!$D$8:$E$119,2,0)</f>
        <v>1200</v>
      </c>
      <c r="BI42" s="198">
        <f>ROUNDUP(VLOOKUP($C42,Прайс!$D$6:$F$1004,3,0)*VLOOKUP($C$33,Прайс!$D$6:$F$1004,3,0)*BJ$16,0)</f>
        <v>1</v>
      </c>
      <c r="BJ42" s="197">
        <f t="shared" si="540"/>
        <v>24607.507800940759</v>
      </c>
      <c r="BK42" s="224">
        <f t="shared" si="541"/>
        <v>1200</v>
      </c>
      <c r="BL42" s="261">
        <f>VLOOKUP($C42,Прайс!$D$8:$E$119,2,0)</f>
        <v>1200</v>
      </c>
      <c r="BM42" s="198">
        <f>ROUNDUP(VLOOKUP($C42,Прайс!$D$6:$F$1004,3,0)*VLOOKUP($C$33,Прайс!$D$6:$F$1004,3,0)*BN$16,0)</f>
        <v>1</v>
      </c>
      <c r="BN42" s="197">
        <f t="shared" si="542"/>
        <v>26172.649639869858</v>
      </c>
      <c r="BO42" s="224">
        <f t="shared" si="543"/>
        <v>1200</v>
      </c>
      <c r="BP42" s="261">
        <f>VLOOKUP($C42,Прайс!$D$8:$E$119,2,0)</f>
        <v>1200</v>
      </c>
      <c r="BQ42" s="198">
        <f>ROUNDUP(VLOOKUP($C42,Прайс!$D$6:$F$1004,3,0)*VLOOKUP($C$33,Прайс!$D$6:$F$1004,3,0)*BR$16,0)</f>
        <v>1</v>
      </c>
      <c r="BR42" s="197">
        <f t="shared" si="544"/>
        <v>25054.691183491926</v>
      </c>
      <c r="BS42" s="224">
        <f t="shared" si="545"/>
        <v>1200</v>
      </c>
      <c r="BT42" s="261">
        <f>VLOOKUP($C42,Прайс!$D$8:$E$119,2,0)</f>
        <v>1200</v>
      </c>
      <c r="BU42" s="198">
        <f>ROUNDUP(VLOOKUP($C42,Прайс!$D$6:$F$1004,3,0)*VLOOKUP($C$33,Прайс!$D$6:$F$1004,3,0)*BV$16,0)</f>
        <v>1</v>
      </c>
      <c r="BV42" s="197">
        <f t="shared" si="546"/>
        <v>25961.47970922069</v>
      </c>
      <c r="BW42" s="224">
        <f t="shared" si="547"/>
        <v>1200</v>
      </c>
      <c r="BX42" s="261">
        <f>VLOOKUP($C42,Прайс!$D$8:$E$119,2,0)</f>
        <v>1200</v>
      </c>
      <c r="BY42" s="198">
        <f>ROUNDUP(VLOOKUP($C42,Прайс!$D$6:$F$1004,3,0)*VLOOKUP($C$33,Прайс!$D$6:$F$1004,3,0)*BZ$16,0)</f>
        <v>1</v>
      </c>
      <c r="BZ42" s="197">
        <f t="shared" si="548"/>
        <v>23973.998008993265</v>
      </c>
      <c r="CA42" s="224">
        <f t="shared" si="549"/>
        <v>1200</v>
      </c>
      <c r="CB42" s="261">
        <f>VLOOKUP($C42,Прайс!$D$8:$E$119,2,0)</f>
        <v>1200</v>
      </c>
      <c r="CC42" s="198">
        <f>ROUNDUP(VLOOKUP($C42,Прайс!$D$6:$F$1004,3,0)*VLOOKUP($C$33,Прайс!$D$6:$F$1004,3,0)*CD$16,0)</f>
        <v>1</v>
      </c>
      <c r="CD42" s="197">
        <f t="shared" si="550"/>
        <v>21986.516308765844</v>
      </c>
      <c r="CE42" s="224">
        <f t="shared" si="551"/>
        <v>1200</v>
      </c>
      <c r="CF42" s="261">
        <f>VLOOKUP($C42,Прайс!$D$8:$E$119,2,0)</f>
        <v>1200</v>
      </c>
      <c r="CG42" s="198">
        <f>ROUNDUP(VLOOKUP($C42,Прайс!$D$6:$F$1004,3,0)*VLOOKUP($C$33,Прайс!$D$6:$F$1004,3,0)*CH$16,0)</f>
        <v>1</v>
      </c>
      <c r="CH42" s="197">
        <f t="shared" si="552"/>
        <v>22632.447861339755</v>
      </c>
      <c r="CI42" s="224">
        <f t="shared" si="553"/>
        <v>1200</v>
      </c>
      <c r="CJ42" s="261">
        <f>VLOOKUP($C42,Прайс!$D$8:$E$119,2,0)</f>
        <v>1200</v>
      </c>
      <c r="CK42" s="198">
        <f>ROUNDUP(VLOOKUP($C42,Прайс!$D$6:$F$1004,3,0)*VLOOKUP($C$33,Прайс!$D$6:$F$1004,3,0)*CL$16,0)</f>
        <v>1</v>
      </c>
      <c r="CL42" s="197">
        <f t="shared" si="554"/>
        <v>24123.059136510321</v>
      </c>
      <c r="CM42" s="224">
        <f t="shared" si="555"/>
        <v>1200</v>
      </c>
      <c r="CN42" s="261">
        <f>VLOOKUP($C42,Прайс!$D$8:$E$119,2,0)</f>
        <v>1200</v>
      </c>
      <c r="CO42" s="198">
        <f>ROUNDUP(VLOOKUP($C42,Прайс!$D$6:$F$1004,3,0)*VLOOKUP($C$33,Прайс!$D$6:$F$1004,3,0)*CP$16,0)</f>
        <v>1</v>
      </c>
      <c r="CP42" s="197">
        <f t="shared" si="556"/>
        <v>22309.482085052794</v>
      </c>
      <c r="CQ42" s="224">
        <f t="shared" si="557"/>
        <v>1200</v>
      </c>
      <c r="CR42" s="261">
        <f>VLOOKUP($C42,Прайс!$D$8:$E$119,2,0)</f>
        <v>1200</v>
      </c>
      <c r="CS42" s="198">
        <f>ROUNDUP(VLOOKUP($C42,Прайс!$D$6:$F$1004,3,0)*VLOOKUP($C$33,Прайс!$D$6:$F$1004,3,0)*CT$16,0)</f>
        <v>1</v>
      </c>
      <c r="CT42" s="197">
        <f t="shared" si="558"/>
        <v>24123.059136510321</v>
      </c>
      <c r="CU42" s="224">
        <f t="shared" si="559"/>
        <v>1200</v>
      </c>
      <c r="CV42" s="261">
        <f>VLOOKUP($C42,Прайс!$D$8:$E$119,2,0)</f>
        <v>1200</v>
      </c>
      <c r="CW42" s="198">
        <f>ROUNDUP(VLOOKUP($C42,Прайс!$D$6:$F$1004,3,0)*VLOOKUP($C$33,Прайс!$D$6:$F$1004,3,0)*CX$16,0)</f>
        <v>1</v>
      </c>
      <c r="CX42" s="197">
        <f t="shared" si="560"/>
        <v>25961.479709220686</v>
      </c>
      <c r="CY42" s="224">
        <f t="shared" si="561"/>
        <v>1200</v>
      </c>
      <c r="CZ42" s="204"/>
    </row>
    <row r="43" spans="2:104" s="165" customFormat="1" ht="38.25" hidden="1" outlineLevel="1">
      <c r="B43" s="162"/>
      <c r="C43" s="252" t="s">
        <v>97</v>
      </c>
      <c r="D43" s="261">
        <f>VLOOKUP($C43,Прайс!$D$8:$E$119,2,0)</f>
        <v>700</v>
      </c>
      <c r="E43" s="198">
        <f>ROUNDUP(VLOOKUP($C43,Прайс!$D$6:$F$1004,3,0)*VLOOKUP($C$33,Прайс!$D$6:$F$1004,3,0)*F$16,0)</f>
        <v>1</v>
      </c>
      <c r="F43" s="197">
        <f t="shared" si="512"/>
        <v>4206.7212491792779</v>
      </c>
      <c r="G43" s="224">
        <f t="shared" si="513"/>
        <v>700</v>
      </c>
      <c r="H43" s="261">
        <f>VLOOKUP($C43,Прайс!$D$8:$E$119,2,0)</f>
        <v>700</v>
      </c>
      <c r="I43" s="198">
        <f>ROUNDUP(VLOOKUP($C43,Прайс!$D$6:$F$1004,3,0)*VLOOKUP($C$33,Прайс!$D$6:$F$1004,3,0)*J$16,0)</f>
        <v>1</v>
      </c>
      <c r="J43" s="197">
        <f t="shared" si="514"/>
        <v>4695.4255167872816</v>
      </c>
      <c r="K43" s="224">
        <f t="shared" si="515"/>
        <v>700</v>
      </c>
      <c r="L43" s="261">
        <f>VLOOKUP($C43,Прайс!$D$8:$E$119,2,0)</f>
        <v>700</v>
      </c>
      <c r="M43" s="198">
        <f>ROUNDUP(VLOOKUP($C43,Прайс!$D$6:$F$1004,3,0)*VLOOKUP($C$33,Прайс!$D$6:$F$1004,3,0)*N$16,0)</f>
        <v>1</v>
      </c>
      <c r="N43" s="197">
        <f t="shared" si="516"/>
        <v>5582.2587141022996</v>
      </c>
      <c r="O43" s="224">
        <f t="shared" si="517"/>
        <v>700</v>
      </c>
      <c r="P43" s="261">
        <f>VLOOKUP($C43,Прайс!$D$8:$E$119,2,0)</f>
        <v>700</v>
      </c>
      <c r="Q43" s="198">
        <f>ROUNDUP(VLOOKUP($C43,Прайс!$D$6:$F$1004,3,0)*VLOOKUP($C$33,Прайс!$D$6:$F$1004,3,0)*R$16,0)</f>
        <v>1</v>
      </c>
      <c r="R43" s="197">
        <f t="shared" si="518"/>
        <v>6785.5017584847747</v>
      </c>
      <c r="S43" s="224">
        <f t="shared" si="519"/>
        <v>700</v>
      </c>
      <c r="T43" s="261">
        <f>VLOOKUP($C43,Прайс!$D$8:$E$119,2,0)</f>
        <v>700</v>
      </c>
      <c r="U43" s="198">
        <f>ROUNDUP(VLOOKUP($C43,Прайс!$D$6:$F$1004,3,0)*VLOOKUP($C$33,Прайс!$D$6:$F$1004,3,0)*V$16,0)</f>
        <v>1</v>
      </c>
      <c r="V43" s="197">
        <f t="shared" si="520"/>
        <v>7307.6182618518105</v>
      </c>
      <c r="W43" s="224">
        <f t="shared" si="521"/>
        <v>700</v>
      </c>
      <c r="X43" s="261">
        <f>VLOOKUP($C43,Прайс!$D$8:$E$119,2,0)</f>
        <v>700</v>
      </c>
      <c r="Y43" s="198">
        <f>ROUNDUP(VLOOKUP($C43,Прайс!$D$6:$F$1004,3,0)*VLOOKUP($C$33,Прайс!$D$6:$F$1004,3,0)*Z$16,0)</f>
        <v>1</v>
      </c>
      <c r="Z43" s="197">
        <f t="shared" si="522"/>
        <v>8413.4424983585523</v>
      </c>
      <c r="AA43" s="224">
        <f t="shared" si="523"/>
        <v>700</v>
      </c>
      <c r="AB43" s="261">
        <f>VLOOKUP($C43,Прайс!$D$8:$E$119,2,0)</f>
        <v>700</v>
      </c>
      <c r="AC43" s="198">
        <f>ROUNDUP(VLOOKUP($C43,Прайс!$D$6:$F$1004,3,0)*VLOOKUP($C$33,Прайс!$D$6:$F$1004,3,0)*AD$16,0)</f>
        <v>1</v>
      </c>
      <c r="AD43" s="197">
        <f t="shared" si="524"/>
        <v>8546.2863272800041</v>
      </c>
      <c r="AE43" s="224">
        <f t="shared" si="525"/>
        <v>700</v>
      </c>
      <c r="AF43" s="261">
        <f>VLOOKUP($C43,Прайс!$D$8:$E$119,2,0)</f>
        <v>700</v>
      </c>
      <c r="AG43" s="198">
        <f>ROUNDUP(VLOOKUP($C43,Прайс!$D$6:$F$1004,3,0)*VLOOKUP($C$33,Прайс!$D$6:$F$1004,3,0)*AH$16,0)</f>
        <v>1</v>
      </c>
      <c r="AH43" s="197">
        <f t="shared" si="526"/>
        <v>8550.3118978533839</v>
      </c>
      <c r="AI43" s="224">
        <f t="shared" si="527"/>
        <v>700</v>
      </c>
      <c r="AJ43" s="261">
        <f>VLOOKUP($C43,Прайс!$D$8:$E$119,2,0)</f>
        <v>700</v>
      </c>
      <c r="AK43" s="198">
        <f>ROUNDUP(VLOOKUP($C43,Прайс!$D$6:$F$1004,3,0)*VLOOKUP($C$33,Прайс!$D$6:$F$1004,3,0)*AL$16,0)</f>
        <v>1</v>
      </c>
      <c r="AL43" s="197">
        <f t="shared" si="528"/>
        <v>9534.9664601014701</v>
      </c>
      <c r="AM43" s="224">
        <f t="shared" si="529"/>
        <v>700</v>
      </c>
      <c r="AN43" s="261">
        <f>VLOOKUP($C43,Прайс!$D$8:$E$119,2,0)</f>
        <v>700</v>
      </c>
      <c r="AO43" s="198">
        <f>ROUNDUP(VLOOKUP($C43,Прайс!$D$6:$F$1004,3,0)*VLOOKUP($C$33,Прайс!$D$6:$F$1004,3,0)*AP$16,0)</f>
        <v>1</v>
      </c>
      <c r="AP43" s="197">
        <f t="shared" si="530"/>
        <v>10944.721274898202</v>
      </c>
      <c r="AQ43" s="224">
        <f t="shared" si="531"/>
        <v>700</v>
      </c>
      <c r="AR43" s="261">
        <f>VLOOKUP($C43,Прайс!$D$8:$E$119,2,0)</f>
        <v>700</v>
      </c>
      <c r="AS43" s="198">
        <f>ROUNDUP(VLOOKUP($C43,Прайс!$D$6:$F$1004,3,0)*VLOOKUP($C$33,Прайс!$D$6:$F$1004,3,0)*AT$16,0)</f>
        <v>1</v>
      </c>
      <c r="AT43" s="197">
        <f t="shared" si="532"/>
        <v>10844.887124678446</v>
      </c>
      <c r="AU43" s="224">
        <f t="shared" si="533"/>
        <v>700</v>
      </c>
      <c r="AV43" s="261">
        <f>VLOOKUP($C43,Прайс!$D$8:$E$119,2,0)</f>
        <v>700</v>
      </c>
      <c r="AW43" s="198">
        <f>ROUNDUP(VLOOKUP($C43,Прайс!$D$6:$F$1004,3,0)*VLOOKUP($C$33,Прайс!$D$6:$F$1004,3,0)*AX$16,0)</f>
        <v>1</v>
      </c>
      <c r="AX43" s="197">
        <f t="shared" si="534"/>
        <v>12508.252885597947</v>
      </c>
      <c r="AY43" s="224">
        <f t="shared" si="535"/>
        <v>700</v>
      </c>
      <c r="AZ43" s="261">
        <f>VLOOKUP($C43,Прайс!$D$8:$E$119,2,0)</f>
        <v>700</v>
      </c>
      <c r="BA43" s="198">
        <f>ROUNDUP(VLOOKUP($C43,Прайс!$D$6:$F$1004,3,0)*VLOOKUP($C$33,Прайс!$D$6:$F$1004,3,0)*BB$16,0)</f>
        <v>1</v>
      </c>
      <c r="BB43" s="197">
        <f t="shared" si="536"/>
        <v>14302.852247209546</v>
      </c>
      <c r="BC43" s="224">
        <f t="shared" si="537"/>
        <v>700</v>
      </c>
      <c r="BD43" s="261">
        <f>VLOOKUP($C43,Прайс!$D$8:$E$119,2,0)</f>
        <v>700</v>
      </c>
      <c r="BE43" s="198">
        <f>ROUNDUP(VLOOKUP($C43,Прайс!$D$6:$F$1004,3,0)*VLOOKUP($C$33,Прайс!$D$6:$F$1004,3,0)*BF$16,0)</f>
        <v>1</v>
      </c>
      <c r="BF43" s="197">
        <f t="shared" si="538"/>
        <v>14086.276550361847</v>
      </c>
      <c r="BG43" s="224">
        <f t="shared" si="539"/>
        <v>700</v>
      </c>
      <c r="BH43" s="261">
        <f>VLOOKUP($C43,Прайс!$D$8:$E$119,2,0)</f>
        <v>700</v>
      </c>
      <c r="BI43" s="198">
        <f>ROUNDUP(VLOOKUP($C43,Прайс!$D$6:$F$1004,3,0)*VLOOKUP($C$33,Прайс!$D$6:$F$1004,3,0)*BJ$16,0)</f>
        <v>1</v>
      </c>
      <c r="BJ43" s="197">
        <f t="shared" si="540"/>
        <v>14354.379550548778</v>
      </c>
      <c r="BK43" s="224">
        <f t="shared" si="541"/>
        <v>700</v>
      </c>
      <c r="BL43" s="261">
        <f>VLOOKUP($C43,Прайс!$D$8:$E$119,2,0)</f>
        <v>700</v>
      </c>
      <c r="BM43" s="198">
        <f>ROUNDUP(VLOOKUP($C43,Прайс!$D$6:$F$1004,3,0)*VLOOKUP($C$33,Прайс!$D$6:$F$1004,3,0)*BN$16,0)</f>
        <v>1</v>
      </c>
      <c r="BN43" s="197">
        <f t="shared" si="542"/>
        <v>15267.378956590752</v>
      </c>
      <c r="BO43" s="224">
        <f t="shared" si="543"/>
        <v>700</v>
      </c>
      <c r="BP43" s="261">
        <f>VLOOKUP($C43,Прайс!$D$8:$E$119,2,0)</f>
        <v>700</v>
      </c>
      <c r="BQ43" s="198">
        <f>ROUNDUP(VLOOKUP($C43,Прайс!$D$6:$F$1004,3,0)*VLOOKUP($C$33,Прайс!$D$6:$F$1004,3,0)*BR$16,0)</f>
        <v>1</v>
      </c>
      <c r="BR43" s="197">
        <f t="shared" si="544"/>
        <v>14615.236523703625</v>
      </c>
      <c r="BS43" s="224">
        <f t="shared" si="545"/>
        <v>700</v>
      </c>
      <c r="BT43" s="261">
        <f>VLOOKUP($C43,Прайс!$D$8:$E$119,2,0)</f>
        <v>700</v>
      </c>
      <c r="BU43" s="198">
        <f>ROUNDUP(VLOOKUP($C43,Прайс!$D$6:$F$1004,3,0)*VLOOKUP($C$33,Прайс!$D$6:$F$1004,3,0)*BV$16,0)</f>
        <v>1</v>
      </c>
      <c r="BV43" s="197">
        <f t="shared" si="546"/>
        <v>15144.196497045403</v>
      </c>
      <c r="BW43" s="224">
        <f t="shared" si="547"/>
        <v>700</v>
      </c>
      <c r="BX43" s="261">
        <f>VLOOKUP($C43,Прайс!$D$8:$E$119,2,0)</f>
        <v>700</v>
      </c>
      <c r="BY43" s="198">
        <f>ROUNDUP(VLOOKUP($C43,Прайс!$D$6:$F$1004,3,0)*VLOOKUP($C$33,Прайс!$D$6:$F$1004,3,0)*BZ$16,0)</f>
        <v>1</v>
      </c>
      <c r="BZ43" s="197">
        <f t="shared" si="548"/>
        <v>13984.832171912738</v>
      </c>
      <c r="CA43" s="224">
        <f t="shared" si="549"/>
        <v>700</v>
      </c>
      <c r="CB43" s="261">
        <f>VLOOKUP($C43,Прайс!$D$8:$E$119,2,0)</f>
        <v>700</v>
      </c>
      <c r="CC43" s="198">
        <f>ROUNDUP(VLOOKUP($C43,Прайс!$D$6:$F$1004,3,0)*VLOOKUP($C$33,Прайс!$D$6:$F$1004,3,0)*CD$16,0)</f>
        <v>1</v>
      </c>
      <c r="CD43" s="197">
        <f t="shared" si="550"/>
        <v>12825.467846780077</v>
      </c>
      <c r="CE43" s="224">
        <f t="shared" si="551"/>
        <v>700</v>
      </c>
      <c r="CF43" s="261">
        <f>VLOOKUP($C43,Прайс!$D$8:$E$119,2,0)</f>
        <v>700</v>
      </c>
      <c r="CG43" s="198">
        <f>ROUNDUP(VLOOKUP($C43,Прайс!$D$6:$F$1004,3,0)*VLOOKUP($C$33,Прайс!$D$6:$F$1004,3,0)*CH$16,0)</f>
        <v>1</v>
      </c>
      <c r="CH43" s="197">
        <f t="shared" si="552"/>
        <v>13202.26125244819</v>
      </c>
      <c r="CI43" s="224">
        <f t="shared" si="553"/>
        <v>700</v>
      </c>
      <c r="CJ43" s="261">
        <f>VLOOKUP($C43,Прайс!$D$8:$E$119,2,0)</f>
        <v>700</v>
      </c>
      <c r="CK43" s="198">
        <f>ROUNDUP(VLOOKUP($C43,Прайс!$D$6:$F$1004,3,0)*VLOOKUP($C$33,Прайс!$D$6:$F$1004,3,0)*CL$16,0)</f>
        <v>1</v>
      </c>
      <c r="CL43" s="197">
        <f t="shared" si="554"/>
        <v>14071.784496297687</v>
      </c>
      <c r="CM43" s="224">
        <f t="shared" si="555"/>
        <v>700</v>
      </c>
      <c r="CN43" s="261">
        <f>VLOOKUP($C43,Прайс!$D$8:$E$119,2,0)</f>
        <v>700</v>
      </c>
      <c r="CO43" s="198">
        <f>ROUNDUP(VLOOKUP($C43,Прайс!$D$6:$F$1004,3,0)*VLOOKUP($C$33,Прайс!$D$6:$F$1004,3,0)*CP$16,0)</f>
        <v>1</v>
      </c>
      <c r="CP43" s="197">
        <f t="shared" si="556"/>
        <v>13013.864549614131</v>
      </c>
      <c r="CQ43" s="224">
        <f t="shared" si="557"/>
        <v>700</v>
      </c>
      <c r="CR43" s="261">
        <f>VLOOKUP($C43,Прайс!$D$8:$E$119,2,0)</f>
        <v>700</v>
      </c>
      <c r="CS43" s="198">
        <f>ROUNDUP(VLOOKUP($C43,Прайс!$D$6:$F$1004,3,0)*VLOOKUP($C$33,Прайс!$D$6:$F$1004,3,0)*CT$16,0)</f>
        <v>1</v>
      </c>
      <c r="CT43" s="197">
        <f t="shared" si="558"/>
        <v>14071.784496297687</v>
      </c>
      <c r="CU43" s="224">
        <f t="shared" si="559"/>
        <v>700</v>
      </c>
      <c r="CV43" s="261">
        <f>VLOOKUP($C43,Прайс!$D$8:$E$119,2,0)</f>
        <v>700</v>
      </c>
      <c r="CW43" s="198">
        <f>ROUNDUP(VLOOKUP($C43,Прайс!$D$6:$F$1004,3,0)*VLOOKUP($C$33,Прайс!$D$6:$F$1004,3,0)*CX$16,0)</f>
        <v>1</v>
      </c>
      <c r="CX43" s="197">
        <f t="shared" si="560"/>
        <v>15144.196497045399</v>
      </c>
      <c r="CY43" s="224">
        <f t="shared" si="561"/>
        <v>700</v>
      </c>
      <c r="CZ43" s="204"/>
    </row>
    <row r="44" spans="2:104" s="165" customFormat="1" hidden="1" outlineLevel="1">
      <c r="B44" s="162"/>
      <c r="C44" s="252" t="s">
        <v>98</v>
      </c>
      <c r="D44" s="261">
        <f>VLOOKUP($C44,Прайс!$D$8:$E$119,2,0)</f>
        <v>500</v>
      </c>
      <c r="E44" s="198">
        <f>ROUNDUP(VLOOKUP($C44,Прайс!$D$6:$F$1004,3,0)*VLOOKUP($C$33,Прайс!$D$6:$F$1004,3,0)*F$16,0)</f>
        <v>1</v>
      </c>
      <c r="F44" s="197">
        <f t="shared" si="512"/>
        <v>3004.8008922709123</v>
      </c>
      <c r="G44" s="224">
        <f t="shared" si="513"/>
        <v>500</v>
      </c>
      <c r="H44" s="261">
        <f>VLOOKUP($C44,Прайс!$D$8:$E$119,2,0)</f>
        <v>500</v>
      </c>
      <c r="I44" s="198">
        <f>ROUNDUP(VLOOKUP($C44,Прайс!$D$6:$F$1004,3,0)*VLOOKUP($C$33,Прайс!$D$6:$F$1004,3,0)*J$16,0)</f>
        <v>1</v>
      </c>
      <c r="J44" s="197">
        <f t="shared" si="514"/>
        <v>3353.8753691337729</v>
      </c>
      <c r="K44" s="224">
        <f t="shared" si="515"/>
        <v>500</v>
      </c>
      <c r="L44" s="261">
        <f>VLOOKUP($C44,Прайс!$D$8:$E$119,2,0)</f>
        <v>500</v>
      </c>
      <c r="M44" s="198">
        <f>ROUNDUP(VLOOKUP($C44,Прайс!$D$6:$F$1004,3,0)*VLOOKUP($C$33,Прайс!$D$6:$F$1004,3,0)*N$16,0)</f>
        <v>1</v>
      </c>
      <c r="N44" s="197">
        <f t="shared" si="516"/>
        <v>3987.3276529302148</v>
      </c>
      <c r="O44" s="224">
        <f t="shared" si="517"/>
        <v>500</v>
      </c>
      <c r="P44" s="261">
        <f>VLOOKUP($C44,Прайс!$D$8:$E$119,2,0)</f>
        <v>500</v>
      </c>
      <c r="Q44" s="198">
        <f>ROUNDUP(VLOOKUP($C44,Прайс!$D$6:$F$1004,3,0)*VLOOKUP($C$33,Прайс!$D$6:$F$1004,3,0)*R$16,0)</f>
        <v>1</v>
      </c>
      <c r="R44" s="197">
        <f t="shared" si="518"/>
        <v>4846.7869703462675</v>
      </c>
      <c r="S44" s="224">
        <f t="shared" si="519"/>
        <v>500</v>
      </c>
      <c r="T44" s="261">
        <f>VLOOKUP($C44,Прайс!$D$8:$E$119,2,0)</f>
        <v>500</v>
      </c>
      <c r="U44" s="198">
        <f>ROUNDUP(VLOOKUP($C44,Прайс!$D$6:$F$1004,3,0)*VLOOKUP($C$33,Прайс!$D$6:$F$1004,3,0)*V$16,0)</f>
        <v>1</v>
      </c>
      <c r="V44" s="197">
        <f t="shared" si="520"/>
        <v>5219.72732989415</v>
      </c>
      <c r="W44" s="224">
        <f t="shared" si="521"/>
        <v>500</v>
      </c>
      <c r="X44" s="261">
        <f>VLOOKUP($C44,Прайс!$D$8:$E$119,2,0)</f>
        <v>500</v>
      </c>
      <c r="Y44" s="198">
        <f>ROUNDUP(VLOOKUP($C44,Прайс!$D$6:$F$1004,3,0)*VLOOKUP($C$33,Прайс!$D$6:$F$1004,3,0)*Z$16,0)</f>
        <v>1</v>
      </c>
      <c r="Z44" s="197">
        <f t="shared" si="522"/>
        <v>6009.6017845418237</v>
      </c>
      <c r="AA44" s="224">
        <f t="shared" si="523"/>
        <v>500</v>
      </c>
      <c r="AB44" s="261">
        <f>VLOOKUP($C44,Прайс!$D$8:$E$119,2,0)</f>
        <v>500</v>
      </c>
      <c r="AC44" s="198">
        <f>ROUNDUP(VLOOKUP($C44,Прайс!$D$6:$F$1004,3,0)*VLOOKUP($C$33,Прайс!$D$6:$F$1004,3,0)*AD$16,0)</f>
        <v>1</v>
      </c>
      <c r="AD44" s="197">
        <f t="shared" si="524"/>
        <v>6104.490233771432</v>
      </c>
      <c r="AE44" s="224">
        <f t="shared" si="525"/>
        <v>500</v>
      </c>
      <c r="AF44" s="261">
        <f>VLOOKUP($C44,Прайс!$D$8:$E$119,2,0)</f>
        <v>500</v>
      </c>
      <c r="AG44" s="198">
        <f>ROUNDUP(VLOOKUP($C44,Прайс!$D$6:$F$1004,3,0)*VLOOKUP($C$33,Прайс!$D$6:$F$1004,3,0)*AH$16,0)</f>
        <v>1</v>
      </c>
      <c r="AH44" s="197">
        <f t="shared" si="526"/>
        <v>6107.365641323845</v>
      </c>
      <c r="AI44" s="224">
        <f t="shared" si="527"/>
        <v>500</v>
      </c>
      <c r="AJ44" s="261">
        <f>VLOOKUP($C44,Прайс!$D$8:$E$119,2,0)</f>
        <v>500</v>
      </c>
      <c r="AK44" s="198">
        <f>ROUNDUP(VLOOKUP($C44,Прайс!$D$6:$F$1004,3,0)*VLOOKUP($C$33,Прайс!$D$6:$F$1004,3,0)*AL$16,0)</f>
        <v>1</v>
      </c>
      <c r="AL44" s="197">
        <f t="shared" si="528"/>
        <v>6810.6903286439083</v>
      </c>
      <c r="AM44" s="224">
        <f t="shared" si="529"/>
        <v>500</v>
      </c>
      <c r="AN44" s="261">
        <f>VLOOKUP($C44,Прайс!$D$8:$E$119,2,0)</f>
        <v>500</v>
      </c>
      <c r="AO44" s="198">
        <f>ROUNDUP(VLOOKUP($C44,Прайс!$D$6:$F$1004,3,0)*VLOOKUP($C$33,Прайс!$D$6:$F$1004,3,0)*AP$16,0)</f>
        <v>1</v>
      </c>
      <c r="AP44" s="197">
        <f t="shared" si="530"/>
        <v>7817.6580534987161</v>
      </c>
      <c r="AQ44" s="224">
        <f t="shared" si="531"/>
        <v>500</v>
      </c>
      <c r="AR44" s="261">
        <f>VLOOKUP($C44,Прайс!$D$8:$E$119,2,0)</f>
        <v>500</v>
      </c>
      <c r="AS44" s="198">
        <f>ROUNDUP(VLOOKUP($C44,Прайс!$D$6:$F$1004,3,0)*VLOOKUP($C$33,Прайс!$D$6:$F$1004,3,0)*AT$16,0)</f>
        <v>1</v>
      </c>
      <c r="AT44" s="197">
        <f t="shared" si="532"/>
        <v>7746.3479461988891</v>
      </c>
      <c r="AU44" s="224">
        <f t="shared" si="533"/>
        <v>500</v>
      </c>
      <c r="AV44" s="261">
        <f>VLOOKUP($C44,Прайс!$D$8:$E$119,2,0)</f>
        <v>500</v>
      </c>
      <c r="AW44" s="198">
        <f>ROUNDUP(VLOOKUP($C44,Прайс!$D$6:$F$1004,3,0)*VLOOKUP($C$33,Прайс!$D$6:$F$1004,3,0)*AX$16,0)</f>
        <v>1</v>
      </c>
      <c r="AX44" s="197">
        <f t="shared" si="534"/>
        <v>8934.4663468556773</v>
      </c>
      <c r="AY44" s="224">
        <f t="shared" si="535"/>
        <v>500</v>
      </c>
      <c r="AZ44" s="261">
        <f>VLOOKUP($C44,Прайс!$D$8:$E$119,2,0)</f>
        <v>500</v>
      </c>
      <c r="BA44" s="198">
        <f>ROUNDUP(VLOOKUP($C44,Прайс!$D$6:$F$1004,3,0)*VLOOKUP($C$33,Прайс!$D$6:$F$1004,3,0)*BB$16,0)</f>
        <v>1</v>
      </c>
      <c r="BB44" s="197">
        <f t="shared" si="536"/>
        <v>10216.323033721104</v>
      </c>
      <c r="BC44" s="224">
        <f t="shared" si="537"/>
        <v>500</v>
      </c>
      <c r="BD44" s="261">
        <f>VLOOKUP($C44,Прайс!$D$8:$E$119,2,0)</f>
        <v>500</v>
      </c>
      <c r="BE44" s="198">
        <f>ROUNDUP(VLOOKUP($C44,Прайс!$D$6:$F$1004,3,0)*VLOOKUP($C$33,Прайс!$D$6:$F$1004,3,0)*BF$16,0)</f>
        <v>1</v>
      </c>
      <c r="BF44" s="197">
        <f t="shared" si="538"/>
        <v>10061.62610740132</v>
      </c>
      <c r="BG44" s="224">
        <f t="shared" si="539"/>
        <v>500</v>
      </c>
      <c r="BH44" s="261">
        <f>VLOOKUP($C44,Прайс!$D$8:$E$119,2,0)</f>
        <v>500</v>
      </c>
      <c r="BI44" s="198">
        <f>ROUNDUP(VLOOKUP($C44,Прайс!$D$6:$F$1004,3,0)*VLOOKUP($C$33,Прайс!$D$6:$F$1004,3,0)*BJ$16,0)</f>
        <v>1</v>
      </c>
      <c r="BJ44" s="197">
        <f t="shared" si="540"/>
        <v>10253.128250391983</v>
      </c>
      <c r="BK44" s="224">
        <f t="shared" si="541"/>
        <v>500</v>
      </c>
      <c r="BL44" s="261">
        <f>VLOOKUP($C44,Прайс!$D$8:$E$119,2,0)</f>
        <v>500</v>
      </c>
      <c r="BM44" s="198">
        <f>ROUNDUP(VLOOKUP($C44,Прайс!$D$6:$F$1004,3,0)*VLOOKUP($C$33,Прайс!$D$6:$F$1004,3,0)*BN$16,0)</f>
        <v>1</v>
      </c>
      <c r="BN44" s="197">
        <f t="shared" si="542"/>
        <v>10905.270683279108</v>
      </c>
      <c r="BO44" s="224">
        <f t="shared" si="543"/>
        <v>500</v>
      </c>
      <c r="BP44" s="261">
        <f>VLOOKUP($C44,Прайс!$D$8:$E$119,2,0)</f>
        <v>500</v>
      </c>
      <c r="BQ44" s="198">
        <f>ROUNDUP(VLOOKUP($C44,Прайс!$D$6:$F$1004,3,0)*VLOOKUP($C$33,Прайс!$D$6:$F$1004,3,0)*BR$16,0)</f>
        <v>1</v>
      </c>
      <c r="BR44" s="197">
        <f t="shared" si="544"/>
        <v>10439.454659788304</v>
      </c>
      <c r="BS44" s="224">
        <f t="shared" si="545"/>
        <v>500</v>
      </c>
      <c r="BT44" s="261">
        <f>VLOOKUP($C44,Прайс!$D$8:$E$119,2,0)</f>
        <v>500</v>
      </c>
      <c r="BU44" s="198">
        <f>ROUNDUP(VLOOKUP($C44,Прайс!$D$6:$F$1004,3,0)*VLOOKUP($C$33,Прайс!$D$6:$F$1004,3,0)*BV$16,0)</f>
        <v>1</v>
      </c>
      <c r="BV44" s="197">
        <f t="shared" si="546"/>
        <v>10817.283212175287</v>
      </c>
      <c r="BW44" s="224">
        <f t="shared" si="547"/>
        <v>500</v>
      </c>
      <c r="BX44" s="261">
        <f>VLOOKUP($C44,Прайс!$D$8:$E$119,2,0)</f>
        <v>500</v>
      </c>
      <c r="BY44" s="198">
        <f>ROUNDUP(VLOOKUP($C44,Прайс!$D$6:$F$1004,3,0)*VLOOKUP($C$33,Прайс!$D$6:$F$1004,3,0)*BZ$16,0)</f>
        <v>1</v>
      </c>
      <c r="BZ44" s="197">
        <f t="shared" si="548"/>
        <v>9989.1658370805271</v>
      </c>
      <c r="CA44" s="224">
        <f t="shared" si="549"/>
        <v>500</v>
      </c>
      <c r="CB44" s="261">
        <f>VLOOKUP($C44,Прайс!$D$8:$E$119,2,0)</f>
        <v>500</v>
      </c>
      <c r="CC44" s="198">
        <f>ROUNDUP(VLOOKUP($C44,Прайс!$D$6:$F$1004,3,0)*VLOOKUP($C$33,Прайс!$D$6:$F$1004,3,0)*CD$16,0)</f>
        <v>1</v>
      </c>
      <c r="CD44" s="197">
        <f t="shared" si="550"/>
        <v>9161.0484619857689</v>
      </c>
      <c r="CE44" s="224">
        <f t="shared" si="551"/>
        <v>500</v>
      </c>
      <c r="CF44" s="261">
        <f>VLOOKUP($C44,Прайс!$D$8:$E$119,2,0)</f>
        <v>500</v>
      </c>
      <c r="CG44" s="198">
        <f>ROUNDUP(VLOOKUP($C44,Прайс!$D$6:$F$1004,3,0)*VLOOKUP($C$33,Прайс!$D$6:$F$1004,3,0)*CH$16,0)</f>
        <v>1</v>
      </c>
      <c r="CH44" s="197">
        <f t="shared" si="552"/>
        <v>9430.1866088915649</v>
      </c>
      <c r="CI44" s="224">
        <f t="shared" si="553"/>
        <v>500</v>
      </c>
      <c r="CJ44" s="261">
        <f>VLOOKUP($C44,Прайс!$D$8:$E$119,2,0)</f>
        <v>500</v>
      </c>
      <c r="CK44" s="198">
        <f>ROUNDUP(VLOOKUP($C44,Прайс!$D$6:$F$1004,3,0)*VLOOKUP($C$33,Прайс!$D$6:$F$1004,3,0)*CL$16,0)</f>
        <v>1</v>
      </c>
      <c r="CL44" s="197">
        <f t="shared" si="554"/>
        <v>10051.274640212634</v>
      </c>
      <c r="CM44" s="224">
        <f t="shared" si="555"/>
        <v>500</v>
      </c>
      <c r="CN44" s="261">
        <f>VLOOKUP($C44,Прайс!$D$8:$E$119,2,0)</f>
        <v>500</v>
      </c>
      <c r="CO44" s="198">
        <f>ROUNDUP(VLOOKUP($C44,Прайс!$D$6:$F$1004,3,0)*VLOOKUP($C$33,Прайс!$D$6:$F$1004,3,0)*CP$16,0)</f>
        <v>1</v>
      </c>
      <c r="CP44" s="197">
        <f t="shared" si="556"/>
        <v>9295.6175354386651</v>
      </c>
      <c r="CQ44" s="224">
        <f t="shared" si="557"/>
        <v>500</v>
      </c>
      <c r="CR44" s="261">
        <f>VLOOKUP($C44,Прайс!$D$8:$E$119,2,0)</f>
        <v>500</v>
      </c>
      <c r="CS44" s="198">
        <f>ROUNDUP(VLOOKUP($C44,Прайс!$D$6:$F$1004,3,0)*VLOOKUP($C$33,Прайс!$D$6:$F$1004,3,0)*CT$16,0)</f>
        <v>1</v>
      </c>
      <c r="CT44" s="197">
        <f t="shared" si="558"/>
        <v>10051.274640212634</v>
      </c>
      <c r="CU44" s="224">
        <f t="shared" si="559"/>
        <v>500</v>
      </c>
      <c r="CV44" s="261">
        <f>VLOOKUP($C44,Прайс!$D$8:$E$119,2,0)</f>
        <v>500</v>
      </c>
      <c r="CW44" s="198">
        <f>ROUNDUP(VLOOKUP($C44,Прайс!$D$6:$F$1004,3,0)*VLOOKUP($C$33,Прайс!$D$6:$F$1004,3,0)*CX$16,0)</f>
        <v>1</v>
      </c>
      <c r="CX44" s="197">
        <f t="shared" si="560"/>
        <v>10817.283212175285</v>
      </c>
      <c r="CY44" s="224">
        <f t="shared" si="561"/>
        <v>500</v>
      </c>
      <c r="CZ44" s="204"/>
    </row>
    <row r="45" spans="2:104" s="165" customFormat="1" ht="30" hidden="1" customHeight="1" outlineLevel="1" thickBot="1">
      <c r="B45" s="162"/>
      <c r="C45" s="253" t="s">
        <v>99</v>
      </c>
      <c r="D45" s="262">
        <f>VLOOKUP($C45,Прайс!$D$8:$E$119,2,0)</f>
        <v>100</v>
      </c>
      <c r="E45" s="227">
        <f>ROUNDUP(VLOOKUP($C45,Прайс!$D$6:$F$1004,3,0)*VLOOKUP($C$33,Прайс!$D$6:$F$1004,3,0)*F$16,0)</f>
        <v>2</v>
      </c>
      <c r="F45" s="226">
        <f t="shared" si="512"/>
        <v>600.9601784541826</v>
      </c>
      <c r="G45" s="228">
        <f t="shared" si="513"/>
        <v>200</v>
      </c>
      <c r="H45" s="262">
        <f>VLOOKUP($C45,Прайс!$D$8:$E$119,2,0)</f>
        <v>100</v>
      </c>
      <c r="I45" s="227">
        <f>ROUNDUP(VLOOKUP($C45,Прайс!$D$6:$F$1004,3,0)*VLOOKUP($C$33,Прайс!$D$6:$F$1004,3,0)*J$16,0)</f>
        <v>2</v>
      </c>
      <c r="J45" s="226">
        <f t="shared" si="514"/>
        <v>670.77507382675458</v>
      </c>
      <c r="K45" s="228">
        <f t="shared" si="515"/>
        <v>200</v>
      </c>
      <c r="L45" s="262">
        <f>VLOOKUP($C45,Прайс!$D$8:$E$119,2,0)</f>
        <v>100</v>
      </c>
      <c r="M45" s="227">
        <f>ROUNDUP(VLOOKUP($C45,Прайс!$D$6:$F$1004,3,0)*VLOOKUP($C$33,Прайс!$D$6:$F$1004,3,0)*N$16,0)</f>
        <v>2</v>
      </c>
      <c r="N45" s="226">
        <f t="shared" si="516"/>
        <v>797.46553058604286</v>
      </c>
      <c r="O45" s="228">
        <f t="shared" si="517"/>
        <v>200</v>
      </c>
      <c r="P45" s="262">
        <f>VLOOKUP($C45,Прайс!$D$8:$E$119,2,0)</f>
        <v>100</v>
      </c>
      <c r="Q45" s="227">
        <f>ROUNDUP(VLOOKUP($C45,Прайс!$D$6:$F$1004,3,0)*VLOOKUP($C$33,Прайс!$D$6:$F$1004,3,0)*R$16,0)</f>
        <v>3</v>
      </c>
      <c r="R45" s="226">
        <f t="shared" si="518"/>
        <v>969.35739406925359</v>
      </c>
      <c r="S45" s="228">
        <f t="shared" si="519"/>
        <v>300</v>
      </c>
      <c r="T45" s="262">
        <f>VLOOKUP($C45,Прайс!$D$8:$E$119,2,0)</f>
        <v>100</v>
      </c>
      <c r="U45" s="227">
        <f>ROUNDUP(VLOOKUP($C45,Прайс!$D$6:$F$1004,3,0)*VLOOKUP($C$33,Прайс!$D$6:$F$1004,3,0)*V$16,0)</f>
        <v>3</v>
      </c>
      <c r="V45" s="226">
        <f t="shared" si="520"/>
        <v>1043.94546597883</v>
      </c>
      <c r="W45" s="228">
        <f t="shared" si="521"/>
        <v>300</v>
      </c>
      <c r="X45" s="262">
        <f>VLOOKUP($C45,Прайс!$D$8:$E$119,2,0)</f>
        <v>100</v>
      </c>
      <c r="Y45" s="227">
        <f>ROUNDUP(VLOOKUP($C45,Прайс!$D$6:$F$1004,3,0)*VLOOKUP($C$33,Прайс!$D$6:$F$1004,3,0)*Z$16,0)</f>
        <v>3</v>
      </c>
      <c r="Z45" s="226">
        <f t="shared" si="522"/>
        <v>1201.9203569083647</v>
      </c>
      <c r="AA45" s="228">
        <f t="shared" si="523"/>
        <v>300</v>
      </c>
      <c r="AB45" s="262">
        <f>VLOOKUP($C45,Прайс!$D$8:$E$119,2,0)</f>
        <v>100</v>
      </c>
      <c r="AC45" s="227">
        <f>ROUNDUP(VLOOKUP($C45,Прайс!$D$6:$F$1004,3,0)*VLOOKUP($C$33,Прайс!$D$6:$F$1004,3,0)*AD$16,0)</f>
        <v>4</v>
      </c>
      <c r="AD45" s="226">
        <f t="shared" si="524"/>
        <v>1220.8980467542863</v>
      </c>
      <c r="AE45" s="228">
        <f t="shared" si="525"/>
        <v>400</v>
      </c>
      <c r="AF45" s="262">
        <f>VLOOKUP($C45,Прайс!$D$8:$E$119,2,0)</f>
        <v>100</v>
      </c>
      <c r="AG45" s="227">
        <f>ROUNDUP(VLOOKUP($C45,Прайс!$D$6:$F$1004,3,0)*VLOOKUP($C$33,Прайс!$D$6:$F$1004,3,0)*AH$16,0)</f>
        <v>4</v>
      </c>
      <c r="AH45" s="226">
        <f t="shared" si="526"/>
        <v>1221.4731282647692</v>
      </c>
      <c r="AI45" s="228">
        <f t="shared" si="527"/>
        <v>400</v>
      </c>
      <c r="AJ45" s="262">
        <f>VLOOKUP($C45,Прайс!$D$8:$E$119,2,0)</f>
        <v>100</v>
      </c>
      <c r="AK45" s="227">
        <f>ROUNDUP(VLOOKUP($C45,Прайс!$D$6:$F$1004,3,0)*VLOOKUP($C$33,Прайс!$D$6:$F$1004,3,0)*AL$16,0)</f>
        <v>4</v>
      </c>
      <c r="AL45" s="226">
        <f t="shared" si="528"/>
        <v>1362.1380657287816</v>
      </c>
      <c r="AM45" s="228">
        <f t="shared" si="529"/>
        <v>400</v>
      </c>
      <c r="AN45" s="262">
        <f>VLOOKUP($C45,Прайс!$D$8:$E$119,2,0)</f>
        <v>100</v>
      </c>
      <c r="AO45" s="227">
        <f>ROUNDUP(VLOOKUP($C45,Прайс!$D$6:$F$1004,3,0)*VLOOKUP($C$33,Прайс!$D$6:$F$1004,3,0)*AP$16,0)</f>
        <v>4</v>
      </c>
      <c r="AP45" s="226">
        <f t="shared" si="530"/>
        <v>1563.5316106997432</v>
      </c>
      <c r="AQ45" s="228">
        <f t="shared" si="531"/>
        <v>400</v>
      </c>
      <c r="AR45" s="262">
        <f>VLOOKUP($C45,Прайс!$D$8:$E$119,2,0)</f>
        <v>100</v>
      </c>
      <c r="AS45" s="227">
        <f>ROUNDUP(VLOOKUP($C45,Прайс!$D$6:$F$1004,3,0)*VLOOKUP($C$33,Прайс!$D$6:$F$1004,3,0)*AT$16,0)</f>
        <v>4</v>
      </c>
      <c r="AT45" s="226">
        <f t="shared" si="532"/>
        <v>1549.269589239778</v>
      </c>
      <c r="AU45" s="228">
        <f t="shared" si="533"/>
        <v>400</v>
      </c>
      <c r="AV45" s="262">
        <f>VLOOKUP($C45,Прайс!$D$8:$E$119,2,0)</f>
        <v>100</v>
      </c>
      <c r="AW45" s="227">
        <f>ROUNDUP(VLOOKUP($C45,Прайс!$D$6:$F$1004,3,0)*VLOOKUP($C$33,Прайс!$D$6:$F$1004,3,0)*AX$16,0)</f>
        <v>5</v>
      </c>
      <c r="AX45" s="226">
        <f t="shared" si="534"/>
        <v>1786.8932693711354</v>
      </c>
      <c r="AY45" s="228">
        <f t="shared" si="535"/>
        <v>500</v>
      </c>
      <c r="AZ45" s="262">
        <f>VLOOKUP($C45,Прайс!$D$8:$E$119,2,0)</f>
        <v>100</v>
      </c>
      <c r="BA45" s="227">
        <f>ROUNDUP(VLOOKUP($C45,Прайс!$D$6:$F$1004,3,0)*VLOOKUP($C$33,Прайс!$D$6:$F$1004,3,0)*BB$16,0)</f>
        <v>6</v>
      </c>
      <c r="BB45" s="226">
        <f t="shared" si="536"/>
        <v>2043.2646067442208</v>
      </c>
      <c r="BC45" s="228">
        <f t="shared" si="537"/>
        <v>600</v>
      </c>
      <c r="BD45" s="262">
        <f>VLOOKUP($C45,Прайс!$D$8:$E$119,2,0)</f>
        <v>100</v>
      </c>
      <c r="BE45" s="227">
        <f>ROUNDUP(VLOOKUP($C45,Прайс!$D$6:$F$1004,3,0)*VLOOKUP($C$33,Прайс!$D$6:$F$1004,3,0)*BF$16,0)</f>
        <v>5</v>
      </c>
      <c r="BF45" s="226">
        <f t="shared" si="538"/>
        <v>2012.325221480264</v>
      </c>
      <c r="BG45" s="228">
        <f t="shared" si="539"/>
        <v>500</v>
      </c>
      <c r="BH45" s="262">
        <f>VLOOKUP($C45,Прайс!$D$8:$E$119,2,0)</f>
        <v>100</v>
      </c>
      <c r="BI45" s="227">
        <f>ROUNDUP(VLOOKUP($C45,Прайс!$D$6:$F$1004,3,0)*VLOOKUP($C$33,Прайс!$D$6:$F$1004,3,0)*BJ$16,0)</f>
        <v>6</v>
      </c>
      <c r="BJ45" s="226">
        <f t="shared" si="540"/>
        <v>2050.6256500783966</v>
      </c>
      <c r="BK45" s="228">
        <f t="shared" si="541"/>
        <v>600</v>
      </c>
      <c r="BL45" s="262">
        <f>VLOOKUP($C45,Прайс!$D$8:$E$119,2,0)</f>
        <v>100</v>
      </c>
      <c r="BM45" s="227">
        <f>ROUNDUP(VLOOKUP($C45,Прайс!$D$6:$F$1004,3,0)*VLOOKUP($C$33,Прайс!$D$6:$F$1004,3,0)*BN$16,0)</f>
        <v>6</v>
      </c>
      <c r="BN45" s="226">
        <f t="shared" si="542"/>
        <v>2181.0541366558214</v>
      </c>
      <c r="BO45" s="228">
        <f t="shared" si="543"/>
        <v>600</v>
      </c>
      <c r="BP45" s="262">
        <f>VLOOKUP($C45,Прайс!$D$8:$E$119,2,0)</f>
        <v>100</v>
      </c>
      <c r="BQ45" s="227">
        <f>ROUNDUP(VLOOKUP($C45,Прайс!$D$6:$F$1004,3,0)*VLOOKUP($C$33,Прайс!$D$6:$F$1004,3,0)*BR$16,0)</f>
        <v>6</v>
      </c>
      <c r="BR45" s="226">
        <f t="shared" si="544"/>
        <v>2087.890931957661</v>
      </c>
      <c r="BS45" s="228">
        <f t="shared" si="545"/>
        <v>600</v>
      </c>
      <c r="BT45" s="262">
        <f>VLOOKUP($C45,Прайс!$D$8:$E$119,2,0)</f>
        <v>100</v>
      </c>
      <c r="BU45" s="227">
        <f>ROUNDUP(VLOOKUP($C45,Прайс!$D$6:$F$1004,3,0)*VLOOKUP($C$33,Прайс!$D$6:$F$1004,3,0)*BV$16,0)</f>
        <v>6</v>
      </c>
      <c r="BV45" s="226">
        <f t="shared" si="546"/>
        <v>2163.4566424350573</v>
      </c>
      <c r="BW45" s="228">
        <f t="shared" si="547"/>
        <v>600</v>
      </c>
      <c r="BX45" s="262">
        <f>VLOOKUP($C45,Прайс!$D$8:$E$119,2,0)</f>
        <v>100</v>
      </c>
      <c r="BY45" s="227">
        <f>ROUNDUP(VLOOKUP($C45,Прайс!$D$6:$F$1004,3,0)*VLOOKUP($C$33,Прайс!$D$6:$F$1004,3,0)*BZ$16,0)</f>
        <v>5</v>
      </c>
      <c r="BZ45" s="226">
        <f t="shared" si="548"/>
        <v>1997.8331674161054</v>
      </c>
      <c r="CA45" s="228">
        <f t="shared" si="549"/>
        <v>500</v>
      </c>
      <c r="CB45" s="262">
        <f>VLOOKUP($C45,Прайс!$D$8:$E$119,2,0)</f>
        <v>100</v>
      </c>
      <c r="CC45" s="227">
        <f>ROUNDUP(VLOOKUP($C45,Прайс!$D$6:$F$1004,3,0)*VLOOKUP($C$33,Прайс!$D$6:$F$1004,3,0)*CD$16,0)</f>
        <v>5</v>
      </c>
      <c r="CD45" s="226">
        <f t="shared" si="550"/>
        <v>1832.2096923971537</v>
      </c>
      <c r="CE45" s="228">
        <f t="shared" si="551"/>
        <v>500</v>
      </c>
      <c r="CF45" s="262">
        <f>VLOOKUP($C45,Прайс!$D$8:$E$119,2,0)</f>
        <v>100</v>
      </c>
      <c r="CG45" s="227">
        <f>ROUNDUP(VLOOKUP($C45,Прайс!$D$6:$F$1004,3,0)*VLOOKUP($C$33,Прайс!$D$6:$F$1004,3,0)*CH$16,0)</f>
        <v>5</v>
      </c>
      <c r="CH45" s="226">
        <f t="shared" si="552"/>
        <v>1886.0373217783128</v>
      </c>
      <c r="CI45" s="228">
        <f t="shared" si="553"/>
        <v>500</v>
      </c>
      <c r="CJ45" s="262">
        <f>VLOOKUP($C45,Прайс!$D$8:$E$119,2,0)</f>
        <v>100</v>
      </c>
      <c r="CK45" s="227">
        <f>ROUNDUP(VLOOKUP($C45,Прайс!$D$6:$F$1004,3,0)*VLOOKUP($C$33,Прайс!$D$6:$F$1004,3,0)*CL$16,0)</f>
        <v>5</v>
      </c>
      <c r="CL45" s="226">
        <f t="shared" si="554"/>
        <v>2010.2549280425269</v>
      </c>
      <c r="CM45" s="228">
        <f t="shared" si="555"/>
        <v>500</v>
      </c>
      <c r="CN45" s="262">
        <f>VLOOKUP($C45,Прайс!$D$8:$E$119,2,0)</f>
        <v>100</v>
      </c>
      <c r="CO45" s="227">
        <f>ROUNDUP(VLOOKUP($C45,Прайс!$D$6:$F$1004,3,0)*VLOOKUP($C$33,Прайс!$D$6:$F$1004,3,0)*CP$16,0)</f>
        <v>5</v>
      </c>
      <c r="CP45" s="226">
        <f t="shared" si="556"/>
        <v>1859.1235070877331</v>
      </c>
      <c r="CQ45" s="228">
        <f t="shared" si="557"/>
        <v>500</v>
      </c>
      <c r="CR45" s="262">
        <f>VLOOKUP($C45,Прайс!$D$8:$E$119,2,0)</f>
        <v>100</v>
      </c>
      <c r="CS45" s="227">
        <f>ROUNDUP(VLOOKUP($C45,Прайс!$D$6:$F$1004,3,0)*VLOOKUP($C$33,Прайс!$D$6:$F$1004,3,0)*CT$16,0)</f>
        <v>5</v>
      </c>
      <c r="CT45" s="226">
        <f t="shared" si="558"/>
        <v>2010.2549280425269</v>
      </c>
      <c r="CU45" s="228">
        <f t="shared" si="559"/>
        <v>500</v>
      </c>
      <c r="CV45" s="262">
        <f>VLOOKUP($C45,Прайс!$D$8:$E$119,2,0)</f>
        <v>100</v>
      </c>
      <c r="CW45" s="227">
        <f>ROUNDUP(VLOOKUP($C45,Прайс!$D$6:$F$1004,3,0)*VLOOKUP($C$33,Прайс!$D$6:$F$1004,3,0)*CX$16,0)</f>
        <v>6</v>
      </c>
      <c r="CX45" s="226">
        <f t="shared" si="560"/>
        <v>2163.4566424350573</v>
      </c>
      <c r="CY45" s="228">
        <f t="shared" si="561"/>
        <v>600</v>
      </c>
      <c r="CZ45" s="204"/>
    </row>
    <row r="46" spans="2:104" s="168" customFormat="1" ht="18.75" collapsed="1">
      <c r="B46" s="162"/>
      <c r="C46" s="254" t="s">
        <v>273</v>
      </c>
      <c r="D46" s="263">
        <f>AVERAGE(D52,D47)</f>
        <v>2581.25</v>
      </c>
      <c r="E46" s="238">
        <f>E47+E52</f>
        <v>13</v>
      </c>
      <c r="F46" s="238">
        <f t="shared" ref="F46:G46" si="562">F47+F52</f>
        <v>124098.27685078868</v>
      </c>
      <c r="G46" s="245">
        <f t="shared" si="562"/>
        <v>24450</v>
      </c>
      <c r="H46" s="263">
        <f t="shared" ref="H46" si="563">AVERAGE(H52,H47)</f>
        <v>2581.25</v>
      </c>
      <c r="I46" s="238">
        <f t="shared" ref="I46" si="564">I47+I52</f>
        <v>15</v>
      </c>
      <c r="J46" s="238">
        <f t="shared" ref="J46" si="565">J47+J52</f>
        <v>138515.05274522482</v>
      </c>
      <c r="K46" s="245">
        <f t="shared" ref="K46" si="566">K47+K52</f>
        <v>27950</v>
      </c>
      <c r="L46" s="263">
        <f t="shared" ref="L46" si="567">AVERAGE(L52,L47)</f>
        <v>2581.25</v>
      </c>
      <c r="M46" s="238">
        <f t="shared" ref="M46" si="568">M47+M52</f>
        <v>17</v>
      </c>
      <c r="N46" s="238">
        <f t="shared" ref="N46" si="569">N47+N52</f>
        <v>164676.63206601783</v>
      </c>
      <c r="O46" s="245">
        <f t="shared" ref="O46" si="570">O47+O52</f>
        <v>30850</v>
      </c>
      <c r="P46" s="263">
        <f t="shared" ref="P46" si="571">AVERAGE(P52,P47)</f>
        <v>2581.25</v>
      </c>
      <c r="Q46" s="238">
        <f t="shared" ref="Q46" si="572">Q47+Q52</f>
        <v>19</v>
      </c>
      <c r="R46" s="238">
        <f t="shared" ref="R46" si="573">R47+R52</f>
        <v>200172.30187530088</v>
      </c>
      <c r="S46" s="245">
        <f t="shared" ref="S46" si="574">S47+S52</f>
        <v>33750</v>
      </c>
      <c r="T46" s="263">
        <f t="shared" ref="T46" si="575">AVERAGE(T52,T47)</f>
        <v>2581.25</v>
      </c>
      <c r="U46" s="238">
        <f t="shared" ref="U46" si="576">U47+U52</f>
        <v>21</v>
      </c>
      <c r="V46" s="238">
        <f t="shared" ref="V46" si="577">V47+V52</f>
        <v>215574.73872462841</v>
      </c>
      <c r="W46" s="245">
        <f t="shared" ref="W46" si="578">W47+W52</f>
        <v>37250</v>
      </c>
      <c r="X46" s="263">
        <f t="shared" ref="X46" si="579">AVERAGE(X52,X47)</f>
        <v>2581.25</v>
      </c>
      <c r="Y46" s="238">
        <f t="shared" ref="Y46" si="580">Y47+Y52</f>
        <v>24</v>
      </c>
      <c r="Z46" s="238">
        <f t="shared" ref="Z46" si="581">Z47+Z52</f>
        <v>248196.5537015773</v>
      </c>
      <c r="AA46" s="245">
        <f t="shared" ref="AA46" si="582">AA47+AA52</f>
        <v>42700</v>
      </c>
      <c r="AB46" s="263">
        <f t="shared" ref="AB46" si="583">AVERAGE(AB52,AB47)</f>
        <v>2581.25</v>
      </c>
      <c r="AC46" s="238">
        <f t="shared" ref="AC46" si="584">AC47+AC52</f>
        <v>25</v>
      </c>
      <c r="AD46" s="238">
        <f t="shared" ref="AD46" si="585">AD47+AD52</f>
        <v>252115.44665476013</v>
      </c>
      <c r="AE46" s="245">
        <f t="shared" ref="AE46" si="586">AE47+AE52</f>
        <v>44150</v>
      </c>
      <c r="AF46" s="263">
        <f t="shared" ref="AF46" si="587">AVERAGE(AF52,AF47)</f>
        <v>2581.25</v>
      </c>
      <c r="AG46" s="238">
        <f t="shared" ref="AG46" si="588">AG47+AG52</f>
        <v>25</v>
      </c>
      <c r="AH46" s="238">
        <f t="shared" ref="AH46" si="589">AH47+AH52</f>
        <v>252234.20098667481</v>
      </c>
      <c r="AI46" s="245">
        <f t="shared" ref="AI46" si="590">AI47+AI52</f>
        <v>44150</v>
      </c>
      <c r="AJ46" s="263">
        <f t="shared" ref="AJ46" si="591">AVERAGE(AJ52,AJ47)</f>
        <v>2581.25</v>
      </c>
      <c r="AK46" s="238">
        <f t="shared" ref="AK46" si="592">AK47+AK52</f>
        <v>28</v>
      </c>
      <c r="AL46" s="238">
        <f t="shared" ref="AL46" si="593">AL47+AL52</f>
        <v>281281.51057299337</v>
      </c>
      <c r="AM46" s="245">
        <f t="shared" ref="AM46" si="594">AM47+AM52</f>
        <v>49100</v>
      </c>
      <c r="AN46" s="263">
        <f t="shared" ref="AN46" si="595">AVERAGE(AN52,AN47)</f>
        <v>2581.25</v>
      </c>
      <c r="AO46" s="238">
        <f t="shared" ref="AO46" si="596">AO47+AO52</f>
        <v>30</v>
      </c>
      <c r="AP46" s="238">
        <f t="shared" ref="AP46" si="597">AP47+AP52</f>
        <v>322869.27760949696</v>
      </c>
      <c r="AQ46" s="245">
        <f t="shared" ref="AQ46" si="598">AQ47+AQ52</f>
        <v>52000</v>
      </c>
      <c r="AR46" s="263">
        <f t="shared" ref="AR46" si="599">AVERAGE(AR52,AR47)</f>
        <v>2581.25</v>
      </c>
      <c r="AS46" s="238">
        <f t="shared" ref="AS46" si="600">AS47+AS52</f>
        <v>30</v>
      </c>
      <c r="AT46" s="238">
        <f t="shared" ref="AT46" si="601">AT47+AT52</f>
        <v>319924.1701780142</v>
      </c>
      <c r="AU46" s="245">
        <f t="shared" ref="AU46" si="602">AU47+AU52</f>
        <v>52000</v>
      </c>
      <c r="AV46" s="263">
        <f t="shared" ref="AV46" si="603">AVERAGE(AV52,AV47)</f>
        <v>2581.25</v>
      </c>
      <c r="AW46" s="238">
        <f t="shared" ref="AW46" si="604">AW47+AW52</f>
        <v>35</v>
      </c>
      <c r="AX46" s="238">
        <f t="shared" ref="AX46" si="605">AX47+AX52</f>
        <v>368993.46012513945</v>
      </c>
      <c r="AY46" s="245">
        <f t="shared" ref="AY46" si="606">AY47+AY52</f>
        <v>60950</v>
      </c>
      <c r="AZ46" s="263">
        <f t="shared" ref="AZ46" si="607">AVERAGE(AZ52,AZ47)</f>
        <v>2581.25</v>
      </c>
      <c r="BA46" s="238">
        <f t="shared" ref="BA46" si="608">BA47+BA52</f>
        <v>40</v>
      </c>
      <c r="BB46" s="238">
        <f t="shared" ref="BB46" si="609">BB47+BB52</f>
        <v>421934.14129268168</v>
      </c>
      <c r="BC46" s="245">
        <f t="shared" ref="BC46" si="610">BC47+BC52</f>
        <v>68800</v>
      </c>
      <c r="BD46" s="263">
        <f t="shared" ref="BD46" si="611">AVERAGE(BD52,BD47)</f>
        <v>2581.25</v>
      </c>
      <c r="BE46" s="238">
        <f t="shared" ref="BE46" si="612">BE47+BE52</f>
        <v>39</v>
      </c>
      <c r="BF46" s="238">
        <f t="shared" ref="BF46" si="613">BF47+BF52</f>
        <v>415545.15823567449</v>
      </c>
      <c r="BG46" s="245">
        <f t="shared" ref="BG46" si="614">BG47+BG52</f>
        <v>67350</v>
      </c>
      <c r="BH46" s="263">
        <f t="shared" ref="BH46" si="615">AVERAGE(BH52,BH47)</f>
        <v>2581.25</v>
      </c>
      <c r="BI46" s="238">
        <f t="shared" ref="BI46" si="616">BI47+BI52</f>
        <v>40</v>
      </c>
      <c r="BJ46" s="238">
        <f t="shared" ref="BJ46" si="617">BJ47+BJ52</f>
        <v>423454.19674118888</v>
      </c>
      <c r="BK46" s="245">
        <f t="shared" ref="BK46" si="618">BK47+BK52</f>
        <v>68800</v>
      </c>
      <c r="BL46" s="263">
        <f t="shared" ref="BL46" si="619">AVERAGE(BL52,BL47)</f>
        <v>2581.25</v>
      </c>
      <c r="BM46" s="238">
        <f t="shared" ref="BM46" si="620">BM47+BM52</f>
        <v>43</v>
      </c>
      <c r="BN46" s="238">
        <f t="shared" ref="BN46" si="621">BN47+BN52</f>
        <v>450387.67921942717</v>
      </c>
      <c r="BO46" s="245">
        <f t="shared" ref="BO46" si="622">BO47+BO52</f>
        <v>75350</v>
      </c>
      <c r="BP46" s="263">
        <f t="shared" ref="BP46" si="623">AVERAGE(BP52,BP47)</f>
        <v>2581.25</v>
      </c>
      <c r="BQ46" s="238">
        <f t="shared" ref="BQ46" si="624">BQ47+BQ52</f>
        <v>40</v>
      </c>
      <c r="BR46" s="238">
        <f t="shared" ref="BR46" si="625">BR47+BR52</f>
        <v>431149.47744925693</v>
      </c>
      <c r="BS46" s="245">
        <f t="shared" ref="BS46" si="626">BS47+BS52</f>
        <v>68800</v>
      </c>
      <c r="BT46" s="263">
        <f t="shared" ref="BT46" si="627">AVERAGE(BT52,BT47)</f>
        <v>2581.25</v>
      </c>
      <c r="BU46" s="238">
        <f t="shared" ref="BU46" si="628">BU47+BU52</f>
        <v>42</v>
      </c>
      <c r="BV46" s="238">
        <f t="shared" ref="BV46" si="629">BV47+BV52</f>
        <v>446753.79666283936</v>
      </c>
      <c r="BW46" s="245">
        <f t="shared" ref="BW46" si="630">BW47+BW52</f>
        <v>73900</v>
      </c>
      <c r="BX46" s="263">
        <f t="shared" ref="BX46" si="631">AVERAGE(BX52,BX47)</f>
        <v>2581.25</v>
      </c>
      <c r="BY46" s="238">
        <f t="shared" ref="BY46" si="632">BY47+BY52</f>
        <v>39</v>
      </c>
      <c r="BZ46" s="238">
        <f t="shared" ref="BZ46" si="633">BZ47+BZ52</f>
        <v>412552.5490714258</v>
      </c>
      <c r="CA46" s="245">
        <f t="shared" ref="CA46" si="634">CA47+CA52</f>
        <v>67350</v>
      </c>
      <c r="CB46" s="263">
        <f t="shared" ref="CB46" si="635">AVERAGE(CB52,CB47)</f>
        <v>2581.25</v>
      </c>
      <c r="CC46" s="238">
        <f t="shared" ref="CC46" si="636">CC47+CC52</f>
        <v>36</v>
      </c>
      <c r="CD46" s="238">
        <f t="shared" ref="CD46" si="637">CD47+CD52</f>
        <v>378351.30148001225</v>
      </c>
      <c r="CE46" s="245">
        <f t="shared" ref="CE46" si="638">CE47+CE52</f>
        <v>62400</v>
      </c>
      <c r="CF46" s="263">
        <f t="shared" ref="CF46" si="639">AVERAGE(CF52,CF47)</f>
        <v>2581.25</v>
      </c>
      <c r="CG46" s="238">
        <f t="shared" ref="CG46" si="640">CG47+CG52</f>
        <v>37</v>
      </c>
      <c r="CH46" s="238">
        <f t="shared" ref="CH46" si="641">CH47+CH52</f>
        <v>389466.70694722165</v>
      </c>
      <c r="CI46" s="245">
        <f t="shared" ref="CI46" si="642">CI47+CI52</f>
        <v>63850</v>
      </c>
      <c r="CJ46" s="263">
        <f t="shared" ref="CJ46" si="643">AVERAGE(CJ52,CJ47)</f>
        <v>2581.25</v>
      </c>
      <c r="CK46" s="238">
        <f t="shared" ref="CK46" si="644">CK47+CK52</f>
        <v>39</v>
      </c>
      <c r="CL46" s="238">
        <f t="shared" ref="CL46" si="645">CL47+CL52</f>
        <v>415117.64264078182</v>
      </c>
      <c r="CM46" s="245">
        <f t="shared" ref="CM46" si="646">CM47+CM52</f>
        <v>67350</v>
      </c>
      <c r="CN46" s="263">
        <f t="shared" ref="CN46" si="647">AVERAGE(CN52,CN47)</f>
        <v>2581.25</v>
      </c>
      <c r="CO46" s="238">
        <f t="shared" ref="CO46" si="648">CO47+CO52</f>
        <v>36</v>
      </c>
      <c r="CP46" s="238">
        <f t="shared" ref="CP46" si="649">CP47+CP52</f>
        <v>383909.00421361683</v>
      </c>
      <c r="CQ46" s="245">
        <f t="shared" ref="CQ46" si="650">CQ47+CQ52</f>
        <v>62400</v>
      </c>
      <c r="CR46" s="263">
        <f t="shared" ref="CR46" si="651">AVERAGE(CR52,CR47)</f>
        <v>2581.25</v>
      </c>
      <c r="CS46" s="238">
        <f t="shared" ref="CS46" si="652">CS47+CS52</f>
        <v>39</v>
      </c>
      <c r="CT46" s="238">
        <f t="shared" ref="CT46" si="653">CT47+CT52</f>
        <v>415117.64264078182</v>
      </c>
      <c r="CU46" s="245">
        <f t="shared" ref="CU46" si="654">CU47+CU52</f>
        <v>67350</v>
      </c>
      <c r="CV46" s="263">
        <f t="shared" ref="CV46" si="655">AVERAGE(CV52,CV47)</f>
        <v>2581.25</v>
      </c>
      <c r="CW46" s="238">
        <f t="shared" ref="CW46" si="656">CW47+CW52</f>
        <v>42</v>
      </c>
      <c r="CX46" s="238">
        <f t="shared" ref="CX46" si="657">CX47+CX52</f>
        <v>446753.7966628393</v>
      </c>
      <c r="CY46" s="245">
        <f t="shared" ref="CY46" si="658">CY47+CY52</f>
        <v>73900</v>
      </c>
      <c r="CZ46" s="205"/>
    </row>
    <row r="47" spans="2:104" s="169" customFormat="1" ht="15.75" hidden="1" outlineLevel="1">
      <c r="B47" s="162"/>
      <c r="C47" s="255" t="s">
        <v>274</v>
      </c>
      <c r="D47" s="264">
        <f>AVERAGE(D48:D51)</f>
        <v>2425</v>
      </c>
      <c r="E47" s="200">
        <f>SUM(E48:E51)</f>
        <v>13</v>
      </c>
      <c r="F47" s="199">
        <f t="shared" ref="F47:G47" si="659">SUM(F48:F51)</f>
        <v>58293.137310055703</v>
      </c>
      <c r="G47" s="225">
        <f t="shared" si="659"/>
        <v>24450</v>
      </c>
      <c r="H47" s="264">
        <f t="shared" ref="H47" si="660">AVERAGE(H48:H51)</f>
        <v>2425</v>
      </c>
      <c r="I47" s="200">
        <f t="shared" ref="I47" si="661">SUM(I48:I51)</f>
        <v>15</v>
      </c>
      <c r="J47" s="199">
        <f t="shared" ref="J47:K47" si="662">SUM(J48:J51)</f>
        <v>65065.182161195196</v>
      </c>
      <c r="K47" s="225">
        <f t="shared" si="662"/>
        <v>27950</v>
      </c>
      <c r="L47" s="264">
        <f t="shared" ref="L47" si="663">AVERAGE(L48:L51)</f>
        <v>2425</v>
      </c>
      <c r="M47" s="200">
        <f t="shared" ref="M47" si="664">SUM(M48:M51)</f>
        <v>17</v>
      </c>
      <c r="N47" s="199">
        <f t="shared" ref="N47:O47" si="665">SUM(N48:N51)</f>
        <v>77354.156466846151</v>
      </c>
      <c r="O47" s="225">
        <f t="shared" si="665"/>
        <v>30850</v>
      </c>
      <c r="P47" s="264">
        <f t="shared" ref="P47" si="666">AVERAGE(P48:P51)</f>
        <v>2425</v>
      </c>
      <c r="Q47" s="200">
        <f t="shared" ref="Q47" si="667">SUM(Q48:Q51)</f>
        <v>19</v>
      </c>
      <c r="R47" s="199">
        <f t="shared" ref="R47:S47" si="668">SUM(R48:R51)</f>
        <v>94027.667224717588</v>
      </c>
      <c r="S47" s="225">
        <f t="shared" si="668"/>
        <v>33750</v>
      </c>
      <c r="T47" s="264">
        <f t="shared" ref="T47" si="669">AVERAGE(T48:T51)</f>
        <v>2425</v>
      </c>
      <c r="U47" s="200">
        <f t="shared" ref="U47" si="670">SUM(U48:U51)</f>
        <v>21</v>
      </c>
      <c r="V47" s="199">
        <f t="shared" ref="V47:W47" si="671">SUM(V48:V51)</f>
        <v>101262.71019994651</v>
      </c>
      <c r="W47" s="225">
        <f t="shared" si="671"/>
        <v>37250</v>
      </c>
      <c r="X47" s="264">
        <f t="shared" ref="X47" si="672">AVERAGE(X48:X51)</f>
        <v>2425</v>
      </c>
      <c r="Y47" s="200">
        <f t="shared" ref="Y47" si="673">SUM(Y48:Y51)</f>
        <v>24</v>
      </c>
      <c r="Z47" s="199">
        <f t="shared" ref="Z47:AA47" si="674">SUM(Z48:Z51)</f>
        <v>116586.27462011138</v>
      </c>
      <c r="AA47" s="225">
        <f t="shared" si="674"/>
        <v>42700</v>
      </c>
      <c r="AB47" s="264">
        <f t="shared" ref="AB47" si="675">AVERAGE(AB48:AB51)</f>
        <v>2425</v>
      </c>
      <c r="AC47" s="200">
        <f t="shared" ref="AC47" si="676">SUM(AC48:AC51)</f>
        <v>25</v>
      </c>
      <c r="AD47" s="199">
        <f t="shared" ref="AD47:AE47" si="677">SUM(AD48:AD51)</f>
        <v>118427.11053516579</v>
      </c>
      <c r="AE47" s="225">
        <f t="shared" si="677"/>
        <v>44150</v>
      </c>
      <c r="AF47" s="264">
        <f t="shared" ref="AF47" si="678">AVERAGE(AF48:AF51)</f>
        <v>2425</v>
      </c>
      <c r="AG47" s="200">
        <f t="shared" ref="AG47" si="679">SUM(AG48:AG51)</f>
        <v>25</v>
      </c>
      <c r="AH47" s="199">
        <f t="shared" ref="AH47:AI47" si="680">SUM(AH48:AH51)</f>
        <v>118482.89344168259</v>
      </c>
      <c r="AI47" s="225">
        <f t="shared" si="680"/>
        <v>44150</v>
      </c>
      <c r="AJ47" s="264">
        <f t="shared" ref="AJ47" si="681">AVERAGE(AJ48:AJ51)</f>
        <v>2425</v>
      </c>
      <c r="AK47" s="200">
        <f t="shared" ref="AK47" si="682">SUM(AK48:AK51)</f>
        <v>28</v>
      </c>
      <c r="AL47" s="199">
        <f t="shared" ref="AL47:AM47" si="683">SUM(AL48:AL51)</f>
        <v>132127.39237569179</v>
      </c>
      <c r="AM47" s="225">
        <f t="shared" si="683"/>
        <v>49100</v>
      </c>
      <c r="AN47" s="264">
        <f t="shared" ref="AN47" si="684">AVERAGE(AN48:AN51)</f>
        <v>2425</v>
      </c>
      <c r="AO47" s="200">
        <f t="shared" ref="AO47" si="685">SUM(AO48:AO51)</f>
        <v>30</v>
      </c>
      <c r="AP47" s="199">
        <f t="shared" ref="AP47:AQ47" si="686">SUM(AP48:AP51)</f>
        <v>151662.56623787509</v>
      </c>
      <c r="AQ47" s="225">
        <f t="shared" si="686"/>
        <v>52000</v>
      </c>
      <c r="AR47" s="264">
        <f t="shared" ref="AR47" si="687">AVERAGE(AR48:AR51)</f>
        <v>2425</v>
      </c>
      <c r="AS47" s="200">
        <f t="shared" ref="AS47" si="688">SUM(AS48:AS51)</f>
        <v>30</v>
      </c>
      <c r="AT47" s="199">
        <f t="shared" ref="AT47:AU47" si="689">SUM(AT48:AT51)</f>
        <v>150279.15015625849</v>
      </c>
      <c r="AU47" s="225">
        <f t="shared" si="689"/>
        <v>52000</v>
      </c>
      <c r="AV47" s="264">
        <f t="shared" ref="AV47" si="690">AVERAGE(AV48:AV51)</f>
        <v>2425</v>
      </c>
      <c r="AW47" s="200">
        <f t="shared" ref="AW47" si="691">SUM(AW48:AW51)</f>
        <v>35</v>
      </c>
      <c r="AX47" s="199">
        <f t="shared" ref="AX47:AY47" si="692">SUM(AX48:AX51)</f>
        <v>173328.64712900011</v>
      </c>
      <c r="AY47" s="225">
        <f t="shared" si="692"/>
        <v>60950</v>
      </c>
      <c r="AZ47" s="264">
        <f t="shared" ref="AZ47" si="693">AVERAGE(AZ48:AZ51)</f>
        <v>2425</v>
      </c>
      <c r="BA47" s="200">
        <f t="shared" ref="BA47" si="694">SUM(BA48:BA51)</f>
        <v>40</v>
      </c>
      <c r="BB47" s="199">
        <f t="shared" ref="BB47:BC47" si="695">SUM(BB48:BB51)</f>
        <v>198196.66685418945</v>
      </c>
      <c r="BC47" s="225">
        <f t="shared" si="695"/>
        <v>68800</v>
      </c>
      <c r="BD47" s="264">
        <f t="shared" ref="BD47" si="696">AVERAGE(BD48:BD51)</f>
        <v>2425</v>
      </c>
      <c r="BE47" s="200">
        <f t="shared" ref="BE47" si="697">SUM(BE48:BE51)</f>
        <v>39</v>
      </c>
      <c r="BF47" s="199">
        <f t="shared" ref="BF47:BG47" si="698">SUM(BF48:BF51)</f>
        <v>195195.54648358561</v>
      </c>
      <c r="BG47" s="225">
        <f t="shared" si="698"/>
        <v>67350</v>
      </c>
      <c r="BH47" s="264">
        <f t="shared" ref="BH47" si="699">AVERAGE(BH48:BH51)</f>
        <v>2425</v>
      </c>
      <c r="BI47" s="200">
        <f t="shared" ref="BI47" si="700">SUM(BI48:BI51)</f>
        <v>40</v>
      </c>
      <c r="BJ47" s="199">
        <f t="shared" ref="BJ47:BK47" si="701">SUM(BJ48:BJ51)</f>
        <v>198910.68805760448</v>
      </c>
      <c r="BK47" s="225">
        <f t="shared" si="701"/>
        <v>68800</v>
      </c>
      <c r="BL47" s="264">
        <f t="shared" ref="BL47" si="702">AVERAGE(BL48:BL51)</f>
        <v>2425</v>
      </c>
      <c r="BM47" s="200">
        <f t="shared" ref="BM47" si="703">SUM(BM48:BM51)</f>
        <v>43</v>
      </c>
      <c r="BN47" s="199">
        <f t="shared" ref="BN47:BO47" si="704">SUM(BN48:BN51)</f>
        <v>211562.25125561468</v>
      </c>
      <c r="BO47" s="225">
        <f t="shared" si="704"/>
        <v>75350</v>
      </c>
      <c r="BP47" s="264">
        <f t="shared" ref="BP47" si="705">AVERAGE(BP48:BP51)</f>
        <v>2425</v>
      </c>
      <c r="BQ47" s="200">
        <f t="shared" ref="BQ47" si="706">SUM(BQ48:BQ51)</f>
        <v>40</v>
      </c>
      <c r="BR47" s="199">
        <f t="shared" ref="BR47:BS47" si="707">SUM(BR48:BR51)</f>
        <v>202525.42039989308</v>
      </c>
      <c r="BS47" s="225">
        <f t="shared" si="707"/>
        <v>68800</v>
      </c>
      <c r="BT47" s="264">
        <f t="shared" ref="BT47" si="708">AVERAGE(BT48:BT51)</f>
        <v>2425</v>
      </c>
      <c r="BU47" s="200">
        <f t="shared" ref="BU47" si="709">SUM(BU48:BU51)</f>
        <v>42</v>
      </c>
      <c r="BV47" s="199">
        <f t="shared" ref="BV47:BW47" si="710">SUM(BV48:BV51)</f>
        <v>209855.29431620057</v>
      </c>
      <c r="BW47" s="225">
        <f t="shared" si="710"/>
        <v>73900</v>
      </c>
      <c r="BX47" s="264">
        <f t="shared" ref="BX47" si="711">AVERAGE(BX48:BX51)</f>
        <v>2425</v>
      </c>
      <c r="BY47" s="200">
        <f t="shared" ref="BY47" si="712">SUM(BY48:BY51)</f>
        <v>39</v>
      </c>
      <c r="BZ47" s="199">
        <f t="shared" ref="BZ47:CA47" si="713">SUM(BZ48:BZ51)</f>
        <v>193789.81723936222</v>
      </c>
      <c r="CA47" s="225">
        <f t="shared" si="713"/>
        <v>67350</v>
      </c>
      <c r="CB47" s="264">
        <f t="shared" ref="CB47" si="714">AVERAGE(CB48:CB51)</f>
        <v>2425</v>
      </c>
      <c r="CC47" s="200">
        <f t="shared" ref="CC47" si="715">SUM(CC48:CC51)</f>
        <v>36</v>
      </c>
      <c r="CD47" s="199">
        <f t="shared" ref="CD47:CE47" si="716">SUM(CD48:CD51)</f>
        <v>177724.34016252391</v>
      </c>
      <c r="CE47" s="225">
        <f t="shared" si="716"/>
        <v>62400</v>
      </c>
      <c r="CF47" s="264">
        <f t="shared" ref="CF47" si="717">AVERAGE(CF48:CF51)</f>
        <v>2425</v>
      </c>
      <c r="CG47" s="200">
        <f t="shared" ref="CG47" si="718">SUM(CG48:CG51)</f>
        <v>37</v>
      </c>
      <c r="CH47" s="199">
        <f t="shared" ref="CH47:CI47" si="719">SUM(CH48:CH51)</f>
        <v>182945.62021249637</v>
      </c>
      <c r="CI47" s="225">
        <f t="shared" si="719"/>
        <v>63850</v>
      </c>
      <c r="CJ47" s="264">
        <f t="shared" ref="CJ47" si="720">AVERAGE(CJ48:CJ51)</f>
        <v>2425</v>
      </c>
      <c r="CK47" s="200">
        <f t="shared" ref="CK47" si="721">SUM(CK48:CK51)</f>
        <v>39</v>
      </c>
      <c r="CL47" s="199">
        <f t="shared" ref="CL47:CM47" si="722">SUM(CL48:CL51)</f>
        <v>194994.7280201251</v>
      </c>
      <c r="CM47" s="225">
        <f t="shared" si="722"/>
        <v>67350</v>
      </c>
      <c r="CN47" s="264">
        <f t="shared" ref="CN47" si="723">AVERAGE(CN48:CN51)</f>
        <v>2425</v>
      </c>
      <c r="CO47" s="200">
        <f t="shared" ref="CO47" si="724">SUM(CO48:CO51)</f>
        <v>36</v>
      </c>
      <c r="CP47" s="199">
        <f t="shared" ref="CP47:CQ47" si="725">SUM(CP48:CP51)</f>
        <v>180334.98018751008</v>
      </c>
      <c r="CQ47" s="225">
        <f t="shared" si="725"/>
        <v>62400</v>
      </c>
      <c r="CR47" s="264">
        <f t="shared" ref="CR47" si="726">AVERAGE(CR48:CR51)</f>
        <v>2425</v>
      </c>
      <c r="CS47" s="200">
        <f t="shared" ref="CS47" si="727">SUM(CS48:CS51)</f>
        <v>39</v>
      </c>
      <c r="CT47" s="199">
        <f t="shared" ref="CT47:CU47" si="728">SUM(CT48:CT51)</f>
        <v>194994.7280201251</v>
      </c>
      <c r="CU47" s="225">
        <f t="shared" si="728"/>
        <v>67350</v>
      </c>
      <c r="CV47" s="264">
        <f t="shared" ref="CV47" si="729">AVERAGE(CV48:CV51)</f>
        <v>2425</v>
      </c>
      <c r="CW47" s="200">
        <f t="shared" ref="CW47" si="730">SUM(CW48:CW51)</f>
        <v>42</v>
      </c>
      <c r="CX47" s="199">
        <f t="shared" ref="CX47:CY47" si="731">SUM(CX48:CX51)</f>
        <v>209855.29431620054</v>
      </c>
      <c r="CY47" s="225">
        <f t="shared" si="731"/>
        <v>73900</v>
      </c>
      <c r="CZ47" s="206"/>
    </row>
    <row r="48" spans="2:104" s="165" customFormat="1" hidden="1" outlineLevel="1">
      <c r="B48" s="162"/>
      <c r="C48" s="252" t="s">
        <v>245</v>
      </c>
      <c r="D48" s="261">
        <f>VLOOKUP($C48,Прайс!$D$8:$E$119,2,0)</f>
        <v>1450</v>
      </c>
      <c r="E48" s="198">
        <f>ROUNDUP(VLOOKUP($C48,Прайс!$D$6:$F$1004,3,0)*VLOOKUP($C$47,Прайс!$D$6:$F$1004,3,0)*VLOOKUP($C$46,Прайс!$D$6:$F$1004,3,0)*F$16,0)</f>
        <v>8</v>
      </c>
      <c r="F48" s="197">
        <f>F$17*$D48/SUM($D$20:$D$22,$D$24:$D$28,$D$30:$D$32,$D$34:$D$45,$D$48:$D$51,$D$53:$D$56)</f>
        <v>8713.9225875856464</v>
      </c>
      <c r="G48" s="224">
        <f t="shared" ref="G48:G51" si="732">D48*E48</f>
        <v>11600</v>
      </c>
      <c r="H48" s="261">
        <f>VLOOKUP($C48,Прайс!$D$8:$E$119,2,0)</f>
        <v>1450</v>
      </c>
      <c r="I48" s="198">
        <f>ROUNDUP(VLOOKUP($C48,Прайс!$D$6:$F$1004,3,0)*VLOOKUP($C$47,Прайс!$D$6:$F$1004,3,0)*VLOOKUP($C$46,Прайс!$D$6:$F$1004,3,0)*J$16,0)</f>
        <v>9</v>
      </c>
      <c r="J48" s="197">
        <f t="shared" ref="J48:J51" si="733">J$17*$D48/SUM($D$20:$D$22,$D$24:$D$28,$D$30:$D$32,$D$34:$D$45,$D$48:$D$51,$D$53:$D$56)</f>
        <v>9726.2385704879416</v>
      </c>
      <c r="K48" s="224">
        <f t="shared" ref="K48:K51" si="734">H48*I48</f>
        <v>13050</v>
      </c>
      <c r="L48" s="261">
        <f>VLOOKUP($C48,Прайс!$D$8:$E$119,2,0)</f>
        <v>1450</v>
      </c>
      <c r="M48" s="198">
        <f>ROUNDUP(VLOOKUP($C48,Прайс!$D$6:$F$1004,3,0)*VLOOKUP($C$47,Прайс!$D$6:$F$1004,3,0)*VLOOKUP($C$46,Прайс!$D$6:$F$1004,3,0)*N$16,0)</f>
        <v>11</v>
      </c>
      <c r="N48" s="197">
        <f t="shared" ref="N48:N51" si="735">N$17*$D48/SUM($D$20:$D$22,$D$24:$D$28,$D$30:$D$32,$D$34:$D$45,$D$48:$D$51,$D$53:$D$56)</f>
        <v>11563.250193497621</v>
      </c>
      <c r="O48" s="224">
        <f t="shared" ref="O48:O51" si="736">L48*M48</f>
        <v>15950</v>
      </c>
      <c r="P48" s="261">
        <f>VLOOKUP($C48,Прайс!$D$8:$E$119,2,0)</f>
        <v>1450</v>
      </c>
      <c r="Q48" s="198">
        <f>ROUNDUP(VLOOKUP($C48,Прайс!$D$6:$F$1004,3,0)*VLOOKUP($C$47,Прайс!$D$6:$F$1004,3,0)*VLOOKUP($C$46,Прайс!$D$6:$F$1004,3,0)*R$16,0)</f>
        <v>13</v>
      </c>
      <c r="R48" s="197">
        <f t="shared" ref="R48:R51" si="737">R$17*$D48/SUM($D$20:$D$22,$D$24:$D$28,$D$30:$D$32,$D$34:$D$45,$D$48:$D$51,$D$53:$D$56)</f>
        <v>14055.682214004177</v>
      </c>
      <c r="S48" s="224">
        <f t="shared" ref="S48:S51" si="738">P48*Q48</f>
        <v>18850</v>
      </c>
      <c r="T48" s="261">
        <f>VLOOKUP($C48,Прайс!$D$8:$E$119,2,0)</f>
        <v>1450</v>
      </c>
      <c r="U48" s="198">
        <f>ROUNDUP(VLOOKUP($C48,Прайс!$D$6:$F$1004,3,0)*VLOOKUP($C$47,Прайс!$D$6:$F$1004,3,0)*VLOOKUP($C$46,Прайс!$D$6:$F$1004,3,0)*V$16,0)</f>
        <v>14</v>
      </c>
      <c r="V48" s="197">
        <f t="shared" ref="V48:V51" si="739">V$17*$D48/SUM($D$20:$D$22,$D$24:$D$28,$D$30:$D$32,$D$34:$D$45,$D$48:$D$51,$D$53:$D$56)</f>
        <v>15137.209256693037</v>
      </c>
      <c r="W48" s="224">
        <f t="shared" ref="W48:W51" si="740">T48*U48</f>
        <v>20300</v>
      </c>
      <c r="X48" s="261">
        <f>VLOOKUP($C48,Прайс!$D$8:$E$119,2,0)</f>
        <v>1450</v>
      </c>
      <c r="Y48" s="198">
        <f>ROUNDUP(VLOOKUP($C48,Прайс!$D$6:$F$1004,3,0)*VLOOKUP($C$47,Прайс!$D$6:$F$1004,3,0)*VLOOKUP($C$46,Прайс!$D$6:$F$1004,3,0)*Z$16,0)</f>
        <v>16</v>
      </c>
      <c r="Z48" s="197">
        <f t="shared" ref="Z48:Z51" si="741">Z$17*$D48/SUM($D$20:$D$22,$D$24:$D$28,$D$30:$D$32,$D$34:$D$45,$D$48:$D$51,$D$53:$D$56)</f>
        <v>17427.845175171289</v>
      </c>
      <c r="AA48" s="224">
        <f t="shared" ref="AA48:AA51" si="742">X48*Y48</f>
        <v>23200</v>
      </c>
      <c r="AB48" s="261">
        <f>VLOOKUP($C48,Прайс!$D$8:$E$119,2,0)</f>
        <v>1450</v>
      </c>
      <c r="AC48" s="198">
        <f>ROUNDUP(VLOOKUP($C48,Прайс!$D$6:$F$1004,3,0)*VLOOKUP($C$47,Прайс!$D$6:$F$1004,3,0)*VLOOKUP($C$46,Прайс!$D$6:$F$1004,3,0)*AD$16,0)</f>
        <v>17</v>
      </c>
      <c r="AD48" s="197">
        <f t="shared" ref="AD48:AD51" si="743">AD$17*$D48/SUM($D$20:$D$22,$D$24:$D$28,$D$30:$D$32,$D$34:$D$45,$D$48:$D$51,$D$53:$D$56)</f>
        <v>17703.021677937155</v>
      </c>
      <c r="AE48" s="224">
        <f t="shared" ref="AE48:AE51" si="744">AB48*AC48</f>
        <v>24650</v>
      </c>
      <c r="AF48" s="261">
        <f>VLOOKUP($C48,Прайс!$D$8:$E$119,2,0)</f>
        <v>1450</v>
      </c>
      <c r="AG48" s="198">
        <f>ROUNDUP(VLOOKUP($C48,Прайс!$D$6:$F$1004,3,0)*VLOOKUP($C$47,Прайс!$D$6:$F$1004,3,0)*VLOOKUP($C$46,Прайс!$D$6:$F$1004,3,0)*AH$16,0)</f>
        <v>17</v>
      </c>
      <c r="AH48" s="197">
        <f t="shared" ref="AH48:AH51" si="745">AH$17*$D48/SUM($D$20:$D$22,$D$24:$D$28,$D$30:$D$32,$D$34:$D$45,$D$48:$D$51,$D$53:$D$56)</f>
        <v>17711.360359839149</v>
      </c>
      <c r="AI48" s="224">
        <f t="shared" ref="AI48:AI51" si="746">AF48*AG48</f>
        <v>24650</v>
      </c>
      <c r="AJ48" s="261">
        <f>VLOOKUP($C48,Прайс!$D$8:$E$119,2,0)</f>
        <v>1450</v>
      </c>
      <c r="AK48" s="198">
        <f>ROUNDUP(VLOOKUP($C48,Прайс!$D$6:$F$1004,3,0)*VLOOKUP($C$47,Прайс!$D$6:$F$1004,3,0)*VLOOKUP($C$46,Прайс!$D$6:$F$1004,3,0)*AL$16,0)</f>
        <v>19</v>
      </c>
      <c r="AL48" s="197">
        <f t="shared" ref="AL48:AL51" si="747">AL$17*$D48/SUM($D$20:$D$22,$D$24:$D$28,$D$30:$D$32,$D$34:$D$45,$D$48:$D$51,$D$53:$D$56)</f>
        <v>19751.001953067334</v>
      </c>
      <c r="AM48" s="224">
        <f t="shared" ref="AM48:AM51" si="748">AJ48*AK48</f>
        <v>27550</v>
      </c>
      <c r="AN48" s="261">
        <f>VLOOKUP($C48,Прайс!$D$8:$E$119,2,0)</f>
        <v>1450</v>
      </c>
      <c r="AO48" s="198">
        <f>ROUNDUP(VLOOKUP($C48,Прайс!$D$6:$F$1004,3,0)*VLOOKUP($C$47,Прайс!$D$6:$F$1004,3,0)*VLOOKUP($C$46,Прайс!$D$6:$F$1004,3,0)*AP$16,0)</f>
        <v>21</v>
      </c>
      <c r="AP48" s="197">
        <f t="shared" ref="AP48:AP51" si="749">AP$17*$D48/SUM($D$20:$D$22,$D$24:$D$28,$D$30:$D$32,$D$34:$D$45,$D$48:$D$51,$D$53:$D$56)</f>
        <v>22671.208355146275</v>
      </c>
      <c r="AQ48" s="224">
        <f t="shared" ref="AQ48:AQ51" si="750">AN48*AO48</f>
        <v>30450</v>
      </c>
      <c r="AR48" s="261">
        <f>VLOOKUP($C48,Прайс!$D$8:$E$119,2,0)</f>
        <v>1450</v>
      </c>
      <c r="AS48" s="198">
        <f>ROUNDUP(VLOOKUP($C48,Прайс!$D$6:$F$1004,3,0)*VLOOKUP($C$47,Прайс!$D$6:$F$1004,3,0)*VLOOKUP($C$46,Прайс!$D$6:$F$1004,3,0)*AT$16,0)</f>
        <v>21</v>
      </c>
      <c r="AT48" s="197">
        <f t="shared" ref="AT48:AT51" si="751">AT$17*$D48/SUM($D$20:$D$22,$D$24:$D$28,$D$30:$D$32,$D$34:$D$45,$D$48:$D$51,$D$53:$D$56)</f>
        <v>22464.409043976779</v>
      </c>
      <c r="AU48" s="224">
        <f t="shared" ref="AU48:AU51" si="752">AR48*AS48</f>
        <v>30450</v>
      </c>
      <c r="AV48" s="261">
        <f>VLOOKUP($C48,Прайс!$D$8:$E$119,2,0)</f>
        <v>1450</v>
      </c>
      <c r="AW48" s="198">
        <f>ROUNDUP(VLOOKUP($C48,Прайс!$D$6:$F$1004,3,0)*VLOOKUP($C$47,Прайс!$D$6:$F$1004,3,0)*VLOOKUP($C$46,Прайс!$D$6:$F$1004,3,0)*AX$16,0)</f>
        <v>24</v>
      </c>
      <c r="AX48" s="197">
        <f t="shared" ref="AX48:AX51" si="753">AX$17*$D48/SUM($D$20:$D$22,$D$24:$D$28,$D$30:$D$32,$D$34:$D$45,$D$48:$D$51,$D$53:$D$56)</f>
        <v>25909.952405881464</v>
      </c>
      <c r="AY48" s="224">
        <f t="shared" ref="AY48:AY51" si="754">AV48*AW48</f>
        <v>34800</v>
      </c>
      <c r="AZ48" s="261">
        <f>VLOOKUP($C48,Прайс!$D$8:$E$119,2,0)</f>
        <v>1450</v>
      </c>
      <c r="BA48" s="198">
        <f>ROUNDUP(VLOOKUP($C48,Прайс!$D$6:$F$1004,3,0)*VLOOKUP($C$47,Прайс!$D$6:$F$1004,3,0)*VLOOKUP($C$46,Прайс!$D$6:$F$1004,3,0)*BB$16,0)</f>
        <v>28</v>
      </c>
      <c r="BB48" s="197">
        <f t="shared" ref="BB48:BB51" si="755">BB$17*$D48/SUM($D$20:$D$22,$D$24:$D$28,$D$30:$D$32,$D$34:$D$45,$D$48:$D$51,$D$53:$D$56)</f>
        <v>29627.336797791206</v>
      </c>
      <c r="BC48" s="224">
        <f t="shared" ref="BC48:BC51" si="756">AZ48*BA48</f>
        <v>40600</v>
      </c>
      <c r="BD48" s="261">
        <f>VLOOKUP($C48,Прайс!$D$8:$E$119,2,0)</f>
        <v>1450</v>
      </c>
      <c r="BE48" s="198">
        <f>ROUNDUP(VLOOKUP($C48,Прайс!$D$6:$F$1004,3,0)*VLOOKUP($C$47,Прайс!$D$6:$F$1004,3,0)*VLOOKUP($C$46,Прайс!$D$6:$F$1004,3,0)*BF$16,0)</f>
        <v>27</v>
      </c>
      <c r="BF48" s="197">
        <f t="shared" ref="BF48:BF51" si="757">BF$17*$D48/SUM($D$20:$D$22,$D$24:$D$28,$D$30:$D$32,$D$34:$D$45,$D$48:$D$51,$D$53:$D$56)</f>
        <v>29178.715711463825</v>
      </c>
      <c r="BG48" s="224">
        <f t="shared" ref="BG48:BG51" si="758">BD48*BE48</f>
        <v>39150</v>
      </c>
      <c r="BH48" s="261">
        <f>VLOOKUP($C48,Прайс!$D$8:$E$119,2,0)</f>
        <v>1450</v>
      </c>
      <c r="BI48" s="198">
        <f>ROUNDUP(VLOOKUP($C48,Прайс!$D$6:$F$1004,3,0)*VLOOKUP($C$47,Прайс!$D$6:$F$1004,3,0)*VLOOKUP($C$46,Прайс!$D$6:$F$1004,3,0)*BJ$16,0)</f>
        <v>28</v>
      </c>
      <c r="BJ48" s="197">
        <f t="shared" ref="BJ48:BJ51" si="759">BJ$17*$D48/SUM($D$20:$D$22,$D$24:$D$28,$D$30:$D$32,$D$34:$D$45,$D$48:$D$51,$D$53:$D$56)</f>
        <v>29734.071926136756</v>
      </c>
      <c r="BK48" s="224">
        <f t="shared" ref="BK48:BK51" si="760">BH48*BI48</f>
        <v>40600</v>
      </c>
      <c r="BL48" s="261">
        <f>VLOOKUP($C48,Прайс!$D$8:$E$119,2,0)</f>
        <v>1450</v>
      </c>
      <c r="BM48" s="198">
        <f>ROUNDUP(VLOOKUP($C48,Прайс!$D$6:$F$1004,3,0)*VLOOKUP($C$47,Прайс!$D$6:$F$1004,3,0)*VLOOKUP($C$46,Прайс!$D$6:$F$1004,3,0)*BN$16,0)</f>
        <v>30</v>
      </c>
      <c r="BN48" s="197">
        <f t="shared" ref="BN48:BN51" si="761">BN$17*$D48/SUM($D$20:$D$22,$D$24:$D$28,$D$30:$D$32,$D$34:$D$45,$D$48:$D$51,$D$53:$D$56)</f>
        <v>31625.284981509409</v>
      </c>
      <c r="BO48" s="224">
        <f t="shared" ref="BO48:BO51" si="762">BL48*BM48</f>
        <v>43500</v>
      </c>
      <c r="BP48" s="261">
        <f>VLOOKUP($C48,Прайс!$D$8:$E$119,2,0)</f>
        <v>1450</v>
      </c>
      <c r="BQ48" s="198">
        <f>ROUNDUP(VLOOKUP($C48,Прайс!$D$6:$F$1004,3,0)*VLOOKUP($C$47,Прайс!$D$6:$F$1004,3,0)*VLOOKUP($C$46,Прайс!$D$6:$F$1004,3,0)*BR$16,0)</f>
        <v>28</v>
      </c>
      <c r="BR48" s="197">
        <f t="shared" ref="BR48:BR51" si="763">BR$17*$D48/SUM($D$20:$D$22,$D$24:$D$28,$D$30:$D$32,$D$34:$D$45,$D$48:$D$51,$D$53:$D$56)</f>
        <v>30274.418513386077</v>
      </c>
      <c r="BS48" s="224">
        <f t="shared" ref="BS48:BS51" si="764">BP48*BQ48</f>
        <v>40600</v>
      </c>
      <c r="BT48" s="261">
        <f>VLOOKUP($C48,Прайс!$D$8:$E$119,2,0)</f>
        <v>1450</v>
      </c>
      <c r="BU48" s="198">
        <f>ROUNDUP(VLOOKUP($C48,Прайс!$D$6:$F$1004,3,0)*VLOOKUP($C$47,Прайс!$D$6:$F$1004,3,0)*VLOOKUP($C$46,Прайс!$D$6:$F$1004,3,0)*BV$16,0)</f>
        <v>29</v>
      </c>
      <c r="BV48" s="197">
        <f t="shared" ref="BV48:BV51" si="765">BV$17*$D48/SUM($D$20:$D$22,$D$24:$D$28,$D$30:$D$32,$D$34:$D$45,$D$48:$D$51,$D$53:$D$56)</f>
        <v>31370.12131530833</v>
      </c>
      <c r="BW48" s="224">
        <f t="shared" ref="BW48:BW51" si="766">BT48*BU48</f>
        <v>42050</v>
      </c>
      <c r="BX48" s="261">
        <f>VLOOKUP($C48,Прайс!$D$8:$E$119,2,0)</f>
        <v>1450</v>
      </c>
      <c r="BY48" s="198">
        <f>ROUNDUP(VLOOKUP($C48,Прайс!$D$6:$F$1004,3,0)*VLOOKUP($C$47,Прайс!$D$6:$F$1004,3,0)*VLOOKUP($C$46,Прайс!$D$6:$F$1004,3,0)*BZ$16,0)</f>
        <v>27</v>
      </c>
      <c r="BZ48" s="197">
        <f t="shared" ref="BZ48:BZ51" si="767">BZ$17*$D48/SUM($D$20:$D$22,$D$24:$D$28,$D$30:$D$32,$D$34:$D$45,$D$48:$D$51,$D$53:$D$56)</f>
        <v>28968.580927533527</v>
      </c>
      <c r="CA48" s="224">
        <f t="shared" ref="CA48:CA51" si="768">BX48*BY48</f>
        <v>39150</v>
      </c>
      <c r="CB48" s="261">
        <f>VLOOKUP($C48,Прайс!$D$8:$E$119,2,0)</f>
        <v>1450</v>
      </c>
      <c r="CC48" s="198">
        <f>ROUNDUP(VLOOKUP($C48,Прайс!$D$6:$F$1004,3,0)*VLOOKUP($C$47,Прайс!$D$6:$F$1004,3,0)*VLOOKUP($C$46,Прайс!$D$6:$F$1004,3,0)*CD$16,0)</f>
        <v>25</v>
      </c>
      <c r="CD48" s="197">
        <f t="shared" ref="CD48:CD51" si="769">CD$17*$D48/SUM($D$20:$D$22,$D$24:$D$28,$D$30:$D$32,$D$34:$D$45,$D$48:$D$51,$D$53:$D$56)</f>
        <v>26567.040539758727</v>
      </c>
      <c r="CE48" s="224">
        <f t="shared" ref="CE48:CE51" si="770">CB48*CC48</f>
        <v>36250</v>
      </c>
      <c r="CF48" s="261">
        <f>VLOOKUP($C48,Прайс!$D$8:$E$119,2,0)</f>
        <v>1450</v>
      </c>
      <c r="CG48" s="198">
        <f>ROUNDUP(VLOOKUP($C48,Прайс!$D$6:$F$1004,3,0)*VLOOKUP($C$47,Прайс!$D$6:$F$1004,3,0)*VLOOKUP($C$46,Прайс!$D$6:$F$1004,3,0)*CH$16,0)</f>
        <v>26</v>
      </c>
      <c r="CH48" s="197">
        <f t="shared" ref="CH48:CH51" si="771">CH$17*$D48/SUM($D$20:$D$22,$D$24:$D$28,$D$30:$D$32,$D$34:$D$45,$D$48:$D$51,$D$53:$D$56)</f>
        <v>27347.541165785537</v>
      </c>
      <c r="CI48" s="224">
        <f t="shared" ref="CI48:CI51" si="772">CF48*CG48</f>
        <v>37700</v>
      </c>
      <c r="CJ48" s="261">
        <f>VLOOKUP($C48,Прайс!$D$8:$E$119,2,0)</f>
        <v>1450</v>
      </c>
      <c r="CK48" s="198">
        <f>ROUNDUP(VLOOKUP($C48,Прайс!$D$6:$F$1004,3,0)*VLOOKUP($C$47,Прайс!$D$6:$F$1004,3,0)*VLOOKUP($C$46,Прайс!$D$6:$F$1004,3,0)*CL$16,0)</f>
        <v>27</v>
      </c>
      <c r="CL48" s="197">
        <f t="shared" ref="CL48:CL51" si="773">CL$17*$D48/SUM($D$20:$D$22,$D$24:$D$28,$D$30:$D$32,$D$34:$D$45,$D$48:$D$51,$D$53:$D$56)</f>
        <v>29148.696456616639</v>
      </c>
      <c r="CM48" s="224">
        <f t="shared" ref="CM48:CM51" si="774">CJ48*CK48</f>
        <v>39150</v>
      </c>
      <c r="CN48" s="261">
        <f>VLOOKUP($C48,Прайс!$D$8:$E$119,2,0)</f>
        <v>1450</v>
      </c>
      <c r="CO48" s="198">
        <f>ROUNDUP(VLOOKUP($C48,Прайс!$D$6:$F$1004,3,0)*VLOOKUP($C$47,Прайс!$D$6:$F$1004,3,0)*VLOOKUP($C$46,Прайс!$D$6:$F$1004,3,0)*CP$16,0)</f>
        <v>25</v>
      </c>
      <c r="CP48" s="197">
        <f t="shared" ref="CP48:CP51" si="775">CP$17*$D48/SUM($D$20:$D$22,$D$24:$D$28,$D$30:$D$32,$D$34:$D$45,$D$48:$D$51,$D$53:$D$56)</f>
        <v>26957.29085277213</v>
      </c>
      <c r="CQ48" s="224">
        <f t="shared" ref="CQ48:CQ51" si="776">CN48*CO48</f>
        <v>36250</v>
      </c>
      <c r="CR48" s="261">
        <f>VLOOKUP($C48,Прайс!$D$8:$E$119,2,0)</f>
        <v>1450</v>
      </c>
      <c r="CS48" s="198">
        <f>ROUNDUP(VLOOKUP($C48,Прайс!$D$6:$F$1004,3,0)*VLOOKUP($C$47,Прайс!$D$6:$F$1004,3,0)*VLOOKUP($C$46,Прайс!$D$6:$F$1004,3,0)*CT$16,0)</f>
        <v>27</v>
      </c>
      <c r="CT48" s="197">
        <f t="shared" ref="CT48:CT51" si="777">CT$17*$D48/SUM($D$20:$D$22,$D$24:$D$28,$D$30:$D$32,$D$34:$D$45,$D$48:$D$51,$D$53:$D$56)</f>
        <v>29148.696456616639</v>
      </c>
      <c r="CU48" s="224">
        <f t="shared" ref="CU48:CU51" si="778">CR48*CS48</f>
        <v>39150</v>
      </c>
      <c r="CV48" s="261">
        <f>VLOOKUP($C48,Прайс!$D$8:$E$119,2,0)</f>
        <v>1450</v>
      </c>
      <c r="CW48" s="198">
        <f>ROUNDUP(VLOOKUP($C48,Прайс!$D$6:$F$1004,3,0)*VLOOKUP($C$47,Прайс!$D$6:$F$1004,3,0)*VLOOKUP($C$46,Прайс!$D$6:$F$1004,3,0)*CX$16,0)</f>
        <v>29</v>
      </c>
      <c r="CX48" s="197">
        <f t="shared" ref="CX48:CX51" si="779">CX$17*$D48/SUM($D$20:$D$22,$D$24:$D$28,$D$30:$D$32,$D$34:$D$45,$D$48:$D$51,$D$53:$D$56)</f>
        <v>31370.12131530833</v>
      </c>
      <c r="CY48" s="224">
        <f t="shared" ref="CY48:CY51" si="780">CV48*CW48</f>
        <v>42050</v>
      </c>
      <c r="CZ48" s="204"/>
    </row>
    <row r="49" spans="2:111" s="165" customFormat="1" hidden="1" outlineLevel="1">
      <c r="B49" s="162"/>
      <c r="C49" s="252" t="s">
        <v>246</v>
      </c>
      <c r="D49" s="261">
        <f>VLOOKUP($C49,Прайс!$D$8:$E$119,2,0)</f>
        <v>2550</v>
      </c>
      <c r="E49" s="198">
        <f>ROUNDUP(VLOOKUP($C49,Прайс!$D$6:$F$1004,3,0)*VLOOKUP($C$47,Прайс!$D$6:$F$1004,3,0)*VLOOKUP($C$46,Прайс!$D$6:$F$1004,3,0)*F$16,0)</f>
        <v>2</v>
      </c>
      <c r="F49" s="197">
        <f>F$17*$D49/SUM($D$20:$D$22,$D$24:$D$28,$D$30:$D$32,$D$34:$D$45,$D$48:$D$51,$D$53:$D$56)</f>
        <v>15324.484550581654</v>
      </c>
      <c r="G49" s="224">
        <f t="shared" si="732"/>
        <v>5100</v>
      </c>
      <c r="H49" s="261">
        <f>VLOOKUP($C49,Прайс!$D$8:$E$119,2,0)</f>
        <v>2550</v>
      </c>
      <c r="I49" s="198">
        <f>ROUNDUP(VLOOKUP($C49,Прайс!$D$6:$F$1004,3,0)*VLOOKUP($C$47,Прайс!$D$6:$F$1004,3,0)*VLOOKUP($C$46,Прайс!$D$6:$F$1004,3,0)*J$16,0)</f>
        <v>2</v>
      </c>
      <c r="J49" s="197">
        <f t="shared" si="733"/>
        <v>17104.764382582242</v>
      </c>
      <c r="K49" s="224">
        <f t="shared" si="734"/>
        <v>5100</v>
      </c>
      <c r="L49" s="261">
        <f>VLOOKUP($C49,Прайс!$D$8:$E$119,2,0)</f>
        <v>2550</v>
      </c>
      <c r="M49" s="198">
        <f>ROUNDUP(VLOOKUP($C49,Прайс!$D$6:$F$1004,3,0)*VLOOKUP($C$47,Прайс!$D$6:$F$1004,3,0)*VLOOKUP($C$46,Прайс!$D$6:$F$1004,3,0)*N$16,0)</f>
        <v>2</v>
      </c>
      <c r="N49" s="197">
        <f t="shared" si="735"/>
        <v>20335.371029944094</v>
      </c>
      <c r="O49" s="224">
        <f t="shared" si="736"/>
        <v>5100</v>
      </c>
      <c r="P49" s="261">
        <f>VLOOKUP($C49,Прайс!$D$8:$E$119,2,0)</f>
        <v>2550</v>
      </c>
      <c r="Q49" s="198">
        <f>ROUNDUP(VLOOKUP($C49,Прайс!$D$6:$F$1004,3,0)*VLOOKUP($C$47,Прайс!$D$6:$F$1004,3,0)*VLOOKUP($C$46,Прайс!$D$6:$F$1004,3,0)*R$16,0)</f>
        <v>2</v>
      </c>
      <c r="R49" s="197">
        <f t="shared" si="737"/>
        <v>24718.613548765963</v>
      </c>
      <c r="S49" s="224">
        <f t="shared" si="738"/>
        <v>5100</v>
      </c>
      <c r="T49" s="261">
        <f>VLOOKUP($C49,Прайс!$D$8:$E$119,2,0)</f>
        <v>2550</v>
      </c>
      <c r="U49" s="198">
        <f>ROUNDUP(VLOOKUP($C49,Прайс!$D$6:$F$1004,3,0)*VLOOKUP($C$47,Прайс!$D$6:$F$1004,3,0)*VLOOKUP($C$46,Прайс!$D$6:$F$1004,3,0)*V$16,0)</f>
        <v>2</v>
      </c>
      <c r="V49" s="197">
        <f t="shared" si="739"/>
        <v>26620.609382460167</v>
      </c>
      <c r="W49" s="224">
        <f t="shared" si="740"/>
        <v>5100</v>
      </c>
      <c r="X49" s="261">
        <f>VLOOKUP($C49,Прайс!$D$8:$E$119,2,0)</f>
        <v>2550</v>
      </c>
      <c r="Y49" s="198">
        <f>ROUNDUP(VLOOKUP($C49,Прайс!$D$6:$F$1004,3,0)*VLOOKUP($C$47,Прайс!$D$6:$F$1004,3,0)*VLOOKUP($C$46,Прайс!$D$6:$F$1004,3,0)*Z$16,0)</f>
        <v>3</v>
      </c>
      <c r="Z49" s="197">
        <f t="shared" si="741"/>
        <v>30648.9691011633</v>
      </c>
      <c r="AA49" s="224">
        <f t="shared" si="742"/>
        <v>7650</v>
      </c>
      <c r="AB49" s="261">
        <f>VLOOKUP($C49,Прайс!$D$8:$E$119,2,0)</f>
        <v>2550</v>
      </c>
      <c r="AC49" s="198">
        <f>ROUNDUP(VLOOKUP($C49,Прайс!$D$6:$F$1004,3,0)*VLOOKUP($C$47,Прайс!$D$6:$F$1004,3,0)*VLOOKUP($C$46,Прайс!$D$6:$F$1004,3,0)*AD$16,0)</f>
        <v>3</v>
      </c>
      <c r="AD49" s="197">
        <f t="shared" si="743"/>
        <v>31132.900192234305</v>
      </c>
      <c r="AE49" s="224">
        <f t="shared" si="744"/>
        <v>7650</v>
      </c>
      <c r="AF49" s="261">
        <f>VLOOKUP($C49,Прайс!$D$8:$E$119,2,0)</f>
        <v>2550</v>
      </c>
      <c r="AG49" s="198">
        <f>ROUNDUP(VLOOKUP($C49,Прайс!$D$6:$F$1004,3,0)*VLOOKUP($C$47,Прайс!$D$6:$F$1004,3,0)*VLOOKUP($C$46,Прайс!$D$6:$F$1004,3,0)*AH$16,0)</f>
        <v>3</v>
      </c>
      <c r="AH49" s="197">
        <f t="shared" si="745"/>
        <v>31147.564770751611</v>
      </c>
      <c r="AI49" s="224">
        <f t="shared" si="746"/>
        <v>7650</v>
      </c>
      <c r="AJ49" s="261">
        <f>VLOOKUP($C49,Прайс!$D$8:$E$119,2,0)</f>
        <v>2550</v>
      </c>
      <c r="AK49" s="198">
        <f>ROUNDUP(VLOOKUP($C49,Прайс!$D$6:$F$1004,3,0)*VLOOKUP($C$47,Прайс!$D$6:$F$1004,3,0)*VLOOKUP($C$46,Прайс!$D$6:$F$1004,3,0)*AL$16,0)</f>
        <v>3</v>
      </c>
      <c r="AL49" s="197">
        <f t="shared" si="747"/>
        <v>34734.520676083928</v>
      </c>
      <c r="AM49" s="224">
        <f t="shared" si="748"/>
        <v>7650</v>
      </c>
      <c r="AN49" s="261">
        <f>VLOOKUP($C49,Прайс!$D$8:$E$119,2,0)</f>
        <v>2550</v>
      </c>
      <c r="AO49" s="198">
        <f>ROUNDUP(VLOOKUP($C49,Прайс!$D$6:$F$1004,3,0)*VLOOKUP($C$47,Прайс!$D$6:$F$1004,3,0)*VLOOKUP($C$46,Прайс!$D$6:$F$1004,3,0)*AP$16,0)</f>
        <v>3</v>
      </c>
      <c r="AP49" s="197">
        <f t="shared" si="749"/>
        <v>39870.056072843458</v>
      </c>
      <c r="AQ49" s="224">
        <f t="shared" si="750"/>
        <v>7650</v>
      </c>
      <c r="AR49" s="261">
        <f>VLOOKUP($C49,Прайс!$D$8:$E$119,2,0)</f>
        <v>2550</v>
      </c>
      <c r="AS49" s="198">
        <f>ROUNDUP(VLOOKUP($C49,Прайс!$D$6:$F$1004,3,0)*VLOOKUP($C$47,Прайс!$D$6:$F$1004,3,0)*VLOOKUP($C$46,Прайс!$D$6:$F$1004,3,0)*AT$16,0)</f>
        <v>3</v>
      </c>
      <c r="AT49" s="197">
        <f t="shared" si="751"/>
        <v>39506.374525614337</v>
      </c>
      <c r="AU49" s="224">
        <f t="shared" si="752"/>
        <v>7650</v>
      </c>
      <c r="AV49" s="261">
        <f>VLOOKUP($C49,Прайс!$D$8:$E$119,2,0)</f>
        <v>2550</v>
      </c>
      <c r="AW49" s="198">
        <f>ROUNDUP(VLOOKUP($C49,Прайс!$D$6:$F$1004,3,0)*VLOOKUP($C$47,Прайс!$D$6:$F$1004,3,0)*VLOOKUP($C$46,Прайс!$D$6:$F$1004,3,0)*AX$16,0)</f>
        <v>4</v>
      </c>
      <c r="AX49" s="197">
        <f t="shared" si="753"/>
        <v>45565.778368963947</v>
      </c>
      <c r="AY49" s="224">
        <f t="shared" si="754"/>
        <v>10200</v>
      </c>
      <c r="AZ49" s="261">
        <f>VLOOKUP($C49,Прайс!$D$8:$E$119,2,0)</f>
        <v>2550</v>
      </c>
      <c r="BA49" s="198">
        <f>ROUNDUP(VLOOKUP($C49,Прайс!$D$6:$F$1004,3,0)*VLOOKUP($C$47,Прайс!$D$6:$F$1004,3,0)*VLOOKUP($C$46,Прайс!$D$6:$F$1004,3,0)*BB$16,0)</f>
        <v>4</v>
      </c>
      <c r="BB49" s="197">
        <f t="shared" si="755"/>
        <v>52103.247471977636</v>
      </c>
      <c r="BC49" s="224">
        <f t="shared" si="756"/>
        <v>10200</v>
      </c>
      <c r="BD49" s="261">
        <f>VLOOKUP($C49,Прайс!$D$8:$E$119,2,0)</f>
        <v>2550</v>
      </c>
      <c r="BE49" s="198">
        <f>ROUNDUP(VLOOKUP($C49,Прайс!$D$6:$F$1004,3,0)*VLOOKUP($C$47,Прайс!$D$6:$F$1004,3,0)*VLOOKUP($C$46,Прайс!$D$6:$F$1004,3,0)*BF$16,0)</f>
        <v>4</v>
      </c>
      <c r="BF49" s="197">
        <f t="shared" si="757"/>
        <v>51314.293147746735</v>
      </c>
      <c r="BG49" s="224">
        <f t="shared" si="758"/>
        <v>10200</v>
      </c>
      <c r="BH49" s="261">
        <f>VLOOKUP($C49,Прайс!$D$8:$E$119,2,0)</f>
        <v>2550</v>
      </c>
      <c r="BI49" s="198">
        <f>ROUNDUP(VLOOKUP($C49,Прайс!$D$6:$F$1004,3,0)*VLOOKUP($C$47,Прайс!$D$6:$F$1004,3,0)*VLOOKUP($C$46,Прайс!$D$6:$F$1004,3,0)*BJ$16,0)</f>
        <v>4</v>
      </c>
      <c r="BJ49" s="197">
        <f t="shared" si="759"/>
        <v>52290.954076999114</v>
      </c>
      <c r="BK49" s="224">
        <f t="shared" si="760"/>
        <v>10200</v>
      </c>
      <c r="BL49" s="261">
        <f>VLOOKUP($C49,Прайс!$D$8:$E$119,2,0)</f>
        <v>2550</v>
      </c>
      <c r="BM49" s="198">
        <f>ROUNDUP(VLOOKUP($C49,Прайс!$D$6:$F$1004,3,0)*VLOOKUP($C$47,Прайс!$D$6:$F$1004,3,0)*VLOOKUP($C$46,Прайс!$D$6:$F$1004,3,0)*BN$16,0)</f>
        <v>4</v>
      </c>
      <c r="BN49" s="197">
        <f t="shared" si="761"/>
        <v>55616.880484723442</v>
      </c>
      <c r="BO49" s="224">
        <f t="shared" si="762"/>
        <v>10200</v>
      </c>
      <c r="BP49" s="261">
        <f>VLOOKUP($C49,Прайс!$D$8:$E$119,2,0)</f>
        <v>2550</v>
      </c>
      <c r="BQ49" s="198">
        <f>ROUNDUP(VLOOKUP($C49,Прайс!$D$6:$F$1004,3,0)*VLOOKUP($C$47,Прайс!$D$6:$F$1004,3,0)*VLOOKUP($C$46,Прайс!$D$6:$F$1004,3,0)*BR$16,0)</f>
        <v>4</v>
      </c>
      <c r="BR49" s="197">
        <f t="shared" si="763"/>
        <v>53241.218764920348</v>
      </c>
      <c r="BS49" s="224">
        <f t="shared" si="764"/>
        <v>10200</v>
      </c>
      <c r="BT49" s="261">
        <f>VLOOKUP($C49,Прайс!$D$8:$E$119,2,0)</f>
        <v>2550</v>
      </c>
      <c r="BU49" s="198">
        <f>ROUNDUP(VLOOKUP($C49,Прайс!$D$6:$F$1004,3,0)*VLOOKUP($C$47,Прайс!$D$6:$F$1004,3,0)*VLOOKUP($C$46,Прайс!$D$6:$F$1004,3,0)*BV$16,0)</f>
        <v>4</v>
      </c>
      <c r="BV49" s="197">
        <f t="shared" si="765"/>
        <v>55168.144382093968</v>
      </c>
      <c r="BW49" s="224">
        <f t="shared" si="766"/>
        <v>10200</v>
      </c>
      <c r="BX49" s="261">
        <f>VLOOKUP($C49,Прайс!$D$8:$E$119,2,0)</f>
        <v>2550</v>
      </c>
      <c r="BY49" s="198">
        <f>ROUNDUP(VLOOKUP($C49,Прайс!$D$6:$F$1004,3,0)*VLOOKUP($C$47,Прайс!$D$6:$F$1004,3,0)*VLOOKUP($C$46,Прайс!$D$6:$F$1004,3,0)*BZ$16,0)</f>
        <v>4</v>
      </c>
      <c r="BZ49" s="197">
        <f t="shared" si="767"/>
        <v>50944.74576911069</v>
      </c>
      <c r="CA49" s="224">
        <f t="shared" si="768"/>
        <v>10200</v>
      </c>
      <c r="CB49" s="261">
        <f>VLOOKUP($C49,Прайс!$D$8:$E$119,2,0)</f>
        <v>2550</v>
      </c>
      <c r="CC49" s="198">
        <f>ROUNDUP(VLOOKUP($C49,Прайс!$D$6:$F$1004,3,0)*VLOOKUP($C$47,Прайс!$D$6:$F$1004,3,0)*VLOOKUP($C$46,Прайс!$D$6:$F$1004,3,0)*CD$16,0)</f>
        <v>4</v>
      </c>
      <c r="CD49" s="197">
        <f t="shared" si="769"/>
        <v>46721.34715612742</v>
      </c>
      <c r="CE49" s="224">
        <f t="shared" si="770"/>
        <v>10200</v>
      </c>
      <c r="CF49" s="261">
        <f>VLOOKUP($C49,Прайс!$D$8:$E$119,2,0)</f>
        <v>2550</v>
      </c>
      <c r="CG49" s="198">
        <f>ROUNDUP(VLOOKUP($C49,Прайс!$D$6:$F$1004,3,0)*VLOOKUP($C$47,Прайс!$D$6:$F$1004,3,0)*VLOOKUP($C$46,Прайс!$D$6:$F$1004,3,0)*CH$16,0)</f>
        <v>4</v>
      </c>
      <c r="CH49" s="197">
        <f t="shared" si="771"/>
        <v>48093.951705346983</v>
      </c>
      <c r="CI49" s="224">
        <f t="shared" si="772"/>
        <v>10200</v>
      </c>
      <c r="CJ49" s="261">
        <f>VLOOKUP($C49,Прайс!$D$8:$E$119,2,0)</f>
        <v>2550</v>
      </c>
      <c r="CK49" s="198">
        <f>ROUNDUP(VLOOKUP($C49,Прайс!$D$6:$F$1004,3,0)*VLOOKUP($C$47,Прайс!$D$6:$F$1004,3,0)*VLOOKUP($C$46,Прайс!$D$6:$F$1004,3,0)*CL$16,0)</f>
        <v>4</v>
      </c>
      <c r="CL49" s="197">
        <f t="shared" si="773"/>
        <v>51261.500665084437</v>
      </c>
      <c r="CM49" s="224">
        <f t="shared" si="774"/>
        <v>10200</v>
      </c>
      <c r="CN49" s="261">
        <f>VLOOKUP($C49,Прайс!$D$8:$E$119,2,0)</f>
        <v>2550</v>
      </c>
      <c r="CO49" s="198">
        <f>ROUNDUP(VLOOKUP($C49,Прайс!$D$6:$F$1004,3,0)*VLOOKUP($C$47,Прайс!$D$6:$F$1004,3,0)*VLOOKUP($C$46,Прайс!$D$6:$F$1004,3,0)*CP$16,0)</f>
        <v>4</v>
      </c>
      <c r="CP49" s="197">
        <f t="shared" si="775"/>
        <v>47407.649430737198</v>
      </c>
      <c r="CQ49" s="224">
        <f t="shared" si="776"/>
        <v>10200</v>
      </c>
      <c r="CR49" s="261">
        <f>VLOOKUP($C49,Прайс!$D$8:$E$119,2,0)</f>
        <v>2550</v>
      </c>
      <c r="CS49" s="198">
        <f>ROUNDUP(VLOOKUP($C49,Прайс!$D$6:$F$1004,3,0)*VLOOKUP($C$47,Прайс!$D$6:$F$1004,3,0)*VLOOKUP($C$46,Прайс!$D$6:$F$1004,3,0)*CT$16,0)</f>
        <v>4</v>
      </c>
      <c r="CT49" s="197">
        <f t="shared" si="777"/>
        <v>51261.500665084437</v>
      </c>
      <c r="CU49" s="224">
        <f t="shared" si="778"/>
        <v>10200</v>
      </c>
      <c r="CV49" s="261">
        <f>VLOOKUP($C49,Прайс!$D$8:$E$119,2,0)</f>
        <v>2550</v>
      </c>
      <c r="CW49" s="198">
        <f>ROUNDUP(VLOOKUP($C49,Прайс!$D$6:$F$1004,3,0)*VLOOKUP($C$47,Прайс!$D$6:$F$1004,3,0)*VLOOKUP($C$46,Прайс!$D$6:$F$1004,3,0)*CX$16,0)</f>
        <v>4</v>
      </c>
      <c r="CX49" s="197">
        <f t="shared" si="779"/>
        <v>55168.14438209396</v>
      </c>
      <c r="CY49" s="224">
        <f t="shared" si="780"/>
        <v>10200</v>
      </c>
      <c r="CZ49" s="204"/>
    </row>
    <row r="50" spans="2:111" s="165" customFormat="1" hidden="1" outlineLevel="1">
      <c r="B50" s="162"/>
      <c r="C50" s="252" t="s">
        <v>247</v>
      </c>
      <c r="D50" s="261">
        <f>VLOOKUP($C50,Прайс!$D$8:$E$119,2,0)</f>
        <v>2050</v>
      </c>
      <c r="E50" s="198">
        <f>ROUNDUP(VLOOKUP($C50,Прайс!$D$6:$F$1004,3,0)*VLOOKUP($C$47,Прайс!$D$6:$F$1004,3,0)*VLOOKUP($C$46,Прайс!$D$6:$F$1004,3,0)*F$16,0)</f>
        <v>2</v>
      </c>
      <c r="F50" s="197">
        <f>F$17*$D50/SUM($D$20:$D$22,$D$24:$D$28,$D$30:$D$32,$D$34:$D$45,$D$48:$D$51,$D$53:$D$56)</f>
        <v>12319.683658310742</v>
      </c>
      <c r="G50" s="224">
        <f t="shared" si="732"/>
        <v>4100</v>
      </c>
      <c r="H50" s="261">
        <f>VLOOKUP($C50,Прайс!$D$8:$E$119,2,0)</f>
        <v>2050</v>
      </c>
      <c r="I50" s="198">
        <f>ROUNDUP(VLOOKUP($C50,Прайс!$D$6:$F$1004,3,0)*VLOOKUP($C$47,Прайс!$D$6:$F$1004,3,0)*VLOOKUP($C$46,Прайс!$D$6:$F$1004,3,0)*J$16,0)</f>
        <v>3</v>
      </c>
      <c r="J50" s="197">
        <f t="shared" si="733"/>
        <v>13750.88901344847</v>
      </c>
      <c r="K50" s="224">
        <f t="shared" si="734"/>
        <v>6150</v>
      </c>
      <c r="L50" s="261">
        <f>VLOOKUP($C50,Прайс!$D$8:$E$119,2,0)</f>
        <v>2050</v>
      </c>
      <c r="M50" s="198">
        <f>ROUNDUP(VLOOKUP($C50,Прайс!$D$6:$F$1004,3,0)*VLOOKUP($C$47,Прайс!$D$6:$F$1004,3,0)*VLOOKUP($C$46,Прайс!$D$6:$F$1004,3,0)*N$16,0)</f>
        <v>3</v>
      </c>
      <c r="N50" s="197">
        <f t="shared" si="735"/>
        <v>16348.043377013879</v>
      </c>
      <c r="O50" s="224">
        <f t="shared" si="736"/>
        <v>6150</v>
      </c>
      <c r="P50" s="261">
        <f>VLOOKUP($C50,Прайс!$D$8:$E$119,2,0)</f>
        <v>2050</v>
      </c>
      <c r="Q50" s="198">
        <f>ROUNDUP(VLOOKUP($C50,Прайс!$D$6:$F$1004,3,0)*VLOOKUP($C$47,Прайс!$D$6:$F$1004,3,0)*VLOOKUP($C$46,Прайс!$D$6:$F$1004,3,0)*R$16,0)</f>
        <v>3</v>
      </c>
      <c r="R50" s="197">
        <f t="shared" si="737"/>
        <v>19871.826578419699</v>
      </c>
      <c r="S50" s="224">
        <f t="shared" si="738"/>
        <v>6150</v>
      </c>
      <c r="T50" s="261">
        <f>VLOOKUP($C50,Прайс!$D$8:$E$119,2,0)</f>
        <v>2050</v>
      </c>
      <c r="U50" s="198">
        <f>ROUNDUP(VLOOKUP($C50,Прайс!$D$6:$F$1004,3,0)*VLOOKUP($C$47,Прайс!$D$6:$F$1004,3,0)*VLOOKUP($C$46,Прайс!$D$6:$F$1004,3,0)*V$16,0)</f>
        <v>4</v>
      </c>
      <c r="V50" s="197">
        <f t="shared" si="739"/>
        <v>21400.882052566016</v>
      </c>
      <c r="W50" s="224">
        <f t="shared" si="740"/>
        <v>8200</v>
      </c>
      <c r="X50" s="261">
        <f>VLOOKUP($C50,Прайс!$D$8:$E$119,2,0)</f>
        <v>2050</v>
      </c>
      <c r="Y50" s="198">
        <f>ROUNDUP(VLOOKUP($C50,Прайс!$D$6:$F$1004,3,0)*VLOOKUP($C$47,Прайс!$D$6:$F$1004,3,0)*VLOOKUP($C$46,Прайс!$D$6:$F$1004,3,0)*Z$16,0)</f>
        <v>4</v>
      </c>
      <c r="Z50" s="197">
        <f t="shared" si="741"/>
        <v>24639.367316621476</v>
      </c>
      <c r="AA50" s="224">
        <f t="shared" si="742"/>
        <v>8200</v>
      </c>
      <c r="AB50" s="261">
        <f>VLOOKUP($C50,Прайс!$D$8:$E$119,2,0)</f>
        <v>2050</v>
      </c>
      <c r="AC50" s="198">
        <f>ROUNDUP(VLOOKUP($C50,Прайс!$D$6:$F$1004,3,0)*VLOOKUP($C$47,Прайс!$D$6:$F$1004,3,0)*VLOOKUP($C$46,Прайс!$D$6:$F$1004,3,0)*AD$16,0)</f>
        <v>4</v>
      </c>
      <c r="AD50" s="197">
        <f t="shared" si="743"/>
        <v>25028.409958462871</v>
      </c>
      <c r="AE50" s="224">
        <f t="shared" si="744"/>
        <v>8200</v>
      </c>
      <c r="AF50" s="261">
        <f>VLOOKUP($C50,Прайс!$D$8:$E$119,2,0)</f>
        <v>2050</v>
      </c>
      <c r="AG50" s="198">
        <f>ROUNDUP(VLOOKUP($C50,Прайс!$D$6:$F$1004,3,0)*VLOOKUP($C$47,Прайс!$D$6:$F$1004,3,0)*VLOOKUP($C$46,Прайс!$D$6:$F$1004,3,0)*AH$16,0)</f>
        <v>4</v>
      </c>
      <c r="AH50" s="197">
        <f t="shared" si="745"/>
        <v>25040.199129427765</v>
      </c>
      <c r="AI50" s="224">
        <f t="shared" si="746"/>
        <v>8200</v>
      </c>
      <c r="AJ50" s="261">
        <f>VLOOKUP($C50,Прайс!$D$8:$E$119,2,0)</f>
        <v>2050</v>
      </c>
      <c r="AK50" s="198">
        <f>ROUNDUP(VLOOKUP($C50,Прайс!$D$6:$F$1004,3,0)*VLOOKUP($C$47,Прайс!$D$6:$F$1004,3,0)*VLOOKUP($C$46,Прайс!$D$6:$F$1004,3,0)*AL$16,0)</f>
        <v>5</v>
      </c>
      <c r="AL50" s="197">
        <f t="shared" si="747"/>
        <v>27923.83034744002</v>
      </c>
      <c r="AM50" s="224">
        <f t="shared" si="748"/>
        <v>10250</v>
      </c>
      <c r="AN50" s="261">
        <f>VLOOKUP($C50,Прайс!$D$8:$E$119,2,0)</f>
        <v>2050</v>
      </c>
      <c r="AO50" s="198">
        <f>ROUNDUP(VLOOKUP($C50,Прайс!$D$6:$F$1004,3,0)*VLOOKUP($C$47,Прайс!$D$6:$F$1004,3,0)*VLOOKUP($C$46,Прайс!$D$6:$F$1004,3,0)*AP$16,0)</f>
        <v>5</v>
      </c>
      <c r="AP50" s="197">
        <f t="shared" si="749"/>
        <v>32052.398019344735</v>
      </c>
      <c r="AQ50" s="224">
        <f t="shared" si="750"/>
        <v>10250</v>
      </c>
      <c r="AR50" s="261">
        <f>VLOOKUP($C50,Прайс!$D$8:$E$119,2,0)</f>
        <v>2050</v>
      </c>
      <c r="AS50" s="198">
        <f>ROUNDUP(VLOOKUP($C50,Прайс!$D$6:$F$1004,3,0)*VLOOKUP($C$47,Прайс!$D$6:$F$1004,3,0)*VLOOKUP($C$46,Прайс!$D$6:$F$1004,3,0)*AT$16,0)</f>
        <v>5</v>
      </c>
      <c r="AT50" s="197">
        <f t="shared" si="751"/>
        <v>31760.026579415447</v>
      </c>
      <c r="AU50" s="224">
        <f t="shared" si="752"/>
        <v>10250</v>
      </c>
      <c r="AV50" s="261">
        <f>VLOOKUP($C50,Прайс!$D$8:$E$119,2,0)</f>
        <v>2050</v>
      </c>
      <c r="AW50" s="198">
        <f>ROUNDUP(VLOOKUP($C50,Прайс!$D$6:$F$1004,3,0)*VLOOKUP($C$47,Прайс!$D$6:$F$1004,3,0)*VLOOKUP($C$46,Прайс!$D$6:$F$1004,3,0)*AX$16,0)</f>
        <v>6</v>
      </c>
      <c r="AX50" s="197">
        <f t="shared" si="753"/>
        <v>36631.312022108272</v>
      </c>
      <c r="AY50" s="224">
        <f t="shared" si="754"/>
        <v>12300</v>
      </c>
      <c r="AZ50" s="261">
        <f>VLOOKUP($C50,Прайс!$D$8:$E$119,2,0)</f>
        <v>2050</v>
      </c>
      <c r="BA50" s="198">
        <f>ROUNDUP(VLOOKUP($C50,Прайс!$D$6:$F$1004,3,0)*VLOOKUP($C$47,Прайс!$D$6:$F$1004,3,0)*VLOOKUP($C$46,Прайс!$D$6:$F$1004,3,0)*BB$16,0)</f>
        <v>7</v>
      </c>
      <c r="BB50" s="197">
        <f t="shared" si="755"/>
        <v>41886.92443825653</v>
      </c>
      <c r="BC50" s="224">
        <f t="shared" si="756"/>
        <v>14350</v>
      </c>
      <c r="BD50" s="261">
        <f>VLOOKUP($C50,Прайс!$D$8:$E$119,2,0)</f>
        <v>2050</v>
      </c>
      <c r="BE50" s="198">
        <f>ROUNDUP(VLOOKUP($C50,Прайс!$D$6:$F$1004,3,0)*VLOOKUP($C$47,Прайс!$D$6:$F$1004,3,0)*VLOOKUP($C$46,Прайс!$D$6:$F$1004,3,0)*BF$16,0)</f>
        <v>7</v>
      </c>
      <c r="BF50" s="197">
        <f t="shared" si="757"/>
        <v>41252.667040345412</v>
      </c>
      <c r="BG50" s="224">
        <f t="shared" si="758"/>
        <v>14350</v>
      </c>
      <c r="BH50" s="261">
        <f>VLOOKUP($C50,Прайс!$D$8:$E$119,2,0)</f>
        <v>2050</v>
      </c>
      <c r="BI50" s="198">
        <f>ROUNDUP(VLOOKUP($C50,Прайс!$D$6:$F$1004,3,0)*VLOOKUP($C$47,Прайс!$D$6:$F$1004,3,0)*VLOOKUP($C$46,Прайс!$D$6:$F$1004,3,0)*BJ$16,0)</f>
        <v>7</v>
      </c>
      <c r="BJ50" s="197">
        <f t="shared" si="759"/>
        <v>42037.825826607128</v>
      </c>
      <c r="BK50" s="224">
        <f t="shared" si="760"/>
        <v>14350</v>
      </c>
      <c r="BL50" s="261">
        <f>VLOOKUP($C50,Прайс!$D$8:$E$119,2,0)</f>
        <v>2050</v>
      </c>
      <c r="BM50" s="198">
        <f>ROUNDUP(VLOOKUP($C50,Прайс!$D$6:$F$1004,3,0)*VLOOKUP($C$47,Прайс!$D$6:$F$1004,3,0)*VLOOKUP($C$46,Прайс!$D$6:$F$1004,3,0)*BN$16,0)</f>
        <v>7</v>
      </c>
      <c r="BN50" s="197">
        <f t="shared" si="761"/>
        <v>44711.609801444341</v>
      </c>
      <c r="BO50" s="224">
        <f t="shared" si="762"/>
        <v>14350</v>
      </c>
      <c r="BP50" s="261">
        <f>VLOOKUP($C50,Прайс!$D$8:$E$119,2,0)</f>
        <v>2050</v>
      </c>
      <c r="BQ50" s="198">
        <f>ROUNDUP(VLOOKUP($C50,Прайс!$D$6:$F$1004,3,0)*VLOOKUP($C$47,Прайс!$D$6:$F$1004,3,0)*VLOOKUP($C$46,Прайс!$D$6:$F$1004,3,0)*BR$16,0)</f>
        <v>7</v>
      </c>
      <c r="BR50" s="197">
        <f t="shared" si="763"/>
        <v>42801.764105132046</v>
      </c>
      <c r="BS50" s="224">
        <f t="shared" si="764"/>
        <v>14350</v>
      </c>
      <c r="BT50" s="261">
        <f>VLOOKUP($C50,Прайс!$D$8:$E$119,2,0)</f>
        <v>2050</v>
      </c>
      <c r="BU50" s="198">
        <f>ROUNDUP(VLOOKUP($C50,Прайс!$D$6:$F$1004,3,0)*VLOOKUP($C$47,Прайс!$D$6:$F$1004,3,0)*VLOOKUP($C$46,Прайс!$D$6:$F$1004,3,0)*BV$16,0)</f>
        <v>7</v>
      </c>
      <c r="BV50" s="197">
        <f t="shared" si="765"/>
        <v>44350.861169918673</v>
      </c>
      <c r="BW50" s="224">
        <f t="shared" si="766"/>
        <v>14350</v>
      </c>
      <c r="BX50" s="261">
        <f>VLOOKUP($C50,Прайс!$D$8:$E$119,2,0)</f>
        <v>2050</v>
      </c>
      <c r="BY50" s="198">
        <f>ROUNDUP(VLOOKUP($C50,Прайс!$D$6:$F$1004,3,0)*VLOOKUP($C$47,Прайс!$D$6:$F$1004,3,0)*VLOOKUP($C$46,Прайс!$D$6:$F$1004,3,0)*BZ$16,0)</f>
        <v>7</v>
      </c>
      <c r="BZ50" s="197">
        <f t="shared" si="767"/>
        <v>40955.579932030159</v>
      </c>
      <c r="CA50" s="224">
        <f t="shared" si="768"/>
        <v>14350</v>
      </c>
      <c r="CB50" s="261">
        <f>VLOOKUP($C50,Прайс!$D$8:$E$119,2,0)</f>
        <v>2050</v>
      </c>
      <c r="CC50" s="198">
        <f>ROUNDUP(VLOOKUP($C50,Прайс!$D$6:$F$1004,3,0)*VLOOKUP($C$47,Прайс!$D$6:$F$1004,3,0)*VLOOKUP($C$46,Прайс!$D$6:$F$1004,3,0)*CD$16,0)</f>
        <v>6</v>
      </c>
      <c r="CD50" s="197">
        <f t="shared" si="769"/>
        <v>37560.298694141653</v>
      </c>
      <c r="CE50" s="224">
        <f t="shared" si="770"/>
        <v>12300</v>
      </c>
      <c r="CF50" s="261">
        <f>VLOOKUP($C50,Прайс!$D$8:$E$119,2,0)</f>
        <v>2050</v>
      </c>
      <c r="CG50" s="198">
        <f>ROUNDUP(VLOOKUP($C50,Прайс!$D$6:$F$1004,3,0)*VLOOKUP($C$47,Прайс!$D$6:$F$1004,3,0)*VLOOKUP($C$46,Прайс!$D$6:$F$1004,3,0)*CH$16,0)</f>
        <v>6</v>
      </c>
      <c r="CH50" s="197">
        <f t="shared" si="771"/>
        <v>38663.76509645542</v>
      </c>
      <c r="CI50" s="224">
        <f t="shared" si="772"/>
        <v>12300</v>
      </c>
      <c r="CJ50" s="261">
        <f>VLOOKUP($C50,Прайс!$D$8:$E$119,2,0)</f>
        <v>2050</v>
      </c>
      <c r="CK50" s="198">
        <f>ROUNDUP(VLOOKUP($C50,Прайс!$D$6:$F$1004,3,0)*VLOOKUP($C$47,Прайс!$D$6:$F$1004,3,0)*VLOOKUP($C$46,Прайс!$D$6:$F$1004,3,0)*CL$16,0)</f>
        <v>7</v>
      </c>
      <c r="CL50" s="197">
        <f t="shared" si="773"/>
        <v>41210.226024871801</v>
      </c>
      <c r="CM50" s="224">
        <f t="shared" si="774"/>
        <v>14350</v>
      </c>
      <c r="CN50" s="261">
        <f>VLOOKUP($C50,Прайс!$D$8:$E$119,2,0)</f>
        <v>2050</v>
      </c>
      <c r="CO50" s="198">
        <f>ROUNDUP(VLOOKUP($C50,Прайс!$D$6:$F$1004,3,0)*VLOOKUP($C$47,Прайс!$D$6:$F$1004,3,0)*VLOOKUP($C$46,Прайс!$D$6:$F$1004,3,0)*CP$16,0)</f>
        <v>6</v>
      </c>
      <c r="CP50" s="197">
        <f t="shared" si="775"/>
        <v>38112.031895298525</v>
      </c>
      <c r="CQ50" s="224">
        <f t="shared" si="776"/>
        <v>12300</v>
      </c>
      <c r="CR50" s="261">
        <f>VLOOKUP($C50,Прайс!$D$8:$E$119,2,0)</f>
        <v>2050</v>
      </c>
      <c r="CS50" s="198">
        <f>ROUNDUP(VLOOKUP($C50,Прайс!$D$6:$F$1004,3,0)*VLOOKUP($C$47,Прайс!$D$6:$F$1004,3,0)*VLOOKUP($C$46,Прайс!$D$6:$F$1004,3,0)*CT$16,0)</f>
        <v>7</v>
      </c>
      <c r="CT50" s="197">
        <f t="shared" si="777"/>
        <v>41210.226024871801</v>
      </c>
      <c r="CU50" s="224">
        <f t="shared" si="778"/>
        <v>14350</v>
      </c>
      <c r="CV50" s="261">
        <f>VLOOKUP($C50,Прайс!$D$8:$E$119,2,0)</f>
        <v>2050</v>
      </c>
      <c r="CW50" s="198">
        <f>ROUNDUP(VLOOKUP($C50,Прайс!$D$6:$F$1004,3,0)*VLOOKUP($C$47,Прайс!$D$6:$F$1004,3,0)*VLOOKUP($C$46,Прайс!$D$6:$F$1004,3,0)*CX$16,0)</f>
        <v>7</v>
      </c>
      <c r="CX50" s="197">
        <f t="shared" si="779"/>
        <v>44350.861169918673</v>
      </c>
      <c r="CY50" s="224">
        <f t="shared" si="780"/>
        <v>14350</v>
      </c>
      <c r="CZ50" s="204"/>
    </row>
    <row r="51" spans="2:111" s="165" customFormat="1" hidden="1" outlineLevel="1">
      <c r="B51" s="162"/>
      <c r="C51" s="252" t="s">
        <v>248</v>
      </c>
      <c r="D51" s="261">
        <f>VLOOKUP($C51,Прайс!$D$8:$E$119,2,0)</f>
        <v>3650</v>
      </c>
      <c r="E51" s="198">
        <f>ROUNDUP(VLOOKUP($C51,Прайс!$D$6:$F$1004,3,0)*VLOOKUP($C$47,Прайс!$D$6:$F$1004,3,0)*VLOOKUP($C$46,Прайс!$D$6:$F$1004,3,0)*F$16,0)</f>
        <v>1</v>
      </c>
      <c r="F51" s="197">
        <f>F$17*$D51/SUM($D$20:$D$22,$D$24:$D$28,$D$30:$D$32,$D$34:$D$45,$D$48:$D$51,$D$53:$D$56)</f>
        <v>21935.046513577661</v>
      </c>
      <c r="G51" s="224">
        <f t="shared" si="732"/>
        <v>3650</v>
      </c>
      <c r="H51" s="261">
        <f>VLOOKUP($C51,Прайс!$D$8:$E$119,2,0)</f>
        <v>3650</v>
      </c>
      <c r="I51" s="198">
        <f>ROUNDUP(VLOOKUP($C51,Прайс!$D$6:$F$1004,3,0)*VLOOKUP($C$47,Прайс!$D$6:$F$1004,3,0)*VLOOKUP($C$46,Прайс!$D$6:$F$1004,3,0)*J$16,0)</f>
        <v>1</v>
      </c>
      <c r="J51" s="197">
        <f t="shared" si="733"/>
        <v>24483.290194676541</v>
      </c>
      <c r="K51" s="224">
        <f t="shared" si="734"/>
        <v>3650</v>
      </c>
      <c r="L51" s="261">
        <f>VLOOKUP($C51,Прайс!$D$8:$E$119,2,0)</f>
        <v>3650</v>
      </c>
      <c r="M51" s="198">
        <f>ROUNDUP(VLOOKUP($C51,Прайс!$D$6:$F$1004,3,0)*VLOOKUP($C$47,Прайс!$D$6:$F$1004,3,0)*VLOOKUP($C$46,Прайс!$D$6:$F$1004,3,0)*N$16,0)</f>
        <v>1</v>
      </c>
      <c r="N51" s="197">
        <f t="shared" si="735"/>
        <v>29107.491866390563</v>
      </c>
      <c r="O51" s="224">
        <f t="shared" si="736"/>
        <v>3650</v>
      </c>
      <c r="P51" s="261">
        <f>VLOOKUP($C51,Прайс!$D$8:$E$119,2,0)</f>
        <v>3650</v>
      </c>
      <c r="Q51" s="198">
        <f>ROUNDUP(VLOOKUP($C51,Прайс!$D$6:$F$1004,3,0)*VLOOKUP($C$47,Прайс!$D$6:$F$1004,3,0)*VLOOKUP($C$46,Прайс!$D$6:$F$1004,3,0)*R$16,0)</f>
        <v>1</v>
      </c>
      <c r="R51" s="197">
        <f t="shared" si="737"/>
        <v>35381.544883527757</v>
      </c>
      <c r="S51" s="224">
        <f t="shared" si="738"/>
        <v>3650</v>
      </c>
      <c r="T51" s="261">
        <f>VLOOKUP($C51,Прайс!$D$8:$E$119,2,0)</f>
        <v>3650</v>
      </c>
      <c r="U51" s="198">
        <f>ROUNDUP(VLOOKUP($C51,Прайс!$D$6:$F$1004,3,0)*VLOOKUP($C$47,Прайс!$D$6:$F$1004,3,0)*VLOOKUP($C$46,Прайс!$D$6:$F$1004,3,0)*V$16,0)</f>
        <v>1</v>
      </c>
      <c r="V51" s="197">
        <f t="shared" si="739"/>
        <v>38104.009508227296</v>
      </c>
      <c r="W51" s="224">
        <f t="shared" si="740"/>
        <v>3650</v>
      </c>
      <c r="X51" s="261">
        <f>VLOOKUP($C51,Прайс!$D$8:$E$119,2,0)</f>
        <v>3650</v>
      </c>
      <c r="Y51" s="198">
        <f>ROUNDUP(VLOOKUP($C51,Прайс!$D$6:$F$1004,3,0)*VLOOKUP($C$47,Прайс!$D$6:$F$1004,3,0)*VLOOKUP($C$46,Прайс!$D$6:$F$1004,3,0)*Z$16,0)</f>
        <v>1</v>
      </c>
      <c r="Z51" s="197">
        <f t="shared" si="741"/>
        <v>43870.093027155308</v>
      </c>
      <c r="AA51" s="224">
        <f t="shared" si="742"/>
        <v>3650</v>
      </c>
      <c r="AB51" s="261">
        <f>VLOOKUP($C51,Прайс!$D$8:$E$119,2,0)</f>
        <v>3650</v>
      </c>
      <c r="AC51" s="198">
        <f>ROUNDUP(VLOOKUP($C51,Прайс!$D$6:$F$1004,3,0)*VLOOKUP($C$47,Прайс!$D$6:$F$1004,3,0)*VLOOKUP($C$46,Прайс!$D$6:$F$1004,3,0)*AD$16,0)</f>
        <v>1</v>
      </c>
      <c r="AD51" s="197">
        <f t="shared" si="743"/>
        <v>44562.778706531455</v>
      </c>
      <c r="AE51" s="224">
        <f t="shared" si="744"/>
        <v>3650</v>
      </c>
      <c r="AF51" s="261">
        <f>VLOOKUP($C51,Прайс!$D$8:$E$119,2,0)</f>
        <v>3650</v>
      </c>
      <c r="AG51" s="198">
        <f>ROUNDUP(VLOOKUP($C51,Прайс!$D$6:$F$1004,3,0)*VLOOKUP($C$47,Прайс!$D$6:$F$1004,3,0)*VLOOKUP($C$46,Прайс!$D$6:$F$1004,3,0)*AH$16,0)</f>
        <v>1</v>
      </c>
      <c r="AH51" s="197">
        <f t="shared" si="745"/>
        <v>44583.769181664065</v>
      </c>
      <c r="AI51" s="224">
        <f t="shared" si="746"/>
        <v>3650</v>
      </c>
      <c r="AJ51" s="261">
        <f>VLOOKUP($C51,Прайс!$D$8:$E$119,2,0)</f>
        <v>3650</v>
      </c>
      <c r="AK51" s="198">
        <f>ROUNDUP(VLOOKUP($C51,Прайс!$D$6:$F$1004,3,0)*VLOOKUP($C$47,Прайс!$D$6:$F$1004,3,0)*VLOOKUP($C$46,Прайс!$D$6:$F$1004,3,0)*AL$16,0)</f>
        <v>1</v>
      </c>
      <c r="AL51" s="197">
        <f t="shared" si="747"/>
        <v>49718.039399100526</v>
      </c>
      <c r="AM51" s="224">
        <f t="shared" si="748"/>
        <v>3650</v>
      </c>
      <c r="AN51" s="261">
        <f>VLOOKUP($C51,Прайс!$D$8:$E$119,2,0)</f>
        <v>3650</v>
      </c>
      <c r="AO51" s="198">
        <f>ROUNDUP(VLOOKUP($C51,Прайс!$D$6:$F$1004,3,0)*VLOOKUP($C$47,Прайс!$D$6:$F$1004,3,0)*VLOOKUP($C$46,Прайс!$D$6:$F$1004,3,0)*AP$16,0)</f>
        <v>1</v>
      </c>
      <c r="AP51" s="197">
        <f t="shared" si="749"/>
        <v>57068.903790540629</v>
      </c>
      <c r="AQ51" s="224">
        <f t="shared" si="750"/>
        <v>3650</v>
      </c>
      <c r="AR51" s="261">
        <f>VLOOKUP($C51,Прайс!$D$8:$E$119,2,0)</f>
        <v>3650</v>
      </c>
      <c r="AS51" s="198">
        <f>ROUNDUP(VLOOKUP($C51,Прайс!$D$6:$F$1004,3,0)*VLOOKUP($C$47,Прайс!$D$6:$F$1004,3,0)*VLOOKUP($C$46,Прайс!$D$6:$F$1004,3,0)*AT$16,0)</f>
        <v>1</v>
      </c>
      <c r="AT51" s="197">
        <f t="shared" si="751"/>
        <v>56548.3400072519</v>
      </c>
      <c r="AU51" s="224">
        <f t="shared" si="752"/>
        <v>3650</v>
      </c>
      <c r="AV51" s="261">
        <f>VLOOKUP($C51,Прайс!$D$8:$E$119,2,0)</f>
        <v>3650</v>
      </c>
      <c r="AW51" s="198">
        <f>ROUNDUP(VLOOKUP($C51,Прайс!$D$6:$F$1004,3,0)*VLOOKUP($C$47,Прайс!$D$6:$F$1004,3,0)*VLOOKUP($C$46,Прайс!$D$6:$F$1004,3,0)*AX$16,0)</f>
        <v>1</v>
      </c>
      <c r="AX51" s="197">
        <f t="shared" si="753"/>
        <v>65221.604332046438</v>
      </c>
      <c r="AY51" s="224">
        <f t="shared" si="754"/>
        <v>3650</v>
      </c>
      <c r="AZ51" s="261">
        <f>VLOOKUP($C51,Прайс!$D$8:$E$119,2,0)</f>
        <v>3650</v>
      </c>
      <c r="BA51" s="198">
        <f>ROUNDUP(VLOOKUP($C51,Прайс!$D$6:$F$1004,3,0)*VLOOKUP($C$47,Прайс!$D$6:$F$1004,3,0)*VLOOKUP($C$46,Прайс!$D$6:$F$1004,3,0)*BB$16,0)</f>
        <v>1</v>
      </c>
      <c r="BB51" s="197">
        <f t="shared" si="755"/>
        <v>74579.15814616406</v>
      </c>
      <c r="BC51" s="224">
        <f t="shared" si="756"/>
        <v>3650</v>
      </c>
      <c r="BD51" s="261">
        <f>VLOOKUP($C51,Прайс!$D$8:$E$119,2,0)</f>
        <v>3650</v>
      </c>
      <c r="BE51" s="198">
        <f>ROUNDUP(VLOOKUP($C51,Прайс!$D$6:$F$1004,3,0)*VLOOKUP($C$47,Прайс!$D$6:$F$1004,3,0)*VLOOKUP($C$46,Прайс!$D$6:$F$1004,3,0)*BF$16,0)</f>
        <v>1</v>
      </c>
      <c r="BF51" s="197">
        <f t="shared" si="757"/>
        <v>73449.870584029646</v>
      </c>
      <c r="BG51" s="224">
        <f t="shared" si="758"/>
        <v>3650</v>
      </c>
      <c r="BH51" s="261">
        <f>VLOOKUP($C51,Прайс!$D$8:$E$119,2,0)</f>
        <v>3650</v>
      </c>
      <c r="BI51" s="198">
        <f>ROUNDUP(VLOOKUP($C51,Прайс!$D$6:$F$1004,3,0)*VLOOKUP($C$47,Прайс!$D$6:$F$1004,3,0)*VLOOKUP($C$46,Прайс!$D$6:$F$1004,3,0)*BJ$16,0)</f>
        <v>1</v>
      </c>
      <c r="BJ51" s="197">
        <f t="shared" si="759"/>
        <v>74847.83622786148</v>
      </c>
      <c r="BK51" s="224">
        <f t="shared" si="760"/>
        <v>3650</v>
      </c>
      <c r="BL51" s="261">
        <f>VLOOKUP($C51,Прайс!$D$8:$E$119,2,0)</f>
        <v>3650</v>
      </c>
      <c r="BM51" s="198">
        <f>ROUNDUP(VLOOKUP($C51,Прайс!$D$6:$F$1004,3,0)*VLOOKUP($C$47,Прайс!$D$6:$F$1004,3,0)*VLOOKUP($C$46,Прайс!$D$6:$F$1004,3,0)*BN$16,0)</f>
        <v>2</v>
      </c>
      <c r="BN51" s="197">
        <f t="shared" si="761"/>
        <v>79608.475987937491</v>
      </c>
      <c r="BO51" s="224">
        <f t="shared" si="762"/>
        <v>7300</v>
      </c>
      <c r="BP51" s="261">
        <f>VLOOKUP($C51,Прайс!$D$8:$E$119,2,0)</f>
        <v>3650</v>
      </c>
      <c r="BQ51" s="198">
        <f>ROUNDUP(VLOOKUP($C51,Прайс!$D$6:$F$1004,3,0)*VLOOKUP($C$47,Прайс!$D$6:$F$1004,3,0)*VLOOKUP($C$46,Прайс!$D$6:$F$1004,3,0)*BR$16,0)</f>
        <v>1</v>
      </c>
      <c r="BR51" s="197">
        <f t="shared" si="763"/>
        <v>76208.019016454622</v>
      </c>
      <c r="BS51" s="224">
        <f t="shared" si="764"/>
        <v>3650</v>
      </c>
      <c r="BT51" s="261">
        <f>VLOOKUP($C51,Прайс!$D$8:$E$119,2,0)</f>
        <v>3650</v>
      </c>
      <c r="BU51" s="198">
        <f>ROUNDUP(VLOOKUP($C51,Прайс!$D$6:$F$1004,3,0)*VLOOKUP($C$47,Прайс!$D$6:$F$1004,3,0)*VLOOKUP($C$46,Прайс!$D$6:$F$1004,3,0)*BV$16,0)</f>
        <v>2</v>
      </c>
      <c r="BV51" s="197">
        <f t="shared" si="765"/>
        <v>78966.167448879598</v>
      </c>
      <c r="BW51" s="224">
        <f t="shared" si="766"/>
        <v>7300</v>
      </c>
      <c r="BX51" s="261">
        <f>VLOOKUP($C51,Прайс!$D$8:$E$119,2,0)</f>
        <v>3650</v>
      </c>
      <c r="BY51" s="198">
        <f>ROUNDUP(VLOOKUP($C51,Прайс!$D$6:$F$1004,3,0)*VLOOKUP($C$47,Прайс!$D$6:$F$1004,3,0)*VLOOKUP($C$46,Прайс!$D$6:$F$1004,3,0)*BZ$16,0)</f>
        <v>1</v>
      </c>
      <c r="BZ51" s="197">
        <f t="shared" si="767"/>
        <v>72920.910610687846</v>
      </c>
      <c r="CA51" s="224">
        <f t="shared" si="768"/>
        <v>3650</v>
      </c>
      <c r="CB51" s="261">
        <f>VLOOKUP($C51,Прайс!$D$8:$E$119,2,0)</f>
        <v>3650</v>
      </c>
      <c r="CC51" s="198">
        <f>ROUNDUP(VLOOKUP($C51,Прайс!$D$6:$F$1004,3,0)*VLOOKUP($C$47,Прайс!$D$6:$F$1004,3,0)*VLOOKUP($C$46,Прайс!$D$6:$F$1004,3,0)*CD$16,0)</f>
        <v>1</v>
      </c>
      <c r="CD51" s="197">
        <f t="shared" si="769"/>
        <v>66875.653772496109</v>
      </c>
      <c r="CE51" s="224">
        <f t="shared" si="770"/>
        <v>3650</v>
      </c>
      <c r="CF51" s="261">
        <f>VLOOKUP($C51,Прайс!$D$8:$E$119,2,0)</f>
        <v>3650</v>
      </c>
      <c r="CG51" s="198">
        <f>ROUNDUP(VLOOKUP($C51,Прайс!$D$6:$F$1004,3,0)*VLOOKUP($C$47,Прайс!$D$6:$F$1004,3,0)*VLOOKUP($C$46,Прайс!$D$6:$F$1004,3,0)*CH$16,0)</f>
        <v>1</v>
      </c>
      <c r="CH51" s="197">
        <f t="shared" si="771"/>
        <v>68840.362244908421</v>
      </c>
      <c r="CI51" s="224">
        <f t="shared" si="772"/>
        <v>3650</v>
      </c>
      <c r="CJ51" s="261">
        <f>VLOOKUP($C51,Прайс!$D$8:$E$119,2,0)</f>
        <v>3650</v>
      </c>
      <c r="CK51" s="198">
        <f>ROUNDUP(VLOOKUP($C51,Прайс!$D$6:$F$1004,3,0)*VLOOKUP($C$47,Прайс!$D$6:$F$1004,3,0)*VLOOKUP($C$46,Прайс!$D$6:$F$1004,3,0)*CL$16,0)</f>
        <v>1</v>
      </c>
      <c r="CL51" s="197">
        <f t="shared" si="773"/>
        <v>73374.304873552232</v>
      </c>
      <c r="CM51" s="224">
        <f t="shared" si="774"/>
        <v>3650</v>
      </c>
      <c r="CN51" s="261">
        <f>VLOOKUP($C51,Прайс!$D$8:$E$119,2,0)</f>
        <v>3650</v>
      </c>
      <c r="CO51" s="198">
        <f>ROUNDUP(VLOOKUP($C51,Прайс!$D$6:$F$1004,3,0)*VLOOKUP($C$47,Прайс!$D$6:$F$1004,3,0)*VLOOKUP($C$46,Прайс!$D$6:$F$1004,3,0)*CP$16,0)</f>
        <v>1</v>
      </c>
      <c r="CP51" s="197">
        <f t="shared" si="775"/>
        <v>67858.008008702251</v>
      </c>
      <c r="CQ51" s="224">
        <f t="shared" si="776"/>
        <v>3650</v>
      </c>
      <c r="CR51" s="261">
        <f>VLOOKUP($C51,Прайс!$D$8:$E$119,2,0)</f>
        <v>3650</v>
      </c>
      <c r="CS51" s="198">
        <f>ROUNDUP(VLOOKUP($C51,Прайс!$D$6:$F$1004,3,0)*VLOOKUP($C$47,Прайс!$D$6:$F$1004,3,0)*VLOOKUP($C$46,Прайс!$D$6:$F$1004,3,0)*CT$16,0)</f>
        <v>1</v>
      </c>
      <c r="CT51" s="197">
        <f t="shared" si="777"/>
        <v>73374.304873552232</v>
      </c>
      <c r="CU51" s="224">
        <f t="shared" si="778"/>
        <v>3650</v>
      </c>
      <c r="CV51" s="261">
        <f>VLOOKUP($C51,Прайс!$D$8:$E$119,2,0)</f>
        <v>3650</v>
      </c>
      <c r="CW51" s="198">
        <f>ROUNDUP(VLOOKUP($C51,Прайс!$D$6:$F$1004,3,0)*VLOOKUP($C$47,Прайс!$D$6:$F$1004,3,0)*VLOOKUP($C$46,Прайс!$D$6:$F$1004,3,0)*CX$16,0)</f>
        <v>2</v>
      </c>
      <c r="CX51" s="197">
        <f t="shared" si="779"/>
        <v>78966.167448879583</v>
      </c>
      <c r="CY51" s="224">
        <f t="shared" si="780"/>
        <v>7300</v>
      </c>
      <c r="CZ51" s="204"/>
    </row>
    <row r="52" spans="2:111" s="169" customFormat="1" ht="15.75" hidden="1" outlineLevel="1">
      <c r="B52" s="162"/>
      <c r="C52" s="255" t="s">
        <v>275</v>
      </c>
      <c r="D52" s="264">
        <f>AVERAGE(D53:D56)</f>
        <v>2737.5</v>
      </c>
      <c r="E52" s="200">
        <f>SUM(E53:E56)</f>
        <v>0</v>
      </c>
      <c r="F52" s="199">
        <f t="shared" ref="F52:G52" si="781">SUM(F53:F56)</f>
        <v>65805.139540732984</v>
      </c>
      <c r="G52" s="225">
        <f t="shared" si="781"/>
        <v>0</v>
      </c>
      <c r="H52" s="264">
        <f t="shared" ref="H52" si="782">AVERAGE(H53:H56)</f>
        <v>2737.5</v>
      </c>
      <c r="I52" s="200">
        <f t="shared" ref="I52" si="783">SUM(I53:I56)</f>
        <v>0</v>
      </c>
      <c r="J52" s="199">
        <f t="shared" ref="J52:K52" si="784">SUM(J53:J56)</f>
        <v>73449.870584029617</v>
      </c>
      <c r="K52" s="225">
        <f t="shared" si="784"/>
        <v>0</v>
      </c>
      <c r="L52" s="264">
        <f t="shared" ref="L52" si="785">AVERAGE(L53:L56)</f>
        <v>2737.5</v>
      </c>
      <c r="M52" s="200">
        <f t="shared" ref="M52" si="786">SUM(M53:M56)</f>
        <v>0</v>
      </c>
      <c r="N52" s="199">
        <f t="shared" ref="N52:O52" si="787">SUM(N53:N56)</f>
        <v>87322.475599171696</v>
      </c>
      <c r="O52" s="225">
        <f t="shared" si="787"/>
        <v>0</v>
      </c>
      <c r="P52" s="264">
        <f t="shared" ref="P52" si="788">AVERAGE(P53:P56)</f>
        <v>2737.5</v>
      </c>
      <c r="Q52" s="200">
        <f t="shared" ref="Q52" si="789">SUM(Q53:Q56)</f>
        <v>0</v>
      </c>
      <c r="R52" s="199">
        <f t="shared" ref="R52:S52" si="790">SUM(R53:R56)</f>
        <v>106144.63465058328</v>
      </c>
      <c r="S52" s="225">
        <f t="shared" si="790"/>
        <v>0</v>
      </c>
      <c r="T52" s="264">
        <f t="shared" ref="T52" si="791">AVERAGE(T53:T56)</f>
        <v>2737.5</v>
      </c>
      <c r="U52" s="200">
        <f t="shared" ref="U52" si="792">SUM(U53:U56)</f>
        <v>0</v>
      </c>
      <c r="V52" s="199">
        <f t="shared" ref="V52:W52" si="793">SUM(V53:V56)</f>
        <v>114312.0285246819</v>
      </c>
      <c r="W52" s="225">
        <f t="shared" si="793"/>
        <v>0</v>
      </c>
      <c r="X52" s="264">
        <f t="shared" ref="X52" si="794">AVERAGE(X53:X56)</f>
        <v>2737.5</v>
      </c>
      <c r="Y52" s="200">
        <f t="shared" ref="Y52" si="795">SUM(Y53:Y56)</f>
        <v>0</v>
      </c>
      <c r="Z52" s="199">
        <f t="shared" ref="Z52:AA52" si="796">SUM(Z53:Z56)</f>
        <v>131610.27908146594</v>
      </c>
      <c r="AA52" s="225">
        <f t="shared" si="796"/>
        <v>0</v>
      </c>
      <c r="AB52" s="264">
        <f t="shared" ref="AB52" si="797">AVERAGE(AB53:AB56)</f>
        <v>2737.5</v>
      </c>
      <c r="AC52" s="200">
        <f t="shared" ref="AC52" si="798">SUM(AC53:AC56)</f>
        <v>0</v>
      </c>
      <c r="AD52" s="199">
        <f t="shared" ref="AD52:AE52" si="799">SUM(AD53:AD56)</f>
        <v>133688.33611959434</v>
      </c>
      <c r="AE52" s="225">
        <f t="shared" si="799"/>
        <v>0</v>
      </c>
      <c r="AF52" s="264">
        <f t="shared" ref="AF52" si="800">AVERAGE(AF53:AF56)</f>
        <v>2737.5</v>
      </c>
      <c r="AG52" s="200">
        <f t="shared" ref="AG52" si="801">SUM(AG53:AG56)</f>
        <v>0</v>
      </c>
      <c r="AH52" s="199">
        <f t="shared" ref="AH52:AI52" si="802">SUM(AH53:AH56)</f>
        <v>133751.30754499222</v>
      </c>
      <c r="AI52" s="225">
        <f t="shared" si="802"/>
        <v>0</v>
      </c>
      <c r="AJ52" s="264">
        <f t="shared" ref="AJ52" si="803">AVERAGE(AJ53:AJ56)</f>
        <v>2737.5</v>
      </c>
      <c r="AK52" s="200">
        <f t="shared" ref="AK52" si="804">SUM(AK53:AK56)</f>
        <v>0</v>
      </c>
      <c r="AL52" s="199">
        <f t="shared" ref="AL52:AM52" si="805">SUM(AL53:AL56)</f>
        <v>149154.11819730158</v>
      </c>
      <c r="AM52" s="225">
        <f t="shared" si="805"/>
        <v>0</v>
      </c>
      <c r="AN52" s="264">
        <f t="shared" ref="AN52" si="806">AVERAGE(AN53:AN56)</f>
        <v>2737.5</v>
      </c>
      <c r="AO52" s="200">
        <f t="shared" ref="AO52" si="807">SUM(AO53:AO56)</f>
        <v>0</v>
      </c>
      <c r="AP52" s="199">
        <f t="shared" ref="AP52:AQ52" si="808">SUM(AP53:AP56)</f>
        <v>171206.71137162187</v>
      </c>
      <c r="AQ52" s="225">
        <f t="shared" si="808"/>
        <v>0</v>
      </c>
      <c r="AR52" s="264">
        <f t="shared" ref="AR52" si="809">AVERAGE(AR53:AR56)</f>
        <v>2737.5</v>
      </c>
      <c r="AS52" s="200">
        <f t="shared" ref="AS52" si="810">SUM(AS53:AS56)</f>
        <v>0</v>
      </c>
      <c r="AT52" s="199">
        <f t="shared" ref="AT52:AU52" si="811">SUM(AT53:AT56)</f>
        <v>169645.02002175568</v>
      </c>
      <c r="AU52" s="225">
        <f t="shared" si="811"/>
        <v>0</v>
      </c>
      <c r="AV52" s="264">
        <f t="shared" ref="AV52" si="812">AVERAGE(AV53:AV56)</f>
        <v>2737.5</v>
      </c>
      <c r="AW52" s="200">
        <f t="shared" ref="AW52" si="813">SUM(AW53:AW56)</f>
        <v>0</v>
      </c>
      <c r="AX52" s="199">
        <f t="shared" ref="AX52:AY52" si="814">SUM(AX53:AX56)</f>
        <v>195664.81299613931</v>
      </c>
      <c r="AY52" s="225">
        <f t="shared" si="814"/>
        <v>0</v>
      </c>
      <c r="AZ52" s="264">
        <f t="shared" ref="AZ52" si="815">AVERAGE(AZ53:AZ56)</f>
        <v>2737.5</v>
      </c>
      <c r="BA52" s="200">
        <f t="shared" ref="BA52" si="816">SUM(BA53:BA56)</f>
        <v>0</v>
      </c>
      <c r="BB52" s="199">
        <f t="shared" ref="BB52:BC52" si="817">SUM(BB53:BB56)</f>
        <v>223737.47443849221</v>
      </c>
      <c r="BC52" s="225">
        <f t="shared" si="817"/>
        <v>0</v>
      </c>
      <c r="BD52" s="264">
        <f t="shared" ref="BD52" si="818">AVERAGE(BD53:BD56)</f>
        <v>2737.5</v>
      </c>
      <c r="BE52" s="200">
        <f t="shared" ref="BE52" si="819">SUM(BE53:BE56)</f>
        <v>0</v>
      </c>
      <c r="BF52" s="199">
        <f t="shared" ref="BF52:BG52" si="820">SUM(BF53:BF56)</f>
        <v>220349.61175208888</v>
      </c>
      <c r="BG52" s="225">
        <f t="shared" si="820"/>
        <v>0</v>
      </c>
      <c r="BH52" s="264">
        <f t="shared" ref="BH52" si="821">AVERAGE(BH53:BH56)</f>
        <v>2737.5</v>
      </c>
      <c r="BI52" s="200">
        <f t="shared" ref="BI52" si="822">SUM(BI53:BI56)</f>
        <v>0</v>
      </c>
      <c r="BJ52" s="199">
        <f t="shared" ref="BJ52:BK52" si="823">SUM(BJ53:BJ56)</f>
        <v>224543.5086835844</v>
      </c>
      <c r="BK52" s="225">
        <f t="shared" si="823"/>
        <v>0</v>
      </c>
      <c r="BL52" s="264">
        <f t="shared" ref="BL52" si="824">AVERAGE(BL53:BL56)</f>
        <v>2737.5</v>
      </c>
      <c r="BM52" s="200">
        <f t="shared" ref="BM52" si="825">SUM(BM53:BM56)</f>
        <v>0</v>
      </c>
      <c r="BN52" s="199">
        <f t="shared" ref="BN52:BO52" si="826">SUM(BN53:BN56)</f>
        <v>238825.42796381246</v>
      </c>
      <c r="BO52" s="225">
        <f t="shared" si="826"/>
        <v>0</v>
      </c>
      <c r="BP52" s="264">
        <f t="shared" ref="BP52" si="827">AVERAGE(BP53:BP56)</f>
        <v>2737.5</v>
      </c>
      <c r="BQ52" s="200">
        <f t="shared" ref="BQ52" si="828">SUM(BQ53:BQ56)</f>
        <v>0</v>
      </c>
      <c r="BR52" s="199">
        <f t="shared" ref="BR52:BS52" si="829">SUM(BR53:BR56)</f>
        <v>228624.05704936385</v>
      </c>
      <c r="BS52" s="225">
        <f t="shared" si="829"/>
        <v>0</v>
      </c>
      <c r="BT52" s="264">
        <f t="shared" ref="BT52" si="830">AVERAGE(BT53:BT56)</f>
        <v>2737.5</v>
      </c>
      <c r="BU52" s="200">
        <f t="shared" ref="BU52" si="831">SUM(BU53:BU56)</f>
        <v>0</v>
      </c>
      <c r="BV52" s="199">
        <f t="shared" ref="BV52:BW52" si="832">SUM(BV53:BV56)</f>
        <v>236898.50234663882</v>
      </c>
      <c r="BW52" s="225">
        <f t="shared" si="832"/>
        <v>0</v>
      </c>
      <c r="BX52" s="264">
        <f t="shared" ref="BX52" si="833">AVERAGE(BX53:BX56)</f>
        <v>2737.5</v>
      </c>
      <c r="BY52" s="200">
        <f t="shared" ref="BY52" si="834">SUM(BY53:BY56)</f>
        <v>0</v>
      </c>
      <c r="BZ52" s="199">
        <f t="shared" ref="BZ52:CA52" si="835">SUM(BZ53:BZ56)</f>
        <v>218762.73183206358</v>
      </c>
      <c r="CA52" s="225">
        <f t="shared" si="835"/>
        <v>0</v>
      </c>
      <c r="CB52" s="264">
        <f t="shared" ref="CB52" si="836">AVERAGE(CB53:CB56)</f>
        <v>2737.5</v>
      </c>
      <c r="CC52" s="200">
        <f t="shared" ref="CC52" si="837">SUM(CC53:CC56)</f>
        <v>0</v>
      </c>
      <c r="CD52" s="199">
        <f t="shared" ref="CD52:CE52" si="838">SUM(CD53:CD56)</f>
        <v>200626.96131748834</v>
      </c>
      <c r="CE52" s="225">
        <f t="shared" si="838"/>
        <v>0</v>
      </c>
      <c r="CF52" s="264">
        <f t="shared" ref="CF52" si="839">AVERAGE(CF53:CF56)</f>
        <v>2737.5</v>
      </c>
      <c r="CG52" s="200">
        <f t="shared" ref="CG52" si="840">SUM(CG53:CG56)</f>
        <v>0</v>
      </c>
      <c r="CH52" s="199">
        <f t="shared" ref="CH52:CI52" si="841">SUM(CH53:CH56)</f>
        <v>206521.08673472528</v>
      </c>
      <c r="CI52" s="225">
        <f t="shared" si="841"/>
        <v>0</v>
      </c>
      <c r="CJ52" s="264">
        <f t="shared" ref="CJ52" si="842">AVERAGE(CJ53:CJ56)</f>
        <v>2737.5</v>
      </c>
      <c r="CK52" s="200">
        <f t="shared" ref="CK52" si="843">SUM(CK53:CK56)</f>
        <v>0</v>
      </c>
      <c r="CL52" s="199">
        <f t="shared" ref="CL52:CM52" si="844">SUM(CL53:CL56)</f>
        <v>220122.91462065669</v>
      </c>
      <c r="CM52" s="225">
        <f t="shared" si="844"/>
        <v>0</v>
      </c>
      <c r="CN52" s="264">
        <f t="shared" ref="CN52" si="845">AVERAGE(CN53:CN56)</f>
        <v>2737.5</v>
      </c>
      <c r="CO52" s="200">
        <f t="shared" ref="CO52" si="846">SUM(CO53:CO56)</f>
        <v>0</v>
      </c>
      <c r="CP52" s="199">
        <f t="shared" ref="CP52:CQ52" si="847">SUM(CP53:CP56)</f>
        <v>203574.02402610675</v>
      </c>
      <c r="CQ52" s="225">
        <f t="shared" si="847"/>
        <v>0</v>
      </c>
      <c r="CR52" s="264">
        <f t="shared" ref="CR52" si="848">AVERAGE(CR53:CR56)</f>
        <v>2737.5</v>
      </c>
      <c r="CS52" s="200">
        <f t="shared" ref="CS52" si="849">SUM(CS53:CS56)</f>
        <v>0</v>
      </c>
      <c r="CT52" s="199">
        <f t="shared" ref="CT52:CU52" si="850">SUM(CT53:CT56)</f>
        <v>220122.91462065669</v>
      </c>
      <c r="CU52" s="225">
        <f t="shared" si="850"/>
        <v>0</v>
      </c>
      <c r="CV52" s="264">
        <f t="shared" ref="CV52" si="851">AVERAGE(CV53:CV56)</f>
        <v>2737.5</v>
      </c>
      <c r="CW52" s="200">
        <f t="shared" ref="CW52" si="852">SUM(CW53:CW56)</f>
        <v>0</v>
      </c>
      <c r="CX52" s="199">
        <f t="shared" ref="CX52:CY52" si="853">SUM(CX53:CX56)</f>
        <v>236898.50234663876</v>
      </c>
      <c r="CY52" s="225">
        <f t="shared" si="853"/>
        <v>0</v>
      </c>
      <c r="CZ52" s="206"/>
    </row>
    <row r="53" spans="2:111" s="165" customFormat="1" hidden="1" outlineLevel="1">
      <c r="B53" s="162"/>
      <c r="C53" s="252" t="s">
        <v>249</v>
      </c>
      <c r="D53" s="261">
        <f>VLOOKUP($C53,Прайс!$D$8:$E$119,2,0)</f>
        <v>1750</v>
      </c>
      <c r="E53" s="198">
        <f>ROUND(VLOOKUP($C53,Прайс!$D$6:$F$1004,3,0)*VLOOKUP($C$52,Прайс!$D$6:$F$1004,3,0)*VLOOKUP($C$46,Прайс!$D$6:$F$1004,3,0)*F$16,0)</f>
        <v>0</v>
      </c>
      <c r="F53" s="197">
        <f>F$17*$D53/SUM($D$20:$D$22,$D$24:$D$28,$D$30:$D$32,$D$34:$D$45,$D$48:$D$51,$D$53:$D$56)</f>
        <v>10516.803122948195</v>
      </c>
      <c r="G53" s="224">
        <f t="shared" ref="G53:G56" si="854">D53*E53</f>
        <v>0</v>
      </c>
      <c r="H53" s="261">
        <f>VLOOKUP($C53,Прайс!$D$8:$E$119,2,0)</f>
        <v>1750</v>
      </c>
      <c r="I53" s="198">
        <f>ROUND(VLOOKUP($C53,Прайс!$D$6:$F$1004,3,0)*VLOOKUP($C$52,Прайс!$D$6:$F$1004,3,0)*VLOOKUP($C$46,Прайс!$D$6:$F$1004,3,0)*J$16,0)</f>
        <v>0</v>
      </c>
      <c r="J53" s="197">
        <f t="shared" ref="J53:J56" si="855">J$17*$D53/SUM($D$20:$D$22,$D$24:$D$28,$D$30:$D$32,$D$34:$D$45,$D$48:$D$51,$D$53:$D$56)</f>
        <v>11738.563791968205</v>
      </c>
      <c r="K53" s="224">
        <f t="shared" ref="K53:K56" si="856">H53*I53</f>
        <v>0</v>
      </c>
      <c r="L53" s="261">
        <f>VLOOKUP($C53,Прайс!$D$8:$E$119,2,0)</f>
        <v>1750</v>
      </c>
      <c r="M53" s="198">
        <f>ROUND(VLOOKUP($C53,Прайс!$D$6:$F$1004,3,0)*VLOOKUP($C$52,Прайс!$D$6:$F$1004,3,0)*VLOOKUP($C$46,Прайс!$D$6:$F$1004,3,0)*N$16,0)</f>
        <v>0</v>
      </c>
      <c r="N53" s="197">
        <f t="shared" ref="N53:N56" si="857">N$17*$D53/SUM($D$20:$D$22,$D$24:$D$28,$D$30:$D$32,$D$34:$D$45,$D$48:$D$51,$D$53:$D$56)</f>
        <v>13955.646785255751</v>
      </c>
      <c r="O53" s="224">
        <f t="shared" ref="O53:O56" si="858">L53*M53</f>
        <v>0</v>
      </c>
      <c r="P53" s="261">
        <f>VLOOKUP($C53,Прайс!$D$8:$E$119,2,0)</f>
        <v>1750</v>
      </c>
      <c r="Q53" s="198">
        <f>ROUND(VLOOKUP($C53,Прайс!$D$6:$F$1004,3,0)*VLOOKUP($C$52,Прайс!$D$6:$F$1004,3,0)*VLOOKUP($C$46,Прайс!$D$6:$F$1004,3,0)*R$16,0)</f>
        <v>0</v>
      </c>
      <c r="R53" s="197">
        <f t="shared" ref="R53:R56" si="859">R$17*$D53/SUM($D$20:$D$22,$D$24:$D$28,$D$30:$D$32,$D$34:$D$45,$D$48:$D$51,$D$53:$D$56)</f>
        <v>16963.754396211934</v>
      </c>
      <c r="S53" s="224">
        <f t="shared" ref="S53:S56" si="860">P53*Q53</f>
        <v>0</v>
      </c>
      <c r="T53" s="261">
        <f>VLOOKUP($C53,Прайс!$D$8:$E$119,2,0)</f>
        <v>1750</v>
      </c>
      <c r="U53" s="198">
        <f>ROUND(VLOOKUP($C53,Прайс!$D$6:$F$1004,3,0)*VLOOKUP($C$52,Прайс!$D$6:$F$1004,3,0)*VLOOKUP($C$46,Прайс!$D$6:$F$1004,3,0)*V$16,0)</f>
        <v>0</v>
      </c>
      <c r="V53" s="197">
        <f t="shared" ref="V53:V56" si="861">V$17*$D53/SUM($D$20:$D$22,$D$24:$D$28,$D$30:$D$32,$D$34:$D$45,$D$48:$D$51,$D$53:$D$56)</f>
        <v>18269.045654629528</v>
      </c>
      <c r="W53" s="224">
        <f t="shared" ref="W53:W56" si="862">T53*U53</f>
        <v>0</v>
      </c>
      <c r="X53" s="261">
        <f>VLOOKUP($C53,Прайс!$D$8:$E$119,2,0)</f>
        <v>1750</v>
      </c>
      <c r="Y53" s="198">
        <f>ROUND(VLOOKUP($C53,Прайс!$D$6:$F$1004,3,0)*VLOOKUP($C$52,Прайс!$D$6:$F$1004,3,0)*VLOOKUP($C$46,Прайс!$D$6:$F$1004,3,0)*Z$16,0)</f>
        <v>0</v>
      </c>
      <c r="Z53" s="197">
        <f t="shared" ref="Z53:Z56" si="863">Z$17*$D53/SUM($D$20:$D$22,$D$24:$D$28,$D$30:$D$32,$D$34:$D$45,$D$48:$D$51,$D$53:$D$56)</f>
        <v>21033.606245896382</v>
      </c>
      <c r="AA53" s="224">
        <f t="shared" ref="AA53:AA56" si="864">X53*Y53</f>
        <v>0</v>
      </c>
      <c r="AB53" s="261">
        <f>VLOOKUP($C53,Прайс!$D$8:$E$119,2,0)</f>
        <v>1750</v>
      </c>
      <c r="AC53" s="198">
        <f>ROUND(VLOOKUP($C53,Прайс!$D$6:$F$1004,3,0)*VLOOKUP($C$52,Прайс!$D$6:$F$1004,3,0)*VLOOKUP($C$46,Прайс!$D$6:$F$1004,3,0)*AD$16,0)</f>
        <v>0</v>
      </c>
      <c r="AD53" s="197">
        <f t="shared" ref="AD53:AD56" si="865">AD$17*$D53/SUM($D$20:$D$22,$D$24:$D$28,$D$30:$D$32,$D$34:$D$45,$D$48:$D$51,$D$53:$D$56)</f>
        <v>21365.715818200009</v>
      </c>
      <c r="AE53" s="224">
        <f t="shared" ref="AE53:AE56" si="866">AB53*AC53</f>
        <v>0</v>
      </c>
      <c r="AF53" s="261">
        <f>VLOOKUP($C53,Прайс!$D$8:$E$119,2,0)</f>
        <v>1750</v>
      </c>
      <c r="AG53" s="198">
        <f>ROUND(VLOOKUP($C53,Прайс!$D$6:$F$1004,3,0)*VLOOKUP($C$52,Прайс!$D$6:$F$1004,3,0)*VLOOKUP($C$46,Прайс!$D$6:$F$1004,3,0)*AH$16,0)</f>
        <v>0</v>
      </c>
      <c r="AH53" s="197">
        <f t="shared" ref="AH53:AH56" si="867">AH$17*$D53/SUM($D$20:$D$22,$D$24:$D$28,$D$30:$D$32,$D$34:$D$45,$D$48:$D$51,$D$53:$D$56)</f>
        <v>21375.779744633459</v>
      </c>
      <c r="AI53" s="224">
        <f t="shared" ref="AI53:AI56" si="868">AF53*AG53</f>
        <v>0</v>
      </c>
      <c r="AJ53" s="261">
        <f>VLOOKUP($C53,Прайс!$D$8:$E$119,2,0)</f>
        <v>1750</v>
      </c>
      <c r="AK53" s="198">
        <f>ROUND(VLOOKUP($C53,Прайс!$D$6:$F$1004,3,0)*VLOOKUP($C$52,Прайс!$D$6:$F$1004,3,0)*VLOOKUP($C$46,Прайс!$D$6:$F$1004,3,0)*AL$16,0)</f>
        <v>0</v>
      </c>
      <c r="AL53" s="197">
        <f t="shared" ref="AL53:AL56" si="869">AL$17*$D53/SUM($D$20:$D$22,$D$24:$D$28,$D$30:$D$32,$D$34:$D$45,$D$48:$D$51,$D$53:$D$56)</f>
        <v>23837.416150253677</v>
      </c>
      <c r="AM53" s="224">
        <f t="shared" ref="AM53:AM56" si="870">AJ53*AK53</f>
        <v>0</v>
      </c>
      <c r="AN53" s="261">
        <f>VLOOKUP($C53,Прайс!$D$8:$E$119,2,0)</f>
        <v>1750</v>
      </c>
      <c r="AO53" s="198">
        <f>ROUND(VLOOKUP($C53,Прайс!$D$6:$F$1004,3,0)*VLOOKUP($C$52,Прайс!$D$6:$F$1004,3,0)*VLOOKUP($C$46,Прайс!$D$6:$F$1004,3,0)*AP$16,0)</f>
        <v>0</v>
      </c>
      <c r="AP53" s="197">
        <f t="shared" ref="AP53:AP56" si="871">AP$17*$D53/SUM($D$20:$D$22,$D$24:$D$28,$D$30:$D$32,$D$34:$D$45,$D$48:$D$51,$D$53:$D$56)</f>
        <v>27361.803187245507</v>
      </c>
      <c r="AQ53" s="224">
        <f t="shared" ref="AQ53:AQ56" si="872">AN53*AO53</f>
        <v>0</v>
      </c>
      <c r="AR53" s="261">
        <f>VLOOKUP($C53,Прайс!$D$8:$E$119,2,0)</f>
        <v>1750</v>
      </c>
      <c r="AS53" s="198">
        <f>ROUND(VLOOKUP($C53,Прайс!$D$6:$F$1004,3,0)*VLOOKUP($C$52,Прайс!$D$6:$F$1004,3,0)*VLOOKUP($C$46,Прайс!$D$6:$F$1004,3,0)*AT$16,0)</f>
        <v>0</v>
      </c>
      <c r="AT53" s="197">
        <f t="shared" ref="AT53:AT56" si="873">AT$17*$D53/SUM($D$20:$D$22,$D$24:$D$28,$D$30:$D$32,$D$34:$D$45,$D$48:$D$51,$D$53:$D$56)</f>
        <v>27112.217811696111</v>
      </c>
      <c r="AU53" s="224">
        <f t="shared" ref="AU53:AU56" si="874">AR53*AS53</f>
        <v>0</v>
      </c>
      <c r="AV53" s="261">
        <f>VLOOKUP($C53,Прайс!$D$8:$E$119,2,0)</f>
        <v>1750</v>
      </c>
      <c r="AW53" s="198">
        <f>ROUND(VLOOKUP($C53,Прайс!$D$6:$F$1004,3,0)*VLOOKUP($C$52,Прайс!$D$6:$F$1004,3,0)*VLOOKUP($C$46,Прайс!$D$6:$F$1004,3,0)*AX$16,0)</f>
        <v>0</v>
      </c>
      <c r="AX53" s="197">
        <f t="shared" ref="AX53:AX56" si="875">AX$17*$D53/SUM($D$20:$D$22,$D$24:$D$28,$D$30:$D$32,$D$34:$D$45,$D$48:$D$51,$D$53:$D$56)</f>
        <v>31270.632213994868</v>
      </c>
      <c r="AY53" s="224">
        <f t="shared" ref="AY53:AY56" si="876">AV53*AW53</f>
        <v>0</v>
      </c>
      <c r="AZ53" s="261">
        <f>VLOOKUP($C53,Прайс!$D$8:$E$119,2,0)</f>
        <v>1750</v>
      </c>
      <c r="BA53" s="198">
        <f>ROUND(VLOOKUP($C53,Прайс!$D$6:$F$1004,3,0)*VLOOKUP($C$52,Прайс!$D$6:$F$1004,3,0)*VLOOKUP($C$46,Прайс!$D$6:$F$1004,3,0)*BB$16,0)</f>
        <v>0</v>
      </c>
      <c r="BB53" s="197">
        <f t="shared" ref="BB53:BB56" si="877">BB$17*$D53/SUM($D$20:$D$22,$D$24:$D$28,$D$30:$D$32,$D$34:$D$45,$D$48:$D$51,$D$53:$D$56)</f>
        <v>35757.130618023861</v>
      </c>
      <c r="BC53" s="224">
        <f t="shared" ref="BC53:BC56" si="878">AZ53*BA53</f>
        <v>0</v>
      </c>
      <c r="BD53" s="261">
        <f>VLOOKUP($C53,Прайс!$D$8:$E$119,2,0)</f>
        <v>1750</v>
      </c>
      <c r="BE53" s="198">
        <f>ROUND(VLOOKUP($C53,Прайс!$D$6:$F$1004,3,0)*VLOOKUP($C$52,Прайс!$D$6:$F$1004,3,0)*VLOOKUP($C$46,Прайс!$D$6:$F$1004,3,0)*BF$16,0)</f>
        <v>0</v>
      </c>
      <c r="BF53" s="197">
        <f t="shared" ref="BF53:BF56" si="879">BF$17*$D53/SUM($D$20:$D$22,$D$24:$D$28,$D$30:$D$32,$D$34:$D$45,$D$48:$D$51,$D$53:$D$56)</f>
        <v>35215.691375904622</v>
      </c>
      <c r="BG53" s="224">
        <f t="shared" ref="BG53:BG56" si="880">BD53*BE53</f>
        <v>0</v>
      </c>
      <c r="BH53" s="261">
        <f>VLOOKUP($C53,Прайс!$D$8:$E$119,2,0)</f>
        <v>1750</v>
      </c>
      <c r="BI53" s="198">
        <f>ROUND(VLOOKUP($C53,Прайс!$D$6:$F$1004,3,0)*VLOOKUP($C$52,Прайс!$D$6:$F$1004,3,0)*VLOOKUP($C$46,Прайс!$D$6:$F$1004,3,0)*BJ$16,0)</f>
        <v>0</v>
      </c>
      <c r="BJ53" s="197">
        <f t="shared" ref="BJ53:BJ56" si="881">BJ$17*$D53/SUM($D$20:$D$22,$D$24:$D$28,$D$30:$D$32,$D$34:$D$45,$D$48:$D$51,$D$53:$D$56)</f>
        <v>35885.948876371942</v>
      </c>
      <c r="BK53" s="224">
        <f t="shared" ref="BK53:BK56" si="882">BH53*BI53</f>
        <v>0</v>
      </c>
      <c r="BL53" s="261">
        <f>VLOOKUP($C53,Прайс!$D$8:$E$119,2,0)</f>
        <v>1750</v>
      </c>
      <c r="BM53" s="198">
        <f>ROUND(VLOOKUP($C53,Прайс!$D$6:$F$1004,3,0)*VLOOKUP($C$52,Прайс!$D$6:$F$1004,3,0)*VLOOKUP($C$46,Прайс!$D$6:$F$1004,3,0)*BN$16,0)</f>
        <v>0</v>
      </c>
      <c r="BN53" s="197">
        <f t="shared" ref="BN53:BN56" si="883">BN$17*$D53/SUM($D$20:$D$22,$D$24:$D$28,$D$30:$D$32,$D$34:$D$45,$D$48:$D$51,$D$53:$D$56)</f>
        <v>38168.447391476875</v>
      </c>
      <c r="BO53" s="224">
        <f t="shared" ref="BO53:BO56" si="884">BL53*BM53</f>
        <v>0</v>
      </c>
      <c r="BP53" s="261">
        <f>VLOOKUP($C53,Прайс!$D$8:$E$119,2,0)</f>
        <v>1750</v>
      </c>
      <c r="BQ53" s="198">
        <f>ROUND(VLOOKUP($C53,Прайс!$D$6:$F$1004,3,0)*VLOOKUP($C$52,Прайс!$D$6:$F$1004,3,0)*VLOOKUP($C$46,Прайс!$D$6:$F$1004,3,0)*BR$16,0)</f>
        <v>0</v>
      </c>
      <c r="BR53" s="197">
        <f t="shared" ref="BR53:BR56" si="885">BR$17*$D53/SUM($D$20:$D$22,$D$24:$D$28,$D$30:$D$32,$D$34:$D$45,$D$48:$D$51,$D$53:$D$56)</f>
        <v>36538.091309259064</v>
      </c>
      <c r="BS53" s="224">
        <f t="shared" ref="BS53:BS56" si="886">BP53*BQ53</f>
        <v>0</v>
      </c>
      <c r="BT53" s="261">
        <f>VLOOKUP($C53,Прайс!$D$8:$E$119,2,0)</f>
        <v>1750</v>
      </c>
      <c r="BU53" s="198">
        <f>ROUND(VLOOKUP($C53,Прайс!$D$6:$F$1004,3,0)*VLOOKUP($C$52,Прайс!$D$6:$F$1004,3,0)*VLOOKUP($C$46,Прайс!$D$6:$F$1004,3,0)*BV$16,0)</f>
        <v>0</v>
      </c>
      <c r="BV53" s="197">
        <f t="shared" ref="BV53:BV56" si="887">BV$17*$D53/SUM($D$20:$D$22,$D$24:$D$28,$D$30:$D$32,$D$34:$D$45,$D$48:$D$51,$D$53:$D$56)</f>
        <v>37860.491242613505</v>
      </c>
      <c r="BW53" s="224">
        <f t="shared" ref="BW53:BW56" si="888">BT53*BU53</f>
        <v>0</v>
      </c>
      <c r="BX53" s="261">
        <f>VLOOKUP($C53,Прайс!$D$8:$E$119,2,0)</f>
        <v>1750</v>
      </c>
      <c r="BY53" s="198">
        <f>ROUND(VLOOKUP($C53,Прайс!$D$6:$F$1004,3,0)*VLOOKUP($C$52,Прайс!$D$6:$F$1004,3,0)*VLOOKUP($C$46,Прайс!$D$6:$F$1004,3,0)*BZ$16,0)</f>
        <v>0</v>
      </c>
      <c r="BZ53" s="197">
        <f t="shared" ref="BZ53:BZ56" si="889">BZ$17*$D53/SUM($D$20:$D$22,$D$24:$D$28,$D$30:$D$32,$D$34:$D$45,$D$48:$D$51,$D$53:$D$56)</f>
        <v>34962.080429781847</v>
      </c>
      <c r="CA53" s="224">
        <f t="shared" ref="CA53:CA56" si="890">BX53*BY53</f>
        <v>0</v>
      </c>
      <c r="CB53" s="261">
        <f>VLOOKUP($C53,Прайс!$D$8:$E$119,2,0)</f>
        <v>1750</v>
      </c>
      <c r="CC53" s="198">
        <f>ROUND(VLOOKUP($C53,Прайс!$D$6:$F$1004,3,0)*VLOOKUP($C$52,Прайс!$D$6:$F$1004,3,0)*VLOOKUP($C$46,Прайс!$D$6:$F$1004,3,0)*CD$16,0)</f>
        <v>0</v>
      </c>
      <c r="CD53" s="197">
        <f t="shared" ref="CD53:CD56" si="891">CD$17*$D53/SUM($D$20:$D$22,$D$24:$D$28,$D$30:$D$32,$D$34:$D$45,$D$48:$D$51,$D$53:$D$56)</f>
        <v>32063.669616950192</v>
      </c>
      <c r="CE53" s="224">
        <f t="shared" ref="CE53:CE56" si="892">CB53*CC53</f>
        <v>0</v>
      </c>
      <c r="CF53" s="261">
        <f>VLOOKUP($C53,Прайс!$D$8:$E$119,2,0)</f>
        <v>1750</v>
      </c>
      <c r="CG53" s="198">
        <f>ROUND(VLOOKUP($C53,Прайс!$D$6:$F$1004,3,0)*VLOOKUP($C$52,Прайс!$D$6:$F$1004,3,0)*VLOOKUP($C$46,Прайс!$D$6:$F$1004,3,0)*CH$16,0)</f>
        <v>0</v>
      </c>
      <c r="CH53" s="197">
        <f t="shared" ref="CH53:CH56" si="893">CH$17*$D53/SUM($D$20:$D$22,$D$24:$D$28,$D$30:$D$32,$D$34:$D$45,$D$48:$D$51,$D$53:$D$56)</f>
        <v>33005.653131120474</v>
      </c>
      <c r="CI53" s="224">
        <f t="shared" ref="CI53:CI56" si="894">CF53*CG53</f>
        <v>0</v>
      </c>
      <c r="CJ53" s="261">
        <f>VLOOKUP($C53,Прайс!$D$8:$E$119,2,0)</f>
        <v>1750</v>
      </c>
      <c r="CK53" s="198">
        <f>ROUND(VLOOKUP($C53,Прайс!$D$6:$F$1004,3,0)*VLOOKUP($C$52,Прайс!$D$6:$F$1004,3,0)*VLOOKUP($C$46,Прайс!$D$6:$F$1004,3,0)*CL$16,0)</f>
        <v>0</v>
      </c>
      <c r="CL53" s="197">
        <f t="shared" ref="CL53:CL56" si="895">CL$17*$D53/SUM($D$20:$D$22,$D$24:$D$28,$D$30:$D$32,$D$34:$D$45,$D$48:$D$51,$D$53:$D$56)</f>
        <v>35179.461240744218</v>
      </c>
      <c r="CM53" s="224">
        <f t="shared" ref="CM53:CM56" si="896">CJ53*CK53</f>
        <v>0</v>
      </c>
      <c r="CN53" s="261">
        <f>VLOOKUP($C53,Прайс!$D$8:$E$119,2,0)</f>
        <v>1750</v>
      </c>
      <c r="CO53" s="198">
        <f>ROUND(VLOOKUP($C53,Прайс!$D$6:$F$1004,3,0)*VLOOKUP($C$52,Прайс!$D$6:$F$1004,3,0)*VLOOKUP($C$46,Прайс!$D$6:$F$1004,3,0)*CP$16,0)</f>
        <v>0</v>
      </c>
      <c r="CP53" s="197">
        <f t="shared" ref="CP53:CP56" si="897">CP$17*$D53/SUM($D$20:$D$22,$D$24:$D$28,$D$30:$D$32,$D$34:$D$45,$D$48:$D$51,$D$53:$D$56)</f>
        <v>32534.661374035328</v>
      </c>
      <c r="CQ53" s="224">
        <f t="shared" ref="CQ53:CQ56" si="898">CN53*CO53</f>
        <v>0</v>
      </c>
      <c r="CR53" s="261">
        <f>VLOOKUP($C53,Прайс!$D$8:$E$119,2,0)</f>
        <v>1750</v>
      </c>
      <c r="CS53" s="198">
        <f>ROUND(VLOOKUP($C53,Прайс!$D$6:$F$1004,3,0)*VLOOKUP($C$52,Прайс!$D$6:$F$1004,3,0)*VLOOKUP($C$46,Прайс!$D$6:$F$1004,3,0)*CT$16,0)</f>
        <v>0</v>
      </c>
      <c r="CT53" s="197">
        <f t="shared" ref="CT53:CT56" si="899">CT$17*$D53/SUM($D$20:$D$22,$D$24:$D$28,$D$30:$D$32,$D$34:$D$45,$D$48:$D$51,$D$53:$D$56)</f>
        <v>35179.461240744218</v>
      </c>
      <c r="CU53" s="224">
        <f t="shared" ref="CU53:CU56" si="900">CR53*CS53</f>
        <v>0</v>
      </c>
      <c r="CV53" s="261">
        <f>VLOOKUP($C53,Прайс!$D$8:$E$119,2,0)</f>
        <v>1750</v>
      </c>
      <c r="CW53" s="198">
        <f>ROUND(VLOOKUP($C53,Прайс!$D$6:$F$1004,3,0)*VLOOKUP($C$52,Прайс!$D$6:$F$1004,3,0)*VLOOKUP($C$46,Прайс!$D$6:$F$1004,3,0)*CX$16,0)</f>
        <v>0</v>
      </c>
      <c r="CX53" s="197">
        <f t="shared" ref="CX53:CX56" si="901">CX$17*$D53/SUM($D$20:$D$22,$D$24:$D$28,$D$30:$D$32,$D$34:$D$45,$D$48:$D$51,$D$53:$D$56)</f>
        <v>37860.491242613505</v>
      </c>
      <c r="CY53" s="224">
        <f t="shared" ref="CY53:CY56" si="902">CV53*CW53</f>
        <v>0</v>
      </c>
      <c r="CZ53" s="204"/>
    </row>
    <row r="54" spans="2:111" s="165" customFormat="1" hidden="1" outlineLevel="1">
      <c r="B54" s="162"/>
      <c r="C54" s="252" t="s">
        <v>250</v>
      </c>
      <c r="D54" s="261">
        <f>VLOOKUP($C54,Прайс!$D$8:$E$119,2,0)</f>
        <v>2800</v>
      </c>
      <c r="E54" s="198">
        <f>ROUND(VLOOKUP($C54,Прайс!$D$6:$F$1004,3,0)*VLOOKUP($C$52,Прайс!$D$6:$F$1004,3,0)*VLOOKUP($C$46,Прайс!$D$6:$F$1004,3,0)*F$16,0)</f>
        <v>0</v>
      </c>
      <c r="F54" s="197">
        <f>F$17*$D54/SUM($D$20:$D$22,$D$24:$D$28,$D$30:$D$32,$D$34:$D$45,$D$48:$D$51,$D$53:$D$56)</f>
        <v>16826.884996717112</v>
      </c>
      <c r="G54" s="224">
        <f t="shared" si="854"/>
        <v>0</v>
      </c>
      <c r="H54" s="261">
        <f>VLOOKUP($C54,Прайс!$D$8:$E$119,2,0)</f>
        <v>2800</v>
      </c>
      <c r="I54" s="198">
        <f>ROUND(VLOOKUP($C54,Прайс!$D$6:$F$1004,3,0)*VLOOKUP($C$52,Прайс!$D$6:$F$1004,3,0)*VLOOKUP($C$46,Прайс!$D$6:$F$1004,3,0)*J$16,0)</f>
        <v>0</v>
      </c>
      <c r="J54" s="197">
        <f t="shared" si="855"/>
        <v>18781.702067149126</v>
      </c>
      <c r="K54" s="224">
        <f t="shared" si="856"/>
        <v>0</v>
      </c>
      <c r="L54" s="261">
        <f>VLOOKUP($C54,Прайс!$D$8:$E$119,2,0)</f>
        <v>2800</v>
      </c>
      <c r="M54" s="198">
        <f>ROUND(VLOOKUP($C54,Прайс!$D$6:$F$1004,3,0)*VLOOKUP($C$52,Прайс!$D$6:$F$1004,3,0)*VLOOKUP($C$46,Прайс!$D$6:$F$1004,3,0)*N$16,0)</f>
        <v>0</v>
      </c>
      <c r="N54" s="197">
        <f t="shared" si="857"/>
        <v>22329.034856409198</v>
      </c>
      <c r="O54" s="224">
        <f t="shared" si="858"/>
        <v>0</v>
      </c>
      <c r="P54" s="261">
        <f>VLOOKUP($C54,Прайс!$D$8:$E$119,2,0)</f>
        <v>2800</v>
      </c>
      <c r="Q54" s="198">
        <f>ROUND(VLOOKUP($C54,Прайс!$D$6:$F$1004,3,0)*VLOOKUP($C$52,Прайс!$D$6:$F$1004,3,0)*VLOOKUP($C$46,Прайс!$D$6:$F$1004,3,0)*R$16,0)</f>
        <v>0</v>
      </c>
      <c r="R54" s="197">
        <f t="shared" si="859"/>
        <v>27142.007033939099</v>
      </c>
      <c r="S54" s="224">
        <f t="shared" si="860"/>
        <v>0</v>
      </c>
      <c r="T54" s="261">
        <f>VLOOKUP($C54,Прайс!$D$8:$E$119,2,0)</f>
        <v>2800</v>
      </c>
      <c r="U54" s="198">
        <f>ROUND(VLOOKUP($C54,Прайс!$D$6:$F$1004,3,0)*VLOOKUP($C$52,Прайс!$D$6:$F$1004,3,0)*VLOOKUP($C$46,Прайс!$D$6:$F$1004,3,0)*V$16,0)</f>
        <v>0</v>
      </c>
      <c r="V54" s="197">
        <f t="shared" si="861"/>
        <v>29230.473047407242</v>
      </c>
      <c r="W54" s="224">
        <f t="shared" si="862"/>
        <v>0</v>
      </c>
      <c r="X54" s="261">
        <f>VLOOKUP($C54,Прайс!$D$8:$E$119,2,0)</f>
        <v>2800</v>
      </c>
      <c r="Y54" s="198">
        <f>ROUND(VLOOKUP($C54,Прайс!$D$6:$F$1004,3,0)*VLOOKUP($C$52,Прайс!$D$6:$F$1004,3,0)*VLOOKUP($C$46,Прайс!$D$6:$F$1004,3,0)*Z$16,0)</f>
        <v>0</v>
      </c>
      <c r="Z54" s="197">
        <f t="shared" si="863"/>
        <v>33653.769993434209</v>
      </c>
      <c r="AA54" s="224">
        <f t="shared" si="864"/>
        <v>0</v>
      </c>
      <c r="AB54" s="261">
        <f>VLOOKUP($C54,Прайс!$D$8:$E$119,2,0)</f>
        <v>2800</v>
      </c>
      <c r="AC54" s="198">
        <f>ROUND(VLOOKUP($C54,Прайс!$D$6:$F$1004,3,0)*VLOOKUP($C$52,Прайс!$D$6:$F$1004,3,0)*VLOOKUP($C$46,Прайс!$D$6:$F$1004,3,0)*AD$16,0)</f>
        <v>0</v>
      </c>
      <c r="AD54" s="197">
        <f t="shared" si="865"/>
        <v>34185.145309120016</v>
      </c>
      <c r="AE54" s="224">
        <f t="shared" si="866"/>
        <v>0</v>
      </c>
      <c r="AF54" s="261">
        <f>VLOOKUP($C54,Прайс!$D$8:$E$119,2,0)</f>
        <v>2800</v>
      </c>
      <c r="AG54" s="198">
        <f>ROUND(VLOOKUP($C54,Прайс!$D$6:$F$1004,3,0)*VLOOKUP($C$52,Прайс!$D$6:$F$1004,3,0)*VLOOKUP($C$46,Прайс!$D$6:$F$1004,3,0)*AH$16,0)</f>
        <v>0</v>
      </c>
      <c r="AH54" s="197">
        <f t="shared" si="867"/>
        <v>34201.247591413536</v>
      </c>
      <c r="AI54" s="224">
        <f t="shared" si="868"/>
        <v>0</v>
      </c>
      <c r="AJ54" s="261">
        <f>VLOOKUP($C54,Прайс!$D$8:$E$119,2,0)</f>
        <v>2800</v>
      </c>
      <c r="AK54" s="198">
        <f>ROUND(VLOOKUP($C54,Прайс!$D$6:$F$1004,3,0)*VLOOKUP($C$52,Прайс!$D$6:$F$1004,3,0)*VLOOKUP($C$46,Прайс!$D$6:$F$1004,3,0)*AL$16,0)</f>
        <v>0</v>
      </c>
      <c r="AL54" s="197">
        <f t="shared" si="869"/>
        <v>38139.865840405881</v>
      </c>
      <c r="AM54" s="224">
        <f t="shared" si="870"/>
        <v>0</v>
      </c>
      <c r="AN54" s="261">
        <f>VLOOKUP($C54,Прайс!$D$8:$E$119,2,0)</f>
        <v>2800</v>
      </c>
      <c r="AO54" s="198">
        <f>ROUND(VLOOKUP($C54,Прайс!$D$6:$F$1004,3,0)*VLOOKUP($C$52,Прайс!$D$6:$F$1004,3,0)*VLOOKUP($C$46,Прайс!$D$6:$F$1004,3,0)*AP$16,0)</f>
        <v>0</v>
      </c>
      <c r="AP54" s="197">
        <f t="shared" si="871"/>
        <v>43778.885099592808</v>
      </c>
      <c r="AQ54" s="224">
        <f t="shared" si="872"/>
        <v>0</v>
      </c>
      <c r="AR54" s="261">
        <f>VLOOKUP($C54,Прайс!$D$8:$E$119,2,0)</f>
        <v>2800</v>
      </c>
      <c r="AS54" s="198">
        <f>ROUND(VLOOKUP($C54,Прайс!$D$6:$F$1004,3,0)*VLOOKUP($C$52,Прайс!$D$6:$F$1004,3,0)*VLOOKUP($C$46,Прайс!$D$6:$F$1004,3,0)*AT$16,0)</f>
        <v>0</v>
      </c>
      <c r="AT54" s="197">
        <f t="shared" si="873"/>
        <v>43379.548498713782</v>
      </c>
      <c r="AU54" s="224">
        <f t="shared" si="874"/>
        <v>0</v>
      </c>
      <c r="AV54" s="261">
        <f>VLOOKUP($C54,Прайс!$D$8:$E$119,2,0)</f>
        <v>2800</v>
      </c>
      <c r="AW54" s="198">
        <f>ROUND(VLOOKUP($C54,Прайс!$D$6:$F$1004,3,0)*VLOOKUP($C$52,Прайс!$D$6:$F$1004,3,0)*VLOOKUP($C$46,Прайс!$D$6:$F$1004,3,0)*AX$16,0)</f>
        <v>0</v>
      </c>
      <c r="AX54" s="197">
        <f t="shared" si="875"/>
        <v>50033.011542391789</v>
      </c>
      <c r="AY54" s="224">
        <f t="shared" si="876"/>
        <v>0</v>
      </c>
      <c r="AZ54" s="261">
        <f>VLOOKUP($C54,Прайс!$D$8:$E$119,2,0)</f>
        <v>2800</v>
      </c>
      <c r="BA54" s="198">
        <f>ROUND(VLOOKUP($C54,Прайс!$D$6:$F$1004,3,0)*VLOOKUP($C$52,Прайс!$D$6:$F$1004,3,0)*VLOOKUP($C$46,Прайс!$D$6:$F$1004,3,0)*BB$16,0)</f>
        <v>0</v>
      </c>
      <c r="BB54" s="197">
        <f t="shared" si="877"/>
        <v>57211.408988838186</v>
      </c>
      <c r="BC54" s="224">
        <f t="shared" si="878"/>
        <v>0</v>
      </c>
      <c r="BD54" s="261">
        <f>VLOOKUP($C54,Прайс!$D$8:$E$119,2,0)</f>
        <v>2800</v>
      </c>
      <c r="BE54" s="198">
        <f>ROUND(VLOOKUP($C54,Прайс!$D$6:$F$1004,3,0)*VLOOKUP($C$52,Прайс!$D$6:$F$1004,3,0)*VLOOKUP($C$46,Прайс!$D$6:$F$1004,3,0)*BF$16,0)</f>
        <v>0</v>
      </c>
      <c r="BF54" s="197">
        <f t="shared" si="879"/>
        <v>56345.106201447386</v>
      </c>
      <c r="BG54" s="224">
        <f t="shared" si="880"/>
        <v>0</v>
      </c>
      <c r="BH54" s="261">
        <f>VLOOKUP($C54,Прайс!$D$8:$E$119,2,0)</f>
        <v>2800</v>
      </c>
      <c r="BI54" s="198">
        <f>ROUND(VLOOKUP($C54,Прайс!$D$6:$F$1004,3,0)*VLOOKUP($C$52,Прайс!$D$6:$F$1004,3,0)*VLOOKUP($C$46,Прайс!$D$6:$F$1004,3,0)*BJ$16,0)</f>
        <v>0</v>
      </c>
      <c r="BJ54" s="197">
        <f t="shared" si="881"/>
        <v>57417.518202195111</v>
      </c>
      <c r="BK54" s="224">
        <f t="shared" si="882"/>
        <v>0</v>
      </c>
      <c r="BL54" s="261">
        <f>VLOOKUP($C54,Прайс!$D$8:$E$119,2,0)</f>
        <v>2800</v>
      </c>
      <c r="BM54" s="198">
        <f>ROUND(VLOOKUP($C54,Прайс!$D$6:$F$1004,3,0)*VLOOKUP($C$52,Прайс!$D$6:$F$1004,3,0)*VLOOKUP($C$46,Прайс!$D$6:$F$1004,3,0)*BN$16,0)</f>
        <v>0</v>
      </c>
      <c r="BN54" s="197">
        <f t="shared" si="883"/>
        <v>61069.515826363007</v>
      </c>
      <c r="BO54" s="224">
        <f t="shared" si="884"/>
        <v>0</v>
      </c>
      <c r="BP54" s="261">
        <f>VLOOKUP($C54,Прайс!$D$8:$E$119,2,0)</f>
        <v>2800</v>
      </c>
      <c r="BQ54" s="198">
        <f>ROUND(VLOOKUP($C54,Прайс!$D$6:$F$1004,3,0)*VLOOKUP($C$52,Прайс!$D$6:$F$1004,3,0)*VLOOKUP($C$46,Прайс!$D$6:$F$1004,3,0)*BR$16,0)</f>
        <v>0</v>
      </c>
      <c r="BR54" s="197">
        <f t="shared" si="885"/>
        <v>58460.946094814499</v>
      </c>
      <c r="BS54" s="224">
        <f t="shared" si="886"/>
        <v>0</v>
      </c>
      <c r="BT54" s="261">
        <f>VLOOKUP($C54,Прайс!$D$8:$E$119,2,0)</f>
        <v>2800</v>
      </c>
      <c r="BU54" s="198">
        <f>ROUND(VLOOKUP($C54,Прайс!$D$6:$F$1004,3,0)*VLOOKUP($C$52,Прайс!$D$6:$F$1004,3,0)*VLOOKUP($C$46,Прайс!$D$6:$F$1004,3,0)*BV$16,0)</f>
        <v>0</v>
      </c>
      <c r="BV54" s="197">
        <f t="shared" si="887"/>
        <v>60576.785988181611</v>
      </c>
      <c r="BW54" s="224">
        <f t="shared" si="888"/>
        <v>0</v>
      </c>
      <c r="BX54" s="261">
        <f>VLOOKUP($C54,Прайс!$D$8:$E$119,2,0)</f>
        <v>2800</v>
      </c>
      <c r="BY54" s="198">
        <f>ROUND(VLOOKUP($C54,Прайс!$D$6:$F$1004,3,0)*VLOOKUP($C$52,Прайс!$D$6:$F$1004,3,0)*VLOOKUP($C$46,Прайс!$D$6:$F$1004,3,0)*BZ$16,0)</f>
        <v>0</v>
      </c>
      <c r="BZ54" s="197">
        <f t="shared" si="889"/>
        <v>55939.328687650952</v>
      </c>
      <c r="CA54" s="224">
        <f t="shared" si="890"/>
        <v>0</v>
      </c>
      <c r="CB54" s="261">
        <f>VLOOKUP($C54,Прайс!$D$8:$E$119,2,0)</f>
        <v>2800</v>
      </c>
      <c r="CC54" s="198">
        <f>ROUND(VLOOKUP($C54,Прайс!$D$6:$F$1004,3,0)*VLOOKUP($C$52,Прайс!$D$6:$F$1004,3,0)*VLOOKUP($C$46,Прайс!$D$6:$F$1004,3,0)*CD$16,0)</f>
        <v>0</v>
      </c>
      <c r="CD54" s="197">
        <f t="shared" si="891"/>
        <v>51301.871387120307</v>
      </c>
      <c r="CE54" s="224">
        <f t="shared" si="892"/>
        <v>0</v>
      </c>
      <c r="CF54" s="261">
        <f>VLOOKUP($C54,Прайс!$D$8:$E$119,2,0)</f>
        <v>2800</v>
      </c>
      <c r="CG54" s="198">
        <f>ROUND(VLOOKUP($C54,Прайс!$D$6:$F$1004,3,0)*VLOOKUP($C$52,Прайс!$D$6:$F$1004,3,0)*VLOOKUP($C$46,Прайс!$D$6:$F$1004,3,0)*CH$16,0)</f>
        <v>0</v>
      </c>
      <c r="CH54" s="197">
        <f t="shared" si="893"/>
        <v>52809.045009792761</v>
      </c>
      <c r="CI54" s="224">
        <f t="shared" si="894"/>
        <v>0</v>
      </c>
      <c r="CJ54" s="261">
        <f>VLOOKUP($C54,Прайс!$D$8:$E$119,2,0)</f>
        <v>2800</v>
      </c>
      <c r="CK54" s="198">
        <f>ROUND(VLOOKUP($C54,Прайс!$D$6:$F$1004,3,0)*VLOOKUP($C$52,Прайс!$D$6:$F$1004,3,0)*VLOOKUP($C$46,Прайс!$D$6:$F$1004,3,0)*CL$16,0)</f>
        <v>0</v>
      </c>
      <c r="CL54" s="197">
        <f t="shared" si="895"/>
        <v>56287.137985190748</v>
      </c>
      <c r="CM54" s="224">
        <f t="shared" si="896"/>
        <v>0</v>
      </c>
      <c r="CN54" s="261">
        <f>VLOOKUP($C54,Прайс!$D$8:$E$119,2,0)</f>
        <v>2800</v>
      </c>
      <c r="CO54" s="198">
        <f>ROUND(VLOOKUP($C54,Прайс!$D$6:$F$1004,3,0)*VLOOKUP($C$52,Прайс!$D$6:$F$1004,3,0)*VLOOKUP($C$46,Прайс!$D$6:$F$1004,3,0)*CP$16,0)</f>
        <v>0</v>
      </c>
      <c r="CP54" s="197">
        <f t="shared" si="897"/>
        <v>52055.458198456523</v>
      </c>
      <c r="CQ54" s="224">
        <f t="shared" si="898"/>
        <v>0</v>
      </c>
      <c r="CR54" s="261">
        <f>VLOOKUP($C54,Прайс!$D$8:$E$119,2,0)</f>
        <v>2800</v>
      </c>
      <c r="CS54" s="198">
        <f>ROUND(VLOOKUP($C54,Прайс!$D$6:$F$1004,3,0)*VLOOKUP($C$52,Прайс!$D$6:$F$1004,3,0)*VLOOKUP($C$46,Прайс!$D$6:$F$1004,3,0)*CT$16,0)</f>
        <v>0</v>
      </c>
      <c r="CT54" s="197">
        <f t="shared" si="899"/>
        <v>56287.137985190748</v>
      </c>
      <c r="CU54" s="224">
        <f t="shared" si="900"/>
        <v>0</v>
      </c>
      <c r="CV54" s="261">
        <f>VLOOKUP($C54,Прайс!$D$8:$E$119,2,0)</f>
        <v>2800</v>
      </c>
      <c r="CW54" s="198">
        <f>ROUND(VLOOKUP($C54,Прайс!$D$6:$F$1004,3,0)*VLOOKUP($C$52,Прайс!$D$6:$F$1004,3,0)*VLOOKUP($C$46,Прайс!$D$6:$F$1004,3,0)*CX$16,0)</f>
        <v>0</v>
      </c>
      <c r="CX54" s="197">
        <f t="shared" si="901"/>
        <v>60576.785988181597</v>
      </c>
      <c r="CY54" s="224">
        <f t="shared" si="902"/>
        <v>0</v>
      </c>
      <c r="CZ54" s="204"/>
    </row>
    <row r="55" spans="2:111" s="165" customFormat="1" ht="25.5" hidden="1" outlineLevel="1">
      <c r="B55" s="162"/>
      <c r="C55" s="252" t="s">
        <v>251</v>
      </c>
      <c r="D55" s="261">
        <f>VLOOKUP($C55,Прайс!$D$8:$E$119,2,0)</f>
        <v>3100</v>
      </c>
      <c r="E55" s="198">
        <f>ROUND(VLOOKUP($C55,Прайс!$D$6:$F$1004,3,0)*VLOOKUP($C$52,Прайс!$D$6:$F$1004,3,0)*VLOOKUP($C$46,Прайс!$D$6:$F$1004,3,0)*F$16,0)</f>
        <v>0</v>
      </c>
      <c r="F55" s="197">
        <f>F$17*$D55/SUM($D$20:$D$22,$D$24:$D$28,$D$30:$D$32,$D$34:$D$45,$D$48:$D$51,$D$53:$D$56)</f>
        <v>18629.765532079658</v>
      </c>
      <c r="G55" s="224">
        <f t="shared" si="854"/>
        <v>0</v>
      </c>
      <c r="H55" s="261">
        <f>VLOOKUP($C55,Прайс!$D$8:$E$119,2,0)</f>
        <v>3100</v>
      </c>
      <c r="I55" s="198">
        <f>ROUND(VLOOKUP($C55,Прайс!$D$6:$F$1004,3,0)*VLOOKUP($C$52,Прайс!$D$6:$F$1004,3,0)*VLOOKUP($C$46,Прайс!$D$6:$F$1004,3,0)*J$16,0)</f>
        <v>0</v>
      </c>
      <c r="J55" s="197">
        <f t="shared" si="855"/>
        <v>20794.02728862939</v>
      </c>
      <c r="K55" s="224">
        <f t="shared" si="856"/>
        <v>0</v>
      </c>
      <c r="L55" s="261">
        <f>VLOOKUP($C55,Прайс!$D$8:$E$119,2,0)</f>
        <v>3100</v>
      </c>
      <c r="M55" s="198">
        <f>ROUND(VLOOKUP($C55,Прайс!$D$6:$F$1004,3,0)*VLOOKUP($C$52,Прайс!$D$6:$F$1004,3,0)*VLOOKUP($C$46,Прайс!$D$6:$F$1004,3,0)*N$16,0)</f>
        <v>0</v>
      </c>
      <c r="N55" s="197">
        <f t="shared" si="857"/>
        <v>24721.431448167328</v>
      </c>
      <c r="O55" s="224">
        <f t="shared" si="858"/>
        <v>0</v>
      </c>
      <c r="P55" s="261">
        <f>VLOOKUP($C55,Прайс!$D$8:$E$119,2,0)</f>
        <v>3100</v>
      </c>
      <c r="Q55" s="198">
        <f>ROUND(VLOOKUP($C55,Прайс!$D$6:$F$1004,3,0)*VLOOKUP($C$52,Прайс!$D$6:$F$1004,3,0)*VLOOKUP($C$46,Прайс!$D$6:$F$1004,3,0)*R$16,0)</f>
        <v>0</v>
      </c>
      <c r="R55" s="197">
        <f t="shared" si="859"/>
        <v>30050.079216146863</v>
      </c>
      <c r="S55" s="224">
        <f t="shared" si="860"/>
        <v>0</v>
      </c>
      <c r="T55" s="261">
        <f>VLOOKUP($C55,Прайс!$D$8:$E$119,2,0)</f>
        <v>3100</v>
      </c>
      <c r="U55" s="198">
        <f>ROUND(VLOOKUP($C55,Прайс!$D$6:$F$1004,3,0)*VLOOKUP($C$52,Прайс!$D$6:$F$1004,3,0)*VLOOKUP($C$46,Прайс!$D$6:$F$1004,3,0)*V$16,0)</f>
        <v>0</v>
      </c>
      <c r="V55" s="197">
        <f t="shared" si="861"/>
        <v>32362.30944534373</v>
      </c>
      <c r="W55" s="224">
        <f t="shared" si="862"/>
        <v>0</v>
      </c>
      <c r="X55" s="261">
        <f>VLOOKUP($C55,Прайс!$D$8:$E$119,2,0)</f>
        <v>3100</v>
      </c>
      <c r="Y55" s="198">
        <f>ROUND(VLOOKUP($C55,Прайс!$D$6:$F$1004,3,0)*VLOOKUP($C$52,Прайс!$D$6:$F$1004,3,0)*VLOOKUP($C$46,Прайс!$D$6:$F$1004,3,0)*Z$16,0)</f>
        <v>0</v>
      </c>
      <c r="Z55" s="197">
        <f t="shared" si="863"/>
        <v>37259.53106415931</v>
      </c>
      <c r="AA55" s="224">
        <f t="shared" si="864"/>
        <v>0</v>
      </c>
      <c r="AB55" s="261">
        <f>VLOOKUP($C55,Прайс!$D$8:$E$119,2,0)</f>
        <v>3100</v>
      </c>
      <c r="AC55" s="198">
        <f>ROUND(VLOOKUP($C55,Прайс!$D$6:$F$1004,3,0)*VLOOKUP($C$52,Прайс!$D$6:$F$1004,3,0)*VLOOKUP($C$46,Прайс!$D$6:$F$1004,3,0)*AD$16,0)</f>
        <v>0</v>
      </c>
      <c r="AD55" s="197">
        <f t="shared" si="865"/>
        <v>37847.839449382882</v>
      </c>
      <c r="AE55" s="224">
        <f t="shared" si="866"/>
        <v>0</v>
      </c>
      <c r="AF55" s="261">
        <f>VLOOKUP($C55,Прайс!$D$8:$E$119,2,0)</f>
        <v>3100</v>
      </c>
      <c r="AG55" s="198">
        <f>ROUND(VLOOKUP($C55,Прайс!$D$6:$F$1004,3,0)*VLOOKUP($C$52,Прайс!$D$6:$F$1004,3,0)*VLOOKUP($C$46,Прайс!$D$6:$F$1004,3,0)*AH$16,0)</f>
        <v>0</v>
      </c>
      <c r="AH55" s="197">
        <f t="shared" si="867"/>
        <v>37865.666976207838</v>
      </c>
      <c r="AI55" s="224">
        <f t="shared" si="868"/>
        <v>0</v>
      </c>
      <c r="AJ55" s="261">
        <f>VLOOKUP($C55,Прайс!$D$8:$E$119,2,0)</f>
        <v>3100</v>
      </c>
      <c r="AK55" s="198">
        <f>ROUND(VLOOKUP($C55,Прайс!$D$6:$F$1004,3,0)*VLOOKUP($C$52,Прайс!$D$6:$F$1004,3,0)*VLOOKUP($C$46,Прайс!$D$6:$F$1004,3,0)*AL$16,0)</f>
        <v>0</v>
      </c>
      <c r="AL55" s="197">
        <f t="shared" si="869"/>
        <v>42226.280037592231</v>
      </c>
      <c r="AM55" s="224">
        <f t="shared" si="870"/>
        <v>0</v>
      </c>
      <c r="AN55" s="261">
        <f>VLOOKUP($C55,Прайс!$D$8:$E$119,2,0)</f>
        <v>3100</v>
      </c>
      <c r="AO55" s="198">
        <f>ROUND(VLOOKUP($C55,Прайс!$D$6:$F$1004,3,0)*VLOOKUP($C$52,Прайс!$D$6:$F$1004,3,0)*VLOOKUP($C$46,Прайс!$D$6:$F$1004,3,0)*AP$16,0)</f>
        <v>0</v>
      </c>
      <c r="AP55" s="197">
        <f t="shared" si="871"/>
        <v>48469.47993169204</v>
      </c>
      <c r="AQ55" s="224">
        <f t="shared" si="872"/>
        <v>0</v>
      </c>
      <c r="AR55" s="261">
        <f>VLOOKUP($C55,Прайс!$D$8:$E$119,2,0)</f>
        <v>3100</v>
      </c>
      <c r="AS55" s="198">
        <f>ROUND(VLOOKUP($C55,Прайс!$D$6:$F$1004,3,0)*VLOOKUP($C$52,Прайс!$D$6:$F$1004,3,0)*VLOOKUP($C$46,Прайс!$D$6:$F$1004,3,0)*AT$16,0)</f>
        <v>0</v>
      </c>
      <c r="AT55" s="197">
        <f t="shared" si="873"/>
        <v>48027.357266433115</v>
      </c>
      <c r="AU55" s="224">
        <f t="shared" si="874"/>
        <v>0</v>
      </c>
      <c r="AV55" s="261">
        <f>VLOOKUP($C55,Прайс!$D$8:$E$119,2,0)</f>
        <v>3100</v>
      </c>
      <c r="AW55" s="198">
        <f>ROUND(VLOOKUP($C55,Прайс!$D$6:$F$1004,3,0)*VLOOKUP($C$52,Прайс!$D$6:$F$1004,3,0)*VLOOKUP($C$46,Прайс!$D$6:$F$1004,3,0)*AX$16,0)</f>
        <v>0</v>
      </c>
      <c r="AX55" s="197">
        <f t="shared" si="875"/>
        <v>55393.691350505193</v>
      </c>
      <c r="AY55" s="224">
        <f t="shared" si="876"/>
        <v>0</v>
      </c>
      <c r="AZ55" s="261">
        <f>VLOOKUP($C55,Прайс!$D$8:$E$119,2,0)</f>
        <v>3100</v>
      </c>
      <c r="BA55" s="198">
        <f>ROUND(VLOOKUP($C55,Прайс!$D$6:$F$1004,3,0)*VLOOKUP($C$52,Прайс!$D$6:$F$1004,3,0)*VLOOKUP($C$46,Прайс!$D$6:$F$1004,3,0)*BB$16,0)</f>
        <v>0</v>
      </c>
      <c r="BB55" s="197">
        <f t="shared" si="877"/>
        <v>63341.202809070855</v>
      </c>
      <c r="BC55" s="224">
        <f t="shared" si="878"/>
        <v>0</v>
      </c>
      <c r="BD55" s="261">
        <f>VLOOKUP($C55,Прайс!$D$8:$E$119,2,0)</f>
        <v>3100</v>
      </c>
      <c r="BE55" s="198">
        <f>ROUND(VLOOKUP($C55,Прайс!$D$6:$F$1004,3,0)*VLOOKUP($C$52,Прайс!$D$6:$F$1004,3,0)*VLOOKUP($C$46,Прайс!$D$6:$F$1004,3,0)*BF$16,0)</f>
        <v>0</v>
      </c>
      <c r="BF55" s="197">
        <f t="shared" si="879"/>
        <v>62382.081865888184</v>
      </c>
      <c r="BG55" s="224">
        <f t="shared" si="880"/>
        <v>0</v>
      </c>
      <c r="BH55" s="261">
        <f>VLOOKUP($C55,Прайс!$D$8:$E$119,2,0)</f>
        <v>3100</v>
      </c>
      <c r="BI55" s="198">
        <f>ROUND(VLOOKUP($C55,Прайс!$D$6:$F$1004,3,0)*VLOOKUP($C$52,Прайс!$D$6:$F$1004,3,0)*VLOOKUP($C$46,Прайс!$D$6:$F$1004,3,0)*BJ$16,0)</f>
        <v>0</v>
      </c>
      <c r="BJ55" s="197">
        <f t="shared" si="881"/>
        <v>63569.39515243029</v>
      </c>
      <c r="BK55" s="224">
        <f t="shared" si="882"/>
        <v>0</v>
      </c>
      <c r="BL55" s="261">
        <f>VLOOKUP($C55,Прайс!$D$8:$E$119,2,0)</f>
        <v>3100</v>
      </c>
      <c r="BM55" s="198">
        <f>ROUND(VLOOKUP($C55,Прайс!$D$6:$F$1004,3,0)*VLOOKUP($C$52,Прайс!$D$6:$F$1004,3,0)*VLOOKUP($C$46,Прайс!$D$6:$F$1004,3,0)*BN$16,0)</f>
        <v>0</v>
      </c>
      <c r="BN55" s="197">
        <f t="shared" si="883"/>
        <v>67612.678236330466</v>
      </c>
      <c r="BO55" s="224">
        <f t="shared" si="884"/>
        <v>0</v>
      </c>
      <c r="BP55" s="261">
        <f>VLOOKUP($C55,Прайс!$D$8:$E$119,2,0)</f>
        <v>3100</v>
      </c>
      <c r="BQ55" s="198">
        <f>ROUND(VLOOKUP($C55,Прайс!$D$6:$F$1004,3,0)*VLOOKUP($C$52,Прайс!$D$6:$F$1004,3,0)*VLOOKUP($C$46,Прайс!$D$6:$F$1004,3,0)*BR$16,0)</f>
        <v>0</v>
      </c>
      <c r="BR55" s="197">
        <f t="shared" si="885"/>
        <v>64724.618890687489</v>
      </c>
      <c r="BS55" s="224">
        <f t="shared" si="886"/>
        <v>0</v>
      </c>
      <c r="BT55" s="261">
        <f>VLOOKUP($C55,Прайс!$D$8:$E$119,2,0)</f>
        <v>3100</v>
      </c>
      <c r="BU55" s="198">
        <f>ROUND(VLOOKUP($C55,Прайс!$D$6:$F$1004,3,0)*VLOOKUP($C$52,Прайс!$D$6:$F$1004,3,0)*VLOOKUP($C$46,Прайс!$D$6:$F$1004,3,0)*BV$16,0)</f>
        <v>0</v>
      </c>
      <c r="BV55" s="197">
        <f t="shared" si="887"/>
        <v>67067.155915486786</v>
      </c>
      <c r="BW55" s="224">
        <f t="shared" si="888"/>
        <v>0</v>
      </c>
      <c r="BX55" s="261">
        <f>VLOOKUP($C55,Прайс!$D$8:$E$119,2,0)</f>
        <v>3100</v>
      </c>
      <c r="BY55" s="198">
        <f>ROUND(VLOOKUP($C55,Прайс!$D$6:$F$1004,3,0)*VLOOKUP($C$52,Прайс!$D$6:$F$1004,3,0)*VLOOKUP($C$46,Прайс!$D$6:$F$1004,3,0)*BZ$16,0)</f>
        <v>0</v>
      </c>
      <c r="BZ55" s="197">
        <f t="shared" si="889"/>
        <v>61932.828189899272</v>
      </c>
      <c r="CA55" s="224">
        <f t="shared" si="890"/>
        <v>0</v>
      </c>
      <c r="CB55" s="261">
        <f>VLOOKUP($C55,Прайс!$D$8:$E$119,2,0)</f>
        <v>3100</v>
      </c>
      <c r="CC55" s="198">
        <f>ROUND(VLOOKUP($C55,Прайс!$D$6:$F$1004,3,0)*VLOOKUP($C$52,Прайс!$D$6:$F$1004,3,0)*VLOOKUP($C$46,Прайс!$D$6:$F$1004,3,0)*CD$16,0)</f>
        <v>0</v>
      </c>
      <c r="CD55" s="197">
        <f t="shared" si="891"/>
        <v>56798.500464311765</v>
      </c>
      <c r="CE55" s="224">
        <f t="shared" si="892"/>
        <v>0</v>
      </c>
      <c r="CF55" s="261">
        <f>VLOOKUP($C55,Прайс!$D$8:$E$119,2,0)</f>
        <v>3100</v>
      </c>
      <c r="CG55" s="198">
        <f>ROUND(VLOOKUP($C55,Прайс!$D$6:$F$1004,3,0)*VLOOKUP($C$52,Прайс!$D$6:$F$1004,3,0)*VLOOKUP($C$46,Прайс!$D$6:$F$1004,3,0)*CH$16,0)</f>
        <v>0</v>
      </c>
      <c r="CH55" s="197">
        <f t="shared" si="893"/>
        <v>58467.156975127698</v>
      </c>
      <c r="CI55" s="224">
        <f t="shared" si="894"/>
        <v>0</v>
      </c>
      <c r="CJ55" s="261">
        <f>VLOOKUP($C55,Прайс!$D$8:$E$119,2,0)</f>
        <v>3100</v>
      </c>
      <c r="CK55" s="198">
        <f>ROUND(VLOOKUP($C55,Прайс!$D$6:$F$1004,3,0)*VLOOKUP($C$52,Прайс!$D$6:$F$1004,3,0)*VLOOKUP($C$46,Прайс!$D$6:$F$1004,3,0)*CL$16,0)</f>
        <v>0</v>
      </c>
      <c r="CL55" s="197">
        <f t="shared" si="895"/>
        <v>62317.902769318331</v>
      </c>
      <c r="CM55" s="224">
        <f t="shared" si="896"/>
        <v>0</v>
      </c>
      <c r="CN55" s="261">
        <f>VLOOKUP($C55,Прайс!$D$8:$E$119,2,0)</f>
        <v>3100</v>
      </c>
      <c r="CO55" s="198">
        <f>ROUND(VLOOKUP($C55,Прайс!$D$6:$F$1004,3,0)*VLOOKUP($C$52,Прайс!$D$6:$F$1004,3,0)*VLOOKUP($C$46,Прайс!$D$6:$F$1004,3,0)*CP$16,0)</f>
        <v>0</v>
      </c>
      <c r="CP55" s="197">
        <f t="shared" si="897"/>
        <v>57632.828719719728</v>
      </c>
      <c r="CQ55" s="224">
        <f t="shared" si="898"/>
        <v>0</v>
      </c>
      <c r="CR55" s="261">
        <f>VLOOKUP($C55,Прайс!$D$8:$E$119,2,0)</f>
        <v>3100</v>
      </c>
      <c r="CS55" s="198">
        <f>ROUND(VLOOKUP($C55,Прайс!$D$6:$F$1004,3,0)*VLOOKUP($C$52,Прайс!$D$6:$F$1004,3,0)*VLOOKUP($C$46,Прайс!$D$6:$F$1004,3,0)*CT$16,0)</f>
        <v>0</v>
      </c>
      <c r="CT55" s="197">
        <f t="shared" si="899"/>
        <v>62317.902769318331</v>
      </c>
      <c r="CU55" s="224">
        <f t="shared" si="900"/>
        <v>0</v>
      </c>
      <c r="CV55" s="261">
        <f>VLOOKUP($C55,Прайс!$D$8:$E$119,2,0)</f>
        <v>3100</v>
      </c>
      <c r="CW55" s="198">
        <f>ROUND(VLOOKUP($C55,Прайс!$D$6:$F$1004,3,0)*VLOOKUP($C$52,Прайс!$D$6:$F$1004,3,0)*VLOOKUP($C$46,Прайс!$D$6:$F$1004,3,0)*CX$16,0)</f>
        <v>0</v>
      </c>
      <c r="CX55" s="197">
        <f t="shared" si="901"/>
        <v>67067.155915486772</v>
      </c>
      <c r="CY55" s="224">
        <f t="shared" si="902"/>
        <v>0</v>
      </c>
      <c r="CZ55" s="204"/>
    </row>
    <row r="56" spans="2:111" s="165" customFormat="1" ht="26.25" hidden="1" outlineLevel="1" thickBot="1">
      <c r="B56" s="162"/>
      <c r="C56" s="253" t="s">
        <v>252</v>
      </c>
      <c r="D56" s="262">
        <f>VLOOKUP($C56,Прайс!$D$8:$E$119,2,0)</f>
        <v>3300</v>
      </c>
      <c r="E56" s="227">
        <f>ROUND(VLOOKUP($C56,Прайс!$D$6:$F$1004,3,0)*VLOOKUP($C$52,Прайс!$D$6:$F$1004,3,0)*VLOOKUP($C$46,Прайс!$D$6:$F$1004,3,0)*F$16,0)</f>
        <v>0</v>
      </c>
      <c r="F56" s="226">
        <f>F$17*$D56/SUM($D$20:$D$22,$D$24:$D$28,$D$30:$D$32,$D$34:$D$45,$D$48:$D$51,$D$53:$D$56)</f>
        <v>19831.685888988024</v>
      </c>
      <c r="G56" s="228">
        <f t="shared" si="854"/>
        <v>0</v>
      </c>
      <c r="H56" s="262">
        <f>VLOOKUP($C56,Прайс!$D$8:$E$119,2,0)</f>
        <v>3300</v>
      </c>
      <c r="I56" s="227">
        <f>ROUND(VLOOKUP($C56,Прайс!$D$6:$F$1004,3,0)*VLOOKUP($C$52,Прайс!$D$6:$F$1004,3,0)*VLOOKUP($C$46,Прайс!$D$6:$F$1004,3,0)*J$16,0)</f>
        <v>0</v>
      </c>
      <c r="J56" s="226">
        <f t="shared" si="855"/>
        <v>22135.5774362829</v>
      </c>
      <c r="K56" s="228">
        <f t="shared" si="856"/>
        <v>0</v>
      </c>
      <c r="L56" s="262">
        <f>VLOOKUP($C56,Прайс!$D$8:$E$119,2,0)</f>
        <v>3300</v>
      </c>
      <c r="M56" s="227">
        <f>ROUND(VLOOKUP($C56,Прайс!$D$6:$F$1004,3,0)*VLOOKUP($C$52,Прайс!$D$6:$F$1004,3,0)*VLOOKUP($C$46,Прайс!$D$6:$F$1004,3,0)*N$16,0)</f>
        <v>0</v>
      </c>
      <c r="N56" s="226">
        <f t="shared" si="857"/>
        <v>26316.362509339415</v>
      </c>
      <c r="O56" s="228">
        <f t="shared" si="858"/>
        <v>0</v>
      </c>
      <c r="P56" s="262">
        <f>VLOOKUP($C56,Прайс!$D$8:$E$119,2,0)</f>
        <v>3300</v>
      </c>
      <c r="Q56" s="227">
        <f>ROUND(VLOOKUP($C56,Прайс!$D$6:$F$1004,3,0)*VLOOKUP($C$52,Прайс!$D$6:$F$1004,3,0)*VLOOKUP($C$46,Прайс!$D$6:$F$1004,3,0)*R$16,0)</f>
        <v>0</v>
      </c>
      <c r="R56" s="226">
        <f t="shared" si="859"/>
        <v>31988.79400428537</v>
      </c>
      <c r="S56" s="228">
        <f t="shared" si="860"/>
        <v>0</v>
      </c>
      <c r="T56" s="262">
        <f>VLOOKUP($C56,Прайс!$D$8:$E$119,2,0)</f>
        <v>3300</v>
      </c>
      <c r="U56" s="227">
        <f>ROUND(VLOOKUP($C56,Прайс!$D$6:$F$1004,3,0)*VLOOKUP($C$52,Прайс!$D$6:$F$1004,3,0)*VLOOKUP($C$46,Прайс!$D$6:$F$1004,3,0)*V$16,0)</f>
        <v>0</v>
      </c>
      <c r="V56" s="226">
        <f t="shared" si="861"/>
        <v>34450.200377301393</v>
      </c>
      <c r="W56" s="228">
        <f t="shared" si="862"/>
        <v>0</v>
      </c>
      <c r="X56" s="262">
        <f>VLOOKUP($C56,Прайс!$D$8:$E$119,2,0)</f>
        <v>3300</v>
      </c>
      <c r="Y56" s="227">
        <f>ROUND(VLOOKUP($C56,Прайс!$D$6:$F$1004,3,0)*VLOOKUP($C$52,Прайс!$D$6:$F$1004,3,0)*VLOOKUP($C$46,Прайс!$D$6:$F$1004,3,0)*Z$16,0)</f>
        <v>0</v>
      </c>
      <c r="Z56" s="226">
        <f t="shared" si="863"/>
        <v>39663.371777976034</v>
      </c>
      <c r="AA56" s="228">
        <f t="shared" si="864"/>
        <v>0</v>
      </c>
      <c r="AB56" s="262">
        <f>VLOOKUP($C56,Прайс!$D$8:$E$119,2,0)</f>
        <v>3300</v>
      </c>
      <c r="AC56" s="227">
        <f>ROUND(VLOOKUP($C56,Прайс!$D$6:$F$1004,3,0)*VLOOKUP($C$52,Прайс!$D$6:$F$1004,3,0)*VLOOKUP($C$46,Прайс!$D$6:$F$1004,3,0)*AD$16,0)</f>
        <v>0</v>
      </c>
      <c r="AD56" s="226">
        <f t="shared" si="865"/>
        <v>40289.635542891447</v>
      </c>
      <c r="AE56" s="228">
        <f t="shared" si="866"/>
        <v>0</v>
      </c>
      <c r="AF56" s="262">
        <f>VLOOKUP($C56,Прайс!$D$8:$E$119,2,0)</f>
        <v>3300</v>
      </c>
      <c r="AG56" s="227">
        <f>ROUND(VLOOKUP($C56,Прайс!$D$6:$F$1004,3,0)*VLOOKUP($C$52,Прайс!$D$6:$F$1004,3,0)*VLOOKUP($C$46,Прайс!$D$6:$F$1004,3,0)*AH$16,0)</f>
        <v>0</v>
      </c>
      <c r="AH56" s="226">
        <f t="shared" si="867"/>
        <v>40308.613232737378</v>
      </c>
      <c r="AI56" s="228">
        <f t="shared" si="868"/>
        <v>0</v>
      </c>
      <c r="AJ56" s="262">
        <f>VLOOKUP($C56,Прайс!$D$8:$E$119,2,0)</f>
        <v>3300</v>
      </c>
      <c r="AK56" s="227">
        <f>ROUND(VLOOKUP($C56,Прайс!$D$6:$F$1004,3,0)*VLOOKUP($C$52,Прайс!$D$6:$F$1004,3,0)*VLOOKUP($C$46,Прайс!$D$6:$F$1004,3,0)*AL$16,0)</f>
        <v>0</v>
      </c>
      <c r="AL56" s="226">
        <f t="shared" si="869"/>
        <v>44950.556169049793</v>
      </c>
      <c r="AM56" s="228">
        <f t="shared" si="870"/>
        <v>0</v>
      </c>
      <c r="AN56" s="262">
        <f>VLOOKUP($C56,Прайс!$D$8:$E$119,2,0)</f>
        <v>3300</v>
      </c>
      <c r="AO56" s="227">
        <f>ROUND(VLOOKUP($C56,Прайс!$D$6:$F$1004,3,0)*VLOOKUP($C$52,Прайс!$D$6:$F$1004,3,0)*VLOOKUP($C$46,Прайс!$D$6:$F$1004,3,0)*AP$16,0)</f>
        <v>0</v>
      </c>
      <c r="AP56" s="226">
        <f t="shared" si="871"/>
        <v>51596.54315309153</v>
      </c>
      <c r="AQ56" s="228">
        <f t="shared" si="872"/>
        <v>0</v>
      </c>
      <c r="AR56" s="262">
        <f>VLOOKUP($C56,Прайс!$D$8:$E$119,2,0)</f>
        <v>3300</v>
      </c>
      <c r="AS56" s="227">
        <f>ROUND(VLOOKUP($C56,Прайс!$D$6:$F$1004,3,0)*VLOOKUP($C$52,Прайс!$D$6:$F$1004,3,0)*VLOOKUP($C$46,Прайс!$D$6:$F$1004,3,0)*AT$16,0)</f>
        <v>0</v>
      </c>
      <c r="AT56" s="226">
        <f t="shared" si="873"/>
        <v>51125.896444912672</v>
      </c>
      <c r="AU56" s="228">
        <f t="shared" si="874"/>
        <v>0</v>
      </c>
      <c r="AV56" s="262">
        <f>VLOOKUP($C56,Прайс!$D$8:$E$119,2,0)</f>
        <v>3300</v>
      </c>
      <c r="AW56" s="227">
        <f>ROUND(VLOOKUP($C56,Прайс!$D$6:$F$1004,3,0)*VLOOKUP($C$52,Прайс!$D$6:$F$1004,3,0)*VLOOKUP($C$46,Прайс!$D$6:$F$1004,3,0)*AX$16,0)</f>
        <v>0</v>
      </c>
      <c r="AX56" s="226">
        <f t="shared" si="875"/>
        <v>58967.477889247464</v>
      </c>
      <c r="AY56" s="228">
        <f t="shared" si="876"/>
        <v>0</v>
      </c>
      <c r="AZ56" s="262">
        <f>VLOOKUP($C56,Прайс!$D$8:$E$119,2,0)</f>
        <v>3300</v>
      </c>
      <c r="BA56" s="227">
        <f>ROUND(VLOOKUP($C56,Прайс!$D$6:$F$1004,3,0)*VLOOKUP($C$52,Прайс!$D$6:$F$1004,3,0)*VLOOKUP($C$46,Прайс!$D$6:$F$1004,3,0)*BB$16,0)</f>
        <v>0</v>
      </c>
      <c r="BB56" s="226">
        <f t="shared" si="877"/>
        <v>67427.732022559299</v>
      </c>
      <c r="BC56" s="228">
        <f t="shared" si="878"/>
        <v>0</v>
      </c>
      <c r="BD56" s="262">
        <f>VLOOKUP($C56,Прайс!$D$8:$E$119,2,0)</f>
        <v>3300</v>
      </c>
      <c r="BE56" s="227">
        <f>ROUND(VLOOKUP($C56,Прайс!$D$6:$F$1004,3,0)*VLOOKUP($C$52,Прайс!$D$6:$F$1004,3,0)*VLOOKUP($C$46,Прайс!$D$6:$F$1004,3,0)*BF$16,0)</f>
        <v>0</v>
      </c>
      <c r="BF56" s="226">
        <f t="shared" si="879"/>
        <v>66406.732308848703</v>
      </c>
      <c r="BG56" s="228">
        <f t="shared" si="880"/>
        <v>0</v>
      </c>
      <c r="BH56" s="262">
        <f>VLOOKUP($C56,Прайс!$D$8:$E$119,2,0)</f>
        <v>3300</v>
      </c>
      <c r="BI56" s="227">
        <f>ROUND(VLOOKUP($C56,Прайс!$D$6:$F$1004,3,0)*VLOOKUP($C$52,Прайс!$D$6:$F$1004,3,0)*VLOOKUP($C$46,Прайс!$D$6:$F$1004,3,0)*BJ$16,0)</f>
        <v>0</v>
      </c>
      <c r="BJ56" s="226">
        <f t="shared" si="881"/>
        <v>67670.646452587083</v>
      </c>
      <c r="BK56" s="228">
        <f t="shared" si="882"/>
        <v>0</v>
      </c>
      <c r="BL56" s="262">
        <f>VLOOKUP($C56,Прайс!$D$8:$E$119,2,0)</f>
        <v>3300</v>
      </c>
      <c r="BM56" s="227">
        <f>ROUND(VLOOKUP($C56,Прайс!$D$6:$F$1004,3,0)*VLOOKUP($C$52,Прайс!$D$6:$F$1004,3,0)*VLOOKUP($C$46,Прайс!$D$6:$F$1004,3,0)*BN$16,0)</f>
        <v>0</v>
      </c>
      <c r="BN56" s="226">
        <f t="shared" si="883"/>
        <v>71974.786509642116</v>
      </c>
      <c r="BO56" s="228">
        <f t="shared" si="884"/>
        <v>0</v>
      </c>
      <c r="BP56" s="262">
        <f>VLOOKUP($C56,Прайс!$D$8:$E$119,2,0)</f>
        <v>3300</v>
      </c>
      <c r="BQ56" s="227">
        <f>ROUND(VLOOKUP($C56,Прайс!$D$6:$F$1004,3,0)*VLOOKUP($C$52,Прайс!$D$6:$F$1004,3,0)*VLOOKUP($C$46,Прайс!$D$6:$F$1004,3,0)*BR$16,0)</f>
        <v>0</v>
      </c>
      <c r="BR56" s="226">
        <f t="shared" si="885"/>
        <v>68900.400754602801</v>
      </c>
      <c r="BS56" s="228">
        <f t="shared" si="886"/>
        <v>0</v>
      </c>
      <c r="BT56" s="262">
        <f>VLOOKUP($C56,Прайс!$D$8:$E$119,2,0)</f>
        <v>3300</v>
      </c>
      <c r="BU56" s="227">
        <f>ROUND(VLOOKUP($C56,Прайс!$D$6:$F$1004,3,0)*VLOOKUP($C$52,Прайс!$D$6:$F$1004,3,0)*VLOOKUP($C$46,Прайс!$D$6:$F$1004,3,0)*BV$16,0)</f>
        <v>0</v>
      </c>
      <c r="BV56" s="226">
        <f t="shared" si="887"/>
        <v>71394.069200356898</v>
      </c>
      <c r="BW56" s="228">
        <f t="shared" si="888"/>
        <v>0</v>
      </c>
      <c r="BX56" s="262">
        <f>VLOOKUP($C56,Прайс!$D$8:$E$119,2,0)</f>
        <v>3300</v>
      </c>
      <c r="BY56" s="227">
        <f>ROUND(VLOOKUP($C56,Прайс!$D$6:$F$1004,3,0)*VLOOKUP($C$52,Прайс!$D$6:$F$1004,3,0)*VLOOKUP($C$46,Прайс!$D$6:$F$1004,3,0)*BZ$16,0)</f>
        <v>0</v>
      </c>
      <c r="BZ56" s="226">
        <f t="shared" si="889"/>
        <v>65928.49452473149</v>
      </c>
      <c r="CA56" s="228">
        <f t="shared" si="890"/>
        <v>0</v>
      </c>
      <c r="CB56" s="262">
        <f>VLOOKUP($C56,Прайс!$D$8:$E$119,2,0)</f>
        <v>3300</v>
      </c>
      <c r="CC56" s="227">
        <f>ROUND(VLOOKUP($C56,Прайс!$D$6:$F$1004,3,0)*VLOOKUP($C$52,Прайс!$D$6:$F$1004,3,0)*VLOOKUP($C$46,Прайс!$D$6:$F$1004,3,0)*CD$16,0)</f>
        <v>0</v>
      </c>
      <c r="CD56" s="226">
        <f t="shared" si="891"/>
        <v>60462.919849106067</v>
      </c>
      <c r="CE56" s="228">
        <f t="shared" si="892"/>
        <v>0</v>
      </c>
      <c r="CF56" s="262">
        <f>VLOOKUP($C56,Прайс!$D$8:$E$119,2,0)</f>
        <v>3300</v>
      </c>
      <c r="CG56" s="227">
        <f>ROUND(VLOOKUP($C56,Прайс!$D$6:$F$1004,3,0)*VLOOKUP($C$52,Прайс!$D$6:$F$1004,3,0)*VLOOKUP($C$46,Прайс!$D$6:$F$1004,3,0)*CH$16,0)</f>
        <v>0</v>
      </c>
      <c r="CH56" s="226">
        <f t="shared" si="893"/>
        <v>62239.231618684324</v>
      </c>
      <c r="CI56" s="228">
        <f t="shared" si="894"/>
        <v>0</v>
      </c>
      <c r="CJ56" s="262">
        <f>VLOOKUP($C56,Прайс!$D$8:$E$119,2,0)</f>
        <v>3300</v>
      </c>
      <c r="CK56" s="227">
        <f>ROUND(VLOOKUP($C56,Прайс!$D$6:$F$1004,3,0)*VLOOKUP($C$52,Прайс!$D$6:$F$1004,3,0)*VLOOKUP($C$46,Прайс!$D$6:$F$1004,3,0)*CL$16,0)</f>
        <v>0</v>
      </c>
      <c r="CL56" s="226">
        <f t="shared" si="895"/>
        <v>66338.412625403391</v>
      </c>
      <c r="CM56" s="228">
        <f t="shared" si="896"/>
        <v>0</v>
      </c>
      <c r="CN56" s="262">
        <f>VLOOKUP($C56,Прайс!$D$8:$E$119,2,0)</f>
        <v>3300</v>
      </c>
      <c r="CO56" s="227">
        <f>ROUND(VLOOKUP($C56,Прайс!$D$6:$F$1004,3,0)*VLOOKUP($C$52,Прайс!$D$6:$F$1004,3,0)*VLOOKUP($C$46,Прайс!$D$6:$F$1004,3,0)*CP$16,0)</f>
        <v>0</v>
      </c>
      <c r="CP56" s="226">
        <f t="shared" si="897"/>
        <v>61351.075733895188</v>
      </c>
      <c r="CQ56" s="228">
        <f t="shared" si="898"/>
        <v>0</v>
      </c>
      <c r="CR56" s="262">
        <f>VLOOKUP($C56,Прайс!$D$8:$E$119,2,0)</f>
        <v>3300</v>
      </c>
      <c r="CS56" s="227">
        <f>ROUND(VLOOKUP($C56,Прайс!$D$6:$F$1004,3,0)*VLOOKUP($C$52,Прайс!$D$6:$F$1004,3,0)*VLOOKUP($C$46,Прайс!$D$6:$F$1004,3,0)*CT$16,0)</f>
        <v>0</v>
      </c>
      <c r="CT56" s="226">
        <f t="shared" si="899"/>
        <v>66338.412625403391</v>
      </c>
      <c r="CU56" s="228">
        <f t="shared" si="900"/>
        <v>0</v>
      </c>
      <c r="CV56" s="262">
        <f>VLOOKUP($C56,Прайс!$D$8:$E$119,2,0)</f>
        <v>3300</v>
      </c>
      <c r="CW56" s="227">
        <f>ROUND(VLOOKUP($C56,Прайс!$D$6:$F$1004,3,0)*VLOOKUP($C$52,Прайс!$D$6:$F$1004,3,0)*VLOOKUP($C$46,Прайс!$D$6:$F$1004,3,0)*CX$16,0)</f>
        <v>0</v>
      </c>
      <c r="CX56" s="226">
        <f t="shared" si="901"/>
        <v>71394.069200356884</v>
      </c>
      <c r="CY56" s="228">
        <f t="shared" si="902"/>
        <v>0</v>
      </c>
      <c r="CZ56" s="204"/>
    </row>
    <row r="57" spans="2:111" s="165" customFormat="1" ht="15.75" collapsed="1" thickBot="1">
      <c r="B57" s="162"/>
      <c r="C57" s="207"/>
      <c r="D57" s="201"/>
      <c r="E57" s="202"/>
      <c r="F57" s="201"/>
      <c r="G57" s="201"/>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09"/>
      <c r="BQ57" s="209"/>
      <c r="BR57" s="209"/>
      <c r="BS57" s="209"/>
      <c r="BT57" s="209"/>
      <c r="BU57" s="209"/>
      <c r="BV57" s="209"/>
      <c r="BW57" s="209"/>
      <c r="BX57" s="209"/>
      <c r="BY57" s="209"/>
      <c r="BZ57" s="209"/>
      <c r="CA57" s="209"/>
      <c r="CB57" s="209"/>
      <c r="CC57" s="209"/>
      <c r="CD57" s="209"/>
      <c r="CE57" s="209"/>
      <c r="CF57" s="209"/>
      <c r="CG57" s="209"/>
      <c r="CH57" s="209"/>
      <c r="CI57" s="209"/>
      <c r="CJ57" s="209"/>
      <c r="CK57" s="209"/>
      <c r="CL57" s="209"/>
      <c r="CM57" s="209"/>
      <c r="CN57" s="209"/>
      <c r="CO57" s="209"/>
      <c r="CP57" s="209"/>
      <c r="CQ57" s="209"/>
      <c r="CR57" s="209"/>
      <c r="CS57" s="209"/>
      <c r="CT57" s="209"/>
      <c r="CU57" s="209"/>
      <c r="CV57" s="210"/>
      <c r="CW57" s="210"/>
      <c r="CX57" s="210"/>
      <c r="CY57" s="210"/>
      <c r="CZ57" s="211"/>
      <c r="DA57" s="170"/>
      <c r="DB57" s="170"/>
      <c r="DC57" s="170"/>
      <c r="DD57" s="170"/>
      <c r="DE57" s="170"/>
      <c r="DF57" s="170"/>
      <c r="DG57" s="170"/>
    </row>
    <row r="58" spans="2:111" s="288" customFormat="1" ht="16.5" thickBot="1">
      <c r="B58" s="279"/>
      <c r="C58" s="280" t="s">
        <v>122</v>
      </c>
      <c r="D58" s="281" t="str">
        <f>D17</f>
        <v>Май</v>
      </c>
      <c r="E58" s="282" t="str">
        <f>H17</f>
        <v>Июнь</v>
      </c>
      <c r="F58" s="282" t="str">
        <f>L17</f>
        <v>Июль</v>
      </c>
      <c r="G58" s="282" t="str">
        <f>P17</f>
        <v>Август</v>
      </c>
      <c r="H58" s="282" t="str">
        <f>T17</f>
        <v>Сентябрь</v>
      </c>
      <c r="I58" s="282" t="str">
        <f>X17</f>
        <v>Октябрь</v>
      </c>
      <c r="J58" s="282" t="str">
        <f>AB17</f>
        <v>Ноябрь</v>
      </c>
      <c r="K58" s="282" t="str">
        <f>AF17</f>
        <v>Декабрь</v>
      </c>
      <c r="L58" s="282" t="str">
        <f>AJ17</f>
        <v>Январь</v>
      </c>
      <c r="M58" s="282" t="str">
        <f>AN17</f>
        <v>Февраль</v>
      </c>
      <c r="N58" s="282" t="str">
        <f>AR17</f>
        <v>Март</v>
      </c>
      <c r="O58" s="282" t="str">
        <f>AV17</f>
        <v>Апрель</v>
      </c>
      <c r="P58" s="282" t="str">
        <f>AZ17</f>
        <v>Май</v>
      </c>
      <c r="Q58" s="282" t="str">
        <f>BD17</f>
        <v>Июнь</v>
      </c>
      <c r="R58" s="282" t="str">
        <f>BH17</f>
        <v>Июль</v>
      </c>
      <c r="S58" s="282" t="str">
        <f>BL17</f>
        <v>Август</v>
      </c>
      <c r="T58" s="282" t="str">
        <f>BP17</f>
        <v>Сентябрь</v>
      </c>
      <c r="U58" s="282" t="str">
        <f>BT17</f>
        <v>Октябрь</v>
      </c>
      <c r="V58" s="282" t="str">
        <f>BX17</f>
        <v>Ноябрь</v>
      </c>
      <c r="W58" s="282" t="str">
        <f>CB17</f>
        <v>Декабрь</v>
      </c>
      <c r="X58" s="282" t="str">
        <f>CF17</f>
        <v>Январь</v>
      </c>
      <c r="Y58" s="282" t="str">
        <f>CJ17</f>
        <v>Февраль</v>
      </c>
      <c r="Z58" s="282" t="str">
        <f>CN17</f>
        <v>Март</v>
      </c>
      <c r="AA58" s="283" t="str">
        <f>CR17</f>
        <v>Апрель</v>
      </c>
      <c r="AB58" s="284"/>
      <c r="AC58" s="284"/>
      <c r="AD58" s="284"/>
      <c r="AE58" s="284"/>
      <c r="AF58" s="284"/>
      <c r="AG58" s="284"/>
      <c r="AH58" s="284"/>
      <c r="AI58" s="284"/>
      <c r="AJ58" s="284"/>
      <c r="AK58" s="284"/>
      <c r="AL58" s="284"/>
      <c r="AM58" s="284"/>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c r="BO58" s="285"/>
      <c r="BP58" s="285"/>
      <c r="BQ58" s="285"/>
      <c r="BR58" s="285"/>
      <c r="BS58" s="285"/>
      <c r="BT58" s="285"/>
      <c r="BU58" s="285"/>
      <c r="BV58" s="285"/>
      <c r="BW58" s="285"/>
      <c r="BX58" s="285"/>
      <c r="BY58" s="285"/>
      <c r="BZ58" s="285"/>
      <c r="CA58" s="285"/>
      <c r="CB58" s="285"/>
      <c r="CC58" s="285"/>
      <c r="CD58" s="285"/>
      <c r="CE58" s="285"/>
      <c r="CF58" s="285"/>
      <c r="CG58" s="285"/>
      <c r="CH58" s="285"/>
      <c r="CI58" s="285"/>
      <c r="CJ58" s="285"/>
      <c r="CK58" s="285"/>
      <c r="CL58" s="285"/>
      <c r="CM58" s="285"/>
      <c r="CN58" s="285"/>
      <c r="CO58" s="285"/>
      <c r="CP58" s="285"/>
      <c r="CQ58" s="285"/>
      <c r="CR58" s="285"/>
      <c r="CS58" s="285"/>
      <c r="CT58" s="285"/>
      <c r="CU58" s="285"/>
      <c r="CV58" s="285"/>
      <c r="CW58" s="285"/>
      <c r="CX58" s="285"/>
      <c r="CY58" s="285"/>
      <c r="CZ58" s="286"/>
      <c r="DA58" s="287"/>
      <c r="DB58" s="287"/>
      <c r="DC58" s="287"/>
    </row>
    <row r="59" spans="2:111" s="169" customFormat="1" ht="15.75">
      <c r="B59" s="279"/>
      <c r="C59" s="289" t="s">
        <v>121</v>
      </c>
      <c r="D59" s="290">
        <f>G18</f>
        <v>251950</v>
      </c>
      <c r="E59" s="291">
        <f>K18</f>
        <v>332030</v>
      </c>
      <c r="F59" s="291">
        <f>O18</f>
        <v>390290</v>
      </c>
      <c r="G59" s="291">
        <f>S18</f>
        <v>514600</v>
      </c>
      <c r="H59" s="291">
        <f>W18</f>
        <v>555050</v>
      </c>
      <c r="I59" s="291">
        <f>AA18</f>
        <v>636700</v>
      </c>
      <c r="J59" s="291">
        <f>AE18</f>
        <v>648550</v>
      </c>
      <c r="K59" s="291">
        <f>AI18</f>
        <v>648550</v>
      </c>
      <c r="L59" s="291">
        <f>AM18</f>
        <v>721600</v>
      </c>
      <c r="M59" s="291">
        <f>AQ18</f>
        <v>819150</v>
      </c>
      <c r="N59" s="291">
        <f>AU18</f>
        <v>814500</v>
      </c>
      <c r="O59" s="291">
        <f>AY18</f>
        <v>936950</v>
      </c>
      <c r="P59" s="291">
        <f>BC18</f>
        <v>1068750</v>
      </c>
      <c r="Q59" s="291">
        <f>BG18</f>
        <v>1048700</v>
      </c>
      <c r="R59" s="291">
        <f>BK18</f>
        <v>1071450</v>
      </c>
      <c r="S59" s="291">
        <f>BO18</f>
        <v>1141350</v>
      </c>
      <c r="T59" s="291">
        <f>BS18</f>
        <v>1088350</v>
      </c>
      <c r="U59" s="291">
        <f>BW18</f>
        <v>1131050</v>
      </c>
      <c r="V59" s="291">
        <f>CA18</f>
        <v>1044800</v>
      </c>
      <c r="W59" s="291">
        <f>CE18</f>
        <v>960150</v>
      </c>
      <c r="X59" s="291">
        <f>CI18</f>
        <v>988650</v>
      </c>
      <c r="Y59" s="291">
        <f>CM18</f>
        <v>1048700</v>
      </c>
      <c r="Z59" s="291">
        <f>CQ18</f>
        <v>972900</v>
      </c>
      <c r="AA59" s="292">
        <f>CU18</f>
        <v>1048700</v>
      </c>
      <c r="AB59" s="293"/>
      <c r="AC59" s="293"/>
      <c r="AD59" s="293"/>
      <c r="AE59" s="293"/>
      <c r="AF59" s="293"/>
      <c r="AG59" s="293"/>
      <c r="AH59" s="293"/>
      <c r="AI59" s="293"/>
      <c r="AJ59" s="293"/>
      <c r="AK59" s="293"/>
      <c r="AL59" s="293"/>
      <c r="AM59" s="293"/>
      <c r="AN59" s="294"/>
      <c r="AO59" s="294"/>
      <c r="AP59" s="294"/>
      <c r="AQ59" s="294"/>
      <c r="AR59" s="294"/>
      <c r="AS59" s="294"/>
      <c r="AT59" s="294"/>
      <c r="AU59" s="294"/>
      <c r="AV59" s="294"/>
      <c r="AW59" s="294"/>
      <c r="AX59" s="294"/>
      <c r="AY59" s="294"/>
      <c r="AZ59" s="294"/>
      <c r="BA59" s="294"/>
      <c r="BB59" s="294"/>
      <c r="BC59" s="294"/>
      <c r="BD59" s="294"/>
      <c r="BE59" s="294"/>
      <c r="BF59" s="294"/>
      <c r="BG59" s="294"/>
      <c r="BH59" s="294"/>
      <c r="BI59" s="294"/>
      <c r="BJ59" s="294"/>
      <c r="BK59" s="294"/>
      <c r="BL59" s="294"/>
      <c r="BM59" s="294"/>
      <c r="BN59" s="294"/>
      <c r="BO59" s="294"/>
      <c r="BP59" s="294"/>
      <c r="BQ59" s="294"/>
      <c r="BR59" s="294"/>
      <c r="BS59" s="294"/>
      <c r="BT59" s="294"/>
      <c r="BU59" s="294"/>
      <c r="BV59" s="294"/>
      <c r="BW59" s="294"/>
      <c r="BX59" s="294"/>
      <c r="BY59" s="294"/>
      <c r="BZ59" s="294"/>
      <c r="CA59" s="294"/>
      <c r="CB59" s="294"/>
      <c r="CC59" s="294"/>
      <c r="CD59" s="294"/>
      <c r="CE59" s="294"/>
      <c r="CF59" s="294"/>
      <c r="CG59" s="294"/>
      <c r="CH59" s="294"/>
      <c r="CI59" s="294"/>
      <c r="CJ59" s="294"/>
      <c r="CK59" s="294"/>
      <c r="CL59" s="294"/>
      <c r="CM59" s="294"/>
      <c r="CN59" s="294"/>
      <c r="CO59" s="294"/>
      <c r="CP59" s="294"/>
      <c r="CQ59" s="294"/>
      <c r="CR59" s="294"/>
      <c r="CS59" s="294"/>
      <c r="CT59" s="294"/>
      <c r="CU59" s="294"/>
      <c r="CV59" s="285"/>
      <c r="CW59" s="285"/>
      <c r="CX59" s="285"/>
      <c r="CY59" s="285"/>
      <c r="CZ59" s="286"/>
      <c r="DA59" s="295"/>
      <c r="DB59" s="295"/>
      <c r="DC59" s="295"/>
    </row>
    <row r="60" spans="2:111" s="169" customFormat="1" ht="15.75">
      <c r="B60" s="279"/>
      <c r="C60" s="296" t="s">
        <v>334</v>
      </c>
      <c r="D60" s="297">
        <f>E18</f>
        <v>362</v>
      </c>
      <c r="E60" s="298">
        <f>I18</f>
        <v>403</v>
      </c>
      <c r="F60" s="298">
        <f>M18</f>
        <v>475</v>
      </c>
      <c r="G60" s="298">
        <f>Q18</f>
        <v>572</v>
      </c>
      <c r="H60" s="298">
        <f>U18</f>
        <v>616</v>
      </c>
      <c r="I60" s="298">
        <f>Y18</f>
        <v>706</v>
      </c>
      <c r="J60" s="298">
        <f>AC18</f>
        <v>719</v>
      </c>
      <c r="K60" s="298">
        <f>AG18</f>
        <v>719</v>
      </c>
      <c r="L60" s="298">
        <f>AK18</f>
        <v>801</v>
      </c>
      <c r="M60" s="298">
        <f>AO18</f>
        <v>913</v>
      </c>
      <c r="N60" s="298">
        <f>AS18</f>
        <v>907</v>
      </c>
      <c r="O60" s="298">
        <f>AW18</f>
        <v>1043</v>
      </c>
      <c r="P60" s="298">
        <f>BA18</f>
        <v>1192</v>
      </c>
      <c r="Q60" s="298">
        <f>BE18</f>
        <v>1170</v>
      </c>
      <c r="R60" s="298">
        <f>BI18</f>
        <v>1195</v>
      </c>
      <c r="S60" s="298">
        <f>BM18</f>
        <v>1270</v>
      </c>
      <c r="T60" s="298">
        <f>BQ18</f>
        <v>1215</v>
      </c>
      <c r="U60" s="298">
        <f>BU18</f>
        <v>1259</v>
      </c>
      <c r="V60" s="298">
        <f>BY18</f>
        <v>1164</v>
      </c>
      <c r="W60" s="298">
        <f>CC18</f>
        <v>1069</v>
      </c>
      <c r="X60" s="298">
        <f>CG18</f>
        <v>1101</v>
      </c>
      <c r="Y60" s="298">
        <f>CK18</f>
        <v>1170</v>
      </c>
      <c r="Z60" s="298">
        <f>CO18</f>
        <v>1084</v>
      </c>
      <c r="AA60" s="299">
        <f>CS18</f>
        <v>1170</v>
      </c>
      <c r="AB60" s="293"/>
      <c r="AC60" s="293"/>
      <c r="AD60" s="293"/>
      <c r="AE60" s="293"/>
      <c r="AF60" s="294"/>
      <c r="AG60" s="294"/>
      <c r="AH60" s="294"/>
      <c r="AI60" s="294"/>
      <c r="AJ60" s="294"/>
      <c r="AK60" s="294"/>
      <c r="AL60" s="294"/>
      <c r="AM60" s="294"/>
      <c r="AN60" s="294"/>
      <c r="AO60" s="294"/>
      <c r="AP60" s="294"/>
      <c r="AQ60" s="294"/>
      <c r="AR60" s="294"/>
      <c r="AS60" s="294"/>
      <c r="AT60" s="294"/>
      <c r="AU60" s="294"/>
      <c r="AV60" s="294"/>
      <c r="AW60" s="294"/>
      <c r="AX60" s="294"/>
      <c r="AY60" s="294"/>
      <c r="AZ60" s="294"/>
      <c r="BA60" s="294"/>
      <c r="BB60" s="294"/>
      <c r="BC60" s="294"/>
      <c r="BD60" s="294"/>
      <c r="BE60" s="294"/>
      <c r="BF60" s="294"/>
      <c r="BG60" s="294"/>
      <c r="BH60" s="294"/>
      <c r="BI60" s="294"/>
      <c r="BJ60" s="294"/>
      <c r="BK60" s="294"/>
      <c r="BL60" s="294"/>
      <c r="BM60" s="294"/>
      <c r="BN60" s="294"/>
      <c r="BO60" s="294"/>
      <c r="BP60" s="294"/>
      <c r="BQ60" s="294"/>
      <c r="BR60" s="294"/>
      <c r="BS60" s="294"/>
      <c r="BT60" s="294"/>
      <c r="BU60" s="294"/>
      <c r="BV60" s="294"/>
      <c r="BW60" s="294"/>
      <c r="BX60" s="294"/>
      <c r="BY60" s="294"/>
      <c r="BZ60" s="294"/>
      <c r="CA60" s="294"/>
      <c r="CB60" s="294"/>
      <c r="CC60" s="294"/>
      <c r="CD60" s="294"/>
      <c r="CE60" s="294"/>
      <c r="CF60" s="294"/>
      <c r="CG60" s="294"/>
      <c r="CH60" s="294"/>
      <c r="CI60" s="294"/>
      <c r="CJ60" s="294"/>
      <c r="CK60" s="294"/>
      <c r="CL60" s="294"/>
      <c r="CM60" s="294"/>
      <c r="CN60" s="294"/>
      <c r="CO60" s="294"/>
      <c r="CP60" s="294"/>
      <c r="CQ60" s="294"/>
      <c r="CR60" s="294"/>
      <c r="CS60" s="294"/>
      <c r="CT60" s="294"/>
      <c r="CU60" s="294"/>
      <c r="CV60" s="285"/>
      <c r="CW60" s="285"/>
      <c r="CX60" s="285"/>
      <c r="CY60" s="285"/>
      <c r="CZ60" s="286"/>
      <c r="DA60" s="295"/>
      <c r="DB60" s="295"/>
      <c r="DC60" s="295"/>
    </row>
    <row r="61" spans="2:111" s="169" customFormat="1" ht="16.5" thickBot="1">
      <c r="B61" s="279"/>
      <c r="C61" s="300" t="s">
        <v>61</v>
      </c>
      <c r="D61" s="301">
        <f t="shared" ref="D61:AA61" si="903">D59/D60</f>
        <v>695.99447513812152</v>
      </c>
      <c r="E61" s="302">
        <f t="shared" si="903"/>
        <v>823.89578163771716</v>
      </c>
      <c r="F61" s="302">
        <f t="shared" si="903"/>
        <v>821.66315789473686</v>
      </c>
      <c r="G61" s="302">
        <f t="shared" si="903"/>
        <v>899.65034965034965</v>
      </c>
      <c r="H61" s="302">
        <f t="shared" si="903"/>
        <v>901.05519480519479</v>
      </c>
      <c r="I61" s="302">
        <f t="shared" si="903"/>
        <v>901.8413597733711</v>
      </c>
      <c r="J61" s="302">
        <f t="shared" si="903"/>
        <v>902.01668984700973</v>
      </c>
      <c r="K61" s="302">
        <f t="shared" si="903"/>
        <v>902.01668984700973</v>
      </c>
      <c r="L61" s="302">
        <f t="shared" si="903"/>
        <v>900.87390761548068</v>
      </c>
      <c r="M61" s="302">
        <f t="shared" si="903"/>
        <v>897.20700985761232</v>
      </c>
      <c r="N61" s="302">
        <f t="shared" si="903"/>
        <v>898.01543550165377</v>
      </c>
      <c r="O61" s="302">
        <f t="shared" si="903"/>
        <v>898.32214765100673</v>
      </c>
      <c r="P61" s="302">
        <f t="shared" si="903"/>
        <v>896.60234899328862</v>
      </c>
      <c r="Q61" s="302">
        <f t="shared" si="903"/>
        <v>896.32478632478637</v>
      </c>
      <c r="R61" s="302">
        <f t="shared" si="903"/>
        <v>896.6108786610879</v>
      </c>
      <c r="S61" s="302">
        <f t="shared" si="903"/>
        <v>898.70078740157476</v>
      </c>
      <c r="T61" s="302">
        <f t="shared" si="903"/>
        <v>895.76131687242798</v>
      </c>
      <c r="U61" s="302">
        <f t="shared" si="903"/>
        <v>898.37172359015096</v>
      </c>
      <c r="V61" s="302">
        <f t="shared" si="903"/>
        <v>897.59450171821311</v>
      </c>
      <c r="W61" s="302">
        <f t="shared" si="903"/>
        <v>898.17586529466791</v>
      </c>
      <c r="X61" s="302">
        <f t="shared" si="903"/>
        <v>897.95640326975479</v>
      </c>
      <c r="Y61" s="302">
        <f t="shared" si="903"/>
        <v>896.32478632478637</v>
      </c>
      <c r="Z61" s="302">
        <f t="shared" si="903"/>
        <v>897.50922509225097</v>
      </c>
      <c r="AA61" s="303">
        <f t="shared" si="903"/>
        <v>896.32478632478637</v>
      </c>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4"/>
      <c r="BN61" s="294"/>
      <c r="BO61" s="294"/>
      <c r="BP61" s="294"/>
      <c r="BQ61" s="294"/>
      <c r="BR61" s="294"/>
      <c r="BS61" s="294"/>
      <c r="BT61" s="294"/>
      <c r="BU61" s="294"/>
      <c r="BV61" s="294"/>
      <c r="BW61" s="294"/>
      <c r="BX61" s="294"/>
      <c r="BY61" s="294"/>
      <c r="BZ61" s="294"/>
      <c r="CA61" s="294"/>
      <c r="CB61" s="294"/>
      <c r="CC61" s="294"/>
      <c r="CD61" s="294"/>
      <c r="CE61" s="294"/>
      <c r="CF61" s="294"/>
      <c r="CG61" s="294"/>
      <c r="CH61" s="294"/>
      <c r="CI61" s="294"/>
      <c r="CJ61" s="294"/>
      <c r="CK61" s="294"/>
      <c r="CL61" s="294"/>
      <c r="CM61" s="294"/>
      <c r="CN61" s="294"/>
      <c r="CO61" s="294"/>
      <c r="CP61" s="294"/>
      <c r="CQ61" s="294"/>
      <c r="CR61" s="294"/>
      <c r="CS61" s="294"/>
      <c r="CT61" s="294"/>
      <c r="CU61" s="294"/>
      <c r="CV61" s="285"/>
      <c r="CW61" s="285"/>
      <c r="CX61" s="285"/>
      <c r="CY61" s="285"/>
      <c r="CZ61" s="286"/>
      <c r="DA61" s="295"/>
      <c r="DB61" s="295"/>
      <c r="DC61" s="295"/>
    </row>
    <row r="62" spans="2:111" ht="15.75" thickBot="1">
      <c r="B62" s="212"/>
      <c r="C62" s="213"/>
      <c r="D62" s="214"/>
      <c r="E62" s="215"/>
      <c r="F62" s="214"/>
      <c r="G62" s="214"/>
      <c r="H62" s="216"/>
      <c r="I62" s="216"/>
      <c r="J62" s="216"/>
      <c r="K62" s="216"/>
      <c r="L62" s="217"/>
      <c r="M62" s="216"/>
      <c r="N62" s="216"/>
      <c r="O62" s="216"/>
      <c r="P62" s="216"/>
      <c r="Q62" s="216"/>
      <c r="R62" s="216"/>
      <c r="S62" s="216"/>
      <c r="T62" s="217"/>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6"/>
      <c r="CX62" s="216"/>
      <c r="CY62" s="216"/>
      <c r="CZ62" s="218"/>
      <c r="DA62" s="107"/>
      <c r="DB62" s="107"/>
      <c r="DC62" s="107"/>
      <c r="DD62" s="107"/>
      <c r="DE62" s="107"/>
      <c r="DF62" s="107"/>
      <c r="DG62" s="107"/>
    </row>
    <row r="63" spans="2:111">
      <c r="C63" s="109"/>
      <c r="H63" s="107"/>
      <c r="I63" s="107"/>
      <c r="J63" s="107"/>
      <c r="K63" s="107"/>
      <c r="L63" s="108"/>
      <c r="M63" s="107"/>
      <c r="N63" s="107"/>
      <c r="O63" s="107"/>
      <c r="P63" s="107"/>
      <c r="Q63" s="107"/>
      <c r="R63" s="107"/>
      <c r="S63" s="107"/>
      <c r="T63" s="108"/>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row>
    <row r="64" spans="2:111">
      <c r="C64" s="109"/>
      <c r="H64" s="107"/>
      <c r="I64" s="107"/>
      <c r="J64" s="107"/>
      <c r="K64" s="107"/>
      <c r="L64" s="108"/>
      <c r="M64" s="107"/>
      <c r="N64" s="107"/>
      <c r="O64" s="107"/>
      <c r="P64" s="107"/>
      <c r="Q64" s="107"/>
      <c r="R64" s="107"/>
      <c r="S64" s="107"/>
      <c r="T64" s="108"/>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7"/>
      <c r="DC64" s="107"/>
      <c r="DD64" s="107"/>
      <c r="DE64" s="107"/>
      <c r="DF64" s="107"/>
      <c r="DG64" s="107"/>
    </row>
    <row r="65" spans="3:111">
      <c r="C65" s="109"/>
      <c r="H65" s="107"/>
      <c r="I65" s="107"/>
      <c r="J65" s="107"/>
      <c r="K65" s="107"/>
      <c r="L65" s="108"/>
      <c r="M65" s="107"/>
      <c r="N65" s="107"/>
      <c r="O65" s="107"/>
      <c r="P65" s="107"/>
      <c r="Q65" s="107"/>
      <c r="R65" s="107"/>
      <c r="S65" s="107"/>
      <c r="T65" s="108"/>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7"/>
      <c r="DC65" s="107"/>
      <c r="DD65" s="107"/>
      <c r="DE65" s="107"/>
      <c r="DF65" s="107"/>
      <c r="DG65" s="107"/>
    </row>
  </sheetData>
  <mergeCells count="27">
    <mergeCell ref="BH14:BK14"/>
    <mergeCell ref="AV14:AY14"/>
    <mergeCell ref="AR14:AU14"/>
    <mergeCell ref="D14:G14"/>
    <mergeCell ref="H14:K14"/>
    <mergeCell ref="L14:O14"/>
    <mergeCell ref="AF14:AI14"/>
    <mergeCell ref="AB14:AE14"/>
    <mergeCell ref="AN14:AQ14"/>
    <mergeCell ref="AJ14:AM14"/>
    <mergeCell ref="AZ14:BC14"/>
    <mergeCell ref="B3:CZ3"/>
    <mergeCell ref="B4:CZ4"/>
    <mergeCell ref="BL14:BO14"/>
    <mergeCell ref="T14:W14"/>
    <mergeCell ref="X14:AA14"/>
    <mergeCell ref="P14:S14"/>
    <mergeCell ref="CV14:CY14"/>
    <mergeCell ref="CJ14:CM14"/>
    <mergeCell ref="CN14:CQ14"/>
    <mergeCell ref="CR14:CU14"/>
    <mergeCell ref="BP14:BS14"/>
    <mergeCell ref="BT14:BW14"/>
    <mergeCell ref="BX14:CA14"/>
    <mergeCell ref="CB14:CE14"/>
    <mergeCell ref="CF14:CI14"/>
    <mergeCell ref="BD14:BG14"/>
  </mergeCells>
  <pageMargins left="0.7" right="0.7" top="0.75" bottom="0.75" header="0.3" footer="0.3"/>
  <pageSetup paperSize="9" scale="11" orientation="portrait" r:id="rId1"/>
  <drawing r:id="rId2"/>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'Data 1'!#REF!</xm:f>
          </x14:formula1>
          <xm:sqref>C13</xm:sqref>
        </x14:dataValidation>
        <x14:dataValidation type="list" allowBlank="1" showInputMessage="1" showErrorMessage="1" xr:uid="{00000000-0002-0000-0800-000001000000}">
          <x14:formula1>
            <xm:f>'Data 1'!#REF!</xm:f>
          </x14:formula1>
          <xm:sqref>C17</xm:sqref>
        </x14:dataValidation>
        <x14:dataValidation type="list" allowBlank="1" showInputMessage="1" showErrorMessage="1" xr:uid="{00000000-0002-0000-0800-000002000000}">
          <x14:formula1>
            <xm:f>'Data 1'!$F$2:$F$13</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sheetPr>
    <pageSetUpPr fitToPage="1"/>
  </sheetPr>
  <dimension ref="A1:BN18"/>
  <sheetViews>
    <sheetView view="pageBreakPreview" zoomScaleNormal="70" zoomScaleSheetLayoutView="100" workbookViewId="0">
      <selection activeCell="O24" sqref="O24"/>
    </sheetView>
  </sheetViews>
  <sheetFormatPr defaultColWidth="15.28515625" defaultRowHeight="15" customHeight="1" outlineLevelCol="1"/>
  <cols>
    <col min="1" max="2" width="7.5703125" style="23" customWidth="1"/>
    <col min="3" max="3" width="20" style="23" bestFit="1" customWidth="1"/>
    <col min="4" max="4" width="11.5703125" style="24" bestFit="1" customWidth="1"/>
    <col min="5" max="5" width="11.28515625" style="23" customWidth="1"/>
    <col min="6" max="16" width="11.5703125" style="23" bestFit="1" customWidth="1"/>
    <col min="17" max="28" width="11.5703125" style="23" hidden="1" customWidth="1" outlineLevel="1"/>
    <col min="29" max="40" width="11.5703125" style="56" hidden="1" customWidth="1" outlineLevel="1"/>
    <col min="41" max="64" width="11.5703125" style="61" hidden="1" customWidth="1" outlineLevel="1"/>
    <col min="65" max="65" width="8.28515625" style="23" customWidth="1" collapsed="1"/>
    <col min="66" max="16384" width="15.28515625" style="23"/>
  </cols>
  <sheetData>
    <row r="1" spans="1:66" ht="15" customHeight="1" thickBot="1"/>
    <row r="2" spans="1:66" ht="20.25" customHeight="1">
      <c r="B2" s="4"/>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6"/>
    </row>
    <row r="3" spans="1:66" ht="20.25">
      <c r="B3" s="487" t="s">
        <v>282</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c r="AV3" s="488"/>
      <c r="AW3" s="488"/>
      <c r="AX3" s="488"/>
      <c r="AY3" s="488"/>
      <c r="AZ3" s="488"/>
      <c r="BA3" s="488"/>
      <c r="BB3" s="488"/>
      <c r="BC3" s="488"/>
      <c r="BD3" s="488"/>
      <c r="BE3" s="488"/>
      <c r="BF3" s="488"/>
      <c r="BG3" s="488"/>
      <c r="BH3" s="488"/>
      <c r="BI3" s="488"/>
      <c r="BJ3" s="488"/>
      <c r="BK3" s="488"/>
      <c r="BL3" s="488"/>
      <c r="BM3" s="489"/>
    </row>
    <row r="4" spans="1:66" ht="20.25">
      <c r="B4" s="487" t="str">
        <f>'Ежемесячные затраты - средние'!B4:E4</f>
        <v>по франшизе "АКСИОМА"</v>
      </c>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9"/>
    </row>
    <row r="5" spans="1:66" ht="15" customHeight="1">
      <c r="B5" s="8"/>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10"/>
    </row>
    <row r="6" spans="1:66">
      <c r="B6" s="8"/>
      <c r="C6" s="124"/>
      <c r="D6" s="521" t="s">
        <v>35</v>
      </c>
      <c r="E6" s="522"/>
      <c r="F6" s="522"/>
      <c r="G6" s="522"/>
      <c r="H6" s="522"/>
      <c r="I6" s="523"/>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0"/>
    </row>
    <row r="7" spans="1:66" s="24" customFormat="1" ht="15" customHeight="1">
      <c r="B7" s="8"/>
      <c r="C7" s="124"/>
      <c r="D7" s="35" t="s">
        <v>36</v>
      </c>
      <c r="E7" s="519" t="s">
        <v>47</v>
      </c>
      <c r="F7" s="519"/>
      <c r="G7" s="519"/>
      <c r="H7" s="519"/>
      <c r="I7" s="519"/>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0"/>
    </row>
    <row r="8" spans="1:66" s="24" customFormat="1" ht="15" customHeight="1">
      <c r="B8" s="8"/>
      <c r="C8" s="124"/>
      <c r="D8" s="35">
        <v>1</v>
      </c>
      <c r="E8" s="519" t="s">
        <v>77</v>
      </c>
      <c r="F8" s="519"/>
      <c r="G8" s="519"/>
      <c r="H8" s="519"/>
      <c r="I8" s="519"/>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0"/>
    </row>
    <row r="9" spans="1:66" s="24" customFormat="1" ht="15" customHeight="1">
      <c r="B9" s="8"/>
      <c r="C9" s="124"/>
      <c r="D9" s="35">
        <v>2</v>
      </c>
      <c r="E9" s="519" t="s">
        <v>92</v>
      </c>
      <c r="F9" s="519"/>
      <c r="G9" s="519"/>
      <c r="H9" s="519"/>
      <c r="I9" s="519"/>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0"/>
    </row>
    <row r="10" spans="1:66" s="24" customFormat="1" ht="15" customHeight="1">
      <c r="B10" s="8"/>
      <c r="C10" s="124"/>
      <c r="D10" s="35">
        <v>3</v>
      </c>
      <c r="E10" s="519" t="s">
        <v>78</v>
      </c>
      <c r="F10" s="519"/>
      <c r="G10" s="519"/>
      <c r="H10" s="519"/>
      <c r="I10" s="519"/>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0"/>
    </row>
    <row r="11" spans="1:66" s="24" customFormat="1" ht="15" customHeight="1">
      <c r="B11" s="8"/>
      <c r="C11" s="124"/>
      <c r="D11" s="35">
        <v>4</v>
      </c>
      <c r="E11" s="519" t="s">
        <v>79</v>
      </c>
      <c r="F11" s="519"/>
      <c r="G11" s="519"/>
      <c r="H11" s="519"/>
      <c r="I11" s="519"/>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0"/>
    </row>
    <row r="12" spans="1:66" s="24" customFormat="1" ht="15" customHeight="1">
      <c r="B12" s="8"/>
      <c r="C12" s="124"/>
      <c r="D12" s="35">
        <v>5</v>
      </c>
      <c r="E12" s="519" t="s">
        <v>80</v>
      </c>
      <c r="F12" s="519"/>
      <c r="G12" s="519"/>
      <c r="H12" s="519"/>
      <c r="I12" s="519"/>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0"/>
    </row>
    <row r="13" spans="1:66" s="155" customFormat="1" ht="15" customHeight="1">
      <c r="B13" s="8"/>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0"/>
    </row>
    <row r="14" spans="1:66" s="24" customFormat="1">
      <c r="B14" s="8"/>
      <c r="C14" s="520" t="s">
        <v>39</v>
      </c>
      <c r="D14" s="520"/>
      <c r="E14" s="520"/>
      <c r="F14" s="520"/>
      <c r="G14" s="520"/>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520"/>
      <c r="AK14" s="520"/>
      <c r="AL14" s="520"/>
      <c r="AM14" s="520"/>
      <c r="AN14" s="520"/>
      <c r="AO14" s="520"/>
      <c r="AP14" s="520"/>
      <c r="AQ14" s="520"/>
      <c r="AR14" s="520"/>
      <c r="AS14" s="520"/>
      <c r="AT14" s="520"/>
      <c r="AU14" s="520"/>
      <c r="AV14" s="520"/>
      <c r="AW14" s="520"/>
      <c r="AX14" s="520"/>
      <c r="AY14" s="520"/>
      <c r="AZ14" s="520"/>
      <c r="BA14" s="520"/>
      <c r="BB14" s="520"/>
      <c r="BC14" s="520"/>
      <c r="BD14" s="520"/>
      <c r="BE14" s="520"/>
      <c r="BF14" s="520"/>
      <c r="BG14" s="520"/>
      <c r="BH14" s="520"/>
      <c r="BI14" s="520"/>
      <c r="BJ14" s="520"/>
      <c r="BK14" s="520"/>
      <c r="BL14" s="520"/>
      <c r="BM14" s="10"/>
    </row>
    <row r="15" spans="1:66" s="93" customFormat="1">
      <c r="B15" s="8"/>
      <c r="C15" s="132" t="s">
        <v>129</v>
      </c>
      <c r="D15" s="132"/>
      <c r="E15" s="132" t="str">
        <f>'План по выручке'!D58</f>
        <v>Май</v>
      </c>
      <c r="F15" s="132" t="str">
        <f>'План по выручке'!E58</f>
        <v>Июнь</v>
      </c>
      <c r="G15" s="132" t="str">
        <f>'План по выручке'!F58</f>
        <v>Июль</v>
      </c>
      <c r="H15" s="132" t="str">
        <f>'План по выручке'!G58</f>
        <v>Август</v>
      </c>
      <c r="I15" s="132" t="str">
        <f>'План по выручке'!H58</f>
        <v>Сентябрь</v>
      </c>
      <c r="J15" s="132" t="str">
        <f>'План по выручке'!I58</f>
        <v>Октябрь</v>
      </c>
      <c r="K15" s="132" t="str">
        <f>'План по выручке'!J58</f>
        <v>Ноябрь</v>
      </c>
      <c r="L15" s="132" t="str">
        <f>'План по выручке'!K58</f>
        <v>Декабрь</v>
      </c>
      <c r="M15" s="132" t="str">
        <f>'План по выручке'!L58</f>
        <v>Январь</v>
      </c>
      <c r="N15" s="132" t="str">
        <f>'План по выручке'!M58</f>
        <v>Февраль</v>
      </c>
      <c r="O15" s="132" t="str">
        <f>'План по выручке'!N58</f>
        <v>Март</v>
      </c>
      <c r="P15" s="132" t="str">
        <f>'План по выручке'!O58</f>
        <v>Апрель</v>
      </c>
      <c r="Q15" s="132" t="str">
        <f>'План по выручке'!P58</f>
        <v>Май</v>
      </c>
      <c r="R15" s="132" t="str">
        <f>'План по выручке'!Q58</f>
        <v>Июнь</v>
      </c>
      <c r="S15" s="132" t="str">
        <f>'План по выручке'!R58</f>
        <v>Июль</v>
      </c>
      <c r="T15" s="132" t="str">
        <f>'План по выручке'!S58</f>
        <v>Август</v>
      </c>
      <c r="U15" s="132" t="str">
        <f>'План по выручке'!T58</f>
        <v>Сентябрь</v>
      </c>
      <c r="V15" s="132" t="str">
        <f>'План по выручке'!U58</f>
        <v>Октябрь</v>
      </c>
      <c r="W15" s="132" t="str">
        <f>'План по выручке'!V58</f>
        <v>Ноябрь</v>
      </c>
      <c r="X15" s="132" t="str">
        <f>'План по выручке'!W58</f>
        <v>Декабрь</v>
      </c>
      <c r="Y15" s="132" t="str">
        <f>'План по выручке'!X58</f>
        <v>Январь</v>
      </c>
      <c r="Z15" s="132" t="str">
        <f>'План по выручке'!Y58</f>
        <v>Февраль</v>
      </c>
      <c r="AA15" s="132" t="str">
        <f>'План по выручке'!Z58</f>
        <v>Март</v>
      </c>
      <c r="AB15" s="132" t="str">
        <f>'План по выручке'!AA58</f>
        <v>Апрель</v>
      </c>
      <c r="AC15" s="132" t="str">
        <f>Q15</f>
        <v>Май</v>
      </c>
      <c r="AD15" s="132" t="str">
        <f t="shared" ref="AD15:BL15" si="0">R15</f>
        <v>Июнь</v>
      </c>
      <c r="AE15" s="132" t="str">
        <f t="shared" si="0"/>
        <v>Июль</v>
      </c>
      <c r="AF15" s="132" t="str">
        <f t="shared" si="0"/>
        <v>Август</v>
      </c>
      <c r="AG15" s="132" t="str">
        <f t="shared" si="0"/>
        <v>Сентябрь</v>
      </c>
      <c r="AH15" s="132" t="str">
        <f t="shared" si="0"/>
        <v>Октябрь</v>
      </c>
      <c r="AI15" s="132" t="str">
        <f t="shared" si="0"/>
        <v>Ноябрь</v>
      </c>
      <c r="AJ15" s="132" t="str">
        <f t="shared" si="0"/>
        <v>Декабрь</v>
      </c>
      <c r="AK15" s="132" t="str">
        <f t="shared" si="0"/>
        <v>Январь</v>
      </c>
      <c r="AL15" s="132" t="str">
        <f t="shared" si="0"/>
        <v>Февраль</v>
      </c>
      <c r="AM15" s="132" t="str">
        <f t="shared" si="0"/>
        <v>Март</v>
      </c>
      <c r="AN15" s="132" t="str">
        <f t="shared" si="0"/>
        <v>Апрель</v>
      </c>
      <c r="AO15" s="132" t="str">
        <f t="shared" si="0"/>
        <v>Май</v>
      </c>
      <c r="AP15" s="132" t="str">
        <f t="shared" si="0"/>
        <v>Июнь</v>
      </c>
      <c r="AQ15" s="132" t="str">
        <f t="shared" si="0"/>
        <v>Июль</v>
      </c>
      <c r="AR15" s="132" t="str">
        <f t="shared" si="0"/>
        <v>Август</v>
      </c>
      <c r="AS15" s="132" t="str">
        <f t="shared" si="0"/>
        <v>Сентябрь</v>
      </c>
      <c r="AT15" s="132" t="str">
        <f t="shared" si="0"/>
        <v>Октябрь</v>
      </c>
      <c r="AU15" s="132" t="str">
        <f t="shared" si="0"/>
        <v>Ноябрь</v>
      </c>
      <c r="AV15" s="132" t="str">
        <f t="shared" si="0"/>
        <v>Декабрь</v>
      </c>
      <c r="AW15" s="132" t="str">
        <f t="shared" si="0"/>
        <v>Январь</v>
      </c>
      <c r="AX15" s="132" t="str">
        <f t="shared" si="0"/>
        <v>Февраль</v>
      </c>
      <c r="AY15" s="132" t="str">
        <f t="shared" si="0"/>
        <v>Март</v>
      </c>
      <c r="AZ15" s="132" t="str">
        <f t="shared" si="0"/>
        <v>Апрель</v>
      </c>
      <c r="BA15" s="132" t="str">
        <f t="shared" si="0"/>
        <v>Май</v>
      </c>
      <c r="BB15" s="132" t="str">
        <f t="shared" si="0"/>
        <v>Июнь</v>
      </c>
      <c r="BC15" s="132" t="str">
        <f t="shared" si="0"/>
        <v>Июль</v>
      </c>
      <c r="BD15" s="132" t="str">
        <f t="shared" si="0"/>
        <v>Август</v>
      </c>
      <c r="BE15" s="132" t="str">
        <f t="shared" si="0"/>
        <v>Сентябрь</v>
      </c>
      <c r="BF15" s="132" t="str">
        <f t="shared" si="0"/>
        <v>Октябрь</v>
      </c>
      <c r="BG15" s="132" t="str">
        <f t="shared" si="0"/>
        <v>Ноябрь</v>
      </c>
      <c r="BH15" s="132" t="str">
        <f t="shared" si="0"/>
        <v>Декабрь</v>
      </c>
      <c r="BI15" s="132" t="str">
        <f t="shared" si="0"/>
        <v>Январь</v>
      </c>
      <c r="BJ15" s="132" t="str">
        <f t="shared" si="0"/>
        <v>Февраль</v>
      </c>
      <c r="BK15" s="132" t="str">
        <f t="shared" si="0"/>
        <v>Март</v>
      </c>
      <c r="BL15" s="132" t="str">
        <f t="shared" si="0"/>
        <v>Апрель</v>
      </c>
      <c r="BM15" s="10"/>
    </row>
    <row r="16" spans="1:66" s="55" customFormat="1">
      <c r="A16" s="1"/>
      <c r="B16" s="8"/>
      <c r="C16" s="40" t="s">
        <v>61</v>
      </c>
      <c r="D16" s="91">
        <f>AVERAGE(E16:BL16)</f>
        <v>891.79303064483963</v>
      </c>
      <c r="E16" s="58">
        <f>'План по выручке'!D61</f>
        <v>695.99447513812152</v>
      </c>
      <c r="F16" s="58">
        <f>'План по выручке'!E61</f>
        <v>823.89578163771716</v>
      </c>
      <c r="G16" s="58">
        <f>'План по выручке'!F61</f>
        <v>821.66315789473686</v>
      </c>
      <c r="H16" s="58">
        <f>'План по выручке'!G61</f>
        <v>899.65034965034965</v>
      </c>
      <c r="I16" s="58">
        <f>'План по выручке'!H61</f>
        <v>901.05519480519479</v>
      </c>
      <c r="J16" s="58">
        <f>'План по выручке'!I61</f>
        <v>901.8413597733711</v>
      </c>
      <c r="K16" s="58">
        <f>'План по выручке'!J61</f>
        <v>902.01668984700973</v>
      </c>
      <c r="L16" s="58">
        <f>'План по выручке'!K61</f>
        <v>902.01668984700973</v>
      </c>
      <c r="M16" s="58">
        <f>'План по выручке'!L61</f>
        <v>900.87390761548068</v>
      </c>
      <c r="N16" s="58">
        <f>'План по выручке'!M61</f>
        <v>897.20700985761232</v>
      </c>
      <c r="O16" s="58">
        <f>'План по выручке'!N61</f>
        <v>898.01543550165377</v>
      </c>
      <c r="P16" s="58">
        <f>'План по выручке'!O61</f>
        <v>898.32214765100673</v>
      </c>
      <c r="Q16" s="58">
        <f>'План по выручке'!P61</f>
        <v>896.60234899328862</v>
      </c>
      <c r="R16" s="58">
        <f>'План по выручке'!Q61</f>
        <v>896.32478632478637</v>
      </c>
      <c r="S16" s="58">
        <f>'План по выручке'!R61</f>
        <v>896.6108786610879</v>
      </c>
      <c r="T16" s="58">
        <f>'План по выручке'!S61</f>
        <v>898.70078740157476</v>
      </c>
      <c r="U16" s="58">
        <f>'План по выручке'!T61</f>
        <v>895.76131687242798</v>
      </c>
      <c r="V16" s="58">
        <f>'План по выручке'!U61</f>
        <v>898.37172359015096</v>
      </c>
      <c r="W16" s="58">
        <f>'План по выручке'!V61</f>
        <v>897.59450171821311</v>
      </c>
      <c r="X16" s="58">
        <f>'План по выручке'!W61</f>
        <v>898.17586529466791</v>
      </c>
      <c r="Y16" s="58">
        <f>'План по выручке'!X61</f>
        <v>897.95640326975479</v>
      </c>
      <c r="Z16" s="58">
        <f>'План по выручке'!Y61</f>
        <v>896.32478632478637</v>
      </c>
      <c r="AA16" s="58">
        <f>'План по выручке'!Z61</f>
        <v>897.50922509225097</v>
      </c>
      <c r="AB16" s="58">
        <f>'План по выручке'!AA61</f>
        <v>896.32478632478637</v>
      </c>
      <c r="AC16" s="58">
        <f>Q16</f>
        <v>896.60234899328862</v>
      </c>
      <c r="AD16" s="58">
        <f t="shared" ref="AD16:BL17" si="1">R16</f>
        <v>896.32478632478637</v>
      </c>
      <c r="AE16" s="58">
        <f t="shared" si="1"/>
        <v>896.6108786610879</v>
      </c>
      <c r="AF16" s="58">
        <f t="shared" si="1"/>
        <v>898.70078740157476</v>
      </c>
      <c r="AG16" s="58">
        <f t="shared" si="1"/>
        <v>895.76131687242798</v>
      </c>
      <c r="AH16" s="58">
        <f t="shared" si="1"/>
        <v>898.37172359015096</v>
      </c>
      <c r="AI16" s="58">
        <f t="shared" si="1"/>
        <v>897.59450171821311</v>
      </c>
      <c r="AJ16" s="58">
        <f t="shared" si="1"/>
        <v>898.17586529466791</v>
      </c>
      <c r="AK16" s="58">
        <f t="shared" si="1"/>
        <v>897.95640326975479</v>
      </c>
      <c r="AL16" s="58">
        <f t="shared" si="1"/>
        <v>896.32478632478637</v>
      </c>
      <c r="AM16" s="58">
        <f t="shared" si="1"/>
        <v>897.50922509225097</v>
      </c>
      <c r="AN16" s="58">
        <f t="shared" si="1"/>
        <v>896.32478632478637</v>
      </c>
      <c r="AO16" s="58">
        <f t="shared" si="1"/>
        <v>896.60234899328862</v>
      </c>
      <c r="AP16" s="58">
        <f t="shared" si="1"/>
        <v>896.32478632478637</v>
      </c>
      <c r="AQ16" s="58">
        <f t="shared" si="1"/>
        <v>896.6108786610879</v>
      </c>
      <c r="AR16" s="58">
        <f t="shared" si="1"/>
        <v>898.70078740157476</v>
      </c>
      <c r="AS16" s="58">
        <f t="shared" si="1"/>
        <v>895.76131687242798</v>
      </c>
      <c r="AT16" s="58">
        <f t="shared" si="1"/>
        <v>898.37172359015096</v>
      </c>
      <c r="AU16" s="58">
        <f t="shared" si="1"/>
        <v>897.59450171821311</v>
      </c>
      <c r="AV16" s="58">
        <f t="shared" si="1"/>
        <v>898.17586529466791</v>
      </c>
      <c r="AW16" s="58">
        <f t="shared" si="1"/>
        <v>897.95640326975479</v>
      </c>
      <c r="AX16" s="58">
        <f t="shared" si="1"/>
        <v>896.32478632478637</v>
      </c>
      <c r="AY16" s="58">
        <f t="shared" si="1"/>
        <v>897.50922509225097</v>
      </c>
      <c r="AZ16" s="58">
        <f t="shared" si="1"/>
        <v>896.32478632478637</v>
      </c>
      <c r="BA16" s="58">
        <f t="shared" si="1"/>
        <v>896.60234899328862</v>
      </c>
      <c r="BB16" s="58">
        <f t="shared" si="1"/>
        <v>896.32478632478637</v>
      </c>
      <c r="BC16" s="58">
        <f t="shared" si="1"/>
        <v>896.6108786610879</v>
      </c>
      <c r="BD16" s="58">
        <f t="shared" si="1"/>
        <v>898.70078740157476</v>
      </c>
      <c r="BE16" s="58">
        <f t="shared" si="1"/>
        <v>895.76131687242798</v>
      </c>
      <c r="BF16" s="58">
        <f t="shared" si="1"/>
        <v>898.37172359015096</v>
      </c>
      <c r="BG16" s="58">
        <f t="shared" si="1"/>
        <v>897.59450171821311</v>
      </c>
      <c r="BH16" s="58">
        <f t="shared" si="1"/>
        <v>898.17586529466791</v>
      </c>
      <c r="BI16" s="58">
        <f t="shared" si="1"/>
        <v>897.95640326975479</v>
      </c>
      <c r="BJ16" s="58">
        <f t="shared" si="1"/>
        <v>896.32478632478637</v>
      </c>
      <c r="BK16" s="58">
        <f t="shared" si="1"/>
        <v>897.50922509225097</v>
      </c>
      <c r="BL16" s="58">
        <f t="shared" si="1"/>
        <v>896.32478632478637</v>
      </c>
      <c r="BM16" s="10"/>
      <c r="BN16" s="1"/>
    </row>
    <row r="17" spans="2:65" ht="15" customHeight="1">
      <c r="B17" s="8"/>
      <c r="C17" s="38" t="s">
        <v>62</v>
      </c>
      <c r="D17" s="39"/>
      <c r="E17" s="91">
        <f>'План по выручке'!D59</f>
        <v>251950</v>
      </c>
      <c r="F17" s="91">
        <f>'План по выручке'!E59</f>
        <v>332030</v>
      </c>
      <c r="G17" s="91">
        <f>'План по выручке'!F59</f>
        <v>390290</v>
      </c>
      <c r="H17" s="91">
        <f>'План по выручке'!G59</f>
        <v>514600</v>
      </c>
      <c r="I17" s="91">
        <f>'План по выручке'!H59</f>
        <v>555050</v>
      </c>
      <c r="J17" s="91">
        <f>'План по выручке'!I59</f>
        <v>636700</v>
      </c>
      <c r="K17" s="91">
        <f>'План по выручке'!J59</f>
        <v>648550</v>
      </c>
      <c r="L17" s="91">
        <f>'План по выручке'!K59</f>
        <v>648550</v>
      </c>
      <c r="M17" s="91">
        <f>'План по выручке'!L59</f>
        <v>721600</v>
      </c>
      <c r="N17" s="91">
        <f>'План по выручке'!M59</f>
        <v>819150</v>
      </c>
      <c r="O17" s="91">
        <f>'План по выручке'!N59</f>
        <v>814500</v>
      </c>
      <c r="P17" s="91">
        <f>'План по выручке'!O59</f>
        <v>936950</v>
      </c>
      <c r="Q17" s="91">
        <f>'План по выручке'!P59</f>
        <v>1068750</v>
      </c>
      <c r="R17" s="91">
        <f>'План по выручке'!Q59</f>
        <v>1048700</v>
      </c>
      <c r="S17" s="91">
        <f>'План по выручке'!R59</f>
        <v>1071450</v>
      </c>
      <c r="T17" s="91">
        <f>'План по выручке'!S59</f>
        <v>1141350</v>
      </c>
      <c r="U17" s="91">
        <f>'План по выручке'!T59</f>
        <v>1088350</v>
      </c>
      <c r="V17" s="91">
        <f>'План по выручке'!U59</f>
        <v>1131050</v>
      </c>
      <c r="W17" s="91">
        <f>'План по выручке'!V59</f>
        <v>1044800</v>
      </c>
      <c r="X17" s="91">
        <f>'План по выручке'!W59</f>
        <v>960150</v>
      </c>
      <c r="Y17" s="91">
        <f>'План по выручке'!X59</f>
        <v>988650</v>
      </c>
      <c r="Z17" s="91">
        <f>'План по выручке'!Y59</f>
        <v>1048700</v>
      </c>
      <c r="AA17" s="91">
        <f>'План по выручке'!Z59</f>
        <v>972900</v>
      </c>
      <c r="AB17" s="91">
        <f>'План по выручке'!AA59</f>
        <v>1048700</v>
      </c>
      <c r="AC17" s="91">
        <f>Q17</f>
        <v>1068750</v>
      </c>
      <c r="AD17" s="91">
        <f t="shared" si="1"/>
        <v>1048700</v>
      </c>
      <c r="AE17" s="91">
        <f t="shared" si="1"/>
        <v>1071450</v>
      </c>
      <c r="AF17" s="91">
        <f t="shared" si="1"/>
        <v>1141350</v>
      </c>
      <c r="AG17" s="91">
        <f t="shared" si="1"/>
        <v>1088350</v>
      </c>
      <c r="AH17" s="91">
        <f t="shared" si="1"/>
        <v>1131050</v>
      </c>
      <c r="AI17" s="91">
        <f t="shared" si="1"/>
        <v>1044800</v>
      </c>
      <c r="AJ17" s="91">
        <f t="shared" si="1"/>
        <v>960150</v>
      </c>
      <c r="AK17" s="91">
        <f t="shared" si="1"/>
        <v>988650</v>
      </c>
      <c r="AL17" s="91">
        <f t="shared" si="1"/>
        <v>1048700</v>
      </c>
      <c r="AM17" s="91">
        <f t="shared" si="1"/>
        <v>972900</v>
      </c>
      <c r="AN17" s="91">
        <f t="shared" si="1"/>
        <v>1048700</v>
      </c>
      <c r="AO17" s="91">
        <f t="shared" si="1"/>
        <v>1068750</v>
      </c>
      <c r="AP17" s="91">
        <f t="shared" si="1"/>
        <v>1048700</v>
      </c>
      <c r="AQ17" s="91">
        <f t="shared" si="1"/>
        <v>1071450</v>
      </c>
      <c r="AR17" s="91">
        <f t="shared" si="1"/>
        <v>1141350</v>
      </c>
      <c r="AS17" s="91">
        <f t="shared" si="1"/>
        <v>1088350</v>
      </c>
      <c r="AT17" s="91">
        <f t="shared" si="1"/>
        <v>1131050</v>
      </c>
      <c r="AU17" s="91">
        <f t="shared" si="1"/>
        <v>1044800</v>
      </c>
      <c r="AV17" s="91">
        <f t="shared" si="1"/>
        <v>960150</v>
      </c>
      <c r="AW17" s="91">
        <f t="shared" si="1"/>
        <v>988650</v>
      </c>
      <c r="AX17" s="91">
        <f t="shared" si="1"/>
        <v>1048700</v>
      </c>
      <c r="AY17" s="91">
        <f t="shared" si="1"/>
        <v>972900</v>
      </c>
      <c r="AZ17" s="91">
        <f t="shared" si="1"/>
        <v>1048700</v>
      </c>
      <c r="BA17" s="91">
        <f t="shared" si="1"/>
        <v>1068750</v>
      </c>
      <c r="BB17" s="91">
        <f t="shared" si="1"/>
        <v>1048700</v>
      </c>
      <c r="BC17" s="91">
        <f t="shared" si="1"/>
        <v>1071450</v>
      </c>
      <c r="BD17" s="91">
        <f t="shared" si="1"/>
        <v>1141350</v>
      </c>
      <c r="BE17" s="91">
        <f t="shared" si="1"/>
        <v>1088350</v>
      </c>
      <c r="BF17" s="91">
        <f t="shared" si="1"/>
        <v>1131050</v>
      </c>
      <c r="BG17" s="91">
        <f t="shared" si="1"/>
        <v>1044800</v>
      </c>
      <c r="BH17" s="91">
        <f t="shared" si="1"/>
        <v>960150</v>
      </c>
      <c r="BI17" s="91">
        <f t="shared" si="1"/>
        <v>988650</v>
      </c>
      <c r="BJ17" s="91">
        <f t="shared" si="1"/>
        <v>1048700</v>
      </c>
      <c r="BK17" s="91">
        <f t="shared" si="1"/>
        <v>972900</v>
      </c>
      <c r="BL17" s="91">
        <f>AZ17</f>
        <v>1048700</v>
      </c>
      <c r="BM17" s="10"/>
    </row>
    <row r="18" spans="2:65" ht="15" customHeight="1" thickBot="1">
      <c r="B18" s="11"/>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3"/>
    </row>
  </sheetData>
  <mergeCells count="10">
    <mergeCell ref="E11:I11"/>
    <mergeCell ref="E12:I12"/>
    <mergeCell ref="C14:BL14"/>
    <mergeCell ref="B3:BM3"/>
    <mergeCell ref="B4:BM4"/>
    <mergeCell ref="E9:I9"/>
    <mergeCell ref="E7:I7"/>
    <mergeCell ref="E8:I8"/>
    <mergeCell ref="E10:I10"/>
    <mergeCell ref="D6:I6"/>
  </mergeCells>
  <pageMargins left="0.70866141732283472" right="0.70866141732283472" top="0.74803149606299213" bottom="0.74803149606299213" header="0.31496062992125984" footer="0.31496062992125984"/>
  <pageSetup paperSize="9" scale="62" orientation="landscape"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B1:BM52"/>
  <sheetViews>
    <sheetView view="pageBreakPreview" zoomScale="85" zoomScaleNormal="10" zoomScaleSheetLayoutView="85" workbookViewId="0">
      <selection activeCell="J6" sqref="J6"/>
    </sheetView>
  </sheetViews>
  <sheetFormatPr defaultColWidth="15.28515625" defaultRowHeight="15" customHeight="1" outlineLevelRow="1" outlineLevelCol="1"/>
  <cols>
    <col min="1" max="2" width="5.28515625" style="326" customWidth="1"/>
    <col min="3" max="3" width="48.42578125" style="326" customWidth="1"/>
    <col min="4" max="4" width="16.7109375" style="326" bestFit="1" customWidth="1"/>
    <col min="5" max="5" width="13.5703125" style="326" bestFit="1" customWidth="1"/>
    <col min="6" max="6" width="14.5703125" style="326" bestFit="1" customWidth="1"/>
    <col min="7" max="8" width="13.5703125" style="326" bestFit="1" customWidth="1"/>
    <col min="9" max="13" width="14.5703125" style="326" bestFit="1" customWidth="1"/>
    <col min="14" max="14" width="16.7109375" style="326" bestFit="1" customWidth="1"/>
    <col min="15" max="27" width="14.5703125" style="326" bestFit="1" customWidth="1"/>
    <col min="28" max="28" width="16.7109375" style="326" customWidth="1" outlineLevel="1"/>
    <col min="29" max="29" width="15.5703125" style="326" customWidth="1" outlineLevel="1"/>
    <col min="30" max="63" width="14.5703125" style="326" customWidth="1" outlineLevel="1"/>
    <col min="64" max="64" width="7" style="326" customWidth="1"/>
    <col min="65" max="16384" width="15.28515625" style="326"/>
  </cols>
  <sheetData>
    <row r="1" spans="2:65" ht="15" customHeight="1" thickBot="1"/>
    <row r="2" spans="2:65" ht="15" customHeight="1">
      <c r="B2" s="327"/>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9"/>
    </row>
    <row r="3" spans="2:65" ht="20.25">
      <c r="B3" s="526" t="s">
        <v>281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8"/>
    </row>
    <row r="4" spans="2:65" ht="20.25">
      <c r="B4" s="526" t="str">
        <f>Продажи!B4</f>
        <v>по франшизе "АКСИОМА"</v>
      </c>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527"/>
      <c r="AQ4" s="527"/>
      <c r="AR4" s="527"/>
      <c r="AS4" s="527"/>
      <c r="AT4" s="527"/>
      <c r="AU4" s="527"/>
      <c r="AV4" s="527"/>
      <c r="AW4" s="527"/>
      <c r="AX4" s="527"/>
      <c r="AY4" s="527"/>
      <c r="AZ4" s="527"/>
      <c r="BA4" s="527"/>
      <c r="BB4" s="527"/>
      <c r="BC4" s="527"/>
      <c r="BD4" s="527"/>
      <c r="BE4" s="527"/>
      <c r="BF4" s="527"/>
      <c r="BG4" s="527"/>
      <c r="BH4" s="527"/>
      <c r="BI4" s="527"/>
      <c r="BJ4" s="527"/>
      <c r="BK4" s="527"/>
      <c r="BL4" s="528"/>
    </row>
    <row r="5" spans="2:65" ht="59.25" customHeight="1">
      <c r="B5" s="330"/>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c r="BC5" s="331"/>
      <c r="BD5" s="331"/>
      <c r="BE5" s="331"/>
      <c r="BF5" s="331"/>
      <c r="BG5" s="331"/>
      <c r="BH5" s="331"/>
      <c r="BI5" s="331"/>
      <c r="BJ5" s="331"/>
      <c r="BK5" s="331"/>
      <c r="BL5" s="332"/>
    </row>
    <row r="6" spans="2:65">
      <c r="B6" s="330"/>
      <c r="C6" s="331"/>
      <c r="D6" s="331"/>
      <c r="E6" s="331"/>
      <c r="F6" s="331"/>
      <c r="G6" s="331"/>
      <c r="H6" s="331"/>
      <c r="I6" s="331"/>
      <c r="J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1"/>
      <c r="AY6" s="331"/>
      <c r="AZ6" s="331"/>
      <c r="BA6" s="331"/>
      <c r="BB6" s="331"/>
      <c r="BC6" s="331"/>
      <c r="BD6" s="331"/>
      <c r="BE6" s="331"/>
      <c r="BF6" s="331"/>
      <c r="BG6" s="331"/>
      <c r="BH6" s="331"/>
      <c r="BI6" s="331"/>
      <c r="BJ6" s="331"/>
      <c r="BK6" s="331"/>
      <c r="BL6" s="332"/>
    </row>
    <row r="7" spans="2:65">
      <c r="B7" s="330"/>
      <c r="C7" s="331"/>
      <c r="D7" s="331"/>
      <c r="E7" s="331"/>
      <c r="F7" s="331"/>
      <c r="G7" s="333"/>
      <c r="H7" s="333"/>
      <c r="I7" s="333"/>
      <c r="J7" s="331"/>
      <c r="M7" s="26"/>
      <c r="N7" s="26"/>
      <c r="O7" s="26"/>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4"/>
      <c r="BB7" s="304"/>
      <c r="BC7" s="304"/>
      <c r="BD7" s="304"/>
      <c r="BE7" s="304"/>
      <c r="BF7" s="304"/>
      <c r="BG7" s="304"/>
      <c r="BH7" s="304"/>
      <c r="BI7" s="304"/>
      <c r="BJ7" s="304"/>
      <c r="BK7" s="304"/>
      <c r="BL7" s="332"/>
    </row>
    <row r="8" spans="2:65">
      <c r="B8" s="330"/>
      <c r="C8" s="331"/>
      <c r="D8" s="331"/>
      <c r="E8" s="331"/>
      <c r="F8" s="331"/>
      <c r="G8" s="333"/>
      <c r="H8" s="333"/>
      <c r="I8" s="333"/>
      <c r="J8" s="331"/>
      <c r="M8" s="26"/>
      <c r="N8" s="26"/>
      <c r="O8" s="26"/>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32"/>
    </row>
    <row r="9" spans="2:65">
      <c r="B9" s="330"/>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c r="AZ9" s="331"/>
      <c r="BA9" s="331"/>
      <c r="BB9" s="331"/>
      <c r="BC9" s="331"/>
      <c r="BD9" s="331"/>
      <c r="BE9" s="331"/>
      <c r="BF9" s="331"/>
      <c r="BG9" s="331"/>
      <c r="BH9" s="331"/>
      <c r="BI9" s="331"/>
      <c r="BJ9" s="331"/>
      <c r="BK9" s="331"/>
      <c r="BL9" s="332"/>
    </row>
    <row r="10" spans="2:65" ht="20.25">
      <c r="B10" s="330"/>
      <c r="C10" s="334" t="s">
        <v>41</v>
      </c>
      <c r="D10" s="335"/>
      <c r="E10" s="335"/>
      <c r="F10" s="335"/>
      <c r="G10" s="335"/>
      <c r="H10" s="335"/>
      <c r="I10" s="335"/>
      <c r="J10" s="335"/>
      <c r="K10" s="335"/>
      <c r="L10" s="335"/>
      <c r="M10" s="335"/>
      <c r="N10" s="380"/>
      <c r="O10" s="335"/>
      <c r="P10" s="335"/>
      <c r="Q10" s="335"/>
      <c r="R10" s="335"/>
      <c r="S10" s="335"/>
      <c r="T10" s="335"/>
      <c r="U10" s="335"/>
      <c r="V10" s="335"/>
      <c r="W10" s="335"/>
      <c r="X10" s="335"/>
      <c r="Y10" s="335"/>
      <c r="Z10" s="335"/>
      <c r="AA10" s="336"/>
      <c r="AB10" s="336"/>
      <c r="AC10" s="336"/>
      <c r="AD10" s="336"/>
      <c r="AE10" s="336"/>
      <c r="AF10" s="336"/>
      <c r="AG10" s="336"/>
      <c r="AH10" s="336"/>
      <c r="AI10" s="336"/>
      <c r="AJ10" s="336"/>
      <c r="AK10" s="336"/>
      <c r="AL10" s="336"/>
      <c r="AM10" s="336"/>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337"/>
      <c r="BK10" s="337"/>
      <c r="BL10" s="332"/>
    </row>
    <row r="11" spans="2:65" ht="18.600000000000001" customHeight="1">
      <c r="B11" s="330"/>
      <c r="C11" s="338"/>
      <c r="D11" s="339" t="str">
        <f>Продажи!E15</f>
        <v>Май</v>
      </c>
      <c r="E11" s="339" t="str">
        <f>Продажи!F15</f>
        <v>Июнь</v>
      </c>
      <c r="F11" s="339" t="str">
        <f>Продажи!G15</f>
        <v>Июль</v>
      </c>
      <c r="G11" s="339" t="str">
        <f>Продажи!H15</f>
        <v>Август</v>
      </c>
      <c r="H11" s="339" t="str">
        <f>Продажи!I15</f>
        <v>Сентябрь</v>
      </c>
      <c r="I11" s="339" t="str">
        <f>Продажи!J15</f>
        <v>Октябрь</v>
      </c>
      <c r="J11" s="339" t="str">
        <f>Продажи!K15</f>
        <v>Ноябрь</v>
      </c>
      <c r="K11" s="339" t="str">
        <f>Продажи!L15</f>
        <v>Декабрь</v>
      </c>
      <c r="L11" s="339" t="str">
        <f>Продажи!M15</f>
        <v>Январь</v>
      </c>
      <c r="M11" s="339" t="str">
        <f>Продажи!N15</f>
        <v>Февраль</v>
      </c>
      <c r="N11" s="339" t="str">
        <f>Продажи!O15</f>
        <v>Март</v>
      </c>
      <c r="O11" s="339" t="str">
        <f>Продажи!P15</f>
        <v>Апрель</v>
      </c>
      <c r="P11" s="339" t="str">
        <f>Продажи!Q15</f>
        <v>Май</v>
      </c>
      <c r="Q11" s="339" t="str">
        <f>Продажи!R15</f>
        <v>Июнь</v>
      </c>
      <c r="R11" s="339" t="str">
        <f>Продажи!S15</f>
        <v>Июль</v>
      </c>
      <c r="S11" s="339" t="str">
        <f>Продажи!T15</f>
        <v>Август</v>
      </c>
      <c r="T11" s="339" t="str">
        <f>Продажи!U15</f>
        <v>Сентябрь</v>
      </c>
      <c r="U11" s="339" t="str">
        <f>Продажи!V15</f>
        <v>Октябрь</v>
      </c>
      <c r="V11" s="339" t="str">
        <f>Продажи!W15</f>
        <v>Ноябрь</v>
      </c>
      <c r="W11" s="339" t="str">
        <f>Продажи!X15</f>
        <v>Декабрь</v>
      </c>
      <c r="X11" s="339" t="str">
        <f>Продажи!Y15</f>
        <v>Январь</v>
      </c>
      <c r="Y11" s="339" t="str">
        <f>Продажи!Z15</f>
        <v>Февраль</v>
      </c>
      <c r="Z11" s="339" t="str">
        <f>Продажи!AA15</f>
        <v>Март</v>
      </c>
      <c r="AA11" s="339" t="str">
        <f>Продажи!AB15</f>
        <v>Апрель</v>
      </c>
      <c r="AB11" s="339" t="str">
        <f>Продажи!AC15</f>
        <v>Май</v>
      </c>
      <c r="AC11" s="339" t="str">
        <f>Продажи!AD15</f>
        <v>Июнь</v>
      </c>
      <c r="AD11" s="339" t="str">
        <f>Продажи!AE15</f>
        <v>Июль</v>
      </c>
      <c r="AE11" s="339" t="str">
        <f>Продажи!AF15</f>
        <v>Август</v>
      </c>
      <c r="AF11" s="339" t="str">
        <f>Продажи!AG15</f>
        <v>Сентябрь</v>
      </c>
      <c r="AG11" s="339" t="str">
        <f>Продажи!AH15</f>
        <v>Октябрь</v>
      </c>
      <c r="AH11" s="339" t="str">
        <f>Продажи!AI15</f>
        <v>Ноябрь</v>
      </c>
      <c r="AI11" s="339" t="str">
        <f>Продажи!AJ15</f>
        <v>Декабрь</v>
      </c>
      <c r="AJ11" s="339" t="str">
        <f>Продажи!AK15</f>
        <v>Январь</v>
      </c>
      <c r="AK11" s="339" t="str">
        <f>Продажи!AL15</f>
        <v>Февраль</v>
      </c>
      <c r="AL11" s="339" t="str">
        <f>Продажи!AM15</f>
        <v>Март</v>
      </c>
      <c r="AM11" s="339" t="str">
        <f>Продажи!AN15</f>
        <v>Апрель</v>
      </c>
      <c r="AN11" s="339" t="str">
        <f>Продажи!AO15</f>
        <v>Май</v>
      </c>
      <c r="AO11" s="339" t="str">
        <f>Продажи!AP15</f>
        <v>Июнь</v>
      </c>
      <c r="AP11" s="339" t="str">
        <f>Продажи!AQ15</f>
        <v>Июль</v>
      </c>
      <c r="AQ11" s="339" t="str">
        <f>Продажи!AR15</f>
        <v>Август</v>
      </c>
      <c r="AR11" s="339" t="str">
        <f>Продажи!AS15</f>
        <v>Сентябрь</v>
      </c>
      <c r="AS11" s="339" t="str">
        <f>Продажи!AT15</f>
        <v>Октябрь</v>
      </c>
      <c r="AT11" s="339" t="str">
        <f>Продажи!AU15</f>
        <v>Ноябрь</v>
      </c>
      <c r="AU11" s="339" t="str">
        <f>Продажи!AV15</f>
        <v>Декабрь</v>
      </c>
      <c r="AV11" s="339" t="str">
        <f>Продажи!AW15</f>
        <v>Январь</v>
      </c>
      <c r="AW11" s="339" t="str">
        <f>Продажи!AX15</f>
        <v>Февраль</v>
      </c>
      <c r="AX11" s="339" t="str">
        <f>Продажи!AY15</f>
        <v>Март</v>
      </c>
      <c r="AY11" s="339" t="str">
        <f>Продажи!AZ15</f>
        <v>Апрель</v>
      </c>
      <c r="AZ11" s="339" t="str">
        <f>Продажи!BA15</f>
        <v>Май</v>
      </c>
      <c r="BA11" s="339" t="str">
        <f>Продажи!BB15</f>
        <v>Июнь</v>
      </c>
      <c r="BB11" s="339" t="str">
        <f>Продажи!BC15</f>
        <v>Июль</v>
      </c>
      <c r="BC11" s="339" t="str">
        <f>Продажи!BD15</f>
        <v>Август</v>
      </c>
      <c r="BD11" s="339" t="str">
        <f>Продажи!BE15</f>
        <v>Сентябрь</v>
      </c>
      <c r="BE11" s="339" t="str">
        <f>Продажи!BF15</f>
        <v>Октябрь</v>
      </c>
      <c r="BF11" s="339" t="str">
        <f>Продажи!BG15</f>
        <v>Ноябрь</v>
      </c>
      <c r="BG11" s="339" t="str">
        <f>Продажи!BH15</f>
        <v>Декабрь</v>
      </c>
      <c r="BH11" s="339" t="str">
        <f>Продажи!BI15</f>
        <v>Январь</v>
      </c>
      <c r="BI11" s="339" t="str">
        <f>Продажи!BJ15</f>
        <v>Февраль</v>
      </c>
      <c r="BJ11" s="339" t="str">
        <f>Продажи!BK15</f>
        <v>Март</v>
      </c>
      <c r="BK11" s="339" t="str">
        <f>Продажи!BL15</f>
        <v>Апрель</v>
      </c>
      <c r="BL11" s="332"/>
    </row>
    <row r="12" spans="2:65" ht="18.600000000000001" hidden="1" customHeight="1">
      <c r="B12" s="330"/>
      <c r="C12" s="338"/>
      <c r="D12" s="339">
        <v>9</v>
      </c>
      <c r="E12" s="339">
        <f>D12+1</f>
        <v>10</v>
      </c>
      <c r="F12" s="339">
        <f t="shared" ref="F12:BK12" si="0">E12+1</f>
        <v>11</v>
      </c>
      <c r="G12" s="339">
        <f t="shared" si="0"/>
        <v>12</v>
      </c>
      <c r="H12" s="339">
        <f t="shared" si="0"/>
        <v>13</v>
      </c>
      <c r="I12" s="339">
        <f t="shared" si="0"/>
        <v>14</v>
      </c>
      <c r="J12" s="339">
        <f t="shared" si="0"/>
        <v>15</v>
      </c>
      <c r="K12" s="339">
        <f t="shared" si="0"/>
        <v>16</v>
      </c>
      <c r="L12" s="339">
        <f t="shared" si="0"/>
        <v>17</v>
      </c>
      <c r="M12" s="339">
        <f t="shared" si="0"/>
        <v>18</v>
      </c>
      <c r="N12" s="339">
        <f t="shared" si="0"/>
        <v>19</v>
      </c>
      <c r="O12" s="339">
        <f t="shared" si="0"/>
        <v>20</v>
      </c>
      <c r="P12" s="339">
        <f t="shared" si="0"/>
        <v>21</v>
      </c>
      <c r="Q12" s="339">
        <f t="shared" si="0"/>
        <v>22</v>
      </c>
      <c r="R12" s="339">
        <f t="shared" si="0"/>
        <v>23</v>
      </c>
      <c r="S12" s="339">
        <f t="shared" si="0"/>
        <v>24</v>
      </c>
      <c r="T12" s="339">
        <f t="shared" si="0"/>
        <v>25</v>
      </c>
      <c r="U12" s="339">
        <f t="shared" si="0"/>
        <v>26</v>
      </c>
      <c r="V12" s="339">
        <f t="shared" si="0"/>
        <v>27</v>
      </c>
      <c r="W12" s="339">
        <f t="shared" si="0"/>
        <v>28</v>
      </c>
      <c r="X12" s="339">
        <f t="shared" si="0"/>
        <v>29</v>
      </c>
      <c r="Y12" s="339">
        <f t="shared" si="0"/>
        <v>30</v>
      </c>
      <c r="Z12" s="339">
        <f t="shared" si="0"/>
        <v>31</v>
      </c>
      <c r="AA12" s="339">
        <f t="shared" si="0"/>
        <v>32</v>
      </c>
      <c r="AB12" s="339">
        <f t="shared" si="0"/>
        <v>33</v>
      </c>
      <c r="AC12" s="339">
        <f t="shared" si="0"/>
        <v>34</v>
      </c>
      <c r="AD12" s="339">
        <f t="shared" si="0"/>
        <v>35</v>
      </c>
      <c r="AE12" s="339">
        <f t="shared" si="0"/>
        <v>36</v>
      </c>
      <c r="AF12" s="339">
        <f t="shared" si="0"/>
        <v>37</v>
      </c>
      <c r="AG12" s="339">
        <f t="shared" si="0"/>
        <v>38</v>
      </c>
      <c r="AH12" s="339">
        <f t="shared" si="0"/>
        <v>39</v>
      </c>
      <c r="AI12" s="339">
        <f t="shared" si="0"/>
        <v>40</v>
      </c>
      <c r="AJ12" s="339">
        <f t="shared" si="0"/>
        <v>41</v>
      </c>
      <c r="AK12" s="339">
        <f t="shared" si="0"/>
        <v>42</v>
      </c>
      <c r="AL12" s="339">
        <f t="shared" si="0"/>
        <v>43</v>
      </c>
      <c r="AM12" s="339">
        <f t="shared" si="0"/>
        <v>44</v>
      </c>
      <c r="AN12" s="339">
        <f t="shared" si="0"/>
        <v>45</v>
      </c>
      <c r="AO12" s="339">
        <f t="shared" si="0"/>
        <v>46</v>
      </c>
      <c r="AP12" s="339">
        <f t="shared" si="0"/>
        <v>47</v>
      </c>
      <c r="AQ12" s="339">
        <f t="shared" si="0"/>
        <v>48</v>
      </c>
      <c r="AR12" s="339">
        <f t="shared" si="0"/>
        <v>49</v>
      </c>
      <c r="AS12" s="339">
        <f t="shared" si="0"/>
        <v>50</v>
      </c>
      <c r="AT12" s="339">
        <f t="shared" si="0"/>
        <v>51</v>
      </c>
      <c r="AU12" s="339">
        <f t="shared" si="0"/>
        <v>52</v>
      </c>
      <c r="AV12" s="339">
        <f t="shared" si="0"/>
        <v>53</v>
      </c>
      <c r="AW12" s="339">
        <f t="shared" si="0"/>
        <v>54</v>
      </c>
      <c r="AX12" s="339">
        <f t="shared" si="0"/>
        <v>55</v>
      </c>
      <c r="AY12" s="339">
        <f t="shared" si="0"/>
        <v>56</v>
      </c>
      <c r="AZ12" s="339">
        <f t="shared" si="0"/>
        <v>57</v>
      </c>
      <c r="BA12" s="339">
        <f t="shared" si="0"/>
        <v>58</v>
      </c>
      <c r="BB12" s="339">
        <f t="shared" si="0"/>
        <v>59</v>
      </c>
      <c r="BC12" s="339">
        <f t="shared" si="0"/>
        <v>60</v>
      </c>
      <c r="BD12" s="339">
        <f t="shared" si="0"/>
        <v>61</v>
      </c>
      <c r="BE12" s="339">
        <f t="shared" si="0"/>
        <v>62</v>
      </c>
      <c r="BF12" s="339">
        <f t="shared" si="0"/>
        <v>63</v>
      </c>
      <c r="BG12" s="339">
        <f t="shared" si="0"/>
        <v>64</v>
      </c>
      <c r="BH12" s="339">
        <f t="shared" si="0"/>
        <v>65</v>
      </c>
      <c r="BI12" s="339">
        <f t="shared" si="0"/>
        <v>66</v>
      </c>
      <c r="BJ12" s="339">
        <f t="shared" si="0"/>
        <v>67</v>
      </c>
      <c r="BK12" s="339">
        <f t="shared" si="0"/>
        <v>68</v>
      </c>
      <c r="BL12" s="332"/>
    </row>
    <row r="13" spans="2:65" ht="15.75" hidden="1" customHeight="1">
      <c r="B13" s="330"/>
      <c r="C13" s="338"/>
      <c r="D13" s="339">
        <v>1</v>
      </c>
      <c r="E13" s="339">
        <v>2</v>
      </c>
      <c r="F13" s="339">
        <v>3</v>
      </c>
      <c r="G13" s="339">
        <v>4</v>
      </c>
      <c r="H13" s="339">
        <v>5</v>
      </c>
      <c r="I13" s="339">
        <v>6</v>
      </c>
      <c r="J13" s="339">
        <v>7</v>
      </c>
      <c r="K13" s="339">
        <v>8</v>
      </c>
      <c r="L13" s="339">
        <v>9</v>
      </c>
      <c r="M13" s="339">
        <v>10</v>
      </c>
      <c r="N13" s="339">
        <v>11</v>
      </c>
      <c r="O13" s="339">
        <v>12</v>
      </c>
      <c r="P13" s="339">
        <v>13</v>
      </c>
      <c r="Q13" s="339">
        <v>14</v>
      </c>
      <c r="R13" s="339">
        <v>15</v>
      </c>
      <c r="S13" s="339">
        <v>16</v>
      </c>
      <c r="T13" s="339">
        <v>17</v>
      </c>
      <c r="U13" s="339">
        <v>18</v>
      </c>
      <c r="V13" s="339">
        <v>19</v>
      </c>
      <c r="W13" s="339">
        <v>20</v>
      </c>
      <c r="X13" s="339">
        <v>21</v>
      </c>
      <c r="Y13" s="339">
        <v>22</v>
      </c>
      <c r="Z13" s="339">
        <v>23</v>
      </c>
      <c r="AA13" s="339">
        <v>24</v>
      </c>
      <c r="AB13" s="339">
        <v>25</v>
      </c>
      <c r="AC13" s="339">
        <v>26</v>
      </c>
      <c r="AD13" s="339">
        <v>27</v>
      </c>
      <c r="AE13" s="339">
        <v>28</v>
      </c>
      <c r="AF13" s="339">
        <v>29</v>
      </c>
      <c r="AG13" s="339">
        <v>30</v>
      </c>
      <c r="AH13" s="339">
        <v>31</v>
      </c>
      <c r="AI13" s="339">
        <v>32</v>
      </c>
      <c r="AJ13" s="339">
        <v>33</v>
      </c>
      <c r="AK13" s="339">
        <v>34</v>
      </c>
      <c r="AL13" s="339">
        <v>35</v>
      </c>
      <c r="AM13" s="339">
        <v>36</v>
      </c>
      <c r="AN13" s="339">
        <v>37</v>
      </c>
      <c r="AO13" s="339">
        <v>38</v>
      </c>
      <c r="AP13" s="339">
        <v>39</v>
      </c>
      <c r="AQ13" s="339">
        <v>40</v>
      </c>
      <c r="AR13" s="339">
        <v>41</v>
      </c>
      <c r="AS13" s="339">
        <v>42</v>
      </c>
      <c r="AT13" s="339">
        <v>43</v>
      </c>
      <c r="AU13" s="339">
        <v>44</v>
      </c>
      <c r="AV13" s="339">
        <v>45</v>
      </c>
      <c r="AW13" s="339">
        <v>46</v>
      </c>
      <c r="AX13" s="339">
        <v>47</v>
      </c>
      <c r="AY13" s="339">
        <v>48</v>
      </c>
      <c r="AZ13" s="339">
        <v>49</v>
      </c>
      <c r="BA13" s="339">
        <v>50</v>
      </c>
      <c r="BB13" s="339">
        <v>51</v>
      </c>
      <c r="BC13" s="339">
        <v>52</v>
      </c>
      <c r="BD13" s="339">
        <v>53</v>
      </c>
      <c r="BE13" s="339">
        <v>54</v>
      </c>
      <c r="BF13" s="339">
        <v>55</v>
      </c>
      <c r="BG13" s="339">
        <v>56</v>
      </c>
      <c r="BH13" s="339">
        <v>57</v>
      </c>
      <c r="BI13" s="339">
        <v>58</v>
      </c>
      <c r="BJ13" s="339">
        <v>59</v>
      </c>
      <c r="BK13" s="339">
        <v>60</v>
      </c>
      <c r="BL13" s="332"/>
    </row>
    <row r="14" spans="2:65">
      <c r="B14" s="330"/>
      <c r="C14" s="320" t="s">
        <v>40</v>
      </c>
      <c r="D14" s="340">
        <f>Продажи!E17</f>
        <v>251950</v>
      </c>
      <c r="E14" s="340">
        <f>Продажи!F17</f>
        <v>332030</v>
      </c>
      <c r="F14" s="340">
        <f>Продажи!G17</f>
        <v>390290</v>
      </c>
      <c r="G14" s="340">
        <f>Продажи!H17</f>
        <v>514600</v>
      </c>
      <c r="H14" s="340">
        <f>Продажи!I17</f>
        <v>555050</v>
      </c>
      <c r="I14" s="340">
        <f>Продажи!J17</f>
        <v>636700</v>
      </c>
      <c r="J14" s="340">
        <f>Продажи!K17</f>
        <v>648550</v>
      </c>
      <c r="K14" s="340">
        <f>Продажи!L17</f>
        <v>648550</v>
      </c>
      <c r="L14" s="340">
        <f>Продажи!M17</f>
        <v>721600</v>
      </c>
      <c r="M14" s="340">
        <f>Продажи!N17</f>
        <v>819150</v>
      </c>
      <c r="N14" s="340">
        <f>Продажи!O17</f>
        <v>814500</v>
      </c>
      <c r="O14" s="340">
        <f>Продажи!P17</f>
        <v>936950</v>
      </c>
      <c r="P14" s="340">
        <f>Продажи!Q17</f>
        <v>1068750</v>
      </c>
      <c r="Q14" s="340">
        <f>Продажи!R17</f>
        <v>1048700</v>
      </c>
      <c r="R14" s="340">
        <f>Продажи!S17</f>
        <v>1071450</v>
      </c>
      <c r="S14" s="340">
        <f>Продажи!T17</f>
        <v>1141350</v>
      </c>
      <c r="T14" s="340">
        <f>Продажи!U17</f>
        <v>1088350</v>
      </c>
      <c r="U14" s="340">
        <f>Продажи!V17</f>
        <v>1131050</v>
      </c>
      <c r="V14" s="340">
        <f>Продажи!W17</f>
        <v>1044800</v>
      </c>
      <c r="W14" s="340">
        <f>Продажи!X17</f>
        <v>960150</v>
      </c>
      <c r="X14" s="340">
        <f>Продажи!Y17</f>
        <v>988650</v>
      </c>
      <c r="Y14" s="340">
        <f>Продажи!Z17</f>
        <v>1048700</v>
      </c>
      <c r="Z14" s="340">
        <f>Продажи!AA17</f>
        <v>972900</v>
      </c>
      <c r="AA14" s="340">
        <f>Продажи!AB17</f>
        <v>1048700</v>
      </c>
      <c r="AB14" s="340">
        <f>Продажи!AC17</f>
        <v>1068750</v>
      </c>
      <c r="AC14" s="340">
        <f>Продажи!AD17</f>
        <v>1048700</v>
      </c>
      <c r="AD14" s="340">
        <f>Продажи!AE17</f>
        <v>1071450</v>
      </c>
      <c r="AE14" s="340">
        <f>Продажи!AF17</f>
        <v>1141350</v>
      </c>
      <c r="AF14" s="340">
        <f>Продажи!AG17</f>
        <v>1088350</v>
      </c>
      <c r="AG14" s="340">
        <f>Продажи!AH17</f>
        <v>1131050</v>
      </c>
      <c r="AH14" s="340">
        <f>Продажи!AI17</f>
        <v>1044800</v>
      </c>
      <c r="AI14" s="340">
        <f>Продажи!AJ17</f>
        <v>960150</v>
      </c>
      <c r="AJ14" s="340">
        <f>Продажи!AK17</f>
        <v>988650</v>
      </c>
      <c r="AK14" s="340">
        <f>Продажи!AL17</f>
        <v>1048700</v>
      </c>
      <c r="AL14" s="340">
        <f>Продажи!AM17</f>
        <v>972900</v>
      </c>
      <c r="AM14" s="340">
        <f>Продажи!AN17</f>
        <v>1048700</v>
      </c>
      <c r="AN14" s="340">
        <f>Продажи!AO17</f>
        <v>1068750</v>
      </c>
      <c r="AO14" s="340">
        <f>Продажи!AP17</f>
        <v>1048700</v>
      </c>
      <c r="AP14" s="340">
        <f>Продажи!AQ17</f>
        <v>1071450</v>
      </c>
      <c r="AQ14" s="340">
        <f>Продажи!AR17</f>
        <v>1141350</v>
      </c>
      <c r="AR14" s="340">
        <f>Продажи!AS17</f>
        <v>1088350</v>
      </c>
      <c r="AS14" s="340">
        <f>Продажи!AT17</f>
        <v>1131050</v>
      </c>
      <c r="AT14" s="340">
        <f>Продажи!AU17</f>
        <v>1044800</v>
      </c>
      <c r="AU14" s="340">
        <f>Продажи!AV17</f>
        <v>960150</v>
      </c>
      <c r="AV14" s="340">
        <f>Продажи!AW17</f>
        <v>988650</v>
      </c>
      <c r="AW14" s="340">
        <f>Продажи!AX17</f>
        <v>1048700</v>
      </c>
      <c r="AX14" s="340">
        <f>Продажи!AY17</f>
        <v>972900</v>
      </c>
      <c r="AY14" s="340">
        <f>Продажи!AZ17</f>
        <v>1048700</v>
      </c>
      <c r="AZ14" s="340">
        <f>Продажи!BA17</f>
        <v>1068750</v>
      </c>
      <c r="BA14" s="340">
        <f>Продажи!BB17</f>
        <v>1048700</v>
      </c>
      <c r="BB14" s="340">
        <f>Продажи!BC17</f>
        <v>1071450</v>
      </c>
      <c r="BC14" s="340">
        <f>Продажи!BD17</f>
        <v>1141350</v>
      </c>
      <c r="BD14" s="340">
        <f>Продажи!BE17</f>
        <v>1088350</v>
      </c>
      <c r="BE14" s="340">
        <f>Продажи!BF17</f>
        <v>1131050</v>
      </c>
      <c r="BF14" s="340">
        <f>Продажи!BG17</f>
        <v>1044800</v>
      </c>
      <c r="BG14" s="340">
        <f>Продажи!BH17</f>
        <v>960150</v>
      </c>
      <c r="BH14" s="340">
        <f>Продажи!BI17</f>
        <v>988650</v>
      </c>
      <c r="BI14" s="340">
        <f>Продажи!BJ17</f>
        <v>1048700</v>
      </c>
      <c r="BJ14" s="340">
        <f>Продажи!BK17</f>
        <v>972900</v>
      </c>
      <c r="BK14" s="340">
        <f>Продажи!BL17</f>
        <v>1048700</v>
      </c>
      <c r="BL14" s="332"/>
      <c r="BM14" s="379"/>
    </row>
    <row r="15" spans="2:65">
      <c r="B15" s="330"/>
      <c r="C15" s="320" t="s">
        <v>42</v>
      </c>
      <c r="D15" s="340">
        <f>SUM(D16:D26)</f>
        <v>193436.5</v>
      </c>
      <c r="E15" s="340">
        <f t="shared" ref="E15:BK15" si="1">SUM(E16:E26)</f>
        <v>207050.1</v>
      </c>
      <c r="F15" s="340">
        <f t="shared" si="1"/>
        <v>216954.3</v>
      </c>
      <c r="G15" s="340">
        <f t="shared" si="1"/>
        <v>238087</v>
      </c>
      <c r="H15" s="340">
        <f t="shared" si="1"/>
        <v>317120</v>
      </c>
      <c r="I15" s="340">
        <f t="shared" si="1"/>
        <v>341615</v>
      </c>
      <c r="J15" s="340">
        <f t="shared" si="1"/>
        <v>345170</v>
      </c>
      <c r="K15" s="340">
        <f t="shared" si="1"/>
        <v>345170</v>
      </c>
      <c r="L15" s="340">
        <f t="shared" si="1"/>
        <v>367085</v>
      </c>
      <c r="M15" s="340">
        <f t="shared" si="1"/>
        <v>396350</v>
      </c>
      <c r="N15" s="340">
        <f t="shared" si="1"/>
        <v>394955</v>
      </c>
      <c r="O15" s="340">
        <f t="shared" si="1"/>
        <v>431690</v>
      </c>
      <c r="P15" s="340">
        <f t="shared" si="1"/>
        <v>471230</v>
      </c>
      <c r="Q15" s="340">
        <f t="shared" si="1"/>
        <v>465215</v>
      </c>
      <c r="R15" s="340">
        <f t="shared" si="1"/>
        <v>472040</v>
      </c>
      <c r="S15" s="340">
        <f t="shared" si="1"/>
        <v>493010</v>
      </c>
      <c r="T15" s="340">
        <f t="shared" si="1"/>
        <v>477110</v>
      </c>
      <c r="U15" s="340">
        <f t="shared" si="1"/>
        <v>489920</v>
      </c>
      <c r="V15" s="340">
        <f t="shared" si="1"/>
        <v>464045</v>
      </c>
      <c r="W15" s="340">
        <f t="shared" si="1"/>
        <v>438650</v>
      </c>
      <c r="X15" s="340">
        <f t="shared" si="1"/>
        <v>447200</v>
      </c>
      <c r="Y15" s="340">
        <f t="shared" si="1"/>
        <v>465215</v>
      </c>
      <c r="Z15" s="340">
        <f t="shared" si="1"/>
        <v>442475</v>
      </c>
      <c r="AA15" s="340">
        <f t="shared" si="1"/>
        <v>465215</v>
      </c>
      <c r="AB15" s="340">
        <f t="shared" si="1"/>
        <v>471230</v>
      </c>
      <c r="AC15" s="340">
        <f t="shared" si="1"/>
        <v>465215</v>
      </c>
      <c r="AD15" s="340">
        <f t="shared" si="1"/>
        <v>472040</v>
      </c>
      <c r="AE15" s="340">
        <f t="shared" si="1"/>
        <v>493010</v>
      </c>
      <c r="AF15" s="340">
        <f t="shared" si="1"/>
        <v>477110</v>
      </c>
      <c r="AG15" s="340">
        <f t="shared" si="1"/>
        <v>489920</v>
      </c>
      <c r="AH15" s="340">
        <f t="shared" si="1"/>
        <v>464045</v>
      </c>
      <c r="AI15" s="340">
        <f t="shared" si="1"/>
        <v>438650</v>
      </c>
      <c r="AJ15" s="340">
        <f t="shared" si="1"/>
        <v>447200</v>
      </c>
      <c r="AK15" s="340">
        <f t="shared" si="1"/>
        <v>465215</v>
      </c>
      <c r="AL15" s="340">
        <f t="shared" si="1"/>
        <v>442475</v>
      </c>
      <c r="AM15" s="340">
        <f t="shared" si="1"/>
        <v>465215</v>
      </c>
      <c r="AN15" s="340">
        <f t="shared" si="1"/>
        <v>471230</v>
      </c>
      <c r="AO15" s="340">
        <f t="shared" si="1"/>
        <v>465215</v>
      </c>
      <c r="AP15" s="340">
        <f t="shared" si="1"/>
        <v>472040</v>
      </c>
      <c r="AQ15" s="340">
        <f t="shared" si="1"/>
        <v>493010</v>
      </c>
      <c r="AR15" s="340">
        <f t="shared" si="1"/>
        <v>477110</v>
      </c>
      <c r="AS15" s="340">
        <f t="shared" si="1"/>
        <v>489920</v>
      </c>
      <c r="AT15" s="340">
        <f t="shared" si="1"/>
        <v>464045</v>
      </c>
      <c r="AU15" s="340">
        <f t="shared" si="1"/>
        <v>438650</v>
      </c>
      <c r="AV15" s="340">
        <f t="shared" si="1"/>
        <v>447200</v>
      </c>
      <c r="AW15" s="340">
        <f t="shared" si="1"/>
        <v>465215</v>
      </c>
      <c r="AX15" s="340">
        <f t="shared" si="1"/>
        <v>442475</v>
      </c>
      <c r="AY15" s="340">
        <f t="shared" si="1"/>
        <v>465215</v>
      </c>
      <c r="AZ15" s="340">
        <f t="shared" si="1"/>
        <v>471230</v>
      </c>
      <c r="BA15" s="340">
        <f t="shared" si="1"/>
        <v>465215</v>
      </c>
      <c r="BB15" s="340">
        <f t="shared" si="1"/>
        <v>472040</v>
      </c>
      <c r="BC15" s="340">
        <f t="shared" si="1"/>
        <v>493010</v>
      </c>
      <c r="BD15" s="340">
        <f t="shared" si="1"/>
        <v>477110</v>
      </c>
      <c r="BE15" s="340">
        <f t="shared" si="1"/>
        <v>489920</v>
      </c>
      <c r="BF15" s="340">
        <f t="shared" si="1"/>
        <v>464045</v>
      </c>
      <c r="BG15" s="340">
        <f>SUM(BG16:BG26)</f>
        <v>438650</v>
      </c>
      <c r="BH15" s="340">
        <f t="shared" si="1"/>
        <v>447200</v>
      </c>
      <c r="BI15" s="340">
        <f t="shared" si="1"/>
        <v>465215</v>
      </c>
      <c r="BJ15" s="340">
        <f t="shared" si="1"/>
        <v>442475</v>
      </c>
      <c r="BK15" s="340">
        <f t="shared" si="1"/>
        <v>465215</v>
      </c>
      <c r="BL15" s="332"/>
    </row>
    <row r="16" spans="2:65" outlineLevel="1">
      <c r="B16" s="330"/>
      <c r="C16" s="321" t="s">
        <v>344</v>
      </c>
      <c r="D16" s="341">
        <f>'Ежемесячные затраты - средние'!$D$14</f>
        <v>67355</v>
      </c>
      <c r="E16" s="341">
        <f>'Ежемесячные затраты - средние'!$D$14</f>
        <v>67355</v>
      </c>
      <c r="F16" s="341">
        <f>'Ежемесячные затраты - средние'!$D$14</f>
        <v>67355</v>
      </c>
      <c r="G16" s="341">
        <f>'Ежемесячные затраты - средние'!$D$14</f>
        <v>67355</v>
      </c>
      <c r="H16" s="341">
        <f>'Ежемесячные затраты - средние'!$D$14</f>
        <v>67355</v>
      </c>
      <c r="I16" s="341">
        <f>'Ежемесячные затраты - средние'!$D$14</f>
        <v>67355</v>
      </c>
      <c r="J16" s="341">
        <f>'Ежемесячные затраты - средние'!$D$14</f>
        <v>67355</v>
      </c>
      <c r="K16" s="341">
        <f>'Ежемесячные затраты - средние'!$D$14</f>
        <v>67355</v>
      </c>
      <c r="L16" s="341">
        <f>'Ежемесячные затраты - средние'!$D$14</f>
        <v>67355</v>
      </c>
      <c r="M16" s="341">
        <f>'Ежемесячные затраты - средние'!$D$14</f>
        <v>67355</v>
      </c>
      <c r="N16" s="341">
        <f>'Ежемесячные затраты - средние'!$D$14</f>
        <v>67355</v>
      </c>
      <c r="O16" s="341">
        <f>'Ежемесячные затраты - средние'!$D$14</f>
        <v>67355</v>
      </c>
      <c r="P16" s="341">
        <f>'Ежемесячные затраты - средние'!$D$14</f>
        <v>67355</v>
      </c>
      <c r="Q16" s="341">
        <f>'Ежемесячные затраты - средние'!$D$14</f>
        <v>67355</v>
      </c>
      <c r="R16" s="341">
        <f>'Ежемесячные затраты - средние'!$D$14</f>
        <v>67355</v>
      </c>
      <c r="S16" s="341">
        <f>'Ежемесячные затраты - средние'!$D$14</f>
        <v>67355</v>
      </c>
      <c r="T16" s="341">
        <f>'Ежемесячные затраты - средние'!$D$14</f>
        <v>67355</v>
      </c>
      <c r="U16" s="341">
        <f>'Ежемесячные затраты - средние'!$D$14</f>
        <v>67355</v>
      </c>
      <c r="V16" s="341">
        <f>'Ежемесячные затраты - средние'!$D$14</f>
        <v>67355</v>
      </c>
      <c r="W16" s="341">
        <f>'Ежемесячные затраты - средние'!$D$14</f>
        <v>67355</v>
      </c>
      <c r="X16" s="341">
        <f>'Ежемесячные затраты - средние'!$D$14</f>
        <v>67355</v>
      </c>
      <c r="Y16" s="341">
        <f>'Ежемесячные затраты - средние'!$D$14</f>
        <v>67355</v>
      </c>
      <c r="Z16" s="341">
        <f>'Ежемесячные затраты - средние'!$D$14</f>
        <v>67355</v>
      </c>
      <c r="AA16" s="341">
        <f>'Ежемесячные затраты - средние'!$D$14</f>
        <v>67355</v>
      </c>
      <c r="AB16" s="341">
        <f>'Ежемесячные затраты - средние'!$D$14</f>
        <v>67355</v>
      </c>
      <c r="AC16" s="341">
        <f>'Ежемесячные затраты - средние'!$D$14</f>
        <v>67355</v>
      </c>
      <c r="AD16" s="341">
        <f>'Ежемесячные затраты - средние'!$D$14</f>
        <v>67355</v>
      </c>
      <c r="AE16" s="341">
        <f>'Ежемесячные затраты - средние'!$D$14</f>
        <v>67355</v>
      </c>
      <c r="AF16" s="341">
        <f>'Ежемесячные затраты - средние'!$D$14</f>
        <v>67355</v>
      </c>
      <c r="AG16" s="341">
        <f>'Ежемесячные затраты - средние'!$D$14</f>
        <v>67355</v>
      </c>
      <c r="AH16" s="341">
        <f>'Ежемесячные затраты - средние'!$D$14</f>
        <v>67355</v>
      </c>
      <c r="AI16" s="341">
        <f>'Ежемесячные затраты - средние'!$D$14</f>
        <v>67355</v>
      </c>
      <c r="AJ16" s="341">
        <f>'Ежемесячные затраты - средние'!$D$14</f>
        <v>67355</v>
      </c>
      <c r="AK16" s="341">
        <f>'Ежемесячные затраты - средние'!$D$14</f>
        <v>67355</v>
      </c>
      <c r="AL16" s="341">
        <f>'Ежемесячные затраты - средние'!$D$14</f>
        <v>67355</v>
      </c>
      <c r="AM16" s="341">
        <f>'Ежемесячные затраты - средние'!$D$14</f>
        <v>67355</v>
      </c>
      <c r="AN16" s="341">
        <f>'Ежемесячные затраты - средние'!$D$14</f>
        <v>67355</v>
      </c>
      <c r="AO16" s="341">
        <f>'Ежемесячные затраты - средние'!$D$14</f>
        <v>67355</v>
      </c>
      <c r="AP16" s="341">
        <f>'Ежемесячные затраты - средние'!$D$14</f>
        <v>67355</v>
      </c>
      <c r="AQ16" s="341">
        <f>'Ежемесячные затраты - средние'!$D$14</f>
        <v>67355</v>
      </c>
      <c r="AR16" s="341">
        <f>'Ежемесячные затраты - средние'!$D$14</f>
        <v>67355</v>
      </c>
      <c r="AS16" s="341">
        <f>'Ежемесячные затраты - средние'!$D$14</f>
        <v>67355</v>
      </c>
      <c r="AT16" s="341">
        <f>'Ежемесячные затраты - средние'!$D$14</f>
        <v>67355</v>
      </c>
      <c r="AU16" s="341">
        <f>'Ежемесячные затраты - средние'!$D$14</f>
        <v>67355</v>
      </c>
      <c r="AV16" s="341">
        <f>'Ежемесячные затраты - средние'!$D$14</f>
        <v>67355</v>
      </c>
      <c r="AW16" s="341">
        <f>'Ежемесячные затраты - средние'!$D$14</f>
        <v>67355</v>
      </c>
      <c r="AX16" s="341">
        <f>'Ежемесячные затраты - средние'!$D$14</f>
        <v>67355</v>
      </c>
      <c r="AY16" s="341">
        <f>'Ежемесячные затраты - средние'!$D$14</f>
        <v>67355</v>
      </c>
      <c r="AZ16" s="341">
        <f>'Ежемесячные затраты - средние'!$D$14</f>
        <v>67355</v>
      </c>
      <c r="BA16" s="341">
        <f>'Ежемесячные затраты - средние'!$D$14</f>
        <v>67355</v>
      </c>
      <c r="BB16" s="341">
        <f>'Ежемесячные затраты - средние'!$D$14</f>
        <v>67355</v>
      </c>
      <c r="BC16" s="341">
        <f>'Ежемесячные затраты - средние'!$D$14</f>
        <v>67355</v>
      </c>
      <c r="BD16" s="341">
        <f>'Ежемесячные затраты - средние'!$D$14</f>
        <v>67355</v>
      </c>
      <c r="BE16" s="341">
        <f>'Ежемесячные затраты - средние'!$D$14</f>
        <v>67355</v>
      </c>
      <c r="BF16" s="341">
        <f>'Ежемесячные затраты - средние'!$D$14</f>
        <v>67355</v>
      </c>
      <c r="BG16" s="341">
        <f>'Ежемесячные затраты - средние'!$D$14</f>
        <v>67355</v>
      </c>
      <c r="BH16" s="341">
        <f>'Ежемесячные затраты - средние'!$D$14</f>
        <v>67355</v>
      </c>
      <c r="BI16" s="341">
        <f>'Ежемесячные затраты - средние'!$D$14</f>
        <v>67355</v>
      </c>
      <c r="BJ16" s="341">
        <f>'Ежемесячные затраты - средние'!$D$14</f>
        <v>67355</v>
      </c>
      <c r="BK16" s="341">
        <f>'Ежемесячные затраты - средние'!$D$14</f>
        <v>67355</v>
      </c>
      <c r="BL16" s="332"/>
    </row>
    <row r="17" spans="2:64" outlineLevel="1">
      <c r="B17" s="330"/>
      <c r="C17" s="321" t="s">
        <v>340</v>
      </c>
      <c r="D17" s="341">
        <f>'Ежемесячные затраты - средние'!$D$20*'Ежемесячные затраты - средние'!$D$17</f>
        <v>20000</v>
      </c>
      <c r="E17" s="341">
        <f>'Ежемесячные затраты - средние'!$D$20*'Ежемесячные затраты - средние'!$D$17</f>
        <v>20000</v>
      </c>
      <c r="F17" s="341">
        <f>'Ежемесячные затраты - средние'!$D$20*'Ежемесячные затраты - средние'!$D$17</f>
        <v>20000</v>
      </c>
      <c r="G17" s="341">
        <f>'Ежемесячные затраты - средние'!$D$20*'Ежемесячные затраты - средние'!$D$17</f>
        <v>20000</v>
      </c>
      <c r="H17" s="341">
        <f>'Ежемесячные затраты - средние'!$D$20*'Ежемесячные затраты - средние'!$D$17</f>
        <v>20000</v>
      </c>
      <c r="I17" s="341">
        <f>'Ежемесячные затраты - средние'!$D$20*'Ежемесячные затраты - средние'!$D$17</f>
        <v>20000</v>
      </c>
      <c r="J17" s="341">
        <f>'Ежемесячные затраты - средние'!$D$20*'Ежемесячные затраты - средние'!$D$17</f>
        <v>20000</v>
      </c>
      <c r="K17" s="341">
        <f>'Ежемесячные затраты - средние'!$D$20*'Ежемесячные затраты - средние'!$D$17</f>
        <v>20000</v>
      </c>
      <c r="L17" s="341">
        <f>'Ежемесячные затраты - средние'!$D$20*'Ежемесячные затраты - средние'!$D$17</f>
        <v>20000</v>
      </c>
      <c r="M17" s="341">
        <f>'Ежемесячные затраты - средние'!$D$20*'Ежемесячные затраты - средние'!$D$17</f>
        <v>20000</v>
      </c>
      <c r="N17" s="341">
        <f>'Ежемесячные затраты - средние'!$D$20*'Ежемесячные затраты - средние'!$D$17</f>
        <v>20000</v>
      </c>
      <c r="O17" s="341">
        <f>'Ежемесячные затраты - средние'!$D$20*'Ежемесячные затраты - средние'!$D$17</f>
        <v>20000</v>
      </c>
      <c r="P17" s="341">
        <f>'Ежемесячные затраты - средние'!$D$20*'Ежемесячные затраты - средние'!$D$17</f>
        <v>20000</v>
      </c>
      <c r="Q17" s="341">
        <f>'Ежемесячные затраты - средние'!$D$20*'Ежемесячные затраты - средние'!$D$17</f>
        <v>20000</v>
      </c>
      <c r="R17" s="341">
        <f>'Ежемесячные затраты - средние'!$D$20*'Ежемесячные затраты - средние'!$D$17</f>
        <v>20000</v>
      </c>
      <c r="S17" s="341">
        <f>'Ежемесячные затраты - средние'!$D$20*'Ежемесячные затраты - средние'!$D$17</f>
        <v>20000</v>
      </c>
      <c r="T17" s="341">
        <f>'Ежемесячные затраты - средние'!$D$20*'Ежемесячные затраты - средние'!$D$17</f>
        <v>20000</v>
      </c>
      <c r="U17" s="341">
        <f>'Ежемесячные затраты - средние'!$D$20*'Ежемесячные затраты - средние'!$D$17</f>
        <v>20000</v>
      </c>
      <c r="V17" s="341">
        <f>'Ежемесячные затраты - средние'!$D$20*'Ежемесячные затраты - средние'!$D$17</f>
        <v>20000</v>
      </c>
      <c r="W17" s="341">
        <f>'Ежемесячные затраты - средние'!$D$20*'Ежемесячные затраты - средние'!$D$17</f>
        <v>20000</v>
      </c>
      <c r="X17" s="341">
        <f>'Ежемесячные затраты - средние'!$D$20*'Ежемесячные затраты - средние'!$D$17</f>
        <v>20000</v>
      </c>
      <c r="Y17" s="341">
        <f>'Ежемесячные затраты - средние'!$D$20*'Ежемесячные затраты - средние'!$D$17</f>
        <v>20000</v>
      </c>
      <c r="Z17" s="341">
        <f>'Ежемесячные затраты - средние'!$D$20*'Ежемесячные затраты - средние'!$D$17</f>
        <v>20000</v>
      </c>
      <c r="AA17" s="341">
        <f>'Ежемесячные затраты - средние'!$D$20*'Ежемесячные затраты - средние'!$D$17</f>
        <v>20000</v>
      </c>
      <c r="AB17" s="341">
        <f>'Ежемесячные затраты - средние'!$D$20*'Ежемесячные затраты - средние'!$D$17</f>
        <v>20000</v>
      </c>
      <c r="AC17" s="341">
        <f>'Ежемесячные затраты - средние'!$D$20*'Ежемесячные затраты - средние'!$D$17</f>
        <v>20000</v>
      </c>
      <c r="AD17" s="341">
        <f>'Ежемесячные затраты - средние'!$D$20*'Ежемесячные затраты - средние'!$D$17</f>
        <v>20000</v>
      </c>
      <c r="AE17" s="341">
        <f>'Ежемесячные затраты - средние'!$D$20*'Ежемесячные затраты - средние'!$D$17</f>
        <v>20000</v>
      </c>
      <c r="AF17" s="341">
        <f>'Ежемесячные затраты - средние'!$D$20*'Ежемесячные затраты - средние'!$D$17</f>
        <v>20000</v>
      </c>
      <c r="AG17" s="341">
        <f>'Ежемесячные затраты - средние'!$D$20*'Ежемесячные затраты - средние'!$D$17</f>
        <v>20000</v>
      </c>
      <c r="AH17" s="341">
        <f>'Ежемесячные затраты - средние'!$D$20*'Ежемесячные затраты - средние'!$D$17</f>
        <v>20000</v>
      </c>
      <c r="AI17" s="341">
        <f>'Ежемесячные затраты - средние'!$D$20*'Ежемесячные затраты - средние'!$D$17</f>
        <v>20000</v>
      </c>
      <c r="AJ17" s="341">
        <f>'Ежемесячные затраты - средние'!$D$20*'Ежемесячные затраты - средние'!$D$17</f>
        <v>20000</v>
      </c>
      <c r="AK17" s="341">
        <f>'Ежемесячные затраты - средние'!$D$20*'Ежемесячные затраты - средние'!$D$17</f>
        <v>20000</v>
      </c>
      <c r="AL17" s="341">
        <f>'Ежемесячные затраты - средние'!$D$20*'Ежемесячные затраты - средние'!$D$17</f>
        <v>20000</v>
      </c>
      <c r="AM17" s="341">
        <f>'Ежемесячные затраты - средние'!$D$20*'Ежемесячные затраты - средние'!$D$17</f>
        <v>20000</v>
      </c>
      <c r="AN17" s="341">
        <f>'Ежемесячные затраты - средние'!$D$20*'Ежемесячные затраты - средние'!$D$17</f>
        <v>20000</v>
      </c>
      <c r="AO17" s="341">
        <f>'Ежемесячные затраты - средние'!$D$20*'Ежемесячные затраты - средние'!$D$17</f>
        <v>20000</v>
      </c>
      <c r="AP17" s="341">
        <f>'Ежемесячные затраты - средние'!$D$20*'Ежемесячные затраты - средние'!$D$17</f>
        <v>20000</v>
      </c>
      <c r="AQ17" s="341">
        <f>'Ежемесячные затраты - средние'!$D$20*'Ежемесячные затраты - средние'!$D$17</f>
        <v>20000</v>
      </c>
      <c r="AR17" s="341">
        <f>'Ежемесячные затраты - средние'!$D$20*'Ежемесячные затраты - средние'!$D$17</f>
        <v>20000</v>
      </c>
      <c r="AS17" s="341">
        <f>'Ежемесячные затраты - средние'!$D$20*'Ежемесячные затраты - средние'!$D$17</f>
        <v>20000</v>
      </c>
      <c r="AT17" s="341">
        <f>'Ежемесячные затраты - средние'!$D$20*'Ежемесячные затраты - средние'!$D$17</f>
        <v>20000</v>
      </c>
      <c r="AU17" s="341">
        <f>'Ежемесячные затраты - средние'!$D$20*'Ежемесячные затраты - средние'!$D$17</f>
        <v>20000</v>
      </c>
      <c r="AV17" s="341">
        <f>'Ежемесячные затраты - средние'!$D$20*'Ежемесячные затраты - средние'!$D$17</f>
        <v>20000</v>
      </c>
      <c r="AW17" s="341">
        <f>'Ежемесячные затраты - средние'!$D$20*'Ежемесячные затраты - средние'!$D$17</f>
        <v>20000</v>
      </c>
      <c r="AX17" s="341">
        <f>'Ежемесячные затраты - средние'!$D$20*'Ежемесячные затраты - средние'!$D$17</f>
        <v>20000</v>
      </c>
      <c r="AY17" s="341">
        <f>'Ежемесячные затраты - средние'!$D$20*'Ежемесячные затраты - средние'!$D$17</f>
        <v>20000</v>
      </c>
      <c r="AZ17" s="341">
        <f>'Ежемесячные затраты - средние'!$D$20*'Ежемесячные затраты - средние'!$D$17</f>
        <v>20000</v>
      </c>
      <c r="BA17" s="341">
        <f>'Ежемесячные затраты - средние'!$D$20*'Ежемесячные затраты - средние'!$D$17</f>
        <v>20000</v>
      </c>
      <c r="BB17" s="341">
        <f>'Ежемесячные затраты - средние'!$D$20*'Ежемесячные затраты - средние'!$D$17</f>
        <v>20000</v>
      </c>
      <c r="BC17" s="341">
        <f>'Ежемесячные затраты - средние'!$D$20*'Ежемесячные затраты - средние'!$D$17</f>
        <v>20000</v>
      </c>
      <c r="BD17" s="341">
        <f>'Ежемесячные затраты - средние'!$D$20*'Ежемесячные затраты - средние'!$D$17</f>
        <v>20000</v>
      </c>
      <c r="BE17" s="341">
        <f>'Ежемесячные затраты - средние'!$D$20*'Ежемесячные затраты - средние'!$D$17</f>
        <v>20000</v>
      </c>
      <c r="BF17" s="341">
        <f>'Ежемесячные затраты - средние'!$D$20*'Ежемесячные затраты - средние'!$D$17</f>
        <v>20000</v>
      </c>
      <c r="BG17" s="341">
        <f>'Ежемесячные затраты - средние'!$D$20*'Ежемесячные затраты - средние'!$D$17</f>
        <v>20000</v>
      </c>
      <c r="BH17" s="341">
        <f>'Ежемесячные затраты - средние'!$D$20*'Ежемесячные затраты - средние'!$D$17</f>
        <v>20000</v>
      </c>
      <c r="BI17" s="341">
        <f>'Ежемесячные затраты - средние'!$D$20*'Ежемесячные затраты - средние'!$D$17</f>
        <v>20000</v>
      </c>
      <c r="BJ17" s="341">
        <f>'Ежемесячные затраты - средние'!$D$20*'Ежемесячные затраты - средние'!$D$17</f>
        <v>20000</v>
      </c>
      <c r="BK17" s="341">
        <f>'Ежемесячные затраты - средние'!$D$20*'Ежемесячные затраты - средние'!$D$17</f>
        <v>20000</v>
      </c>
      <c r="BL17" s="332"/>
    </row>
    <row r="18" spans="2:64" outlineLevel="1">
      <c r="B18" s="330"/>
      <c r="C18" s="321" t="s">
        <v>341</v>
      </c>
      <c r="D18" s="341">
        <f>'Ежемесячные затраты - средние'!$D$21*'Ежемесячные затраты - средние'!$D$18</f>
        <v>10000</v>
      </c>
      <c r="E18" s="341">
        <f>'Ежемесячные затраты - средние'!$D$21*'Ежемесячные затраты - средние'!$D$18</f>
        <v>10000</v>
      </c>
      <c r="F18" s="341">
        <f>'Ежемесячные затраты - средние'!$D$21*'Ежемесячные затраты - средние'!$D$18</f>
        <v>10000</v>
      </c>
      <c r="G18" s="341">
        <f>'Ежемесячные затраты - средние'!$D$21*'Ежемесячные затраты - средние'!$D$18</f>
        <v>10000</v>
      </c>
      <c r="H18" s="341">
        <f>'Ежемесячные затраты - средние'!$D$21*'Ежемесячные затраты - средние'!$D$18</f>
        <v>10000</v>
      </c>
      <c r="I18" s="341">
        <f>'Ежемесячные затраты - средние'!$D$21*'Ежемесячные затраты - средние'!$D$18</f>
        <v>10000</v>
      </c>
      <c r="J18" s="341">
        <f>'Ежемесячные затраты - средние'!$D$21*'Ежемесячные затраты - средние'!$D$18</f>
        <v>10000</v>
      </c>
      <c r="K18" s="341">
        <f>'Ежемесячные затраты - средние'!$D$21*'Ежемесячные затраты - средние'!$D$18</f>
        <v>10000</v>
      </c>
      <c r="L18" s="341">
        <f>'Ежемесячные затраты - средние'!$D$21*'Ежемесячные затраты - средние'!$D$18</f>
        <v>10000</v>
      </c>
      <c r="M18" s="341">
        <f>'Ежемесячные затраты - средние'!$D$21*'Ежемесячные затраты - средние'!$D$18</f>
        <v>10000</v>
      </c>
      <c r="N18" s="341">
        <f>'Ежемесячные затраты - средние'!$D$21*'Ежемесячные затраты - средние'!$D$18</f>
        <v>10000</v>
      </c>
      <c r="O18" s="341">
        <f>'Ежемесячные затраты - средние'!$D$21*'Ежемесячные затраты - средние'!$D$18</f>
        <v>10000</v>
      </c>
      <c r="P18" s="341">
        <f>'Ежемесячные затраты - средние'!$D$21*'Ежемесячные затраты - средние'!$D$18</f>
        <v>10000</v>
      </c>
      <c r="Q18" s="341">
        <f>'Ежемесячные затраты - средние'!$D$21*'Ежемесячные затраты - средние'!$D$18</f>
        <v>10000</v>
      </c>
      <c r="R18" s="341">
        <f>'Ежемесячные затраты - средние'!$D$21*'Ежемесячные затраты - средние'!$D$18</f>
        <v>10000</v>
      </c>
      <c r="S18" s="341">
        <f>'Ежемесячные затраты - средние'!$D$21*'Ежемесячные затраты - средние'!$D$18</f>
        <v>10000</v>
      </c>
      <c r="T18" s="341">
        <f>'Ежемесячные затраты - средние'!$D$21*'Ежемесячные затраты - средние'!$D$18</f>
        <v>10000</v>
      </c>
      <c r="U18" s="341">
        <f>'Ежемесячные затраты - средние'!$D$21*'Ежемесячные затраты - средние'!$D$18</f>
        <v>10000</v>
      </c>
      <c r="V18" s="341">
        <f>'Ежемесячные затраты - средние'!$D$21*'Ежемесячные затраты - средние'!$D$18</f>
        <v>10000</v>
      </c>
      <c r="W18" s="341">
        <f>'Ежемесячные затраты - средние'!$D$21*'Ежемесячные затраты - средние'!$D$18</f>
        <v>10000</v>
      </c>
      <c r="X18" s="341">
        <f>'Ежемесячные затраты - средние'!$D$21*'Ежемесячные затраты - средние'!$D$18</f>
        <v>10000</v>
      </c>
      <c r="Y18" s="341">
        <f>'Ежемесячные затраты - средние'!$D$21*'Ежемесячные затраты - средние'!$D$18</f>
        <v>10000</v>
      </c>
      <c r="Z18" s="341">
        <f>'Ежемесячные затраты - средние'!$D$21*'Ежемесячные затраты - средние'!$D$18</f>
        <v>10000</v>
      </c>
      <c r="AA18" s="341">
        <f>'Ежемесячные затраты - средние'!$D$21*'Ежемесячные затраты - средние'!$D$18</f>
        <v>10000</v>
      </c>
      <c r="AB18" s="341">
        <f>'Ежемесячные затраты - средние'!$D$21*'Ежемесячные затраты - средние'!$D$18</f>
        <v>10000</v>
      </c>
      <c r="AC18" s="341">
        <f>'Ежемесячные затраты - средние'!$D$21*'Ежемесячные затраты - средние'!$D$18</f>
        <v>10000</v>
      </c>
      <c r="AD18" s="341">
        <f>'Ежемесячные затраты - средние'!$D$21*'Ежемесячные затраты - средние'!$D$18</f>
        <v>10000</v>
      </c>
      <c r="AE18" s="341">
        <f>'Ежемесячные затраты - средние'!$D$21*'Ежемесячные затраты - средние'!$D$18</f>
        <v>10000</v>
      </c>
      <c r="AF18" s="341">
        <f>'Ежемесячные затраты - средние'!$D$21*'Ежемесячные затраты - средние'!$D$18</f>
        <v>10000</v>
      </c>
      <c r="AG18" s="341">
        <f>'Ежемесячные затраты - средние'!$D$21*'Ежемесячные затраты - средние'!$D$18</f>
        <v>10000</v>
      </c>
      <c r="AH18" s="341">
        <f>'Ежемесячные затраты - средние'!$D$21*'Ежемесячные затраты - средние'!$D$18</f>
        <v>10000</v>
      </c>
      <c r="AI18" s="341">
        <f>'Ежемесячные затраты - средние'!$D$21*'Ежемесячные затраты - средние'!$D$18</f>
        <v>10000</v>
      </c>
      <c r="AJ18" s="341">
        <f>'Ежемесячные затраты - средние'!$D$21*'Ежемесячные затраты - средние'!$D$18</f>
        <v>10000</v>
      </c>
      <c r="AK18" s="341">
        <f>'Ежемесячные затраты - средние'!$D$21*'Ежемесячные затраты - средние'!$D$18</f>
        <v>10000</v>
      </c>
      <c r="AL18" s="341">
        <f>'Ежемесячные затраты - средние'!$D$21*'Ежемесячные затраты - средние'!$D$18</f>
        <v>10000</v>
      </c>
      <c r="AM18" s="341">
        <f>'Ежемесячные затраты - средние'!$D$21*'Ежемесячные затраты - средние'!$D$18</f>
        <v>10000</v>
      </c>
      <c r="AN18" s="341">
        <f>'Ежемесячные затраты - средние'!$D$21*'Ежемесячные затраты - средние'!$D$18</f>
        <v>10000</v>
      </c>
      <c r="AO18" s="341">
        <f>'Ежемесячные затраты - средние'!$D$21*'Ежемесячные затраты - средние'!$D$18</f>
        <v>10000</v>
      </c>
      <c r="AP18" s="341">
        <f>'Ежемесячные затраты - средние'!$D$21*'Ежемесячные затраты - средние'!$D$18</f>
        <v>10000</v>
      </c>
      <c r="AQ18" s="341">
        <f>'Ежемесячные затраты - средние'!$D$21*'Ежемесячные затраты - средние'!$D$18</f>
        <v>10000</v>
      </c>
      <c r="AR18" s="341">
        <f>'Ежемесячные затраты - средние'!$D$21*'Ежемесячные затраты - средние'!$D$18</f>
        <v>10000</v>
      </c>
      <c r="AS18" s="341">
        <f>'Ежемесячные затраты - средние'!$D$21*'Ежемесячные затраты - средние'!$D$18</f>
        <v>10000</v>
      </c>
      <c r="AT18" s="341">
        <f>'Ежемесячные затраты - средние'!$D$21*'Ежемесячные затраты - средние'!$D$18</f>
        <v>10000</v>
      </c>
      <c r="AU18" s="341">
        <f>'Ежемесячные затраты - средние'!$D$21*'Ежемесячные затраты - средние'!$D$18</f>
        <v>10000</v>
      </c>
      <c r="AV18" s="341">
        <f>'Ежемесячные затраты - средние'!$D$21*'Ежемесячные затраты - средние'!$D$18</f>
        <v>10000</v>
      </c>
      <c r="AW18" s="341">
        <f>'Ежемесячные затраты - средние'!$D$21*'Ежемесячные затраты - средние'!$D$18</f>
        <v>10000</v>
      </c>
      <c r="AX18" s="341">
        <f>'Ежемесячные затраты - средние'!$D$21*'Ежемесячные затраты - средние'!$D$18</f>
        <v>10000</v>
      </c>
      <c r="AY18" s="341">
        <f>'Ежемесячные затраты - средние'!$D$21*'Ежемесячные затраты - средние'!$D$18</f>
        <v>10000</v>
      </c>
      <c r="AZ18" s="341">
        <f>'Ежемесячные затраты - средние'!$D$21*'Ежемесячные затраты - средние'!$D$18</f>
        <v>10000</v>
      </c>
      <c r="BA18" s="341">
        <f>'Ежемесячные затраты - средние'!$D$21*'Ежемесячные затраты - средние'!$D$18</f>
        <v>10000</v>
      </c>
      <c r="BB18" s="341">
        <f>'Ежемесячные затраты - средние'!$D$21*'Ежемесячные затраты - средние'!$D$18</f>
        <v>10000</v>
      </c>
      <c r="BC18" s="341">
        <f>'Ежемесячные затраты - средние'!$D$21*'Ежемесячные затраты - средние'!$D$18</f>
        <v>10000</v>
      </c>
      <c r="BD18" s="341">
        <f>'Ежемесячные затраты - средние'!$D$21*'Ежемесячные затраты - средние'!$D$18</f>
        <v>10000</v>
      </c>
      <c r="BE18" s="341">
        <f>'Ежемесячные затраты - средние'!$D$21*'Ежемесячные затраты - средние'!$D$18</f>
        <v>10000</v>
      </c>
      <c r="BF18" s="341">
        <f>'Ежемесячные затраты - средние'!$D$21*'Ежемесячные затраты - средние'!$D$18</f>
        <v>10000</v>
      </c>
      <c r="BG18" s="341">
        <f>'Ежемесячные затраты - средние'!$D$21*'Ежемесячные затраты - средние'!$D$18</f>
        <v>10000</v>
      </c>
      <c r="BH18" s="341">
        <f>'Ежемесячные затраты - средние'!$D$21*'Ежемесячные затраты - средние'!$D$18</f>
        <v>10000</v>
      </c>
      <c r="BI18" s="341">
        <f>'Ежемесячные затраты - средние'!$D$21*'Ежемесячные затраты - средние'!$D$18</f>
        <v>10000</v>
      </c>
      <c r="BJ18" s="341">
        <f>'Ежемесячные затраты - средние'!$D$21*'Ежемесячные затраты - средние'!$D$18</f>
        <v>10000</v>
      </c>
      <c r="BK18" s="341">
        <f>'Ежемесячные затраты - средние'!$D$21*'Ежемесячные затраты - средние'!$D$18</f>
        <v>10000</v>
      </c>
      <c r="BL18" s="332"/>
    </row>
    <row r="19" spans="2:64" outlineLevel="1">
      <c r="B19" s="330"/>
      <c r="C19" s="321" t="s">
        <v>342</v>
      </c>
      <c r="D19" s="341">
        <f>D14*2%</f>
        <v>5039</v>
      </c>
      <c r="E19" s="341">
        <f t="shared" ref="E19:BK19" si="2">E14*2%</f>
        <v>6640.6</v>
      </c>
      <c r="F19" s="341">
        <f t="shared" si="2"/>
        <v>7805.8</v>
      </c>
      <c r="G19" s="341">
        <f t="shared" si="2"/>
        <v>10292</v>
      </c>
      <c r="H19" s="341">
        <f t="shared" si="2"/>
        <v>11101</v>
      </c>
      <c r="I19" s="341">
        <f t="shared" si="2"/>
        <v>12734</v>
      </c>
      <c r="J19" s="341">
        <f t="shared" si="2"/>
        <v>12971</v>
      </c>
      <c r="K19" s="341">
        <f t="shared" si="2"/>
        <v>12971</v>
      </c>
      <c r="L19" s="341">
        <f t="shared" si="2"/>
        <v>14432</v>
      </c>
      <c r="M19" s="341">
        <f t="shared" si="2"/>
        <v>16383</v>
      </c>
      <c r="N19" s="341">
        <f t="shared" si="2"/>
        <v>16290</v>
      </c>
      <c r="O19" s="341">
        <f t="shared" si="2"/>
        <v>18739</v>
      </c>
      <c r="P19" s="341">
        <f t="shared" si="2"/>
        <v>21375</v>
      </c>
      <c r="Q19" s="341">
        <f t="shared" si="2"/>
        <v>20974</v>
      </c>
      <c r="R19" s="341">
        <f t="shared" si="2"/>
        <v>21429</v>
      </c>
      <c r="S19" s="341">
        <f t="shared" si="2"/>
        <v>22827</v>
      </c>
      <c r="T19" s="341">
        <f t="shared" si="2"/>
        <v>21767</v>
      </c>
      <c r="U19" s="341">
        <f t="shared" si="2"/>
        <v>22621</v>
      </c>
      <c r="V19" s="341">
        <f t="shared" si="2"/>
        <v>20896</v>
      </c>
      <c r="W19" s="341">
        <f t="shared" si="2"/>
        <v>19203</v>
      </c>
      <c r="X19" s="341">
        <f t="shared" si="2"/>
        <v>19773</v>
      </c>
      <c r="Y19" s="341">
        <f t="shared" si="2"/>
        <v>20974</v>
      </c>
      <c r="Z19" s="341">
        <f t="shared" si="2"/>
        <v>19458</v>
      </c>
      <c r="AA19" s="341">
        <f t="shared" si="2"/>
        <v>20974</v>
      </c>
      <c r="AB19" s="341">
        <f t="shared" si="2"/>
        <v>21375</v>
      </c>
      <c r="AC19" s="341">
        <f t="shared" si="2"/>
        <v>20974</v>
      </c>
      <c r="AD19" s="341">
        <f t="shared" si="2"/>
        <v>21429</v>
      </c>
      <c r="AE19" s="341">
        <f t="shared" si="2"/>
        <v>22827</v>
      </c>
      <c r="AF19" s="341">
        <f t="shared" si="2"/>
        <v>21767</v>
      </c>
      <c r="AG19" s="341">
        <f t="shared" si="2"/>
        <v>22621</v>
      </c>
      <c r="AH19" s="341">
        <f t="shared" si="2"/>
        <v>20896</v>
      </c>
      <c r="AI19" s="341">
        <f t="shared" si="2"/>
        <v>19203</v>
      </c>
      <c r="AJ19" s="341">
        <f t="shared" si="2"/>
        <v>19773</v>
      </c>
      <c r="AK19" s="341">
        <f t="shared" si="2"/>
        <v>20974</v>
      </c>
      <c r="AL19" s="341">
        <f t="shared" si="2"/>
        <v>19458</v>
      </c>
      <c r="AM19" s="341">
        <f t="shared" si="2"/>
        <v>20974</v>
      </c>
      <c r="AN19" s="341">
        <f t="shared" si="2"/>
        <v>21375</v>
      </c>
      <c r="AO19" s="341">
        <f t="shared" si="2"/>
        <v>20974</v>
      </c>
      <c r="AP19" s="341">
        <f t="shared" si="2"/>
        <v>21429</v>
      </c>
      <c r="AQ19" s="341">
        <f t="shared" si="2"/>
        <v>22827</v>
      </c>
      <c r="AR19" s="341">
        <f t="shared" si="2"/>
        <v>21767</v>
      </c>
      <c r="AS19" s="341">
        <f t="shared" si="2"/>
        <v>22621</v>
      </c>
      <c r="AT19" s="341">
        <f t="shared" si="2"/>
        <v>20896</v>
      </c>
      <c r="AU19" s="341">
        <f t="shared" si="2"/>
        <v>19203</v>
      </c>
      <c r="AV19" s="341">
        <f t="shared" si="2"/>
        <v>19773</v>
      </c>
      <c r="AW19" s="341">
        <f t="shared" si="2"/>
        <v>20974</v>
      </c>
      <c r="AX19" s="341">
        <f t="shared" si="2"/>
        <v>19458</v>
      </c>
      <c r="AY19" s="341">
        <f t="shared" si="2"/>
        <v>20974</v>
      </c>
      <c r="AZ19" s="341">
        <f t="shared" si="2"/>
        <v>21375</v>
      </c>
      <c r="BA19" s="341">
        <f t="shared" si="2"/>
        <v>20974</v>
      </c>
      <c r="BB19" s="341">
        <f t="shared" si="2"/>
        <v>21429</v>
      </c>
      <c r="BC19" s="341">
        <f t="shared" si="2"/>
        <v>22827</v>
      </c>
      <c r="BD19" s="341">
        <f t="shared" si="2"/>
        <v>21767</v>
      </c>
      <c r="BE19" s="341">
        <f t="shared" si="2"/>
        <v>22621</v>
      </c>
      <c r="BF19" s="341">
        <f t="shared" si="2"/>
        <v>20896</v>
      </c>
      <c r="BG19" s="341">
        <f t="shared" si="2"/>
        <v>19203</v>
      </c>
      <c r="BH19" s="341">
        <f t="shared" si="2"/>
        <v>19773</v>
      </c>
      <c r="BI19" s="341">
        <f t="shared" si="2"/>
        <v>20974</v>
      </c>
      <c r="BJ19" s="341">
        <f t="shared" si="2"/>
        <v>19458</v>
      </c>
      <c r="BK19" s="341">
        <f t="shared" si="2"/>
        <v>20974</v>
      </c>
      <c r="BL19" s="332"/>
    </row>
    <row r="20" spans="2:64" outlineLevel="1">
      <c r="B20" s="330"/>
      <c r="C20" s="321" t="s">
        <v>343</v>
      </c>
      <c r="D20" s="341">
        <f>D14*5%</f>
        <v>12597.5</v>
      </c>
      <c r="E20" s="341">
        <f t="shared" ref="E20:BK20" si="3">E14*5%</f>
        <v>16601.5</v>
      </c>
      <c r="F20" s="341">
        <f t="shared" si="3"/>
        <v>19514.5</v>
      </c>
      <c r="G20" s="341">
        <f t="shared" si="3"/>
        <v>25730</v>
      </c>
      <c r="H20" s="341">
        <f t="shared" si="3"/>
        <v>27752.5</v>
      </c>
      <c r="I20" s="341">
        <f t="shared" si="3"/>
        <v>31835</v>
      </c>
      <c r="J20" s="341">
        <f t="shared" si="3"/>
        <v>32427.5</v>
      </c>
      <c r="K20" s="341">
        <f t="shared" si="3"/>
        <v>32427.5</v>
      </c>
      <c r="L20" s="341">
        <f t="shared" si="3"/>
        <v>36080</v>
      </c>
      <c r="M20" s="341">
        <f t="shared" si="3"/>
        <v>40957.5</v>
      </c>
      <c r="N20" s="341">
        <f t="shared" si="3"/>
        <v>40725</v>
      </c>
      <c r="O20" s="341">
        <f t="shared" si="3"/>
        <v>46847.5</v>
      </c>
      <c r="P20" s="341">
        <f t="shared" si="3"/>
        <v>53437.5</v>
      </c>
      <c r="Q20" s="341">
        <f t="shared" si="3"/>
        <v>52435</v>
      </c>
      <c r="R20" s="341">
        <f t="shared" si="3"/>
        <v>53572.5</v>
      </c>
      <c r="S20" s="341">
        <f t="shared" si="3"/>
        <v>57067.5</v>
      </c>
      <c r="T20" s="341">
        <f t="shared" si="3"/>
        <v>54417.5</v>
      </c>
      <c r="U20" s="341">
        <f t="shared" si="3"/>
        <v>56552.5</v>
      </c>
      <c r="V20" s="341">
        <f t="shared" si="3"/>
        <v>52240</v>
      </c>
      <c r="W20" s="341">
        <f t="shared" si="3"/>
        <v>48007.5</v>
      </c>
      <c r="X20" s="341">
        <f t="shared" si="3"/>
        <v>49432.5</v>
      </c>
      <c r="Y20" s="341">
        <f t="shared" si="3"/>
        <v>52435</v>
      </c>
      <c r="Z20" s="341">
        <f t="shared" si="3"/>
        <v>48645</v>
      </c>
      <c r="AA20" s="341">
        <f t="shared" si="3"/>
        <v>52435</v>
      </c>
      <c r="AB20" s="341">
        <f t="shared" si="3"/>
        <v>53437.5</v>
      </c>
      <c r="AC20" s="341">
        <f t="shared" si="3"/>
        <v>52435</v>
      </c>
      <c r="AD20" s="341">
        <f t="shared" si="3"/>
        <v>53572.5</v>
      </c>
      <c r="AE20" s="341">
        <f t="shared" si="3"/>
        <v>57067.5</v>
      </c>
      <c r="AF20" s="341">
        <f t="shared" si="3"/>
        <v>54417.5</v>
      </c>
      <c r="AG20" s="341">
        <f t="shared" si="3"/>
        <v>56552.5</v>
      </c>
      <c r="AH20" s="341">
        <f t="shared" si="3"/>
        <v>52240</v>
      </c>
      <c r="AI20" s="341">
        <f t="shared" si="3"/>
        <v>48007.5</v>
      </c>
      <c r="AJ20" s="341">
        <f t="shared" si="3"/>
        <v>49432.5</v>
      </c>
      <c r="AK20" s="341">
        <f t="shared" si="3"/>
        <v>52435</v>
      </c>
      <c r="AL20" s="341">
        <f t="shared" si="3"/>
        <v>48645</v>
      </c>
      <c r="AM20" s="341">
        <f t="shared" si="3"/>
        <v>52435</v>
      </c>
      <c r="AN20" s="341">
        <f t="shared" si="3"/>
        <v>53437.5</v>
      </c>
      <c r="AO20" s="341">
        <f t="shared" si="3"/>
        <v>52435</v>
      </c>
      <c r="AP20" s="341">
        <f t="shared" si="3"/>
        <v>53572.5</v>
      </c>
      <c r="AQ20" s="341">
        <f t="shared" si="3"/>
        <v>57067.5</v>
      </c>
      <c r="AR20" s="341">
        <f t="shared" si="3"/>
        <v>54417.5</v>
      </c>
      <c r="AS20" s="341">
        <f t="shared" si="3"/>
        <v>56552.5</v>
      </c>
      <c r="AT20" s="341">
        <f t="shared" si="3"/>
        <v>52240</v>
      </c>
      <c r="AU20" s="341">
        <f t="shared" si="3"/>
        <v>48007.5</v>
      </c>
      <c r="AV20" s="341">
        <f t="shared" si="3"/>
        <v>49432.5</v>
      </c>
      <c r="AW20" s="341">
        <f t="shared" si="3"/>
        <v>52435</v>
      </c>
      <c r="AX20" s="341">
        <f t="shared" si="3"/>
        <v>48645</v>
      </c>
      <c r="AY20" s="341">
        <f t="shared" si="3"/>
        <v>52435</v>
      </c>
      <c r="AZ20" s="341">
        <f t="shared" si="3"/>
        <v>53437.5</v>
      </c>
      <c r="BA20" s="341">
        <f t="shared" si="3"/>
        <v>52435</v>
      </c>
      <c r="BB20" s="341">
        <f t="shared" si="3"/>
        <v>53572.5</v>
      </c>
      <c r="BC20" s="341">
        <f t="shared" si="3"/>
        <v>57067.5</v>
      </c>
      <c r="BD20" s="341">
        <f t="shared" si="3"/>
        <v>54417.5</v>
      </c>
      <c r="BE20" s="341">
        <f t="shared" si="3"/>
        <v>56552.5</v>
      </c>
      <c r="BF20" s="341">
        <f t="shared" si="3"/>
        <v>52240</v>
      </c>
      <c r="BG20" s="341">
        <f t="shared" si="3"/>
        <v>48007.5</v>
      </c>
      <c r="BH20" s="341">
        <f t="shared" si="3"/>
        <v>49432.5</v>
      </c>
      <c r="BI20" s="341">
        <f t="shared" si="3"/>
        <v>52435</v>
      </c>
      <c r="BJ20" s="341">
        <f t="shared" si="3"/>
        <v>48645</v>
      </c>
      <c r="BK20" s="341">
        <f t="shared" si="3"/>
        <v>52435</v>
      </c>
      <c r="BL20" s="332"/>
    </row>
    <row r="21" spans="2:64" outlineLevel="1">
      <c r="B21" s="330"/>
      <c r="C21" s="321" t="s">
        <v>50</v>
      </c>
      <c r="D21" s="341">
        <f>'Ежемесячные затраты - средние'!$D$12</f>
        <v>37500</v>
      </c>
      <c r="E21" s="341">
        <f>'Ежемесячные затраты - средние'!$D$12</f>
        <v>37500</v>
      </c>
      <c r="F21" s="341">
        <f>'Ежемесячные затраты - средние'!$D$12</f>
        <v>37500</v>
      </c>
      <c r="G21" s="341">
        <f>'Ежемесячные затраты - средние'!$D$12</f>
        <v>37500</v>
      </c>
      <c r="H21" s="341">
        <f>'Ежемесячные затраты - средние'!$D$12</f>
        <v>37500</v>
      </c>
      <c r="I21" s="341">
        <f>'Ежемесячные затраты - средние'!$D$12</f>
        <v>37500</v>
      </c>
      <c r="J21" s="341">
        <f>'Ежемесячные затраты - средние'!$D$12</f>
        <v>37500</v>
      </c>
      <c r="K21" s="341">
        <f>'Ежемесячные затраты - средние'!$D$12</f>
        <v>37500</v>
      </c>
      <c r="L21" s="341">
        <f>'Ежемесячные затраты - средние'!$D$12</f>
        <v>37500</v>
      </c>
      <c r="M21" s="341">
        <f>'Ежемесячные затраты - средние'!$D$12</f>
        <v>37500</v>
      </c>
      <c r="N21" s="341">
        <f>'Ежемесячные затраты - средние'!$D$12</f>
        <v>37500</v>
      </c>
      <c r="O21" s="341">
        <f>'Ежемесячные затраты - средние'!$D$12</f>
        <v>37500</v>
      </c>
      <c r="P21" s="341">
        <f>'Ежемесячные затраты - средние'!$D$12</f>
        <v>37500</v>
      </c>
      <c r="Q21" s="341">
        <f>'Ежемесячные затраты - средние'!$D$12</f>
        <v>37500</v>
      </c>
      <c r="R21" s="341">
        <f>'Ежемесячные затраты - средние'!$D$12</f>
        <v>37500</v>
      </c>
      <c r="S21" s="341">
        <f>'Ежемесячные затраты - средние'!$D$12</f>
        <v>37500</v>
      </c>
      <c r="T21" s="341">
        <f>'Ежемесячные затраты - средние'!$D$12</f>
        <v>37500</v>
      </c>
      <c r="U21" s="341">
        <f>'Ежемесячные затраты - средние'!$D$12</f>
        <v>37500</v>
      </c>
      <c r="V21" s="341">
        <f>'Ежемесячные затраты - средние'!$D$12</f>
        <v>37500</v>
      </c>
      <c r="W21" s="341">
        <f>'Ежемесячные затраты - средние'!$D$12</f>
        <v>37500</v>
      </c>
      <c r="X21" s="341">
        <f>'Ежемесячные затраты - средние'!$D$12</f>
        <v>37500</v>
      </c>
      <c r="Y21" s="341">
        <f>'Ежемесячные затраты - средние'!$D$12</f>
        <v>37500</v>
      </c>
      <c r="Z21" s="341">
        <f>'Ежемесячные затраты - средние'!$D$12</f>
        <v>37500</v>
      </c>
      <c r="AA21" s="341">
        <f>'Ежемесячные затраты - средние'!$D$12</f>
        <v>37500</v>
      </c>
      <c r="AB21" s="341">
        <f>'Ежемесячные затраты - средние'!$D$12</f>
        <v>37500</v>
      </c>
      <c r="AC21" s="341">
        <f>'Ежемесячные затраты - средние'!$D$12</f>
        <v>37500</v>
      </c>
      <c r="AD21" s="341">
        <f>'Ежемесячные затраты - средние'!$D$12</f>
        <v>37500</v>
      </c>
      <c r="AE21" s="341">
        <f>'Ежемесячные затраты - средние'!$D$12</f>
        <v>37500</v>
      </c>
      <c r="AF21" s="341">
        <f>'Ежемесячные затраты - средние'!$D$12</f>
        <v>37500</v>
      </c>
      <c r="AG21" s="341">
        <f>'Ежемесячные затраты - средние'!$D$12</f>
        <v>37500</v>
      </c>
      <c r="AH21" s="341">
        <f>'Ежемесячные затраты - средние'!$D$12</f>
        <v>37500</v>
      </c>
      <c r="AI21" s="341">
        <f>'Ежемесячные затраты - средние'!$D$12</f>
        <v>37500</v>
      </c>
      <c r="AJ21" s="341">
        <f>'Ежемесячные затраты - средние'!$D$12</f>
        <v>37500</v>
      </c>
      <c r="AK21" s="341">
        <f>'Ежемесячные затраты - средние'!$D$12</f>
        <v>37500</v>
      </c>
      <c r="AL21" s="341">
        <f>'Ежемесячные затраты - средние'!$D$12</f>
        <v>37500</v>
      </c>
      <c r="AM21" s="341">
        <f>'Ежемесячные затраты - средние'!$D$12</f>
        <v>37500</v>
      </c>
      <c r="AN21" s="341">
        <f>'Ежемесячные затраты - средние'!$D$12</f>
        <v>37500</v>
      </c>
      <c r="AO21" s="341">
        <f>'Ежемесячные затраты - средние'!$D$12</f>
        <v>37500</v>
      </c>
      <c r="AP21" s="341">
        <f>'Ежемесячные затраты - средние'!$D$12</f>
        <v>37500</v>
      </c>
      <c r="AQ21" s="341">
        <f>'Ежемесячные затраты - средние'!$D$12</f>
        <v>37500</v>
      </c>
      <c r="AR21" s="341">
        <f>'Ежемесячные затраты - средние'!$D$12</f>
        <v>37500</v>
      </c>
      <c r="AS21" s="341">
        <f>'Ежемесячные затраты - средние'!$D$12</f>
        <v>37500</v>
      </c>
      <c r="AT21" s="341">
        <f>'Ежемесячные затраты - средние'!$D$12</f>
        <v>37500</v>
      </c>
      <c r="AU21" s="341">
        <f>'Ежемесячные затраты - средние'!$D$12</f>
        <v>37500</v>
      </c>
      <c r="AV21" s="341">
        <f>'Ежемесячные затраты - средние'!$D$12</f>
        <v>37500</v>
      </c>
      <c r="AW21" s="341">
        <f>'Ежемесячные затраты - средние'!$D$12</f>
        <v>37500</v>
      </c>
      <c r="AX21" s="341">
        <f>'Ежемесячные затраты - средние'!$D$12</f>
        <v>37500</v>
      </c>
      <c r="AY21" s="341">
        <f>'Ежемесячные затраты - средние'!$D$12</f>
        <v>37500</v>
      </c>
      <c r="AZ21" s="341">
        <f>'Ежемесячные затраты - средние'!$D$12</f>
        <v>37500</v>
      </c>
      <c r="BA21" s="341">
        <f>'Ежемесячные затраты - средние'!$D$12</f>
        <v>37500</v>
      </c>
      <c r="BB21" s="341">
        <f>'Ежемесячные затраты - средние'!$D$12</f>
        <v>37500</v>
      </c>
      <c r="BC21" s="341">
        <f>'Ежемесячные затраты - средние'!$D$12</f>
        <v>37500</v>
      </c>
      <c r="BD21" s="341">
        <f>'Ежемесячные затраты - средние'!$D$12</f>
        <v>37500</v>
      </c>
      <c r="BE21" s="341">
        <f>'Ежемесячные затраты - средние'!$D$12</f>
        <v>37500</v>
      </c>
      <c r="BF21" s="341">
        <f>'Ежемесячные затраты - средние'!$D$12</f>
        <v>37500</v>
      </c>
      <c r="BG21" s="341">
        <f>'Ежемесячные затраты - средние'!$D$12</f>
        <v>37500</v>
      </c>
      <c r="BH21" s="341">
        <f>'Ежемесячные затраты - средние'!$D$12</f>
        <v>37500</v>
      </c>
      <c r="BI21" s="341">
        <f>'Ежемесячные затраты - средние'!$D$12</f>
        <v>37500</v>
      </c>
      <c r="BJ21" s="341">
        <f>'Ежемесячные затраты - средние'!$D$12</f>
        <v>37500</v>
      </c>
      <c r="BK21" s="341">
        <f>'Ежемесячные затраты - средние'!$D$12</f>
        <v>37500</v>
      </c>
      <c r="BL21" s="332"/>
    </row>
    <row r="22" spans="2:64" outlineLevel="1">
      <c r="B22" s="330"/>
      <c r="C22" s="321" t="s">
        <v>81</v>
      </c>
      <c r="D22" s="341">
        <v>15000</v>
      </c>
      <c r="E22" s="341">
        <v>15000</v>
      </c>
      <c r="F22" s="341">
        <v>15000</v>
      </c>
      <c r="G22" s="341">
        <v>15000</v>
      </c>
      <c r="H22" s="341">
        <v>15000</v>
      </c>
      <c r="I22" s="341">
        <v>15000</v>
      </c>
      <c r="J22" s="341">
        <v>15000</v>
      </c>
      <c r="K22" s="341">
        <v>15000</v>
      </c>
      <c r="L22" s="341">
        <v>15000</v>
      </c>
      <c r="M22" s="341">
        <v>15000</v>
      </c>
      <c r="N22" s="341">
        <v>15000</v>
      </c>
      <c r="O22" s="341">
        <v>15000</v>
      </c>
      <c r="P22" s="341">
        <v>15000</v>
      </c>
      <c r="Q22" s="341">
        <v>15000</v>
      </c>
      <c r="R22" s="341">
        <v>15000</v>
      </c>
      <c r="S22" s="341">
        <v>15000</v>
      </c>
      <c r="T22" s="341">
        <v>15000</v>
      </c>
      <c r="U22" s="341">
        <v>15000</v>
      </c>
      <c r="V22" s="341">
        <v>15000</v>
      </c>
      <c r="W22" s="341">
        <v>15000</v>
      </c>
      <c r="X22" s="341">
        <v>15000</v>
      </c>
      <c r="Y22" s="341">
        <v>15000</v>
      </c>
      <c r="Z22" s="341">
        <v>15000</v>
      </c>
      <c r="AA22" s="341">
        <v>15000</v>
      </c>
      <c r="AB22" s="341">
        <v>15000</v>
      </c>
      <c r="AC22" s="341">
        <v>15000</v>
      </c>
      <c r="AD22" s="341">
        <v>15000</v>
      </c>
      <c r="AE22" s="341">
        <v>15000</v>
      </c>
      <c r="AF22" s="341">
        <v>15000</v>
      </c>
      <c r="AG22" s="341">
        <v>15000</v>
      </c>
      <c r="AH22" s="341">
        <v>15000</v>
      </c>
      <c r="AI22" s="341">
        <v>15000</v>
      </c>
      <c r="AJ22" s="341">
        <v>15000</v>
      </c>
      <c r="AK22" s="341">
        <v>15000</v>
      </c>
      <c r="AL22" s="341">
        <v>15000</v>
      </c>
      <c r="AM22" s="341">
        <v>15000</v>
      </c>
      <c r="AN22" s="341">
        <v>15000</v>
      </c>
      <c r="AO22" s="341">
        <v>15000</v>
      </c>
      <c r="AP22" s="341">
        <v>15000</v>
      </c>
      <c r="AQ22" s="341">
        <v>15000</v>
      </c>
      <c r="AR22" s="341">
        <v>15000</v>
      </c>
      <c r="AS22" s="341">
        <v>15000</v>
      </c>
      <c r="AT22" s="341">
        <v>15000</v>
      </c>
      <c r="AU22" s="341">
        <v>15000</v>
      </c>
      <c r="AV22" s="341">
        <v>15000</v>
      </c>
      <c r="AW22" s="341">
        <v>15000</v>
      </c>
      <c r="AX22" s="341">
        <v>15000</v>
      </c>
      <c r="AY22" s="341">
        <v>15000</v>
      </c>
      <c r="AZ22" s="341">
        <v>15000</v>
      </c>
      <c r="BA22" s="341">
        <v>15000</v>
      </c>
      <c r="BB22" s="341">
        <v>15000</v>
      </c>
      <c r="BC22" s="341">
        <v>15000</v>
      </c>
      <c r="BD22" s="341">
        <v>15000</v>
      </c>
      <c r="BE22" s="341">
        <v>15000</v>
      </c>
      <c r="BF22" s="341">
        <v>15000</v>
      </c>
      <c r="BG22" s="341">
        <v>15000</v>
      </c>
      <c r="BH22" s="341">
        <v>15000</v>
      </c>
      <c r="BI22" s="341">
        <v>15000</v>
      </c>
      <c r="BJ22" s="341">
        <v>15000</v>
      </c>
      <c r="BK22" s="341">
        <v>15000</v>
      </c>
      <c r="BL22" s="332"/>
    </row>
    <row r="23" spans="2:64" outlineLevel="1">
      <c r="B23" s="330"/>
      <c r="C23" s="321" t="s">
        <v>216</v>
      </c>
      <c r="D23" s="341">
        <f>'Ежемесячные затраты - средние'!$D$28</f>
        <v>750</v>
      </c>
      <c r="E23" s="341">
        <f>'Ежемесячные затраты - средние'!$D$28</f>
        <v>750</v>
      </c>
      <c r="F23" s="341">
        <f>'Ежемесячные затраты - средние'!$D$28</f>
        <v>750</v>
      </c>
      <c r="G23" s="341">
        <f>'Ежемесячные затраты - средние'!$D$28</f>
        <v>750</v>
      </c>
      <c r="H23" s="341">
        <f>'Ежемесячные затраты - средние'!$D$28</f>
        <v>750</v>
      </c>
      <c r="I23" s="341">
        <f>'Ежемесячные затраты - средние'!$D$28</f>
        <v>750</v>
      </c>
      <c r="J23" s="341">
        <f>'Ежемесячные затраты - средние'!$D$28</f>
        <v>750</v>
      </c>
      <c r="K23" s="341">
        <f>'Ежемесячные затраты - средние'!$D$28</f>
        <v>750</v>
      </c>
      <c r="L23" s="341">
        <f>'Ежемесячные затраты - средние'!$D$28</f>
        <v>750</v>
      </c>
      <c r="M23" s="341">
        <f>'Ежемесячные затраты - средние'!$D$28</f>
        <v>750</v>
      </c>
      <c r="N23" s="341">
        <f>'Ежемесячные затраты - средние'!$D$28</f>
        <v>750</v>
      </c>
      <c r="O23" s="341">
        <f>'Ежемесячные затраты - средние'!$D$28</f>
        <v>750</v>
      </c>
      <c r="P23" s="341">
        <f>'Ежемесячные затраты - средние'!$D$28</f>
        <v>750</v>
      </c>
      <c r="Q23" s="341">
        <f>'Ежемесячные затраты - средние'!$D$28</f>
        <v>750</v>
      </c>
      <c r="R23" s="341">
        <f>'Ежемесячные затраты - средние'!$D$28</f>
        <v>750</v>
      </c>
      <c r="S23" s="341">
        <f>'Ежемесячные затраты - средние'!$D$28</f>
        <v>750</v>
      </c>
      <c r="T23" s="341">
        <f>'Ежемесячные затраты - средние'!$D$28</f>
        <v>750</v>
      </c>
      <c r="U23" s="341">
        <f>'Ежемесячные затраты - средние'!$D$28</f>
        <v>750</v>
      </c>
      <c r="V23" s="341">
        <f>'Ежемесячные затраты - средние'!$D$28</f>
        <v>750</v>
      </c>
      <c r="W23" s="341">
        <f>'Ежемесячные затраты - средние'!$D$28</f>
        <v>750</v>
      </c>
      <c r="X23" s="341">
        <f>'Ежемесячные затраты - средние'!$D$28</f>
        <v>750</v>
      </c>
      <c r="Y23" s="341">
        <f>'Ежемесячные затраты - средние'!$D$28</f>
        <v>750</v>
      </c>
      <c r="Z23" s="341">
        <f>'Ежемесячные затраты - средние'!$D$28</f>
        <v>750</v>
      </c>
      <c r="AA23" s="341">
        <f>'Ежемесячные затраты - средние'!$D$28</f>
        <v>750</v>
      </c>
      <c r="AB23" s="341">
        <f>'Ежемесячные затраты - средние'!$D$28</f>
        <v>750</v>
      </c>
      <c r="AC23" s="341">
        <f>'Ежемесячные затраты - средние'!$D$28</f>
        <v>750</v>
      </c>
      <c r="AD23" s="341">
        <f>'Ежемесячные затраты - средние'!$D$28</f>
        <v>750</v>
      </c>
      <c r="AE23" s="341">
        <f>'Ежемесячные затраты - средние'!$D$28</f>
        <v>750</v>
      </c>
      <c r="AF23" s="341">
        <f>'Ежемесячные затраты - средние'!$D$28</f>
        <v>750</v>
      </c>
      <c r="AG23" s="341">
        <f>'Ежемесячные затраты - средние'!$D$28</f>
        <v>750</v>
      </c>
      <c r="AH23" s="341">
        <f>'Ежемесячные затраты - средние'!$D$28</f>
        <v>750</v>
      </c>
      <c r="AI23" s="341">
        <f>'Ежемесячные затраты - средние'!$D$28</f>
        <v>750</v>
      </c>
      <c r="AJ23" s="341">
        <f>'Ежемесячные затраты - средние'!$D$28</f>
        <v>750</v>
      </c>
      <c r="AK23" s="341">
        <f>'Ежемесячные затраты - средние'!$D$28</f>
        <v>750</v>
      </c>
      <c r="AL23" s="341">
        <f>'Ежемесячные затраты - средние'!$D$28</f>
        <v>750</v>
      </c>
      <c r="AM23" s="341">
        <f>'Ежемесячные затраты - средние'!$D$28</f>
        <v>750</v>
      </c>
      <c r="AN23" s="341">
        <f>'Ежемесячные затраты - средние'!$D$28</f>
        <v>750</v>
      </c>
      <c r="AO23" s="341">
        <f>'Ежемесячные затраты - средние'!$D$28</f>
        <v>750</v>
      </c>
      <c r="AP23" s="341">
        <f>'Ежемесячные затраты - средние'!$D$28</f>
        <v>750</v>
      </c>
      <c r="AQ23" s="341">
        <f>'Ежемесячные затраты - средние'!$D$28</f>
        <v>750</v>
      </c>
      <c r="AR23" s="341">
        <f>'Ежемесячные затраты - средние'!$D$28</f>
        <v>750</v>
      </c>
      <c r="AS23" s="341">
        <f>'Ежемесячные затраты - средние'!$D$28</f>
        <v>750</v>
      </c>
      <c r="AT23" s="341">
        <f>'Ежемесячные затраты - средние'!$D$28</f>
        <v>750</v>
      </c>
      <c r="AU23" s="341">
        <f>'Ежемесячные затраты - средние'!$D$28</f>
        <v>750</v>
      </c>
      <c r="AV23" s="341">
        <f>'Ежемесячные затраты - средние'!$D$28</f>
        <v>750</v>
      </c>
      <c r="AW23" s="341">
        <f>'Ежемесячные затраты - средние'!$D$28</f>
        <v>750</v>
      </c>
      <c r="AX23" s="341">
        <f>'Ежемесячные затраты - средние'!$D$28</f>
        <v>750</v>
      </c>
      <c r="AY23" s="341">
        <f>'Ежемесячные затраты - средние'!$D$28</f>
        <v>750</v>
      </c>
      <c r="AZ23" s="341">
        <f>'Ежемесячные затраты - средние'!$D$28</f>
        <v>750</v>
      </c>
      <c r="BA23" s="341">
        <f>'Ежемесячные затраты - средние'!$D$28</f>
        <v>750</v>
      </c>
      <c r="BB23" s="341">
        <f>'Ежемесячные затраты - средние'!$D$28</f>
        <v>750</v>
      </c>
      <c r="BC23" s="341">
        <f>'Ежемесячные затраты - средние'!$D$28</f>
        <v>750</v>
      </c>
      <c r="BD23" s="341">
        <f>'Ежемесячные затраты - средние'!$D$28</f>
        <v>750</v>
      </c>
      <c r="BE23" s="341">
        <f>'Ежемесячные затраты - средние'!$D$28</f>
        <v>750</v>
      </c>
      <c r="BF23" s="341">
        <f>'Ежемесячные затраты - средние'!$D$28</f>
        <v>750</v>
      </c>
      <c r="BG23" s="341">
        <f>'Ежемесячные затраты - средние'!$D$28</f>
        <v>750</v>
      </c>
      <c r="BH23" s="341">
        <f>'Ежемесячные затраты - средние'!$D$28</f>
        <v>750</v>
      </c>
      <c r="BI23" s="341">
        <f>'Ежемесячные затраты - средние'!$D$28</f>
        <v>750</v>
      </c>
      <c r="BJ23" s="341">
        <f>'Ежемесячные затраты - средние'!$D$28</f>
        <v>750</v>
      </c>
      <c r="BK23" s="341">
        <f>'Ежемесячные затраты - средние'!$D$28</f>
        <v>750</v>
      </c>
      <c r="BL23" s="332"/>
    </row>
    <row r="24" spans="2:64" outlineLevel="1">
      <c r="B24" s="330"/>
      <c r="C24" s="321" t="s">
        <v>91</v>
      </c>
      <c r="D24" s="341">
        <f>VLOOKUP('Входящие данные'!$D$12,'Оплата оборудования'!$C16:$AS$21,Прибыль_окупаемость!D12,0)</f>
        <v>0</v>
      </c>
      <c r="E24" s="341">
        <f>VLOOKUP('Входящие данные'!$D$12,'Оплата оборудования'!$C16:$AS$21,Прибыль_окупаемость!E12,0)</f>
        <v>0</v>
      </c>
      <c r="F24" s="341">
        <f>VLOOKUP('Входящие данные'!$D$12,'Оплата оборудования'!$C16:$AS$21,Прибыль_окупаемость!F12,0)</f>
        <v>0</v>
      </c>
      <c r="G24" s="341">
        <f>VLOOKUP('Входящие данные'!$D$12,'Оплата оборудования'!$C16:$AS$21,Прибыль_окупаемость!G12,0)</f>
        <v>0</v>
      </c>
      <c r="H24" s="341">
        <f>VLOOKUP('Входящие данные'!$D$12,'Оплата оборудования'!$C16:$AS$21,Прибыль_окупаемость!H12,0)</f>
        <v>0</v>
      </c>
      <c r="I24" s="341">
        <f>VLOOKUP('Входящие данные'!$D$12,'Оплата оборудования'!$C16:$AS$21,Прибыль_окупаемость!I12,0)</f>
        <v>0</v>
      </c>
      <c r="J24" s="341">
        <f>VLOOKUP('Входящие данные'!$D$12,'Оплата оборудования'!$C16:$AS$21,Прибыль_окупаемость!J12,0)</f>
        <v>0</v>
      </c>
      <c r="K24" s="341">
        <f>VLOOKUP('Входящие данные'!$D$12,'Оплата оборудования'!$C16:$AS$21,Прибыль_окупаемость!K12,0)</f>
        <v>0</v>
      </c>
      <c r="L24" s="341">
        <f>VLOOKUP('Входящие данные'!$D$12,'Оплата оборудования'!$C16:$AS$21,Прибыль_окупаемость!L12,0)</f>
        <v>0</v>
      </c>
      <c r="M24" s="341">
        <f>VLOOKUP('Входящие данные'!$D$12,'Оплата оборудования'!$C16:$AS$21,Прибыль_окупаемость!M12,0)</f>
        <v>0</v>
      </c>
      <c r="N24" s="341">
        <f>VLOOKUP('Входящие данные'!$D$12,'Оплата оборудования'!$C16:$AS$21,Прибыль_окупаемость!N12,0)</f>
        <v>0</v>
      </c>
      <c r="O24" s="341">
        <f>VLOOKUP('Входящие данные'!$D$12,'Оплата оборудования'!$C16:$AS$21,Прибыль_окупаемость!O12,0)</f>
        <v>0</v>
      </c>
      <c r="P24" s="341">
        <f>VLOOKUP('Входящие данные'!$D$12,'Оплата оборудования'!$C16:$AS$21,Прибыль_окупаемость!P12,0)</f>
        <v>0</v>
      </c>
      <c r="Q24" s="341">
        <f>VLOOKUP('Входящие данные'!$D$12,'Оплата оборудования'!$C16:$AS$21,Прибыль_окупаемость!Q12,0)</f>
        <v>0</v>
      </c>
      <c r="R24" s="341">
        <f>VLOOKUP('Входящие данные'!$D$12,'Оплата оборудования'!$C16:$AS$21,Прибыль_окупаемость!R12,0)</f>
        <v>0</v>
      </c>
      <c r="S24" s="341">
        <f>VLOOKUP('Входящие данные'!$D$12,'Оплата оборудования'!$C16:$AS$21,Прибыль_окупаемость!S12,0)</f>
        <v>0</v>
      </c>
      <c r="T24" s="341">
        <f>VLOOKUP('Входящие данные'!$D$12,'Оплата оборудования'!$C16:$AS$21,Прибыль_окупаемость!T12,0)</f>
        <v>0</v>
      </c>
      <c r="U24" s="341">
        <f>VLOOKUP('Входящие данные'!$D$12,'Оплата оборудования'!$C16:$AS$21,Прибыль_окупаемость!U12,0)</f>
        <v>0</v>
      </c>
      <c r="V24" s="341">
        <f>VLOOKUP('Входящие данные'!$D$12,'Оплата оборудования'!$C16:$AS$21,Прибыль_окупаемость!V12,0)</f>
        <v>0</v>
      </c>
      <c r="W24" s="341">
        <f>VLOOKUP('Входящие данные'!$D$12,'Оплата оборудования'!$C16:$AS$21,Прибыль_окупаемость!W12,0)</f>
        <v>0</v>
      </c>
      <c r="X24" s="341">
        <f>VLOOKUP('Входящие данные'!$D$12,'Оплата оборудования'!$C16:$AS$21,Прибыль_окупаемость!X12,0)</f>
        <v>0</v>
      </c>
      <c r="Y24" s="341">
        <f>VLOOKUP('Входящие данные'!$D$12,'Оплата оборудования'!$C16:$AS$21,Прибыль_окупаемость!Y12,0)</f>
        <v>0</v>
      </c>
      <c r="Z24" s="341">
        <f>VLOOKUP('Входящие данные'!$D$12,'Оплата оборудования'!$C16:$AS$21,Прибыль_окупаемость!Z12,0)</f>
        <v>0</v>
      </c>
      <c r="AA24" s="341">
        <f>VLOOKUP('Входящие данные'!$D$12,'Оплата оборудования'!$C16:$AS$21,Прибыль_окупаемость!AA12,0)</f>
        <v>0</v>
      </c>
      <c r="AB24" s="341">
        <f>VLOOKUP('Входящие данные'!$D$12,'Оплата оборудования'!$C16:$AS$21,Прибыль_окупаемость!AB12,0)</f>
        <v>0</v>
      </c>
      <c r="AC24" s="341">
        <f>VLOOKUP('Входящие данные'!$D$12,'Оплата оборудования'!$C16:$AS$21,Прибыль_окупаемость!AC12,0)</f>
        <v>0</v>
      </c>
      <c r="AD24" s="341">
        <f>VLOOKUP('Входящие данные'!$D$12,'Оплата оборудования'!$C16:$AS$21,Прибыль_окупаемость!AD12,0)</f>
        <v>0</v>
      </c>
      <c r="AE24" s="341">
        <f>VLOOKUP('Входящие данные'!$D$12,'Оплата оборудования'!$C16:$AS$21,Прибыль_окупаемость!AE12,0)</f>
        <v>0</v>
      </c>
      <c r="AF24" s="341">
        <f>VLOOKUP('Входящие данные'!$D$12,'Оплата оборудования'!$C16:$AS$21,Прибыль_окупаемость!AF12,0)</f>
        <v>0</v>
      </c>
      <c r="AG24" s="341">
        <f>VLOOKUP('Входящие данные'!$D$12,'Оплата оборудования'!$C16:$AS$21,Прибыль_окупаемость!AG12,0)</f>
        <v>0</v>
      </c>
      <c r="AH24" s="341">
        <f>VLOOKUP('Входящие данные'!$D$12,'Оплата оборудования'!$C16:$AS$21,Прибыль_окупаемость!AH12,0)</f>
        <v>0</v>
      </c>
      <c r="AI24" s="341">
        <f>VLOOKUP('Входящие данные'!$D$12,'Оплата оборудования'!$C16:$AS$21,Прибыль_окупаемость!AI12,0)</f>
        <v>0</v>
      </c>
      <c r="AJ24" s="341">
        <f>VLOOKUP('Входящие данные'!$D$12,'Оплата оборудования'!$C16:$AS$21,Прибыль_окупаемость!AJ12,0)</f>
        <v>0</v>
      </c>
      <c r="AK24" s="341" t="s">
        <v>421</v>
      </c>
      <c r="AL24" s="341" t="s">
        <v>421</v>
      </c>
      <c r="AM24" s="341" t="s">
        <v>421</v>
      </c>
      <c r="AN24" s="341" t="s">
        <v>421</v>
      </c>
      <c r="AO24" s="341" t="s">
        <v>421</v>
      </c>
      <c r="AP24" s="341" t="s">
        <v>421</v>
      </c>
      <c r="AQ24" s="341" t="s">
        <v>421</v>
      </c>
      <c r="AR24" s="341" t="s">
        <v>421</v>
      </c>
      <c r="AS24" s="341" t="s">
        <v>421</v>
      </c>
      <c r="AT24" s="341" t="s">
        <v>421</v>
      </c>
      <c r="AU24" s="341" t="s">
        <v>421</v>
      </c>
      <c r="AV24" s="341" t="s">
        <v>421</v>
      </c>
      <c r="AW24" s="341" t="s">
        <v>421</v>
      </c>
      <c r="AX24" s="341" t="s">
        <v>421</v>
      </c>
      <c r="AY24" s="341" t="s">
        <v>421</v>
      </c>
      <c r="AZ24" s="341" t="s">
        <v>421</v>
      </c>
      <c r="BA24" s="341" t="s">
        <v>421</v>
      </c>
      <c r="BB24" s="341" t="s">
        <v>421</v>
      </c>
      <c r="BC24" s="341" t="s">
        <v>421</v>
      </c>
      <c r="BD24" s="341" t="s">
        <v>421</v>
      </c>
      <c r="BE24" s="341" t="s">
        <v>421</v>
      </c>
      <c r="BF24" s="341" t="s">
        <v>421</v>
      </c>
      <c r="BG24" s="341" t="s">
        <v>421</v>
      </c>
      <c r="BH24" s="341" t="s">
        <v>421</v>
      </c>
      <c r="BI24" s="341" t="s">
        <v>421</v>
      </c>
      <c r="BJ24" s="341" t="s">
        <v>421</v>
      </c>
      <c r="BK24" s="341" t="s">
        <v>421</v>
      </c>
      <c r="BL24" s="332"/>
    </row>
    <row r="25" spans="2:64" outlineLevel="1">
      <c r="B25" s="330"/>
      <c r="C25" s="321" t="s">
        <v>345</v>
      </c>
      <c r="D25" s="341">
        <f>D14*'Входящие данные'!$D$16</f>
        <v>25195</v>
      </c>
      <c r="E25" s="341">
        <f>E14*'Входящие данные'!$D$16</f>
        <v>33203</v>
      </c>
      <c r="F25" s="341">
        <f>F14*'Входящие данные'!$D$16</f>
        <v>39029</v>
      </c>
      <c r="G25" s="341">
        <f>G14*'Входящие данные'!$D$16</f>
        <v>51460</v>
      </c>
      <c r="H25" s="341">
        <f>H14*'Входящие данные'!$D$16</f>
        <v>55505</v>
      </c>
      <c r="I25" s="341">
        <f>I14*'Входящие данные'!$D$16</f>
        <v>63670</v>
      </c>
      <c r="J25" s="341">
        <f>J14*'Входящие данные'!$D$16</f>
        <v>64855</v>
      </c>
      <c r="K25" s="341">
        <f>K14*'Входящие данные'!$D$16</f>
        <v>64855</v>
      </c>
      <c r="L25" s="341">
        <f>L14*'Входящие данные'!$D$16</f>
        <v>72160</v>
      </c>
      <c r="M25" s="341">
        <f>M14*'Входящие данные'!$D$16</f>
        <v>81915</v>
      </c>
      <c r="N25" s="341">
        <f>N14*'Входящие данные'!$D$16</f>
        <v>81450</v>
      </c>
      <c r="O25" s="341">
        <f>O14*'Входящие данные'!$D$16</f>
        <v>93695</v>
      </c>
      <c r="P25" s="341">
        <f>P14*'Входящие данные'!$D$16</f>
        <v>106875</v>
      </c>
      <c r="Q25" s="341">
        <f>Q14*'Входящие данные'!$D$16</f>
        <v>104870</v>
      </c>
      <c r="R25" s="341">
        <f>R14*'Входящие данные'!$D$16</f>
        <v>107145</v>
      </c>
      <c r="S25" s="341">
        <f>S14*'Входящие данные'!$D$16</f>
        <v>114135</v>
      </c>
      <c r="T25" s="341">
        <f>T14*'Входящие данные'!$D$16</f>
        <v>108835</v>
      </c>
      <c r="U25" s="341">
        <f>U14*'Входящие данные'!$D$16</f>
        <v>113105</v>
      </c>
      <c r="V25" s="341">
        <f>V14*'Входящие данные'!$D$16</f>
        <v>104480</v>
      </c>
      <c r="W25" s="341">
        <f>W14*'Входящие данные'!$D$16</f>
        <v>96015</v>
      </c>
      <c r="X25" s="341">
        <f>X14*'Входящие данные'!$D$16</f>
        <v>98865</v>
      </c>
      <c r="Y25" s="341">
        <f>Y14*'Входящие данные'!$D$16</f>
        <v>104870</v>
      </c>
      <c r="Z25" s="341">
        <f>Z14*'Входящие данные'!$D$16</f>
        <v>97290</v>
      </c>
      <c r="AA25" s="341">
        <f>AA14*'Входящие данные'!$D$16</f>
        <v>104870</v>
      </c>
      <c r="AB25" s="341">
        <f>AB14*'Входящие данные'!$D$16</f>
        <v>106875</v>
      </c>
      <c r="AC25" s="341">
        <f>AC14*'Входящие данные'!$D$16</f>
        <v>104870</v>
      </c>
      <c r="AD25" s="341">
        <f>AD14*'Входящие данные'!$D$16</f>
        <v>107145</v>
      </c>
      <c r="AE25" s="341">
        <f>AE14*'Входящие данные'!$D$16</f>
        <v>114135</v>
      </c>
      <c r="AF25" s="341">
        <f>AF14*'Входящие данные'!$D$16</f>
        <v>108835</v>
      </c>
      <c r="AG25" s="341">
        <f>AG14*'Входящие данные'!$D$16</f>
        <v>113105</v>
      </c>
      <c r="AH25" s="341">
        <f>AH14*'Входящие данные'!$D$16</f>
        <v>104480</v>
      </c>
      <c r="AI25" s="341">
        <f>AI14*'Входящие данные'!$D$16</f>
        <v>96015</v>
      </c>
      <c r="AJ25" s="341">
        <f>AJ14*'Входящие данные'!$D$16</f>
        <v>98865</v>
      </c>
      <c r="AK25" s="341">
        <f>AK14*'Входящие данные'!$D$16</f>
        <v>104870</v>
      </c>
      <c r="AL25" s="341">
        <f>AL14*'Входящие данные'!$D$16</f>
        <v>97290</v>
      </c>
      <c r="AM25" s="341">
        <f>AM14*'Входящие данные'!$D$16</f>
        <v>104870</v>
      </c>
      <c r="AN25" s="341">
        <f>AN14*'Входящие данные'!$D$16</f>
        <v>106875</v>
      </c>
      <c r="AO25" s="341">
        <f>AO14*'Входящие данные'!$D$16</f>
        <v>104870</v>
      </c>
      <c r="AP25" s="341">
        <f>AP14*'Входящие данные'!$D$16</f>
        <v>107145</v>
      </c>
      <c r="AQ25" s="341">
        <f>AQ14*'Входящие данные'!$D$16</f>
        <v>114135</v>
      </c>
      <c r="AR25" s="341">
        <f>AR14*'Входящие данные'!$D$16</f>
        <v>108835</v>
      </c>
      <c r="AS25" s="341">
        <f>AS14*'Входящие данные'!$D$16</f>
        <v>113105</v>
      </c>
      <c r="AT25" s="341">
        <f>AT14*'Входящие данные'!$D$16</f>
        <v>104480</v>
      </c>
      <c r="AU25" s="341">
        <f>AU14*'Входящие данные'!$D$16</f>
        <v>96015</v>
      </c>
      <c r="AV25" s="341">
        <f>AV14*'Входящие данные'!$D$16</f>
        <v>98865</v>
      </c>
      <c r="AW25" s="341">
        <f>AW14*'Входящие данные'!$D$16</f>
        <v>104870</v>
      </c>
      <c r="AX25" s="341">
        <f>AX14*'Входящие данные'!$D$16</f>
        <v>97290</v>
      </c>
      <c r="AY25" s="341">
        <f>AY14*'Входящие данные'!$D$16</f>
        <v>104870</v>
      </c>
      <c r="AZ25" s="341">
        <f>AZ14*'Входящие данные'!$D$16</f>
        <v>106875</v>
      </c>
      <c r="BA25" s="341">
        <f>BA14*'Входящие данные'!$D$16</f>
        <v>104870</v>
      </c>
      <c r="BB25" s="341">
        <f>BB14*'Входящие данные'!$D$16</f>
        <v>107145</v>
      </c>
      <c r="BC25" s="341">
        <f>BC14*'Входящие данные'!$D$16</f>
        <v>114135</v>
      </c>
      <c r="BD25" s="341">
        <f>BD14*'Входящие данные'!$D$16</f>
        <v>108835</v>
      </c>
      <c r="BE25" s="341">
        <f>BE14*'Входящие данные'!$D$16</f>
        <v>113105</v>
      </c>
      <c r="BF25" s="341">
        <f>BF14*'Входящие данные'!$D$16</f>
        <v>104480</v>
      </c>
      <c r="BG25" s="341">
        <f>BG14*'Входящие данные'!$D$16</f>
        <v>96015</v>
      </c>
      <c r="BH25" s="341">
        <f>BH14*'Входящие данные'!$D$16</f>
        <v>98865</v>
      </c>
      <c r="BI25" s="341">
        <f>BI14*'Входящие данные'!$D$16</f>
        <v>104870</v>
      </c>
      <c r="BJ25" s="341">
        <f>BJ14*'Входящие данные'!$D$16</f>
        <v>97290</v>
      </c>
      <c r="BK25" s="341">
        <f>BK14*'Входящие данные'!$D$16</f>
        <v>104870</v>
      </c>
      <c r="BL25" s="332"/>
    </row>
    <row r="26" spans="2:64" outlineLevel="1">
      <c r="B26" s="330"/>
      <c r="C26" s="321" t="s">
        <v>49</v>
      </c>
      <c r="D26" s="341">
        <v>0</v>
      </c>
      <c r="E26" s="341">
        <v>0</v>
      </c>
      <c r="F26" s="341">
        <v>0</v>
      </c>
      <c r="G26" s="341">
        <v>0</v>
      </c>
      <c r="H26" s="341">
        <f>H14*'Входящие данные'!$D$15</f>
        <v>72156.5</v>
      </c>
      <c r="I26" s="341">
        <f>I14*'Входящие данные'!$D$15</f>
        <v>82771</v>
      </c>
      <c r="J26" s="341">
        <f>J14*'Входящие данные'!$D$15</f>
        <v>84311.5</v>
      </c>
      <c r="K26" s="341">
        <f>K14*'Входящие данные'!$D$15</f>
        <v>84311.5</v>
      </c>
      <c r="L26" s="341">
        <f>L14*'Входящие данные'!$D$15</f>
        <v>93808</v>
      </c>
      <c r="M26" s="341">
        <f>M14*'Входящие данные'!$D$15</f>
        <v>106489.5</v>
      </c>
      <c r="N26" s="341">
        <f>N14*'Входящие данные'!$D$15</f>
        <v>105885</v>
      </c>
      <c r="O26" s="341">
        <f>O14*'Входящие данные'!$D$15</f>
        <v>121803.5</v>
      </c>
      <c r="P26" s="341">
        <f>P14*'Входящие данные'!$D$15</f>
        <v>138937.5</v>
      </c>
      <c r="Q26" s="341">
        <f>Q14*'Входящие данные'!$D$15</f>
        <v>136331</v>
      </c>
      <c r="R26" s="341">
        <f>R14*'Входящие данные'!$D$15</f>
        <v>139288.5</v>
      </c>
      <c r="S26" s="341">
        <f>S14*'Входящие данные'!$D$15</f>
        <v>148375.5</v>
      </c>
      <c r="T26" s="341">
        <f>T14*'Входящие данные'!$D$15</f>
        <v>141485.5</v>
      </c>
      <c r="U26" s="341">
        <f>U14*'Входящие данные'!$D$15</f>
        <v>147036.5</v>
      </c>
      <c r="V26" s="341">
        <f>V14*'Входящие данные'!$D$15</f>
        <v>135824</v>
      </c>
      <c r="W26" s="341">
        <f>W14*'Входящие данные'!$D$15</f>
        <v>124819.5</v>
      </c>
      <c r="X26" s="341">
        <f>X14*'Входящие данные'!$D$15</f>
        <v>128524.5</v>
      </c>
      <c r="Y26" s="341">
        <f>Y14*'Входящие данные'!$D$15</f>
        <v>136331</v>
      </c>
      <c r="Z26" s="341">
        <f>Z14*'Входящие данные'!$D$15</f>
        <v>126477</v>
      </c>
      <c r="AA26" s="341">
        <f>AA14*'Входящие данные'!$D$15</f>
        <v>136331</v>
      </c>
      <c r="AB26" s="341">
        <f>AB14*'Входящие данные'!$D$15</f>
        <v>138937.5</v>
      </c>
      <c r="AC26" s="341">
        <f>AC14*'Входящие данные'!$D$15</f>
        <v>136331</v>
      </c>
      <c r="AD26" s="341">
        <f>AD14*'Входящие данные'!$D$15</f>
        <v>139288.5</v>
      </c>
      <c r="AE26" s="341">
        <f>AE14*'Входящие данные'!$D$15</f>
        <v>148375.5</v>
      </c>
      <c r="AF26" s="341">
        <f>AF14*'Входящие данные'!$D$15</f>
        <v>141485.5</v>
      </c>
      <c r="AG26" s="341">
        <f>AG14*'Входящие данные'!$D$15</f>
        <v>147036.5</v>
      </c>
      <c r="AH26" s="341">
        <f>AH14*'Входящие данные'!$D$15</f>
        <v>135824</v>
      </c>
      <c r="AI26" s="341">
        <f>AI14*'Входящие данные'!$D$15</f>
        <v>124819.5</v>
      </c>
      <c r="AJ26" s="341">
        <f>AJ14*'Входящие данные'!$D$15</f>
        <v>128524.5</v>
      </c>
      <c r="AK26" s="341">
        <f>AK14*'Входящие данные'!$D$15</f>
        <v>136331</v>
      </c>
      <c r="AL26" s="341">
        <f>AL14*'Входящие данные'!$D$15</f>
        <v>126477</v>
      </c>
      <c r="AM26" s="341">
        <f>AM14*'Входящие данные'!$D$15</f>
        <v>136331</v>
      </c>
      <c r="AN26" s="341">
        <f>AN14*'Входящие данные'!$D$15</f>
        <v>138937.5</v>
      </c>
      <c r="AO26" s="341">
        <f>AO14*'Входящие данные'!$D$15</f>
        <v>136331</v>
      </c>
      <c r="AP26" s="341">
        <f>AP14*'Входящие данные'!$D$15</f>
        <v>139288.5</v>
      </c>
      <c r="AQ26" s="341">
        <f>AQ14*'Входящие данные'!$D$15</f>
        <v>148375.5</v>
      </c>
      <c r="AR26" s="341">
        <f>AR14*'Входящие данные'!$D$15</f>
        <v>141485.5</v>
      </c>
      <c r="AS26" s="341">
        <f>AS14*'Входящие данные'!$D$15</f>
        <v>147036.5</v>
      </c>
      <c r="AT26" s="341">
        <f>AT14*'Входящие данные'!$D$15</f>
        <v>135824</v>
      </c>
      <c r="AU26" s="341">
        <f>AU14*'Входящие данные'!$D$15</f>
        <v>124819.5</v>
      </c>
      <c r="AV26" s="341">
        <f>AV14*'Входящие данные'!$D$15</f>
        <v>128524.5</v>
      </c>
      <c r="AW26" s="341">
        <f>AW14*'Входящие данные'!$D$15</f>
        <v>136331</v>
      </c>
      <c r="AX26" s="341">
        <f>AX14*'Входящие данные'!$D$15</f>
        <v>126477</v>
      </c>
      <c r="AY26" s="341">
        <f>AY14*'Входящие данные'!$D$15</f>
        <v>136331</v>
      </c>
      <c r="AZ26" s="341">
        <f>AZ14*'Входящие данные'!$D$15</f>
        <v>138937.5</v>
      </c>
      <c r="BA26" s="341">
        <f>BA14*'Входящие данные'!$D$15</f>
        <v>136331</v>
      </c>
      <c r="BB26" s="341">
        <f>BB14*'Входящие данные'!$D$15</f>
        <v>139288.5</v>
      </c>
      <c r="BC26" s="341">
        <f>BC14*'Входящие данные'!$D$15</f>
        <v>148375.5</v>
      </c>
      <c r="BD26" s="341">
        <f>BD14*'Входящие данные'!$D$15</f>
        <v>141485.5</v>
      </c>
      <c r="BE26" s="341">
        <f>BE14*'Входящие данные'!$D$15</f>
        <v>147036.5</v>
      </c>
      <c r="BF26" s="341">
        <f>BF14*'Входящие данные'!$D$15</f>
        <v>135824</v>
      </c>
      <c r="BG26" s="341">
        <f>BG14*'Входящие данные'!$D$15</f>
        <v>124819.5</v>
      </c>
      <c r="BH26" s="341">
        <f>BH14*'Входящие данные'!$D$15</f>
        <v>128524.5</v>
      </c>
      <c r="BI26" s="341">
        <f>BI14*'Входящие данные'!$D$15</f>
        <v>136331</v>
      </c>
      <c r="BJ26" s="341">
        <f>BJ14*'Входящие данные'!$D$15</f>
        <v>126477</v>
      </c>
      <c r="BK26" s="341">
        <f>BK14*'Входящие данные'!$D$15</f>
        <v>136331</v>
      </c>
      <c r="BL26" s="332"/>
    </row>
    <row r="27" spans="2:64" s="365" customFormat="1" ht="14.25">
      <c r="B27" s="363"/>
      <c r="C27" s="320" t="s">
        <v>48</v>
      </c>
      <c r="D27" s="340">
        <f>IF((D14*1%)&gt;((D14-SUM(D16:D26))*15%),D14*1%,(D14-SUM(D16:D26))*15%)</f>
        <v>8777.0249999999996</v>
      </c>
      <c r="E27" s="340">
        <f t="shared" ref="E27:H27" si="4">IF((E14*1%)&gt;((E14-SUM(E16:E26))*15%),E14*1%,(E14-SUM(E16:E26))*15%)</f>
        <v>18746.984999999997</v>
      </c>
      <c r="F27" s="340">
        <f t="shared" si="4"/>
        <v>26000.355</v>
      </c>
      <c r="G27" s="340">
        <f t="shared" si="4"/>
        <v>41476.949999999997</v>
      </c>
      <c r="H27" s="340">
        <f t="shared" si="4"/>
        <v>35689.5</v>
      </c>
      <c r="I27" s="340">
        <f t="shared" ref="I27" si="5">IF((I14*1%)&gt;((I14-SUM(I16:I26))*15%),I14*1%,(I14-SUM(I16:I26))*15%)</f>
        <v>44262.75</v>
      </c>
      <c r="J27" s="340">
        <f t="shared" ref="J27" si="6">IF((J14*1%)&gt;((J14-SUM(J16:J26))*15%),J14*1%,(J14-SUM(J16:J26))*15%)</f>
        <v>45507</v>
      </c>
      <c r="K27" s="340">
        <f t="shared" ref="K27" si="7">IF((K14*1%)&gt;((K14-SUM(K16:K26))*15%),K14*1%,(K14-SUM(K16:K26))*15%)</f>
        <v>45507</v>
      </c>
      <c r="L27" s="340">
        <f t="shared" ref="L27" si="8">IF((L14*1%)&gt;((L14-SUM(L16:L26))*15%),L14*1%,(L14-SUM(L16:L26))*15%)</f>
        <v>53177.25</v>
      </c>
      <c r="M27" s="340">
        <f t="shared" ref="M27" si="9">IF((M14*1%)&gt;((M14-SUM(M16:M26))*15%),M14*1%,(M14-SUM(M16:M26))*15%)</f>
        <v>63420</v>
      </c>
      <c r="N27" s="340">
        <f t="shared" ref="N27" si="10">IF((N14*1%)&gt;((N14-SUM(N16:N26))*15%),N14*1%,(N14-SUM(N16:N26))*15%)</f>
        <v>62931.75</v>
      </c>
      <c r="O27" s="340">
        <f t="shared" ref="O27" si="11">IF((O14*1%)&gt;((O14-SUM(O16:O26))*15%),O14*1%,(O14-SUM(O16:O26))*15%)</f>
        <v>75789</v>
      </c>
      <c r="P27" s="340">
        <f t="shared" ref="P27" si="12">IF((P14*1%)&gt;((P14-SUM(P16:P26))*15%),P14*1%,(P14-SUM(P16:P26))*15%)</f>
        <v>89628</v>
      </c>
      <c r="Q27" s="340">
        <f t="shared" ref="Q27" si="13">IF((Q14*1%)&gt;((Q14-SUM(Q16:Q26))*15%),Q14*1%,(Q14-SUM(Q16:Q26))*15%)</f>
        <v>87522.75</v>
      </c>
      <c r="R27" s="340">
        <f t="shared" ref="R27" si="14">IF((R14*1%)&gt;((R14-SUM(R16:R26))*15%),R14*1%,(R14-SUM(R16:R26))*15%)</f>
        <v>89911.5</v>
      </c>
      <c r="S27" s="340">
        <f t="shared" ref="S27" si="15">IF((S14*1%)&gt;((S14-SUM(S16:S26))*15%),S14*1%,(S14-SUM(S16:S26))*15%)</f>
        <v>97251</v>
      </c>
      <c r="T27" s="340">
        <f t="shared" ref="T27" si="16">IF((T14*1%)&gt;((T14-SUM(T16:T26))*15%),T14*1%,(T14-SUM(T16:T26))*15%)</f>
        <v>91686</v>
      </c>
      <c r="U27" s="340">
        <f t="shared" ref="U27" si="17">IF((U14*1%)&gt;((U14-SUM(U16:U26))*15%),U14*1%,(U14-SUM(U16:U26))*15%)</f>
        <v>96169.5</v>
      </c>
      <c r="V27" s="340">
        <f t="shared" ref="V27" si="18">IF((V14*1%)&gt;((V14-SUM(V16:V26))*15%),V14*1%,(V14-SUM(V16:V26))*15%)</f>
        <v>87113.25</v>
      </c>
      <c r="W27" s="340">
        <f t="shared" ref="W27" si="19">IF((W14*1%)&gt;((W14-SUM(W16:W26))*15%),W14*1%,(W14-SUM(W16:W26))*15%)</f>
        <v>78225</v>
      </c>
      <c r="X27" s="340">
        <f t="shared" ref="X27" si="20">IF((X14*1%)&gt;((X14-SUM(X16:X26))*15%),X14*1%,(X14-SUM(X16:X26))*15%)</f>
        <v>81217.5</v>
      </c>
      <c r="Y27" s="340">
        <f t="shared" ref="Y27" si="21">IF((Y14*1%)&gt;((Y14-SUM(Y16:Y26))*15%),Y14*1%,(Y14-SUM(Y16:Y26))*15%)</f>
        <v>87522.75</v>
      </c>
      <c r="Z27" s="340">
        <f t="shared" ref="Z27" si="22">IF((Z14*1%)&gt;((Z14-SUM(Z16:Z26))*15%),Z14*1%,(Z14-SUM(Z16:Z26))*15%)</f>
        <v>79563.75</v>
      </c>
      <c r="AA27" s="340">
        <f t="shared" ref="AA27" si="23">IF((AA14*1%)&gt;((AA14-SUM(AA16:AA26))*15%),AA14*1%,(AA14-SUM(AA16:AA26))*15%)</f>
        <v>87522.75</v>
      </c>
      <c r="AB27" s="340">
        <f t="shared" ref="AB27" si="24">IF((AB14*1%)&gt;((AB14-SUM(AB16:AB26))*15%),AB14*1%,(AB14-SUM(AB16:AB26))*15%)</f>
        <v>89628</v>
      </c>
      <c r="AC27" s="340">
        <f t="shared" ref="AC27" si="25">IF((AC14*1%)&gt;((AC14-SUM(AC16:AC26))*15%),AC14*1%,(AC14-SUM(AC16:AC26))*15%)</f>
        <v>87522.75</v>
      </c>
      <c r="AD27" s="340">
        <f t="shared" ref="AD27" si="26">IF((AD14*1%)&gt;((AD14-SUM(AD16:AD26))*15%),AD14*1%,(AD14-SUM(AD16:AD26))*15%)</f>
        <v>89911.5</v>
      </c>
      <c r="AE27" s="340">
        <f t="shared" ref="AE27" si="27">IF((AE14*1%)&gt;((AE14-SUM(AE16:AE26))*15%),AE14*1%,(AE14-SUM(AE16:AE26))*15%)</f>
        <v>97251</v>
      </c>
      <c r="AF27" s="340">
        <f t="shared" ref="AF27" si="28">IF((AF14*1%)&gt;((AF14-SUM(AF16:AF26))*15%),AF14*1%,(AF14-SUM(AF16:AF26))*15%)</f>
        <v>91686</v>
      </c>
      <c r="AG27" s="340">
        <f t="shared" ref="AG27" si="29">IF((AG14*1%)&gt;((AG14-SUM(AG16:AG26))*15%),AG14*1%,(AG14-SUM(AG16:AG26))*15%)</f>
        <v>96169.5</v>
      </c>
      <c r="AH27" s="340">
        <f t="shared" ref="AH27" si="30">IF((AH14*1%)&gt;((AH14-SUM(AH16:AH26))*15%),AH14*1%,(AH14-SUM(AH16:AH26))*15%)</f>
        <v>87113.25</v>
      </c>
      <c r="AI27" s="340">
        <f t="shared" ref="AI27" si="31">IF((AI14*1%)&gt;((AI14-SUM(AI16:AI26))*15%),AI14*1%,(AI14-SUM(AI16:AI26))*15%)</f>
        <v>78225</v>
      </c>
      <c r="AJ27" s="340">
        <f t="shared" ref="AJ27" si="32">IF((AJ14*1%)&gt;((AJ14-SUM(AJ16:AJ26))*15%),AJ14*1%,(AJ14-SUM(AJ16:AJ26))*15%)</f>
        <v>81217.5</v>
      </c>
      <c r="AK27" s="340">
        <f t="shared" ref="AK27" si="33">IF((AK14*1%)&gt;((AK14-SUM(AK16:AK26))*15%),AK14*1%,(AK14-SUM(AK16:AK26))*15%)</f>
        <v>87522.75</v>
      </c>
      <c r="AL27" s="340">
        <f t="shared" ref="AL27" si="34">IF((AL14*1%)&gt;((AL14-SUM(AL16:AL26))*15%),AL14*1%,(AL14-SUM(AL16:AL26))*15%)</f>
        <v>79563.75</v>
      </c>
      <c r="AM27" s="340">
        <f t="shared" ref="AM27" si="35">IF((AM14*1%)&gt;((AM14-SUM(AM16:AM26))*15%),AM14*1%,(AM14-SUM(AM16:AM26))*15%)</f>
        <v>87522.75</v>
      </c>
      <c r="AN27" s="340">
        <f t="shared" ref="AN27" si="36">IF((AN14*1%)&gt;((AN14-SUM(AN16:AN26))*15%),AN14*1%,(AN14-SUM(AN16:AN26))*15%)</f>
        <v>89628</v>
      </c>
      <c r="AO27" s="340">
        <f t="shared" ref="AO27" si="37">IF((AO14*1%)&gt;((AO14-SUM(AO16:AO26))*15%),AO14*1%,(AO14-SUM(AO16:AO26))*15%)</f>
        <v>87522.75</v>
      </c>
      <c r="AP27" s="340">
        <f t="shared" ref="AP27" si="38">IF((AP14*1%)&gt;((AP14-SUM(AP16:AP26))*15%),AP14*1%,(AP14-SUM(AP16:AP26))*15%)</f>
        <v>89911.5</v>
      </c>
      <c r="AQ27" s="340">
        <f t="shared" ref="AQ27" si="39">IF((AQ14*1%)&gt;((AQ14-SUM(AQ16:AQ26))*15%),AQ14*1%,(AQ14-SUM(AQ16:AQ26))*15%)</f>
        <v>97251</v>
      </c>
      <c r="AR27" s="340">
        <f t="shared" ref="AR27" si="40">IF((AR14*1%)&gt;((AR14-SUM(AR16:AR26))*15%),AR14*1%,(AR14-SUM(AR16:AR26))*15%)</f>
        <v>91686</v>
      </c>
      <c r="AS27" s="340">
        <f t="shared" ref="AS27" si="41">IF((AS14*1%)&gt;((AS14-SUM(AS16:AS26))*15%),AS14*1%,(AS14-SUM(AS16:AS26))*15%)</f>
        <v>96169.5</v>
      </c>
      <c r="AT27" s="340">
        <f t="shared" ref="AT27" si="42">IF((AT14*1%)&gt;((AT14-SUM(AT16:AT26))*15%),AT14*1%,(AT14-SUM(AT16:AT26))*15%)</f>
        <v>87113.25</v>
      </c>
      <c r="AU27" s="340">
        <f t="shared" ref="AU27" si="43">IF((AU14*1%)&gt;((AU14-SUM(AU16:AU26))*15%),AU14*1%,(AU14-SUM(AU16:AU26))*15%)</f>
        <v>78225</v>
      </c>
      <c r="AV27" s="340">
        <f t="shared" ref="AV27" si="44">IF((AV14*1%)&gt;((AV14-SUM(AV16:AV26))*15%),AV14*1%,(AV14-SUM(AV16:AV26))*15%)</f>
        <v>81217.5</v>
      </c>
      <c r="AW27" s="340">
        <f t="shared" ref="AW27" si="45">IF((AW14*1%)&gt;((AW14-SUM(AW16:AW26))*15%),AW14*1%,(AW14-SUM(AW16:AW26))*15%)</f>
        <v>87522.75</v>
      </c>
      <c r="AX27" s="340">
        <f t="shared" ref="AX27" si="46">IF((AX14*1%)&gt;((AX14-SUM(AX16:AX26))*15%),AX14*1%,(AX14-SUM(AX16:AX26))*15%)</f>
        <v>79563.75</v>
      </c>
      <c r="AY27" s="340">
        <f t="shared" ref="AY27" si="47">IF((AY14*1%)&gt;((AY14-SUM(AY16:AY26))*15%),AY14*1%,(AY14-SUM(AY16:AY26))*15%)</f>
        <v>87522.75</v>
      </c>
      <c r="AZ27" s="340">
        <f t="shared" ref="AZ27" si="48">IF((AZ14*1%)&gt;((AZ14-SUM(AZ16:AZ26))*15%),AZ14*1%,(AZ14-SUM(AZ16:AZ26))*15%)</f>
        <v>89628</v>
      </c>
      <c r="BA27" s="340">
        <f t="shared" ref="BA27" si="49">IF((BA14*1%)&gt;((BA14-SUM(BA16:BA26))*15%),BA14*1%,(BA14-SUM(BA16:BA26))*15%)</f>
        <v>87522.75</v>
      </c>
      <c r="BB27" s="340">
        <f t="shared" ref="BB27" si="50">IF((BB14*1%)&gt;((BB14-SUM(BB16:BB26))*15%),BB14*1%,(BB14-SUM(BB16:BB26))*15%)</f>
        <v>89911.5</v>
      </c>
      <c r="BC27" s="340">
        <f t="shared" ref="BC27" si="51">IF((BC14*1%)&gt;((BC14-SUM(BC16:BC26))*15%),BC14*1%,(BC14-SUM(BC16:BC26))*15%)</f>
        <v>97251</v>
      </c>
      <c r="BD27" s="340">
        <f t="shared" ref="BD27" si="52">IF((BD14*1%)&gt;((BD14-SUM(BD16:BD26))*15%),BD14*1%,(BD14-SUM(BD16:BD26))*15%)</f>
        <v>91686</v>
      </c>
      <c r="BE27" s="340">
        <f t="shared" ref="BE27" si="53">IF((BE14*1%)&gt;((BE14-SUM(BE16:BE26))*15%),BE14*1%,(BE14-SUM(BE16:BE26))*15%)</f>
        <v>96169.5</v>
      </c>
      <c r="BF27" s="340">
        <f t="shared" ref="BF27" si="54">IF((BF14*1%)&gt;((BF14-SUM(BF16:BF26))*15%),BF14*1%,(BF14-SUM(BF16:BF26))*15%)</f>
        <v>87113.25</v>
      </c>
      <c r="BG27" s="340">
        <f t="shared" ref="BG27" si="55">IF((BG14*1%)&gt;((BG14-SUM(BG16:BG26))*15%),BG14*1%,(BG14-SUM(BG16:BG26))*15%)</f>
        <v>78225</v>
      </c>
      <c r="BH27" s="340">
        <f t="shared" ref="BH27" si="56">IF((BH14*1%)&gt;((BH14-SUM(BH16:BH26))*15%),BH14*1%,(BH14-SUM(BH16:BH26))*15%)</f>
        <v>81217.5</v>
      </c>
      <c r="BI27" s="340">
        <f t="shared" ref="BI27" si="57">IF((BI14*1%)&gt;((BI14-SUM(BI16:BI26))*15%),BI14*1%,(BI14-SUM(BI16:BI26))*15%)</f>
        <v>87522.75</v>
      </c>
      <c r="BJ27" s="340">
        <f t="shared" ref="BJ27" si="58">IF((BJ14*1%)&gt;((BJ14-SUM(BJ16:BJ26))*15%),BJ14*1%,(BJ14-SUM(BJ16:BJ26))*15%)</f>
        <v>79563.75</v>
      </c>
      <c r="BK27" s="340">
        <f t="shared" ref="BK27" si="59">IF((BK14*1%)&gt;((BK14-SUM(BK16:BK26))*15%),BK14*1%,(BK14-SUM(BK16:BK26))*15%)</f>
        <v>87522.75</v>
      </c>
      <c r="BL27" s="364"/>
    </row>
    <row r="28" spans="2:64">
      <c r="B28" s="330"/>
      <c r="C28" s="318" t="s">
        <v>240</v>
      </c>
      <c r="D28" s="319">
        <f>'Инвестиции на орг-цию бизнеса'!D79+SUM('Оплата оборудования'!$H$31:$K$31)</f>
        <v>7089505</v>
      </c>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42"/>
      <c r="AC28" s="342"/>
      <c r="AD28" s="342"/>
      <c r="AE28" s="342"/>
      <c r="AF28" s="342"/>
      <c r="AG28" s="342"/>
      <c r="AH28" s="342"/>
      <c r="AI28" s="342"/>
      <c r="AJ28" s="342"/>
      <c r="AK28" s="342"/>
      <c r="AL28" s="342"/>
      <c r="AM28" s="319"/>
      <c r="AN28" s="319"/>
      <c r="AO28" s="319"/>
      <c r="AP28" s="319"/>
      <c r="AQ28" s="319"/>
      <c r="AR28" s="319"/>
      <c r="AS28" s="319"/>
      <c r="AT28" s="319"/>
      <c r="AU28" s="319"/>
      <c r="AV28" s="319"/>
      <c r="AW28" s="319"/>
      <c r="AX28" s="319"/>
      <c r="AY28" s="319"/>
      <c r="AZ28" s="319"/>
      <c r="BA28" s="319"/>
      <c r="BB28" s="319"/>
      <c r="BC28" s="319"/>
      <c r="BD28" s="319"/>
      <c r="BE28" s="319"/>
      <c r="BF28" s="319"/>
      <c r="BG28" s="319"/>
      <c r="BH28" s="319"/>
      <c r="BI28" s="319"/>
      <c r="BJ28" s="319"/>
      <c r="BK28" s="319"/>
      <c r="BL28" s="332"/>
    </row>
    <row r="29" spans="2:64" s="346" customFormat="1" ht="21.75" customHeight="1">
      <c r="B29" s="343"/>
      <c r="C29" s="322" t="s">
        <v>33</v>
      </c>
      <c r="D29" s="344">
        <f t="shared" ref="D29:AI29" si="60">D14-D15-D28-D27</f>
        <v>-7039768.5250000004</v>
      </c>
      <c r="E29" s="344">
        <f t="shared" si="60"/>
        <v>106232.91499999999</v>
      </c>
      <c r="F29" s="344">
        <f t="shared" si="60"/>
        <v>147335.345</v>
      </c>
      <c r="G29" s="344">
        <f t="shared" si="60"/>
        <v>235036.05</v>
      </c>
      <c r="H29" s="344">
        <f t="shared" si="60"/>
        <v>202240.5</v>
      </c>
      <c r="I29" s="344">
        <f t="shared" si="60"/>
        <v>250822.25</v>
      </c>
      <c r="J29" s="344">
        <f t="shared" si="60"/>
        <v>257873</v>
      </c>
      <c r="K29" s="344">
        <f t="shared" si="60"/>
        <v>257873</v>
      </c>
      <c r="L29" s="344">
        <f t="shared" si="60"/>
        <v>301337.75</v>
      </c>
      <c r="M29" s="344">
        <f t="shared" si="60"/>
        <v>359380</v>
      </c>
      <c r="N29" s="344">
        <f t="shared" si="60"/>
        <v>356613.25</v>
      </c>
      <c r="O29" s="344">
        <f t="shared" si="60"/>
        <v>429471</v>
      </c>
      <c r="P29" s="344">
        <f t="shared" si="60"/>
        <v>507892</v>
      </c>
      <c r="Q29" s="344">
        <f t="shared" si="60"/>
        <v>495962.25</v>
      </c>
      <c r="R29" s="344">
        <f t="shared" si="60"/>
        <v>509498.5</v>
      </c>
      <c r="S29" s="344">
        <f t="shared" si="60"/>
        <v>551089</v>
      </c>
      <c r="T29" s="344">
        <f t="shared" si="60"/>
        <v>519554</v>
      </c>
      <c r="U29" s="344">
        <f t="shared" si="60"/>
        <v>544960.5</v>
      </c>
      <c r="V29" s="344">
        <f t="shared" si="60"/>
        <v>493641.75</v>
      </c>
      <c r="W29" s="344">
        <f t="shared" si="60"/>
        <v>443275</v>
      </c>
      <c r="X29" s="344">
        <f t="shared" si="60"/>
        <v>460232.5</v>
      </c>
      <c r="Y29" s="344">
        <f t="shared" si="60"/>
        <v>495962.25</v>
      </c>
      <c r="Z29" s="344">
        <f t="shared" si="60"/>
        <v>450861.25</v>
      </c>
      <c r="AA29" s="344">
        <f t="shared" si="60"/>
        <v>495962.25</v>
      </c>
      <c r="AB29" s="344">
        <f t="shared" si="60"/>
        <v>507892</v>
      </c>
      <c r="AC29" s="344">
        <f t="shared" si="60"/>
        <v>495962.25</v>
      </c>
      <c r="AD29" s="344">
        <f t="shared" si="60"/>
        <v>509498.5</v>
      </c>
      <c r="AE29" s="344">
        <f t="shared" si="60"/>
        <v>551089</v>
      </c>
      <c r="AF29" s="344">
        <f t="shared" si="60"/>
        <v>519554</v>
      </c>
      <c r="AG29" s="344">
        <f t="shared" si="60"/>
        <v>544960.5</v>
      </c>
      <c r="AH29" s="344">
        <f t="shared" si="60"/>
        <v>493641.75</v>
      </c>
      <c r="AI29" s="344">
        <f t="shared" si="60"/>
        <v>443275</v>
      </c>
      <c r="AJ29" s="344">
        <f t="shared" ref="AJ29:BK29" si="61">AJ14-AJ15-AJ28-AJ27</f>
        <v>460232.5</v>
      </c>
      <c r="AK29" s="344">
        <f t="shared" si="61"/>
        <v>495962.25</v>
      </c>
      <c r="AL29" s="344">
        <f t="shared" si="61"/>
        <v>450861.25</v>
      </c>
      <c r="AM29" s="344">
        <f t="shared" si="61"/>
        <v>495962.25</v>
      </c>
      <c r="AN29" s="344">
        <f t="shared" si="61"/>
        <v>507892</v>
      </c>
      <c r="AO29" s="344">
        <f t="shared" si="61"/>
        <v>495962.25</v>
      </c>
      <c r="AP29" s="344">
        <f t="shared" si="61"/>
        <v>509498.5</v>
      </c>
      <c r="AQ29" s="344">
        <f t="shared" si="61"/>
        <v>551089</v>
      </c>
      <c r="AR29" s="344">
        <f t="shared" si="61"/>
        <v>519554</v>
      </c>
      <c r="AS29" s="344">
        <f t="shared" si="61"/>
        <v>544960.5</v>
      </c>
      <c r="AT29" s="344">
        <f t="shared" si="61"/>
        <v>493641.75</v>
      </c>
      <c r="AU29" s="344">
        <f t="shared" si="61"/>
        <v>443275</v>
      </c>
      <c r="AV29" s="344">
        <f t="shared" si="61"/>
        <v>460232.5</v>
      </c>
      <c r="AW29" s="344">
        <f t="shared" si="61"/>
        <v>495962.25</v>
      </c>
      <c r="AX29" s="344">
        <f t="shared" si="61"/>
        <v>450861.25</v>
      </c>
      <c r="AY29" s="344">
        <f t="shared" si="61"/>
        <v>495962.25</v>
      </c>
      <c r="AZ29" s="344">
        <f t="shared" si="61"/>
        <v>507892</v>
      </c>
      <c r="BA29" s="344">
        <f t="shared" si="61"/>
        <v>495962.25</v>
      </c>
      <c r="BB29" s="344">
        <f t="shared" si="61"/>
        <v>509498.5</v>
      </c>
      <c r="BC29" s="344">
        <f t="shared" si="61"/>
        <v>551089</v>
      </c>
      <c r="BD29" s="344">
        <f t="shared" si="61"/>
        <v>519554</v>
      </c>
      <c r="BE29" s="344">
        <f t="shared" si="61"/>
        <v>544960.5</v>
      </c>
      <c r="BF29" s="344">
        <f t="shared" si="61"/>
        <v>493641.75</v>
      </c>
      <c r="BG29" s="344">
        <f t="shared" si="61"/>
        <v>443275</v>
      </c>
      <c r="BH29" s="344">
        <f t="shared" si="61"/>
        <v>460232.5</v>
      </c>
      <c r="BI29" s="344">
        <f t="shared" si="61"/>
        <v>495962.25</v>
      </c>
      <c r="BJ29" s="344">
        <f t="shared" si="61"/>
        <v>450861.25</v>
      </c>
      <c r="BK29" s="344">
        <f t="shared" si="61"/>
        <v>495962.25</v>
      </c>
      <c r="BL29" s="345"/>
    </row>
    <row r="30" spans="2:64" ht="15.75" customHeight="1">
      <c r="B30" s="330"/>
      <c r="C30" s="323" t="s">
        <v>34</v>
      </c>
      <c r="D30" s="347">
        <f>D29</f>
        <v>-7039768.5250000004</v>
      </c>
      <c r="E30" s="347">
        <f t="shared" ref="E30:AJ30" si="62">D30+E29</f>
        <v>-6933535.6100000003</v>
      </c>
      <c r="F30" s="347">
        <f t="shared" si="62"/>
        <v>-6786200.2650000006</v>
      </c>
      <c r="G30" s="347">
        <f t="shared" si="62"/>
        <v>-6551164.2150000008</v>
      </c>
      <c r="H30" s="347">
        <f t="shared" si="62"/>
        <v>-6348923.7150000008</v>
      </c>
      <c r="I30" s="347">
        <f t="shared" si="62"/>
        <v>-6098101.4650000008</v>
      </c>
      <c r="J30" s="347">
        <f t="shared" si="62"/>
        <v>-5840228.4650000008</v>
      </c>
      <c r="K30" s="347">
        <f t="shared" si="62"/>
        <v>-5582355.4650000008</v>
      </c>
      <c r="L30" s="347">
        <f t="shared" si="62"/>
        <v>-5281017.7150000008</v>
      </c>
      <c r="M30" s="347">
        <f t="shared" si="62"/>
        <v>-4921637.7150000008</v>
      </c>
      <c r="N30" s="347">
        <f t="shared" si="62"/>
        <v>-4565024.4650000008</v>
      </c>
      <c r="O30" s="347">
        <f t="shared" si="62"/>
        <v>-4135553.4650000008</v>
      </c>
      <c r="P30" s="347">
        <f t="shared" si="62"/>
        <v>-3627661.4650000008</v>
      </c>
      <c r="Q30" s="347">
        <f t="shared" si="62"/>
        <v>-3131699.2150000008</v>
      </c>
      <c r="R30" s="347">
        <f t="shared" si="62"/>
        <v>-2622200.7150000008</v>
      </c>
      <c r="S30" s="347">
        <f t="shared" si="62"/>
        <v>-2071111.7150000008</v>
      </c>
      <c r="T30" s="347">
        <f t="shared" si="62"/>
        <v>-1551557.7150000008</v>
      </c>
      <c r="U30" s="347">
        <f t="shared" si="62"/>
        <v>-1006597.2150000008</v>
      </c>
      <c r="V30" s="347">
        <f t="shared" si="62"/>
        <v>-512955.46500000078</v>
      </c>
      <c r="W30" s="347">
        <f t="shared" si="62"/>
        <v>-69680.465000000782</v>
      </c>
      <c r="X30" s="347">
        <f t="shared" si="62"/>
        <v>390552.03499999922</v>
      </c>
      <c r="Y30" s="347">
        <f t="shared" si="62"/>
        <v>886514.28499999922</v>
      </c>
      <c r="Z30" s="347">
        <f t="shared" si="62"/>
        <v>1337375.5349999992</v>
      </c>
      <c r="AA30" s="347">
        <f t="shared" si="62"/>
        <v>1833337.7849999992</v>
      </c>
      <c r="AB30" s="347">
        <f t="shared" si="62"/>
        <v>2341229.7849999992</v>
      </c>
      <c r="AC30" s="347">
        <f t="shared" si="62"/>
        <v>2837192.0349999992</v>
      </c>
      <c r="AD30" s="347">
        <f t="shared" si="62"/>
        <v>3346690.5349999992</v>
      </c>
      <c r="AE30" s="347">
        <f t="shared" si="62"/>
        <v>3897779.5349999992</v>
      </c>
      <c r="AF30" s="347">
        <f t="shared" si="62"/>
        <v>4417333.5349999992</v>
      </c>
      <c r="AG30" s="347">
        <f t="shared" si="62"/>
        <v>4962294.0349999992</v>
      </c>
      <c r="AH30" s="347">
        <f t="shared" si="62"/>
        <v>5455935.7849999992</v>
      </c>
      <c r="AI30" s="347">
        <f t="shared" si="62"/>
        <v>5899210.7849999992</v>
      </c>
      <c r="AJ30" s="347">
        <f t="shared" si="62"/>
        <v>6359443.2849999992</v>
      </c>
      <c r="AK30" s="347">
        <f t="shared" ref="AK30:BK30" si="63">AJ30+AK29</f>
        <v>6855405.5349999992</v>
      </c>
      <c r="AL30" s="347">
        <f t="shared" si="63"/>
        <v>7306266.7849999992</v>
      </c>
      <c r="AM30" s="347">
        <f t="shared" si="63"/>
        <v>7802229.0349999992</v>
      </c>
      <c r="AN30" s="347">
        <f t="shared" si="63"/>
        <v>8310121.0349999992</v>
      </c>
      <c r="AO30" s="347">
        <f t="shared" si="63"/>
        <v>8806083.2850000001</v>
      </c>
      <c r="AP30" s="347">
        <f t="shared" si="63"/>
        <v>9315581.7850000001</v>
      </c>
      <c r="AQ30" s="347">
        <f t="shared" si="63"/>
        <v>9866670.7850000001</v>
      </c>
      <c r="AR30" s="347">
        <f t="shared" si="63"/>
        <v>10386224.785</v>
      </c>
      <c r="AS30" s="347">
        <f t="shared" si="63"/>
        <v>10931185.285</v>
      </c>
      <c r="AT30" s="347">
        <f t="shared" si="63"/>
        <v>11424827.035</v>
      </c>
      <c r="AU30" s="347">
        <f t="shared" si="63"/>
        <v>11868102.035</v>
      </c>
      <c r="AV30" s="347">
        <f t="shared" si="63"/>
        <v>12328334.535</v>
      </c>
      <c r="AW30" s="347">
        <f t="shared" si="63"/>
        <v>12824296.785</v>
      </c>
      <c r="AX30" s="347">
        <f t="shared" si="63"/>
        <v>13275158.035</v>
      </c>
      <c r="AY30" s="347">
        <f t="shared" si="63"/>
        <v>13771120.285</v>
      </c>
      <c r="AZ30" s="347">
        <f t="shared" si="63"/>
        <v>14279012.285</v>
      </c>
      <c r="BA30" s="347">
        <f t="shared" si="63"/>
        <v>14774974.535</v>
      </c>
      <c r="BB30" s="347">
        <f t="shared" si="63"/>
        <v>15284473.035</v>
      </c>
      <c r="BC30" s="347">
        <f t="shared" si="63"/>
        <v>15835562.035</v>
      </c>
      <c r="BD30" s="347">
        <f t="shared" si="63"/>
        <v>16355116.035</v>
      </c>
      <c r="BE30" s="347">
        <f t="shared" si="63"/>
        <v>16900076.535</v>
      </c>
      <c r="BF30" s="347">
        <f t="shared" si="63"/>
        <v>17393718.285</v>
      </c>
      <c r="BG30" s="347">
        <f t="shared" si="63"/>
        <v>17836993.285</v>
      </c>
      <c r="BH30" s="347">
        <f t="shared" si="63"/>
        <v>18297225.785</v>
      </c>
      <c r="BI30" s="347">
        <f t="shared" si="63"/>
        <v>18793188.035</v>
      </c>
      <c r="BJ30" s="347">
        <f t="shared" si="63"/>
        <v>19244049.285</v>
      </c>
      <c r="BK30" s="347">
        <f t="shared" si="63"/>
        <v>19740011.535</v>
      </c>
      <c r="BL30" s="332"/>
    </row>
    <row r="31" spans="2:64" ht="15.75" customHeight="1">
      <c r="B31" s="330"/>
      <c r="C31" s="324" t="s">
        <v>32</v>
      </c>
      <c r="D31" s="347">
        <f>D30</f>
        <v>-7039768.5250000004</v>
      </c>
      <c r="E31" s="347">
        <f t="shared" ref="E31:AJ31" si="64">D31+E29</f>
        <v>-6933535.6100000003</v>
      </c>
      <c r="F31" s="347">
        <f t="shared" si="64"/>
        <v>-6786200.2650000006</v>
      </c>
      <c r="G31" s="347">
        <f t="shared" si="64"/>
        <v>-6551164.2150000008</v>
      </c>
      <c r="H31" s="347">
        <f t="shared" si="64"/>
        <v>-6348923.7150000008</v>
      </c>
      <c r="I31" s="347">
        <f t="shared" si="64"/>
        <v>-6098101.4650000008</v>
      </c>
      <c r="J31" s="347">
        <f t="shared" si="64"/>
        <v>-5840228.4650000008</v>
      </c>
      <c r="K31" s="347">
        <f t="shared" si="64"/>
        <v>-5582355.4650000008</v>
      </c>
      <c r="L31" s="347">
        <f t="shared" si="64"/>
        <v>-5281017.7150000008</v>
      </c>
      <c r="M31" s="347">
        <f t="shared" si="64"/>
        <v>-4921637.7150000008</v>
      </c>
      <c r="N31" s="347">
        <f t="shared" si="64"/>
        <v>-4565024.4650000008</v>
      </c>
      <c r="O31" s="347">
        <f t="shared" si="64"/>
        <v>-4135553.4650000008</v>
      </c>
      <c r="P31" s="347">
        <f t="shared" si="64"/>
        <v>-3627661.4650000008</v>
      </c>
      <c r="Q31" s="347">
        <f t="shared" si="64"/>
        <v>-3131699.2150000008</v>
      </c>
      <c r="R31" s="347">
        <f t="shared" si="64"/>
        <v>-2622200.7150000008</v>
      </c>
      <c r="S31" s="347">
        <f t="shared" si="64"/>
        <v>-2071111.7150000008</v>
      </c>
      <c r="T31" s="347">
        <f t="shared" si="64"/>
        <v>-1551557.7150000008</v>
      </c>
      <c r="U31" s="347">
        <f t="shared" si="64"/>
        <v>-1006597.2150000008</v>
      </c>
      <c r="V31" s="347">
        <f t="shared" si="64"/>
        <v>-512955.46500000078</v>
      </c>
      <c r="W31" s="347">
        <f t="shared" si="64"/>
        <v>-69680.465000000782</v>
      </c>
      <c r="X31" s="347">
        <f t="shared" si="64"/>
        <v>390552.03499999922</v>
      </c>
      <c r="Y31" s="347">
        <f t="shared" si="64"/>
        <v>886514.28499999922</v>
      </c>
      <c r="Z31" s="347">
        <f t="shared" si="64"/>
        <v>1337375.5349999992</v>
      </c>
      <c r="AA31" s="347">
        <f t="shared" si="64"/>
        <v>1833337.7849999992</v>
      </c>
      <c r="AB31" s="347">
        <f t="shared" si="64"/>
        <v>2341229.7849999992</v>
      </c>
      <c r="AC31" s="347">
        <f t="shared" si="64"/>
        <v>2837192.0349999992</v>
      </c>
      <c r="AD31" s="347">
        <f t="shared" si="64"/>
        <v>3346690.5349999992</v>
      </c>
      <c r="AE31" s="347">
        <f t="shared" si="64"/>
        <v>3897779.5349999992</v>
      </c>
      <c r="AF31" s="347">
        <f t="shared" si="64"/>
        <v>4417333.5349999992</v>
      </c>
      <c r="AG31" s="347">
        <f t="shared" si="64"/>
        <v>4962294.0349999992</v>
      </c>
      <c r="AH31" s="347">
        <f t="shared" si="64"/>
        <v>5455935.7849999992</v>
      </c>
      <c r="AI31" s="347">
        <f t="shared" si="64"/>
        <v>5899210.7849999992</v>
      </c>
      <c r="AJ31" s="347">
        <f t="shared" si="64"/>
        <v>6359443.2849999992</v>
      </c>
      <c r="AK31" s="347">
        <f t="shared" ref="AK31:BK31" si="65">AJ31+AK29</f>
        <v>6855405.5349999992</v>
      </c>
      <c r="AL31" s="347">
        <f t="shared" si="65"/>
        <v>7306266.7849999992</v>
      </c>
      <c r="AM31" s="347">
        <f t="shared" si="65"/>
        <v>7802229.0349999992</v>
      </c>
      <c r="AN31" s="347">
        <f t="shared" si="65"/>
        <v>8310121.0349999992</v>
      </c>
      <c r="AO31" s="347">
        <f t="shared" si="65"/>
        <v>8806083.2850000001</v>
      </c>
      <c r="AP31" s="347">
        <f t="shared" si="65"/>
        <v>9315581.7850000001</v>
      </c>
      <c r="AQ31" s="347">
        <f t="shared" si="65"/>
        <v>9866670.7850000001</v>
      </c>
      <c r="AR31" s="347">
        <f t="shared" si="65"/>
        <v>10386224.785</v>
      </c>
      <c r="AS31" s="347">
        <f t="shared" si="65"/>
        <v>10931185.285</v>
      </c>
      <c r="AT31" s="347">
        <f t="shared" si="65"/>
        <v>11424827.035</v>
      </c>
      <c r="AU31" s="347">
        <f t="shared" si="65"/>
        <v>11868102.035</v>
      </c>
      <c r="AV31" s="347">
        <f t="shared" si="65"/>
        <v>12328334.535</v>
      </c>
      <c r="AW31" s="347">
        <f t="shared" si="65"/>
        <v>12824296.785</v>
      </c>
      <c r="AX31" s="347">
        <f t="shared" si="65"/>
        <v>13275158.035</v>
      </c>
      <c r="AY31" s="347">
        <f t="shared" si="65"/>
        <v>13771120.285</v>
      </c>
      <c r="AZ31" s="347">
        <f t="shared" si="65"/>
        <v>14279012.285</v>
      </c>
      <c r="BA31" s="347">
        <f t="shared" si="65"/>
        <v>14774974.535</v>
      </c>
      <c r="BB31" s="347">
        <f t="shared" si="65"/>
        <v>15284473.035</v>
      </c>
      <c r="BC31" s="347">
        <f t="shared" si="65"/>
        <v>15835562.035</v>
      </c>
      <c r="BD31" s="347">
        <f t="shared" si="65"/>
        <v>16355116.035</v>
      </c>
      <c r="BE31" s="347">
        <f t="shared" si="65"/>
        <v>16900076.535</v>
      </c>
      <c r="BF31" s="347">
        <f t="shared" si="65"/>
        <v>17393718.285</v>
      </c>
      <c r="BG31" s="347">
        <f t="shared" si="65"/>
        <v>17836993.285</v>
      </c>
      <c r="BH31" s="347">
        <f t="shared" si="65"/>
        <v>18297225.785</v>
      </c>
      <c r="BI31" s="347">
        <f t="shared" si="65"/>
        <v>18793188.035</v>
      </c>
      <c r="BJ31" s="347">
        <f t="shared" si="65"/>
        <v>19244049.285</v>
      </c>
      <c r="BK31" s="347">
        <f t="shared" si="65"/>
        <v>19740011.535</v>
      </c>
      <c r="BL31" s="332"/>
    </row>
    <row r="32" spans="2:64">
      <c r="B32" s="330"/>
      <c r="C32" s="325" t="s">
        <v>241</v>
      </c>
      <c r="D32" s="348" t="str">
        <f>IF(D31&lt;0,"",D13)</f>
        <v/>
      </c>
      <c r="E32" s="348" t="str">
        <f t="shared" ref="E32:AJ32" si="66">IF(E31&lt;0,"",IF(D31&gt;0,"",E13))</f>
        <v/>
      </c>
      <c r="F32" s="348" t="str">
        <f t="shared" si="66"/>
        <v/>
      </c>
      <c r="G32" s="348" t="str">
        <f t="shared" si="66"/>
        <v/>
      </c>
      <c r="H32" s="348" t="str">
        <f t="shared" si="66"/>
        <v/>
      </c>
      <c r="I32" s="348" t="str">
        <f t="shared" si="66"/>
        <v/>
      </c>
      <c r="J32" s="348" t="str">
        <f t="shared" si="66"/>
        <v/>
      </c>
      <c r="K32" s="348" t="str">
        <f t="shared" si="66"/>
        <v/>
      </c>
      <c r="L32" s="348" t="str">
        <f t="shared" si="66"/>
        <v/>
      </c>
      <c r="M32" s="348" t="str">
        <f t="shared" si="66"/>
        <v/>
      </c>
      <c r="N32" s="348" t="str">
        <f t="shared" si="66"/>
        <v/>
      </c>
      <c r="O32" s="348" t="str">
        <f t="shared" si="66"/>
        <v/>
      </c>
      <c r="P32" s="348" t="str">
        <f t="shared" si="66"/>
        <v/>
      </c>
      <c r="Q32" s="348" t="str">
        <f t="shared" si="66"/>
        <v/>
      </c>
      <c r="R32" s="348" t="str">
        <f t="shared" si="66"/>
        <v/>
      </c>
      <c r="S32" s="348" t="str">
        <f t="shared" si="66"/>
        <v/>
      </c>
      <c r="T32" s="348" t="str">
        <f t="shared" si="66"/>
        <v/>
      </c>
      <c r="U32" s="348" t="str">
        <f t="shared" si="66"/>
        <v/>
      </c>
      <c r="V32" s="348" t="str">
        <f t="shared" si="66"/>
        <v/>
      </c>
      <c r="W32" s="348" t="str">
        <f t="shared" si="66"/>
        <v/>
      </c>
      <c r="X32" s="348">
        <f t="shared" si="66"/>
        <v>21</v>
      </c>
      <c r="Y32" s="348" t="str">
        <f t="shared" si="66"/>
        <v/>
      </c>
      <c r="Z32" s="348" t="str">
        <f t="shared" si="66"/>
        <v/>
      </c>
      <c r="AA32" s="348" t="str">
        <f t="shared" si="66"/>
        <v/>
      </c>
      <c r="AB32" s="348" t="str">
        <f t="shared" si="66"/>
        <v/>
      </c>
      <c r="AC32" s="348" t="str">
        <f t="shared" si="66"/>
        <v/>
      </c>
      <c r="AD32" s="348" t="str">
        <f t="shared" si="66"/>
        <v/>
      </c>
      <c r="AE32" s="348" t="str">
        <f t="shared" si="66"/>
        <v/>
      </c>
      <c r="AF32" s="348" t="str">
        <f t="shared" si="66"/>
        <v/>
      </c>
      <c r="AG32" s="348" t="str">
        <f t="shared" si="66"/>
        <v/>
      </c>
      <c r="AH32" s="348" t="str">
        <f t="shared" si="66"/>
        <v/>
      </c>
      <c r="AI32" s="348" t="str">
        <f t="shared" si="66"/>
        <v/>
      </c>
      <c r="AJ32" s="348" t="str">
        <f t="shared" si="66"/>
        <v/>
      </c>
      <c r="AK32" s="348" t="str">
        <f t="shared" ref="AK32:BK32" si="67">IF(AK31&lt;0,"",IF(AJ31&gt;0,"",AK13))</f>
        <v/>
      </c>
      <c r="AL32" s="348" t="str">
        <f t="shared" si="67"/>
        <v/>
      </c>
      <c r="AM32" s="348" t="str">
        <f t="shared" si="67"/>
        <v/>
      </c>
      <c r="AN32" s="348" t="str">
        <f t="shared" si="67"/>
        <v/>
      </c>
      <c r="AO32" s="348" t="str">
        <f t="shared" si="67"/>
        <v/>
      </c>
      <c r="AP32" s="348" t="str">
        <f t="shared" si="67"/>
        <v/>
      </c>
      <c r="AQ32" s="348" t="str">
        <f t="shared" si="67"/>
        <v/>
      </c>
      <c r="AR32" s="348" t="str">
        <f t="shared" si="67"/>
        <v/>
      </c>
      <c r="AS32" s="348" t="str">
        <f t="shared" si="67"/>
        <v/>
      </c>
      <c r="AT32" s="348" t="str">
        <f t="shared" si="67"/>
        <v/>
      </c>
      <c r="AU32" s="348" t="str">
        <f t="shared" si="67"/>
        <v/>
      </c>
      <c r="AV32" s="348" t="str">
        <f t="shared" si="67"/>
        <v/>
      </c>
      <c r="AW32" s="348" t="str">
        <f t="shared" si="67"/>
        <v/>
      </c>
      <c r="AX32" s="348" t="str">
        <f t="shared" si="67"/>
        <v/>
      </c>
      <c r="AY32" s="348" t="str">
        <f t="shared" si="67"/>
        <v/>
      </c>
      <c r="AZ32" s="348" t="str">
        <f t="shared" si="67"/>
        <v/>
      </c>
      <c r="BA32" s="348" t="str">
        <f t="shared" si="67"/>
        <v/>
      </c>
      <c r="BB32" s="348" t="str">
        <f t="shared" si="67"/>
        <v/>
      </c>
      <c r="BC32" s="348" t="str">
        <f t="shared" si="67"/>
        <v/>
      </c>
      <c r="BD32" s="348" t="str">
        <f t="shared" si="67"/>
        <v/>
      </c>
      <c r="BE32" s="348" t="str">
        <f t="shared" si="67"/>
        <v/>
      </c>
      <c r="BF32" s="348" t="str">
        <f t="shared" si="67"/>
        <v/>
      </c>
      <c r="BG32" s="348" t="str">
        <f t="shared" si="67"/>
        <v/>
      </c>
      <c r="BH32" s="348" t="str">
        <f t="shared" si="67"/>
        <v/>
      </c>
      <c r="BI32" s="348" t="str">
        <f t="shared" si="67"/>
        <v/>
      </c>
      <c r="BJ32" s="348" t="str">
        <f t="shared" si="67"/>
        <v/>
      </c>
      <c r="BK32" s="348" t="str">
        <f t="shared" si="67"/>
        <v/>
      </c>
      <c r="BL32" s="332"/>
    </row>
    <row r="33" spans="2:64" hidden="1">
      <c r="B33" s="330"/>
      <c r="C33" s="310"/>
      <c r="D33" s="349">
        <f t="shared" ref="D33:AI33" si="68">D29/(1+$F$41)^$D$13</f>
        <v>-6293936.9915064815</v>
      </c>
      <c r="E33" s="349">
        <f t="shared" si="68"/>
        <v>94978.019669199814</v>
      </c>
      <c r="F33" s="349">
        <f t="shared" si="68"/>
        <v>131725.83370585606</v>
      </c>
      <c r="G33" s="349">
        <f t="shared" si="68"/>
        <v>210135.0469378632</v>
      </c>
      <c r="H33" s="349">
        <f t="shared" si="68"/>
        <v>180814.03665623601</v>
      </c>
      <c r="I33" s="349">
        <f t="shared" si="68"/>
        <v>224248.77067501115</v>
      </c>
      <c r="J33" s="349">
        <f t="shared" si="68"/>
        <v>230552.52570406793</v>
      </c>
      <c r="K33" s="349">
        <f t="shared" si="68"/>
        <v>230552.52570406793</v>
      </c>
      <c r="L33" s="349">
        <f t="shared" si="68"/>
        <v>269412.38265534193</v>
      </c>
      <c r="M33" s="349">
        <f t="shared" si="68"/>
        <v>321305.31962449709</v>
      </c>
      <c r="N33" s="349">
        <f t="shared" si="68"/>
        <v>318831.69423334824</v>
      </c>
      <c r="O33" s="349">
        <f t="shared" si="68"/>
        <v>383970.49620026822</v>
      </c>
      <c r="P33" s="349">
        <f t="shared" si="68"/>
        <v>454083.14707197138</v>
      </c>
      <c r="Q33" s="349">
        <f t="shared" si="68"/>
        <v>443417.29995529726</v>
      </c>
      <c r="R33" s="349">
        <f t="shared" si="68"/>
        <v>455519.44568618684</v>
      </c>
      <c r="S33" s="349">
        <f t="shared" si="68"/>
        <v>492703.62092087616</v>
      </c>
      <c r="T33" s="349">
        <f t="shared" si="68"/>
        <v>464509.61108627624</v>
      </c>
      <c r="U33" s="349">
        <f t="shared" si="68"/>
        <v>487224.40768886899</v>
      </c>
      <c r="V33" s="349">
        <f t="shared" si="68"/>
        <v>441342.64640143048</v>
      </c>
      <c r="W33" s="349">
        <f t="shared" si="68"/>
        <v>396312.02503352705</v>
      </c>
      <c r="X33" s="349">
        <f t="shared" si="68"/>
        <v>411472.95485024585</v>
      </c>
      <c r="Y33" s="349">
        <f t="shared" si="68"/>
        <v>443417.29995529726</v>
      </c>
      <c r="Z33" s="349">
        <f t="shared" si="68"/>
        <v>403094.54626732226</v>
      </c>
      <c r="AA33" s="349">
        <f t="shared" si="68"/>
        <v>443417.29995529726</v>
      </c>
      <c r="AB33" s="349">
        <f t="shared" si="68"/>
        <v>454083.14707197138</v>
      </c>
      <c r="AC33" s="349">
        <f t="shared" si="68"/>
        <v>443417.29995529726</v>
      </c>
      <c r="AD33" s="349">
        <f t="shared" si="68"/>
        <v>455519.44568618684</v>
      </c>
      <c r="AE33" s="349">
        <f t="shared" si="68"/>
        <v>492703.62092087616</v>
      </c>
      <c r="AF33" s="349">
        <f t="shared" si="68"/>
        <v>464509.61108627624</v>
      </c>
      <c r="AG33" s="349">
        <f t="shared" si="68"/>
        <v>487224.40768886899</v>
      </c>
      <c r="AH33" s="349">
        <f t="shared" si="68"/>
        <v>441342.64640143048</v>
      </c>
      <c r="AI33" s="349">
        <f t="shared" si="68"/>
        <v>396312.02503352705</v>
      </c>
      <c r="AJ33" s="349">
        <f t="shared" ref="AJ33:BK33" si="69">AJ29/(1+$F$41)^$D$13</f>
        <v>411472.95485024585</v>
      </c>
      <c r="AK33" s="349">
        <f t="shared" si="69"/>
        <v>443417.29995529726</v>
      </c>
      <c r="AL33" s="349">
        <f t="shared" si="69"/>
        <v>403094.54626732226</v>
      </c>
      <c r="AM33" s="349">
        <f t="shared" si="69"/>
        <v>443417.29995529726</v>
      </c>
      <c r="AN33" s="349">
        <f t="shared" si="69"/>
        <v>454083.14707197138</v>
      </c>
      <c r="AO33" s="349">
        <f t="shared" si="69"/>
        <v>443417.29995529726</v>
      </c>
      <c r="AP33" s="349">
        <f t="shared" si="69"/>
        <v>455519.44568618684</v>
      </c>
      <c r="AQ33" s="349">
        <f t="shared" si="69"/>
        <v>492703.62092087616</v>
      </c>
      <c r="AR33" s="349">
        <f t="shared" si="69"/>
        <v>464509.61108627624</v>
      </c>
      <c r="AS33" s="349">
        <f t="shared" si="69"/>
        <v>487224.40768886899</v>
      </c>
      <c r="AT33" s="349">
        <f t="shared" si="69"/>
        <v>441342.64640143048</v>
      </c>
      <c r="AU33" s="349">
        <f t="shared" si="69"/>
        <v>396312.02503352705</v>
      </c>
      <c r="AV33" s="349">
        <f t="shared" si="69"/>
        <v>411472.95485024585</v>
      </c>
      <c r="AW33" s="349">
        <f t="shared" si="69"/>
        <v>443417.29995529726</v>
      </c>
      <c r="AX33" s="349">
        <f t="shared" si="69"/>
        <v>403094.54626732226</v>
      </c>
      <c r="AY33" s="349">
        <f t="shared" si="69"/>
        <v>443417.29995529726</v>
      </c>
      <c r="AZ33" s="349">
        <f t="shared" si="69"/>
        <v>454083.14707197138</v>
      </c>
      <c r="BA33" s="349">
        <f t="shared" si="69"/>
        <v>443417.29995529726</v>
      </c>
      <c r="BB33" s="349">
        <f t="shared" si="69"/>
        <v>455519.44568618684</v>
      </c>
      <c r="BC33" s="349">
        <f t="shared" si="69"/>
        <v>492703.62092087616</v>
      </c>
      <c r="BD33" s="349">
        <f t="shared" si="69"/>
        <v>464509.61108627624</v>
      </c>
      <c r="BE33" s="349">
        <f t="shared" si="69"/>
        <v>487224.40768886899</v>
      </c>
      <c r="BF33" s="349">
        <f t="shared" si="69"/>
        <v>441342.64640143048</v>
      </c>
      <c r="BG33" s="349">
        <f t="shared" si="69"/>
        <v>396312.02503352705</v>
      </c>
      <c r="BH33" s="349">
        <f t="shared" si="69"/>
        <v>411472.95485024585</v>
      </c>
      <c r="BI33" s="349">
        <f t="shared" si="69"/>
        <v>443417.29995529726</v>
      </c>
      <c r="BJ33" s="349">
        <f t="shared" si="69"/>
        <v>403094.54626732226</v>
      </c>
      <c r="BK33" s="349">
        <f t="shared" si="69"/>
        <v>443417.29995529726</v>
      </c>
      <c r="BL33" s="332"/>
    </row>
    <row r="34" spans="2:64">
      <c r="B34" s="330"/>
      <c r="C34" s="310" t="s">
        <v>58</v>
      </c>
      <c r="D34" s="347">
        <f>-D28+D33</f>
        <v>-13383441.991506482</v>
      </c>
      <c r="E34" s="347">
        <f>D34+E33</f>
        <v>-13288463.971837282</v>
      </c>
      <c r="F34" s="347">
        <f>E34+F33</f>
        <v>-13156738.138131427</v>
      </c>
      <c r="G34" s="347">
        <f t="shared" ref="G34:AA34" si="70">F34+G33</f>
        <v>-12946603.091193564</v>
      </c>
      <c r="H34" s="347">
        <f t="shared" si="70"/>
        <v>-12765789.054537328</v>
      </c>
      <c r="I34" s="347">
        <f t="shared" si="70"/>
        <v>-12541540.283862317</v>
      </c>
      <c r="J34" s="347">
        <f t="shared" si="70"/>
        <v>-12310987.75815825</v>
      </c>
      <c r="K34" s="347">
        <f t="shared" si="70"/>
        <v>-12080435.232454183</v>
      </c>
      <c r="L34" s="347">
        <f t="shared" si="70"/>
        <v>-11811022.849798841</v>
      </c>
      <c r="M34" s="347">
        <f t="shared" si="70"/>
        <v>-11489717.530174345</v>
      </c>
      <c r="N34" s="347">
        <f t="shared" si="70"/>
        <v>-11170885.835940996</v>
      </c>
      <c r="O34" s="347">
        <f t="shared" si="70"/>
        <v>-10786915.339740727</v>
      </c>
      <c r="P34" s="347">
        <f t="shared" si="70"/>
        <v>-10332832.192668756</v>
      </c>
      <c r="Q34" s="347">
        <f t="shared" si="70"/>
        <v>-9889414.8927134592</v>
      </c>
      <c r="R34" s="347">
        <f t="shared" si="70"/>
        <v>-9433895.4470272716</v>
      </c>
      <c r="S34" s="347">
        <f t="shared" si="70"/>
        <v>-8941191.8261063956</v>
      </c>
      <c r="T34" s="347">
        <f t="shared" si="70"/>
        <v>-8476682.2150201201</v>
      </c>
      <c r="U34" s="347">
        <f t="shared" si="70"/>
        <v>-7989457.807331251</v>
      </c>
      <c r="V34" s="347">
        <f t="shared" si="70"/>
        <v>-7548115.1609298205</v>
      </c>
      <c r="W34" s="347">
        <f t="shared" si="70"/>
        <v>-7151803.1358962934</v>
      </c>
      <c r="X34" s="347">
        <f t="shared" si="70"/>
        <v>-6740330.1810460472</v>
      </c>
      <c r="Y34" s="347">
        <f t="shared" si="70"/>
        <v>-6296912.88109075</v>
      </c>
      <c r="Z34" s="347">
        <f t="shared" si="70"/>
        <v>-5893818.3348234277</v>
      </c>
      <c r="AA34" s="347">
        <f t="shared" si="70"/>
        <v>-5450401.0348681305</v>
      </c>
      <c r="AB34" s="347">
        <f t="shared" ref="AB34:BK34" si="71">AA34+AB33</f>
        <v>-4996317.8877961589</v>
      </c>
      <c r="AC34" s="347">
        <f t="shared" si="71"/>
        <v>-4552900.5878408616</v>
      </c>
      <c r="AD34" s="347">
        <f t="shared" si="71"/>
        <v>-4097381.142154675</v>
      </c>
      <c r="AE34" s="347">
        <f t="shared" si="71"/>
        <v>-3604677.5212337989</v>
      </c>
      <c r="AF34" s="347">
        <f t="shared" si="71"/>
        <v>-3140167.9101475226</v>
      </c>
      <c r="AG34" s="347">
        <f t="shared" si="71"/>
        <v>-2652943.5024586534</v>
      </c>
      <c r="AH34" s="347">
        <f t="shared" si="71"/>
        <v>-2211600.8560572229</v>
      </c>
      <c r="AI34" s="347">
        <f t="shared" si="71"/>
        <v>-1815288.8310236959</v>
      </c>
      <c r="AJ34" s="347">
        <f t="shared" si="71"/>
        <v>-1403815.8761734501</v>
      </c>
      <c r="AK34" s="347">
        <f t="shared" si="71"/>
        <v>-960398.57621815288</v>
      </c>
      <c r="AL34" s="347">
        <f t="shared" si="71"/>
        <v>-557304.02995083062</v>
      </c>
      <c r="AM34" s="347">
        <f t="shared" si="71"/>
        <v>-113886.72999553336</v>
      </c>
      <c r="AN34" s="347">
        <f t="shared" si="71"/>
        <v>340196.41707643803</v>
      </c>
      <c r="AO34" s="347">
        <f t="shared" si="71"/>
        <v>783613.71703173523</v>
      </c>
      <c r="AP34" s="347">
        <f t="shared" si="71"/>
        <v>1239133.1627179221</v>
      </c>
      <c r="AQ34" s="347">
        <f t="shared" si="71"/>
        <v>1731836.7836387982</v>
      </c>
      <c r="AR34" s="347">
        <f t="shared" si="71"/>
        <v>2196346.3947250745</v>
      </c>
      <c r="AS34" s="347">
        <f t="shared" si="71"/>
        <v>2683570.8024139437</v>
      </c>
      <c r="AT34" s="347">
        <f t="shared" si="71"/>
        <v>3124913.4488153742</v>
      </c>
      <c r="AU34" s="347">
        <f t="shared" si="71"/>
        <v>3521225.4738489012</v>
      </c>
      <c r="AV34" s="347">
        <f t="shared" si="71"/>
        <v>3932698.428699147</v>
      </c>
      <c r="AW34" s="347">
        <f t="shared" si="71"/>
        <v>4376115.7286544442</v>
      </c>
      <c r="AX34" s="347">
        <f t="shared" si="71"/>
        <v>4779210.2749217665</v>
      </c>
      <c r="AY34" s="347">
        <f t="shared" si="71"/>
        <v>5222627.5748770637</v>
      </c>
      <c r="AZ34" s="347">
        <f t="shared" si="71"/>
        <v>5676710.7219490353</v>
      </c>
      <c r="BA34" s="347">
        <f t="shared" si="71"/>
        <v>6120128.0219043326</v>
      </c>
      <c r="BB34" s="347">
        <f t="shared" si="71"/>
        <v>6575647.4675905192</v>
      </c>
      <c r="BC34" s="347">
        <f t="shared" si="71"/>
        <v>7068351.0885113953</v>
      </c>
      <c r="BD34" s="347">
        <f t="shared" si="71"/>
        <v>7532860.6995976716</v>
      </c>
      <c r="BE34" s="347">
        <f t="shared" si="71"/>
        <v>8020085.1072865408</v>
      </c>
      <c r="BF34" s="347">
        <f t="shared" si="71"/>
        <v>8461427.7536879703</v>
      </c>
      <c r="BG34" s="347">
        <f t="shared" si="71"/>
        <v>8857739.7787214965</v>
      </c>
      <c r="BH34" s="347">
        <f t="shared" si="71"/>
        <v>9269212.7335717417</v>
      </c>
      <c r="BI34" s="347">
        <f t="shared" si="71"/>
        <v>9712630.033527039</v>
      </c>
      <c r="BJ34" s="347">
        <f t="shared" si="71"/>
        <v>10115724.579794362</v>
      </c>
      <c r="BK34" s="347">
        <f t="shared" si="71"/>
        <v>10559141.879749659</v>
      </c>
      <c r="BL34" s="332"/>
    </row>
    <row r="35" spans="2:64" ht="27" hidden="1" customHeight="1">
      <c r="B35" s="330"/>
      <c r="C35" s="310" t="s">
        <v>59</v>
      </c>
      <c r="D35" s="350" t="str">
        <f>IF(D34&lt;0,"",D13)</f>
        <v/>
      </c>
      <c r="E35" s="350" t="str">
        <f t="shared" ref="E35:AJ35" si="72">IF(E34&lt;0,"",IF(D34&gt;0,"",E13))</f>
        <v/>
      </c>
      <c r="F35" s="350" t="str">
        <f t="shared" si="72"/>
        <v/>
      </c>
      <c r="G35" s="350" t="str">
        <f t="shared" si="72"/>
        <v/>
      </c>
      <c r="H35" s="350" t="str">
        <f t="shared" si="72"/>
        <v/>
      </c>
      <c r="I35" s="350" t="str">
        <f t="shared" si="72"/>
        <v/>
      </c>
      <c r="J35" s="350" t="str">
        <f t="shared" si="72"/>
        <v/>
      </c>
      <c r="K35" s="350" t="str">
        <f t="shared" si="72"/>
        <v/>
      </c>
      <c r="L35" s="350" t="str">
        <f t="shared" si="72"/>
        <v/>
      </c>
      <c r="M35" s="350" t="str">
        <f t="shared" si="72"/>
        <v/>
      </c>
      <c r="N35" s="350" t="str">
        <f t="shared" si="72"/>
        <v/>
      </c>
      <c r="O35" s="350" t="str">
        <f t="shared" si="72"/>
        <v/>
      </c>
      <c r="P35" s="350" t="str">
        <f t="shared" si="72"/>
        <v/>
      </c>
      <c r="Q35" s="350" t="str">
        <f t="shared" si="72"/>
        <v/>
      </c>
      <c r="R35" s="350" t="str">
        <f t="shared" si="72"/>
        <v/>
      </c>
      <c r="S35" s="350" t="str">
        <f t="shared" si="72"/>
        <v/>
      </c>
      <c r="T35" s="350" t="str">
        <f t="shared" si="72"/>
        <v/>
      </c>
      <c r="U35" s="350" t="str">
        <f t="shared" si="72"/>
        <v/>
      </c>
      <c r="V35" s="350" t="str">
        <f t="shared" si="72"/>
        <v/>
      </c>
      <c r="W35" s="350" t="str">
        <f t="shared" si="72"/>
        <v/>
      </c>
      <c r="X35" s="350" t="str">
        <f t="shared" si="72"/>
        <v/>
      </c>
      <c r="Y35" s="350" t="str">
        <f t="shared" si="72"/>
        <v/>
      </c>
      <c r="Z35" s="350" t="str">
        <f t="shared" si="72"/>
        <v/>
      </c>
      <c r="AA35" s="350" t="str">
        <f t="shared" si="72"/>
        <v/>
      </c>
      <c r="AB35" s="350" t="str">
        <f t="shared" si="72"/>
        <v/>
      </c>
      <c r="AC35" s="350" t="str">
        <f t="shared" si="72"/>
        <v/>
      </c>
      <c r="AD35" s="350" t="str">
        <f t="shared" si="72"/>
        <v/>
      </c>
      <c r="AE35" s="350" t="str">
        <f t="shared" si="72"/>
        <v/>
      </c>
      <c r="AF35" s="350" t="str">
        <f t="shared" si="72"/>
        <v/>
      </c>
      <c r="AG35" s="350" t="str">
        <f t="shared" si="72"/>
        <v/>
      </c>
      <c r="AH35" s="350" t="str">
        <f t="shared" si="72"/>
        <v/>
      </c>
      <c r="AI35" s="350" t="str">
        <f t="shared" si="72"/>
        <v/>
      </c>
      <c r="AJ35" s="350" t="str">
        <f t="shared" si="72"/>
        <v/>
      </c>
      <c r="AK35" s="350" t="str">
        <f t="shared" ref="AK35:BK35" si="73">IF(AK34&lt;0,"",IF(AJ34&gt;0,"",AK13))</f>
        <v/>
      </c>
      <c r="AL35" s="350" t="str">
        <f t="shared" si="73"/>
        <v/>
      </c>
      <c r="AM35" s="350" t="str">
        <f t="shared" si="73"/>
        <v/>
      </c>
      <c r="AN35" s="350">
        <f t="shared" si="73"/>
        <v>37</v>
      </c>
      <c r="AO35" s="350" t="str">
        <f t="shared" si="73"/>
        <v/>
      </c>
      <c r="AP35" s="350" t="str">
        <f t="shared" si="73"/>
        <v/>
      </c>
      <c r="AQ35" s="350" t="str">
        <f t="shared" si="73"/>
        <v/>
      </c>
      <c r="AR35" s="350" t="str">
        <f t="shared" si="73"/>
        <v/>
      </c>
      <c r="AS35" s="350" t="str">
        <f t="shared" si="73"/>
        <v/>
      </c>
      <c r="AT35" s="350" t="str">
        <f t="shared" si="73"/>
        <v/>
      </c>
      <c r="AU35" s="350" t="str">
        <f t="shared" si="73"/>
        <v/>
      </c>
      <c r="AV35" s="350" t="str">
        <f t="shared" si="73"/>
        <v/>
      </c>
      <c r="AW35" s="350" t="str">
        <f t="shared" si="73"/>
        <v/>
      </c>
      <c r="AX35" s="350" t="str">
        <f t="shared" si="73"/>
        <v/>
      </c>
      <c r="AY35" s="350" t="str">
        <f t="shared" si="73"/>
        <v/>
      </c>
      <c r="AZ35" s="350" t="str">
        <f t="shared" si="73"/>
        <v/>
      </c>
      <c r="BA35" s="350" t="str">
        <f t="shared" si="73"/>
        <v/>
      </c>
      <c r="BB35" s="350" t="str">
        <f t="shared" si="73"/>
        <v/>
      </c>
      <c r="BC35" s="350" t="str">
        <f t="shared" si="73"/>
        <v/>
      </c>
      <c r="BD35" s="350" t="str">
        <f t="shared" si="73"/>
        <v/>
      </c>
      <c r="BE35" s="350" t="str">
        <f t="shared" si="73"/>
        <v/>
      </c>
      <c r="BF35" s="350" t="str">
        <f t="shared" si="73"/>
        <v/>
      </c>
      <c r="BG35" s="350" t="str">
        <f t="shared" si="73"/>
        <v/>
      </c>
      <c r="BH35" s="350" t="str">
        <f t="shared" si="73"/>
        <v/>
      </c>
      <c r="BI35" s="350" t="str">
        <f t="shared" si="73"/>
        <v/>
      </c>
      <c r="BJ35" s="350" t="str">
        <f t="shared" si="73"/>
        <v/>
      </c>
      <c r="BK35" s="350" t="str">
        <f t="shared" si="73"/>
        <v/>
      </c>
      <c r="BL35" s="332"/>
    </row>
    <row r="36" spans="2:64" hidden="1">
      <c r="B36" s="330"/>
      <c r="C36" s="351"/>
      <c r="D36" s="352">
        <f>D29</f>
        <v>-7039768.5250000004</v>
      </c>
      <c r="E36" s="352">
        <f>E29</f>
        <v>106232.91499999999</v>
      </c>
      <c r="F36" s="352">
        <f>F29</f>
        <v>147335.345</v>
      </c>
      <c r="G36" s="352">
        <f t="shared" ref="G36:Z36" si="74">G29</f>
        <v>235036.05</v>
      </c>
      <c r="H36" s="352">
        <f t="shared" si="74"/>
        <v>202240.5</v>
      </c>
      <c r="I36" s="352">
        <f t="shared" si="74"/>
        <v>250822.25</v>
      </c>
      <c r="J36" s="352">
        <f t="shared" si="74"/>
        <v>257873</v>
      </c>
      <c r="K36" s="352">
        <f t="shared" si="74"/>
        <v>257873</v>
      </c>
      <c r="L36" s="352">
        <f t="shared" si="74"/>
        <v>301337.75</v>
      </c>
      <c r="M36" s="352">
        <f t="shared" si="74"/>
        <v>359380</v>
      </c>
      <c r="N36" s="352">
        <f t="shared" si="74"/>
        <v>356613.25</v>
      </c>
      <c r="O36" s="352">
        <f t="shared" si="74"/>
        <v>429471</v>
      </c>
      <c r="P36" s="352">
        <f t="shared" si="74"/>
        <v>507892</v>
      </c>
      <c r="Q36" s="352">
        <f t="shared" si="74"/>
        <v>495962.25</v>
      </c>
      <c r="R36" s="352">
        <f t="shared" si="74"/>
        <v>509498.5</v>
      </c>
      <c r="S36" s="352">
        <f t="shared" si="74"/>
        <v>551089</v>
      </c>
      <c r="T36" s="352">
        <f t="shared" si="74"/>
        <v>519554</v>
      </c>
      <c r="U36" s="352">
        <f t="shared" si="74"/>
        <v>544960.5</v>
      </c>
      <c r="V36" s="352">
        <f t="shared" si="74"/>
        <v>493641.75</v>
      </c>
      <c r="W36" s="352">
        <f t="shared" si="74"/>
        <v>443275</v>
      </c>
      <c r="X36" s="352">
        <f t="shared" si="74"/>
        <v>460232.5</v>
      </c>
      <c r="Y36" s="352">
        <f t="shared" si="74"/>
        <v>495962.25</v>
      </c>
      <c r="Z36" s="352">
        <f t="shared" si="74"/>
        <v>450861.25</v>
      </c>
      <c r="AA36" s="352">
        <f>AA29</f>
        <v>495962.25</v>
      </c>
      <c r="AB36" s="352">
        <f t="shared" ref="AB36:BK36" si="75">AB29</f>
        <v>507892</v>
      </c>
      <c r="AC36" s="352">
        <f t="shared" si="75"/>
        <v>495962.25</v>
      </c>
      <c r="AD36" s="352">
        <f t="shared" si="75"/>
        <v>509498.5</v>
      </c>
      <c r="AE36" s="352">
        <f t="shared" si="75"/>
        <v>551089</v>
      </c>
      <c r="AF36" s="352">
        <f t="shared" si="75"/>
        <v>519554</v>
      </c>
      <c r="AG36" s="352">
        <f t="shared" si="75"/>
        <v>544960.5</v>
      </c>
      <c r="AH36" s="352">
        <f t="shared" si="75"/>
        <v>493641.75</v>
      </c>
      <c r="AI36" s="352">
        <f t="shared" si="75"/>
        <v>443275</v>
      </c>
      <c r="AJ36" s="352">
        <f t="shared" si="75"/>
        <v>460232.5</v>
      </c>
      <c r="AK36" s="352">
        <f t="shared" si="75"/>
        <v>495962.25</v>
      </c>
      <c r="AL36" s="352">
        <f t="shared" si="75"/>
        <v>450861.25</v>
      </c>
      <c r="AM36" s="352">
        <f t="shared" si="75"/>
        <v>495962.25</v>
      </c>
      <c r="AN36" s="352">
        <f t="shared" si="75"/>
        <v>507892</v>
      </c>
      <c r="AO36" s="352">
        <f t="shared" si="75"/>
        <v>495962.25</v>
      </c>
      <c r="AP36" s="352">
        <f t="shared" si="75"/>
        <v>509498.5</v>
      </c>
      <c r="AQ36" s="352">
        <f t="shared" si="75"/>
        <v>551089</v>
      </c>
      <c r="AR36" s="352">
        <f t="shared" si="75"/>
        <v>519554</v>
      </c>
      <c r="AS36" s="352">
        <f t="shared" si="75"/>
        <v>544960.5</v>
      </c>
      <c r="AT36" s="352">
        <f t="shared" si="75"/>
        <v>493641.75</v>
      </c>
      <c r="AU36" s="352">
        <f t="shared" si="75"/>
        <v>443275</v>
      </c>
      <c r="AV36" s="352">
        <f t="shared" si="75"/>
        <v>460232.5</v>
      </c>
      <c r="AW36" s="352">
        <f t="shared" si="75"/>
        <v>495962.25</v>
      </c>
      <c r="AX36" s="352">
        <f t="shared" si="75"/>
        <v>450861.25</v>
      </c>
      <c r="AY36" s="352">
        <f t="shared" si="75"/>
        <v>495962.25</v>
      </c>
      <c r="AZ36" s="352">
        <f t="shared" si="75"/>
        <v>507892</v>
      </c>
      <c r="BA36" s="352">
        <f t="shared" si="75"/>
        <v>495962.25</v>
      </c>
      <c r="BB36" s="352">
        <f t="shared" si="75"/>
        <v>509498.5</v>
      </c>
      <c r="BC36" s="352">
        <f t="shared" si="75"/>
        <v>551089</v>
      </c>
      <c r="BD36" s="352">
        <f t="shared" si="75"/>
        <v>519554</v>
      </c>
      <c r="BE36" s="352">
        <f t="shared" si="75"/>
        <v>544960.5</v>
      </c>
      <c r="BF36" s="352">
        <f t="shared" si="75"/>
        <v>493641.75</v>
      </c>
      <c r="BG36" s="352">
        <f t="shared" si="75"/>
        <v>443275</v>
      </c>
      <c r="BH36" s="352">
        <f t="shared" si="75"/>
        <v>460232.5</v>
      </c>
      <c r="BI36" s="352">
        <f t="shared" si="75"/>
        <v>495962.25</v>
      </c>
      <c r="BJ36" s="352">
        <f t="shared" si="75"/>
        <v>450861.25</v>
      </c>
      <c r="BK36" s="352">
        <f t="shared" si="75"/>
        <v>495962.25</v>
      </c>
      <c r="BL36" s="332"/>
    </row>
    <row r="37" spans="2:64">
      <c r="B37" s="330"/>
      <c r="C37" s="353"/>
      <c r="D37" s="353"/>
      <c r="E37" s="353"/>
      <c r="F37" s="353"/>
      <c r="G37" s="353"/>
      <c r="H37" s="353"/>
      <c r="I37" s="353"/>
      <c r="J37" s="354"/>
      <c r="K37" s="354"/>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5"/>
      <c r="AO37" s="355"/>
      <c r="AP37" s="355"/>
      <c r="AQ37" s="355"/>
      <c r="AR37" s="355"/>
      <c r="AS37" s="355"/>
      <c r="AT37" s="355"/>
      <c r="AU37" s="355"/>
      <c r="AV37" s="355"/>
      <c r="AW37" s="355"/>
      <c r="AX37" s="355"/>
      <c r="AY37" s="355"/>
      <c r="AZ37" s="355"/>
      <c r="BA37" s="355"/>
      <c r="BB37" s="355"/>
      <c r="BC37" s="355"/>
      <c r="BD37" s="355"/>
      <c r="BE37" s="355"/>
      <c r="BF37" s="355"/>
      <c r="BG37" s="355"/>
      <c r="BH37" s="355"/>
      <c r="BI37" s="355"/>
      <c r="BJ37" s="355"/>
      <c r="BK37" s="355"/>
      <c r="BL37" s="332"/>
    </row>
    <row r="38" spans="2:64">
      <c r="B38" s="330"/>
      <c r="C38" s="356"/>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55"/>
      <c r="AQ38" s="355"/>
      <c r="AR38" s="355"/>
      <c r="AS38" s="355"/>
      <c r="AT38" s="355"/>
      <c r="AU38" s="355"/>
      <c r="AV38" s="355"/>
      <c r="AW38" s="355"/>
      <c r="AX38" s="355"/>
      <c r="AY38" s="355"/>
      <c r="AZ38" s="355"/>
      <c r="BA38" s="355"/>
      <c r="BB38" s="355"/>
      <c r="BC38" s="355"/>
      <c r="BD38" s="355"/>
      <c r="BE38" s="355"/>
      <c r="BF38" s="355"/>
      <c r="BG38" s="355"/>
      <c r="BH38" s="355"/>
      <c r="BI38" s="355"/>
      <c r="BJ38" s="355"/>
      <c r="BK38" s="355"/>
      <c r="BL38" s="332"/>
    </row>
    <row r="39" spans="2:64">
      <c r="B39" s="330"/>
      <c r="C39" s="525" t="s">
        <v>17</v>
      </c>
      <c r="D39" s="525"/>
      <c r="E39" s="525"/>
      <c r="F39" s="52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355"/>
      <c r="AO39" s="355"/>
      <c r="AP39" s="355"/>
      <c r="AQ39" s="355"/>
      <c r="AR39" s="355"/>
      <c r="AS39" s="355"/>
      <c r="AT39" s="355"/>
      <c r="AU39" s="355"/>
      <c r="AV39" s="355"/>
      <c r="AW39" s="355"/>
      <c r="AX39" s="355"/>
      <c r="AY39" s="355"/>
      <c r="AZ39" s="355"/>
      <c r="BA39" s="355"/>
      <c r="BB39" s="355"/>
      <c r="BC39" s="355"/>
      <c r="BD39" s="355"/>
      <c r="BE39" s="355"/>
      <c r="BF39" s="355"/>
      <c r="BG39" s="355"/>
      <c r="BH39" s="355"/>
      <c r="BI39" s="355"/>
      <c r="BJ39" s="355"/>
      <c r="BK39" s="355"/>
      <c r="BL39" s="332"/>
    </row>
    <row r="40" spans="2:64">
      <c r="B40" s="330"/>
      <c r="C40" s="525" t="s">
        <v>52</v>
      </c>
      <c r="D40" s="525"/>
      <c r="E40" s="525"/>
      <c r="F40" s="47">
        <f>SUM(D32:BK32)+4</f>
        <v>25</v>
      </c>
      <c r="H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355"/>
      <c r="BA40" s="355"/>
      <c r="BB40" s="355"/>
      <c r="BC40" s="355"/>
      <c r="BD40" s="355"/>
      <c r="BE40" s="355"/>
      <c r="BF40" s="355"/>
      <c r="BG40" s="355"/>
      <c r="BH40" s="355"/>
      <c r="BI40" s="355"/>
      <c r="BJ40" s="355"/>
      <c r="BK40" s="355"/>
      <c r="BL40" s="332"/>
    </row>
    <row r="41" spans="2:64">
      <c r="B41" s="330"/>
      <c r="C41" s="525" t="s">
        <v>53</v>
      </c>
      <c r="D41" s="525"/>
      <c r="E41" s="525"/>
      <c r="F41" s="69">
        <v>0.11849999999999999</v>
      </c>
      <c r="H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355"/>
      <c r="AX41" s="355"/>
      <c r="AY41" s="355"/>
      <c r="AZ41" s="355"/>
      <c r="BA41" s="355"/>
      <c r="BB41" s="355"/>
      <c r="BC41" s="355"/>
      <c r="BD41" s="355"/>
      <c r="BE41" s="355"/>
      <c r="BF41" s="355"/>
      <c r="BG41" s="355"/>
      <c r="BH41" s="355"/>
      <c r="BI41" s="355"/>
      <c r="BJ41" s="355"/>
      <c r="BK41" s="355"/>
      <c r="BL41" s="332"/>
    </row>
    <row r="42" spans="2:64">
      <c r="B42" s="330"/>
      <c r="C42" s="525" t="s">
        <v>54</v>
      </c>
      <c r="D42" s="525"/>
      <c r="E42" s="525"/>
      <c r="F42" s="47">
        <f>SUM(D35:BK35)</f>
        <v>37</v>
      </c>
      <c r="H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5"/>
      <c r="AY42" s="355"/>
      <c r="AZ42" s="355"/>
      <c r="BA42" s="355"/>
      <c r="BB42" s="355"/>
      <c r="BC42" s="355"/>
      <c r="BD42" s="355"/>
      <c r="BE42" s="355"/>
      <c r="BF42" s="355"/>
      <c r="BG42" s="355"/>
      <c r="BH42" s="355"/>
      <c r="BI42" s="355"/>
      <c r="BJ42" s="355"/>
      <c r="BK42" s="355"/>
      <c r="BL42" s="332"/>
    </row>
    <row r="43" spans="2:64">
      <c r="B43" s="330"/>
      <c r="C43" s="529" t="s">
        <v>55</v>
      </c>
      <c r="D43" s="530"/>
      <c r="E43" s="531"/>
      <c r="F43" s="92">
        <f>-D28+SUM(D33:BK33)</f>
        <v>10559141.879749663</v>
      </c>
      <c r="G43" s="357"/>
      <c r="H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5"/>
      <c r="AY43" s="355"/>
      <c r="AZ43" s="355"/>
      <c r="BA43" s="355"/>
      <c r="BB43" s="355"/>
      <c r="BC43" s="355"/>
      <c r="BD43" s="355"/>
      <c r="BE43" s="355"/>
      <c r="BF43" s="355"/>
      <c r="BG43" s="355"/>
      <c r="BH43" s="355"/>
      <c r="BI43" s="355"/>
      <c r="BJ43" s="355"/>
      <c r="BK43" s="355"/>
      <c r="BL43" s="332"/>
    </row>
    <row r="44" spans="2:64">
      <c r="B44" s="330"/>
      <c r="C44" s="524" t="s">
        <v>56</v>
      </c>
      <c r="D44" s="524"/>
      <c r="E44" s="524"/>
      <c r="F44" s="48">
        <f>F43/D28</f>
        <v>1.4894046734926716</v>
      </c>
      <c r="H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55"/>
      <c r="AY44" s="355"/>
      <c r="AZ44" s="355"/>
      <c r="BA44" s="355"/>
      <c r="BB44" s="355"/>
      <c r="BC44" s="355"/>
      <c r="BD44" s="355"/>
      <c r="BE44" s="355"/>
      <c r="BF44" s="355"/>
      <c r="BG44" s="355"/>
      <c r="BH44" s="355"/>
      <c r="BI44" s="355"/>
      <c r="BJ44" s="355"/>
      <c r="BK44" s="355"/>
      <c r="BL44" s="332"/>
    </row>
    <row r="45" spans="2:64">
      <c r="B45" s="330"/>
      <c r="C45" s="529" t="s">
        <v>418</v>
      </c>
      <c r="D45" s="530"/>
      <c r="E45" s="531"/>
      <c r="F45" s="479">
        <f>SUM(G29:BK29)/SUM(D28,D15:BK15)</f>
        <v>0.79779309322836223</v>
      </c>
      <c r="H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c r="BA45" s="355"/>
      <c r="BB45" s="355"/>
      <c r="BC45" s="355"/>
      <c r="BD45" s="355"/>
      <c r="BE45" s="355"/>
      <c r="BF45" s="355"/>
      <c r="BG45" s="355"/>
      <c r="BH45" s="355"/>
      <c r="BI45" s="355"/>
      <c r="BJ45" s="355"/>
      <c r="BK45" s="355"/>
      <c r="BL45" s="332"/>
    </row>
    <row r="46" spans="2:64">
      <c r="B46" s="330"/>
      <c r="C46" s="524" t="s">
        <v>57</v>
      </c>
      <c r="D46" s="524"/>
      <c r="E46" s="524"/>
      <c r="F46" s="49">
        <f>IRR(C36:BK36,F41)</f>
        <v>5.2294226448859754E-2</v>
      </c>
      <c r="H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c r="BA46" s="355"/>
      <c r="BB46" s="355"/>
      <c r="BC46" s="355"/>
      <c r="BD46" s="355"/>
      <c r="BE46" s="355"/>
      <c r="BF46" s="355"/>
      <c r="BG46" s="355"/>
      <c r="BH46" s="355"/>
      <c r="BI46" s="355"/>
      <c r="BJ46" s="355"/>
      <c r="BK46" s="355"/>
      <c r="BL46" s="332"/>
    </row>
    <row r="47" spans="2:64" ht="99" customHeight="1">
      <c r="B47" s="330"/>
      <c r="C47" s="353"/>
      <c r="D47" s="353"/>
      <c r="E47" s="358"/>
      <c r="F47" s="358"/>
      <c r="H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c r="AX47" s="355"/>
      <c r="AY47" s="355"/>
      <c r="AZ47" s="355"/>
      <c r="BA47" s="355"/>
      <c r="BB47" s="355"/>
      <c r="BC47" s="355"/>
      <c r="BD47" s="355"/>
      <c r="BE47" s="355"/>
      <c r="BF47" s="355"/>
      <c r="BG47" s="355"/>
      <c r="BH47" s="355"/>
      <c r="BI47" s="355"/>
      <c r="BJ47" s="355"/>
      <c r="BK47" s="355"/>
      <c r="BL47" s="332"/>
    </row>
    <row r="48" spans="2:64" ht="375.75" customHeight="1">
      <c r="B48" s="330"/>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c r="AY48" s="331"/>
      <c r="AZ48" s="331"/>
      <c r="BA48" s="331"/>
      <c r="BB48" s="331"/>
      <c r="BC48" s="331"/>
      <c r="BD48" s="331"/>
      <c r="BE48" s="331"/>
      <c r="BF48" s="331"/>
      <c r="BG48" s="331"/>
      <c r="BH48" s="331"/>
      <c r="BI48" s="331"/>
      <c r="BJ48" s="331"/>
      <c r="BK48" s="331"/>
      <c r="BL48" s="332"/>
    </row>
    <row r="49" spans="2:64" ht="15.75" thickBot="1">
      <c r="B49" s="359"/>
      <c r="C49" s="360"/>
      <c r="D49" s="360"/>
      <c r="E49" s="360"/>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1"/>
    </row>
    <row r="51" spans="2:64" ht="15" customHeight="1">
      <c r="D51" s="362"/>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row>
    <row r="52" spans="2:64" ht="15" customHeight="1">
      <c r="D52" s="362"/>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row>
  </sheetData>
  <mergeCells count="10">
    <mergeCell ref="C46:E46"/>
    <mergeCell ref="C40:E40"/>
    <mergeCell ref="C41:E41"/>
    <mergeCell ref="C42:E42"/>
    <mergeCell ref="B3:BL3"/>
    <mergeCell ref="B4:BL4"/>
    <mergeCell ref="C39:F39"/>
    <mergeCell ref="C43:E43"/>
    <mergeCell ref="C44:E44"/>
    <mergeCell ref="C45:E45"/>
  </mergeCells>
  <conditionalFormatting sqref="D29">
    <cfRule type="cellIs" dxfId="3" priority="4" operator="lessThan">
      <formula>0</formula>
    </cfRule>
  </conditionalFormatting>
  <conditionalFormatting sqref="E29:BK29">
    <cfRule type="cellIs" dxfId="2" priority="3" operator="lessThan">
      <formula>0</formula>
    </cfRule>
  </conditionalFormatting>
  <conditionalFormatting sqref="D30:BK31">
    <cfRule type="cellIs" dxfId="1" priority="2" operator="lessThan">
      <formula>0</formula>
    </cfRule>
  </conditionalFormatting>
  <conditionalFormatting sqref="D34:BK34">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13"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10</vt:i4>
      </vt:variant>
    </vt:vector>
  </HeadingPairs>
  <TitlesOfParts>
    <vt:vector size="24" baseType="lpstr">
      <vt:lpstr>СВОД</vt:lpstr>
      <vt:lpstr>Входящие данные</vt:lpstr>
      <vt:lpstr>Инвестиции на орг-цию бизнеса</vt:lpstr>
      <vt:lpstr>Ежемесячные затраты - средние</vt:lpstr>
      <vt:lpstr>Оплата оборудования</vt:lpstr>
      <vt:lpstr>Этапы запуска проекта</vt:lpstr>
      <vt:lpstr>План по выручке</vt:lpstr>
      <vt:lpstr>Продажи</vt:lpstr>
      <vt:lpstr>Прибыль_окупаемость</vt:lpstr>
      <vt:lpstr>Прайс</vt:lpstr>
      <vt:lpstr>Допущения в финансовой модели</vt:lpstr>
      <vt:lpstr>Глосарй</vt:lpstr>
      <vt:lpstr>Data 2</vt:lpstr>
      <vt:lpstr>Data 1</vt:lpstr>
      <vt:lpstr>'Входящие данные'!Область_печати</vt:lpstr>
      <vt:lpstr>Глосарй!Область_печати</vt:lpstr>
      <vt:lpstr>'Допущения в финансовой модели'!Область_печати</vt:lpstr>
      <vt:lpstr>'Ежемесячные затраты - средние'!Область_печати</vt:lpstr>
      <vt:lpstr>'Инвестиции на орг-цию бизнеса'!Область_печати</vt:lpstr>
      <vt:lpstr>'Оплата оборудования'!Область_печати</vt:lpstr>
      <vt:lpstr>Прайс!Область_печати</vt:lpstr>
      <vt:lpstr>Продажи!Область_печати</vt:lpstr>
      <vt:lpstr>СВОД!Область_печати</vt:lpstr>
      <vt:lpstr>'Этапы запуска проекта'!Область_печати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Франчайзинг 5</dc:creator>
  <cp:lastModifiedBy>Lenovo</cp:lastModifiedBy>
  <cp:lastPrinted>2016-03-01T10:32:49Z</cp:lastPrinted>
  <dcterms:created xsi:type="dcterms:W3CDTF">2015-06-28T20:32:06Z</dcterms:created>
  <dcterms:modified xsi:type="dcterms:W3CDTF">2018-12-14T07:41:24Z</dcterms:modified>
</cp:coreProperties>
</file>