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65" activeTab="11"/>
  </bookViews>
  <sheets>
    <sheet name="1-Ф3" sheetId="1" r:id="rId1"/>
    <sheet name="2-ф2" sheetId="2" r:id="rId2"/>
    <sheet name="3-Баланс" sheetId="3" r:id="rId3"/>
    <sheet name="Исх" sheetId="4" r:id="rId4"/>
    <sheet name="Дох" sheetId="5" state="hidden" r:id="rId5"/>
    <sheet name="Расх перем" sheetId="6" state="hidden" r:id="rId6"/>
    <sheet name="Оборотный капитал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6">#REF!</definedName>
    <definedName name="Ed." localSheetId="8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6">'[7]Свод'!#REF!</definedName>
    <definedName name="RUR" localSheetId="8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6">#REF!</definedName>
    <definedName name="ВалП1" localSheetId="8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6">'[61]объекты обществаКокшетау'!#REF!</definedName>
    <definedName name="всего_долл" localSheetId="8">'[23]объекты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6">#REF!</definedName>
    <definedName name="долл" localSheetId="8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6">#REF!</definedName>
    <definedName name="дсша" localSheetId="8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'Инв'!$3:$3</definedName>
    <definedName name="_xlnm.Print_Titles" localSheetId="9">'кр'!$A:$B</definedName>
    <definedName name="_xlnm.Print_Titles" localSheetId="6">'Оборотный капитал'!$A:$A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6">#REF!</definedName>
    <definedName name="Инт" localSheetId="8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6">'[61]объекты обществаКокшетау'!#REF!</definedName>
    <definedName name="итого_в_долл" localSheetId="8">'[23]объекты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6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6">#REF!</definedName>
    <definedName name="кндс" localSheetId="8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6">#REF!</definedName>
    <definedName name="компресс" localSheetId="8">#REF!</definedName>
    <definedName name="компресс" localSheetId="5">#REF!</definedName>
    <definedName name="компресс" localSheetId="7">#REF!</definedName>
    <definedName name="компресс">#REF!</definedName>
    <definedName name="кр">'[71]2-ф2'!#REF!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">'[71]2-ф2'!#REF!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6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6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6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6">'[61]объекты обществаКокшетау'!#REF!</definedName>
    <definedName name="курс_НБРК" localSheetId="8">'[23]объекты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6">#REF!</definedName>
    <definedName name="Курс1" localSheetId="8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6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6">#REF!</definedName>
    <definedName name="металлоформы" localSheetId="8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'Исх'!$C$20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'1-Ф3'!$A$1:$AG$34</definedName>
    <definedName name="_xlnm.Print_Area" localSheetId="1">'2-ф2'!$A$1:$AG$30</definedName>
    <definedName name="_xlnm.Print_Area" localSheetId="2">'3-Баланс'!$A$1:$AG$26</definedName>
    <definedName name="_xlnm.Print_Area" localSheetId="4">'Дох'!$A$1:$D$13</definedName>
    <definedName name="_xlnm.Print_Area" localSheetId="10">'Инв'!$A$1:$Q$18</definedName>
    <definedName name="_xlnm.Print_Area" localSheetId="9">'кр'!$A$1:$EO$13</definedName>
    <definedName name="_xlnm.Print_Area" localSheetId="6">'Оборотный капитал'!$A$1:$AG$26</definedName>
    <definedName name="_xlnm.Print_Area" localSheetId="12">'Осн.пок-ли'!$A$1:$H$60</definedName>
    <definedName name="_xlnm.Print_Area" localSheetId="8">'Пост'!$A$1:$R$31</definedName>
    <definedName name="_xlnm.Print_Area" localSheetId="7">'ФОТ'!$A$1:$K$25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6">'Оборотный капитал'!#REF!</definedName>
    <definedName name="обм" localSheetId="8">'2-ф2'!#REF!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6">#REF!</definedName>
    <definedName name="оборудование_ЖД" localSheetId="8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6">#REF!</definedName>
    <definedName name="подстанция" localSheetId="8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6">#REF!</definedName>
    <definedName name="рбу" localSheetId="8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6">#REF!</definedName>
    <definedName name="руб" localSheetId="8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6">'Оборотный капитал'!#REF!</definedName>
    <definedName name="себ" localSheetId="8">'2-ф2'!#REF!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6">#REF!</definedName>
    <definedName name="склад_продукции" localSheetId="8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6">#REF!</definedName>
    <definedName name="склад_цем" localSheetId="8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6">#REF!</definedName>
    <definedName name="спецодежда" localSheetId="8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6">#REF!</definedName>
    <definedName name="тг" localSheetId="8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6">#REF!</definedName>
    <definedName name="ТовРеал1" localSheetId="8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6">'[9]Дох'!#REF!</definedName>
    <definedName name="Цена_бобов" localSheetId="8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6">#REF!</definedName>
    <definedName name="цех_пби" localSheetId="8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<sst xmlns="http://schemas.openxmlformats.org/spreadsheetml/2006/main" count="551" uniqueCount="336">
  <si>
    <t>Итого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</si>
  <si>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</si>
  <si>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</si>
  <si>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</si>
  <si>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</si>
  <si>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</si>
  <si>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</si>
  <si>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</si>
  <si>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</si>
  <si>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</si>
  <si>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</si>
  <si>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</si>
  <si>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</si>
  <si>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</si>
  <si>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</si>
  <si>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</si>
  <si>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</si>
  <si>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</si>
  <si>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</si>
  <si>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>Результат инвестиционной деятельности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</si>
  <si>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</si>
  <si>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</si>
  <si>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</si>
  <si>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</si>
  <si>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</si>
  <si>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</si>
  <si>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</si>
  <si>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</si>
  <si>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</si>
  <si>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</si>
  <si>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</si>
  <si>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</si>
  <si>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</si>
  <si>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</si>
  <si>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</si>
  <si>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</si>
  <si>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</si>
  <si>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</si>
  <si>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</si>
  <si>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</si>
  <si>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</si>
  <si>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</si>
  <si>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</si>
  <si>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</si>
  <si>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</si>
  <si>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</si>
  <si>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</si>
  <si>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</si>
  <si>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</si>
  <si>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</si>
  <si>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</si>
  <si>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</si>
  <si>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</si>
  <si>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</si>
  <si>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</si>
  <si>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</si>
  <si>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</si>
  <si>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</si>
  <si>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</si>
  <si>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</si>
  <si>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</si>
  <si>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</si>
  <si>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</si>
  <si>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</si>
  <si>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</si>
  <si>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</si>
  <si>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</si>
  <si>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</si>
  <si>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</si>
  <si>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</si>
  <si>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</si>
  <si>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</si>
  <si>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</si>
  <si>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</si>
  <si>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</si>
  <si>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</si>
  <si>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</si>
  <si>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</si>
  <si>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</si>
  <si>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</si>
  <si>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</si>
  <si>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</si>
  <si>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</si>
  <si>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</si>
  <si>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</si>
  <si>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</si>
  <si>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</si>
  <si>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</si>
  <si>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</si>
  <si>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</si>
  <si>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</si>
  <si>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</si>
  <si>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</si>
  <si>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</si>
  <si>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</si>
  <si>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</si>
  <si>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</si>
  <si>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</si>
  <si>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</si>
  <si>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</si>
  <si>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</si>
  <si>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</si>
  <si>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</si>
  <si>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</si>
  <si>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</si>
  <si>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Отчет о доходах и расходах</t>
  </si>
  <si>
    <t>год</t>
  </si>
  <si>
    <t>Доход от реализации услуг</t>
  </si>
  <si>
    <t>МЗП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</si>
  <si>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</si>
  <si>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</si>
  <si>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</si>
  <si>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</si>
  <si>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</si>
  <si>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</si>
  <si>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</si>
  <si>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</si>
  <si>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</si>
  <si>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</si>
  <si>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</si>
  <si>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</si>
  <si>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</si>
  <si>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</si>
  <si>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</si>
  <si>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</si>
  <si>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</si>
  <si>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</si>
  <si>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</si>
  <si>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</si>
  <si>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</si>
  <si>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</si>
  <si>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</si>
  <si>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</si>
  <si>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</si>
  <si>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</si>
  <si>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</si>
  <si>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</si>
  <si>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</si>
  <si>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</si>
  <si>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</si>
  <si>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</si>
  <si>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</si>
  <si>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</si>
  <si>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</si>
  <si>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</si>
  <si>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</si>
  <si>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</si>
  <si>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</si>
  <si>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</si>
  <si>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</si>
  <si>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</si>
  <si>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</si>
  <si>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</si>
  <si>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</si>
  <si>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</si>
  <si>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</si>
  <si>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</si>
  <si>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</si>
  <si>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</si>
  <si>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</si>
  <si>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</si>
  <si>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</si>
  <si>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</si>
  <si>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</si>
  <si>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</si>
  <si>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</si>
  <si>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</si>
  <si>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Внутренняя норма доходности (IRR)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</si>
  <si>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</si>
  <si>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</si>
  <si>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</si>
  <si>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</si>
  <si>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Наименование</t>
  </si>
  <si>
    <t>Налоги и обязательные платежи от ФОТ</t>
  </si>
  <si>
    <t>Вид налога</t>
  </si>
  <si>
    <t>Сумма, тыс.тг.</t>
  </si>
  <si>
    <t>Техника</t>
  </si>
  <si>
    <t>ед.изм.</t>
  </si>
  <si>
    <t>цена, тг.</t>
  </si>
  <si>
    <t>Норма расхода</t>
  </si>
  <si>
    <t>Переменные расходы</t>
  </si>
  <si>
    <t>Остаток денежных средств на начало периода</t>
  </si>
  <si>
    <t>Наименование материала</t>
  </si>
  <si>
    <t>Сумма на 1 изделие, тг.</t>
  </si>
  <si>
    <t>Примечание</t>
  </si>
  <si>
    <t>шт</t>
  </si>
  <si>
    <t>Доля собственного участия</t>
  </si>
  <si>
    <t>Профиль 20*40</t>
  </si>
  <si>
    <t>м</t>
  </si>
  <si>
    <t>п.м.</t>
  </si>
  <si>
    <t>Лист 2 mm</t>
  </si>
  <si>
    <t>лист</t>
  </si>
  <si>
    <t>Уголок 45</t>
  </si>
  <si>
    <t>Шарниры</t>
  </si>
  <si>
    <t>пара</t>
  </si>
  <si>
    <t>Замок</t>
  </si>
  <si>
    <t>Ручка</t>
  </si>
  <si>
    <t>Глазок</t>
  </si>
  <si>
    <t>Покраска (полимерное покрытие)</t>
  </si>
  <si>
    <t>Уплотнительный материал</t>
  </si>
  <si>
    <t>Ламинированный MDF (внутр.сторона)</t>
  </si>
  <si>
    <t>Уплотнительная резинка</t>
  </si>
  <si>
    <t>Сверло d 4,2</t>
  </si>
  <si>
    <t>Клепки d 4,0</t>
  </si>
  <si>
    <t>Электроды</t>
  </si>
  <si>
    <t>Профиль 30*30</t>
  </si>
  <si>
    <t>Прут квадратный 12*12</t>
  </si>
  <si>
    <t>Пики</t>
  </si>
  <si>
    <t>Узор</t>
  </si>
  <si>
    <t>Сверло d 14</t>
  </si>
  <si>
    <t>Покраска (неполимерное покрытие)</t>
  </si>
  <si>
    <t>ед.</t>
  </si>
  <si>
    <t>Цена готового изделия</t>
  </si>
  <si>
    <t>Доля материалов в цене изделия</t>
  </si>
  <si>
    <t>В среднем</t>
  </si>
  <si>
    <t>Материал (оборотный капитал)</t>
  </si>
  <si>
    <t>Прочие ОС</t>
  </si>
  <si>
    <t>Собственные средства</t>
  </si>
  <si>
    <t>КПН 20%</t>
  </si>
  <si>
    <t>Налоги ФОТ</t>
  </si>
  <si>
    <t>Экономия</t>
  </si>
  <si>
    <t>Ед.изм.</t>
  </si>
  <si>
    <t>НК РК</t>
  </si>
  <si>
    <t>Структура финансирования</t>
  </si>
  <si>
    <t>ИПН</t>
  </si>
  <si>
    <t>Расходы</t>
  </si>
  <si>
    <t>Страхование залога</t>
  </si>
  <si>
    <t>Прочие налоги и сборы</t>
  </si>
  <si>
    <t>Постоянные расходы в год</t>
  </si>
  <si>
    <t>Прибыль до налогообложения</t>
  </si>
  <si>
    <t>Свод</t>
  </si>
  <si>
    <t>Транш 1</t>
  </si>
  <si>
    <t>Аннуитет</t>
  </si>
  <si>
    <t>Транш 2</t>
  </si>
  <si>
    <t>Транш 3</t>
  </si>
  <si>
    <t>Основные параметры проекта</t>
  </si>
  <si>
    <t>Индекс окупаемости инвестиций (PI)</t>
  </si>
  <si>
    <t>Необходимые средства</t>
  </si>
  <si>
    <t>Источник финансирования</t>
  </si>
  <si>
    <t>в месяц</t>
  </si>
  <si>
    <t>Финансовые показатели</t>
  </si>
  <si>
    <t>Выручка от реализации</t>
  </si>
  <si>
    <t>Чистая прибыль</t>
  </si>
  <si>
    <t>Чистая рентабельность</t>
  </si>
  <si>
    <t>Чистый денежный поток к распределению</t>
  </si>
  <si>
    <t>Мероприятие</t>
  </si>
  <si>
    <t>Разработка бизнес-плана</t>
  </si>
  <si>
    <t>Первоначальные инвестиции</t>
  </si>
  <si>
    <t>ед. изм.</t>
  </si>
  <si>
    <t>Расчет доходов</t>
  </si>
  <si>
    <t>Основной доход</t>
  </si>
  <si>
    <t>комиссия за перевод, обналичивание</t>
  </si>
  <si>
    <t>Объемы</t>
  </si>
  <si>
    <t>Найм персонала</t>
  </si>
  <si>
    <t>Аренда помещения</t>
  </si>
  <si>
    <t>Цена, тг.</t>
  </si>
  <si>
    <t>Себестоимость реализ.продукции</t>
  </si>
  <si>
    <t>Приобретение ОС</t>
  </si>
  <si>
    <t>инфляция</t>
  </si>
  <si>
    <t>Кол-во, кг</t>
  </si>
  <si>
    <t>от прибыли</t>
  </si>
  <si>
    <t>Корпоративный подоходный налог</t>
  </si>
  <si>
    <t>Вознаграждение по выдаваемым кредитам</t>
  </si>
  <si>
    <t>Разовая комиссия за выдачу займа</t>
  </si>
  <si>
    <t>% в месяц</t>
  </si>
  <si>
    <t>Доходы</t>
  </si>
  <si>
    <t>Размер заемных средств</t>
  </si>
  <si>
    <t xml:space="preserve">Итого остаток </t>
  </si>
  <si>
    <t>Итого доход</t>
  </si>
  <si>
    <t>Директор</t>
  </si>
  <si>
    <t>Услуги связи, интернет</t>
  </si>
  <si>
    <t>Канц.товары</t>
  </si>
  <si>
    <t>Сигнализация</t>
  </si>
  <si>
    <t>интернет, газеты, вывески</t>
  </si>
  <si>
    <t>Доходы по финансированию</t>
  </si>
  <si>
    <t>Выдача кредитов</t>
  </si>
  <si>
    <t>Выдача кредитов за счет дохода</t>
  </si>
  <si>
    <t>Выдача кредитов за счет дохода с нараст.итогом</t>
  </si>
  <si>
    <t>Общий доход</t>
  </si>
  <si>
    <t>Показатель, тыс.тг.</t>
  </si>
  <si>
    <t>Займы выданные (балансовая величина)</t>
  </si>
  <si>
    <t>Рентабельность</t>
  </si>
  <si>
    <t>Величина налоговых поступлений за 5 лет</t>
  </si>
  <si>
    <t xml:space="preserve">Планируемая программа выдачи займов по годам </t>
  </si>
  <si>
    <t>Размер уставного капитала</t>
  </si>
  <si>
    <t>Доля вновь выдаваемых займов</t>
  </si>
  <si>
    <t>от общей суммы займов</t>
  </si>
  <si>
    <t>Ставка по привлекаемым займам</t>
  </si>
  <si>
    <t xml:space="preserve">Вознаграждение по займам </t>
  </si>
  <si>
    <t>в т.ч. за счет прибыли</t>
  </si>
  <si>
    <t>Величина ссудного портфеля</t>
  </si>
  <si>
    <t>прирост</t>
  </si>
  <si>
    <t>Ремонт помещения</t>
  </si>
  <si>
    <t>Наружняя реклама</t>
  </si>
  <si>
    <t>Ремонт</t>
  </si>
  <si>
    <t>Компьютер</t>
  </si>
  <si>
    <t>в т.ч. Прочие ОС</t>
  </si>
  <si>
    <t>http://www.mechta.kz/catalog/111/</t>
  </si>
  <si>
    <t>Решетки на окна</t>
  </si>
  <si>
    <t>Здания и сооружения</t>
  </si>
  <si>
    <t>Бухгалтер</t>
  </si>
  <si>
    <t>Эксперт-оценщик</t>
  </si>
  <si>
    <t>Менеджер по автоломбарду-юрист</t>
  </si>
  <si>
    <t>ПО для ломбарда</t>
  </si>
  <si>
    <t>Сейф</t>
  </si>
  <si>
    <t>Сигнализация, видеонаблюдение</t>
  </si>
  <si>
    <t>Прочие (мебель, реактивы, весы)</t>
  </si>
  <si>
    <t>http://www.mechta.kz/catalog/264/20376/</t>
  </si>
  <si>
    <t>МФУ</t>
  </si>
  <si>
    <t>из расчета 0,3% в день*30 дней</t>
  </si>
  <si>
    <t>расшифровка на листе ФОТ</t>
  </si>
  <si>
    <t>Поступления от инвестора</t>
  </si>
  <si>
    <t>Поступление</t>
  </si>
  <si>
    <t>Выдача займа</t>
  </si>
  <si>
    <t>Организация деятельности ломбарда</t>
  </si>
  <si>
    <t>Показатели эффективности проекта (5 лет)</t>
  </si>
  <si>
    <t>2020 год</t>
  </si>
  <si>
    <t>в т.ч. Оборотный капитал</t>
  </si>
  <si>
    <t>Поиск помещения</t>
  </si>
  <si>
    <t>Проведение ремонта</t>
  </si>
  <si>
    <t>Начало выдачи займов</t>
  </si>
  <si>
    <t>Средства инвестора</t>
  </si>
  <si>
    <t>в т.ч. Оборудование, мебель</t>
  </si>
  <si>
    <t>Оборудование, мебель</t>
  </si>
  <si>
    <t>$ USD</t>
  </si>
  <si>
    <t>2019 год</t>
  </si>
  <si>
    <t>апрель</t>
  </si>
  <si>
    <t>май</t>
  </si>
  <si>
    <t>50 м2, количество помещений - 20 шт</t>
  </si>
  <si>
    <t>Чистая текущая стоимость (NPV), $ USD</t>
  </si>
  <si>
    <t>Сумма, $ USD</t>
  </si>
  <si>
    <t>июнь</t>
  </si>
  <si>
    <t>июль</t>
  </si>
  <si>
    <t>август</t>
  </si>
  <si>
    <t>сент</t>
  </si>
  <si>
    <t>6,0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</si>
</sst>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[Red]\-#,##0\ "/>
    <numFmt numFmtId="181" formatCode="0.0%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#,##0.0_ ;[Red]\-#,##0.0\ "/>
    <numFmt numFmtId="187" formatCode="&quot;\&quot;#,##0;[Red]&quot;\&quot;\-#,##0"/>
    <numFmt numFmtId="188" formatCode="&quot;\&quot;#,##0.00;[Red]&quot;\&quot;\-#,##0.00"/>
    <numFmt numFmtId="189" formatCode="&quot;See Note &quot;\ #"/>
    <numFmt numFmtId="190" formatCode="\$\ #,##0"/>
    <numFmt numFmtId="191" formatCode="_-* #,##0.00[$€]_-;\-* #,##0.00[$€]_-;_-* &quot;-&quot;??[$€]_-;_-@_-"/>
    <numFmt numFmtId="192" formatCode="#,##0.000_ ;[Red]\-#,##0.000\ "/>
    <numFmt numFmtId="193" formatCode="#,##0.000"/>
    <numFmt numFmtId="194" formatCode="0.0000"/>
    <numFmt numFmtId="195" formatCode="0.000"/>
    <numFmt numFmtId="196" formatCode="0.000%"/>
    <numFmt numFmtId="197" formatCode="0.0000%"/>
    <numFmt numFmtId="198" formatCode="0.00000"/>
    <numFmt numFmtId="199" formatCode="0.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[$-FC19]d\ mmmm\ yyyy\ &quot;г.&quot;"/>
    <numFmt numFmtId="204" formatCode="[$-419]mmmm;@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"/>
    <numFmt numFmtId="210" formatCode="0.00000000"/>
    <numFmt numFmtId="211" formatCode="_-* #,##0.0000_р_._-;\-* #,##0.0000_р_._-;_-* &quot;-&quot;??_р_._-;_-@_-"/>
    <numFmt numFmtId="212" formatCode="_-* #,##0\ _€_-;\-* #,##0\ _€_-;_-* &quot;-&quot;??\ _€_-;_-@_-"/>
    <numFmt numFmtId="213" formatCode="_-* #,##0.00\ _€_-;\-* #,##0.00\ _€_-;_-* &quot;-&quot;??\ _€_-;_-@_-"/>
    <numFmt numFmtId="214" formatCode="[$-419]mmmm\ yyyy;@"/>
    <numFmt numFmtId="215" formatCode="0.0000000000"/>
    <numFmt numFmtId="216" formatCode="0.000000000"/>
    <numFmt numFmtId="217" formatCode="#,##0_ ;\-#,##0\ "/>
    <numFmt numFmtId="218" formatCode="#,##0.0_ ;\-#,##0.0\ "/>
    <numFmt numFmtId="219" formatCode="#,##0.0000"/>
    <numFmt numFmtId="220" formatCode="#,##0.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8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8" fillId="0" borderId="0">
      <alignment/>
      <protection/>
    </xf>
    <xf numFmtId="189" fontId="9" fillId="0" borderId="0">
      <alignment horizontal="left"/>
      <protection/>
    </xf>
    <xf numFmtId="190" fontId="10" fillId="0" borderId="0">
      <alignment/>
      <protection/>
    </xf>
    <xf numFmtId="189" fontId="9" fillId="0" borderId="0">
      <alignment horizontal="left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8" fontId="13" fillId="0" borderId="0" applyFont="0" applyFill="0" applyBorder="0" applyAlignment="0" applyProtection="0"/>
    <xf numFmtId="187" fontId="13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6" fillId="0" borderId="0" xfId="72" applyFont="1" applyFill="1" applyBorder="1" applyAlignment="1">
      <alignment/>
      <protection/>
    </xf>
    <xf numFmtId="0" fontId="5" fillId="0" borderId="0" xfId="72" applyFont="1" applyFill="1" applyBorder="1">
      <alignment/>
      <protection/>
    </xf>
    <xf numFmtId="0" fontId="5" fillId="0" borderId="0" xfId="72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7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center"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 horizontal="center"/>
      <protection/>
    </xf>
    <xf numFmtId="0" fontId="18" fillId="0" borderId="0" xfId="72" applyFont="1" applyFill="1" applyBorder="1">
      <alignment/>
      <protection/>
    </xf>
    <xf numFmtId="14" fontId="5" fillId="0" borderId="0" xfId="72" applyNumberFormat="1" applyFont="1" applyFill="1" applyBorder="1">
      <alignment/>
      <protection/>
    </xf>
    <xf numFmtId="0" fontId="16" fillId="0" borderId="10" xfId="72" applyFont="1" applyFill="1" applyBorder="1" applyAlignment="1">
      <alignment horizontal="center" vertical="center" wrapText="1"/>
      <protection/>
    </xf>
    <xf numFmtId="0" fontId="5" fillId="0" borderId="10" xfId="72" applyFont="1" applyFill="1" applyBorder="1" applyAlignment="1">
      <alignment horizontal="center" vertical="center" wrapText="1"/>
      <protection/>
    </xf>
    <xf numFmtId="2" fontId="16" fillId="33" borderId="10" xfId="72" applyNumberFormat="1" applyFont="1" applyFill="1" applyBorder="1" applyAlignment="1">
      <alignment wrapText="1"/>
      <protection/>
    </xf>
    <xf numFmtId="3" fontId="16" fillId="33" borderId="10" xfId="72" applyNumberFormat="1" applyFont="1" applyFill="1" applyBorder="1" applyAlignment="1">
      <alignment horizontal="right" wrapText="1"/>
      <protection/>
    </xf>
    <xf numFmtId="0" fontId="16" fillId="33" borderId="10" xfId="72" applyFont="1" applyFill="1" applyBorder="1" applyAlignment="1">
      <alignment horizontal="left" wrapText="1"/>
      <protection/>
    </xf>
    <xf numFmtId="3" fontId="16" fillId="33" borderId="10" xfId="72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2" applyFont="1" applyFill="1" applyBorder="1" applyAlignment="1">
      <alignment vertical="center"/>
      <protection/>
    </xf>
    <xf numFmtId="0" fontId="16" fillId="34" borderId="12" xfId="72" applyFont="1" applyFill="1" applyBorder="1" applyAlignment="1">
      <alignment vertical="center"/>
      <protection/>
    </xf>
    <xf numFmtId="3" fontId="16" fillId="34" borderId="10" xfId="72" applyNumberFormat="1" applyFont="1" applyFill="1" applyBorder="1" applyAlignment="1">
      <alignment vertical="center"/>
      <protection/>
    </xf>
    <xf numFmtId="3" fontId="16" fillId="34" borderId="10" xfId="72" applyNumberFormat="1" applyFont="1" applyFill="1" applyBorder="1" applyAlignment="1">
      <alignment horizontal="right" vertical="center"/>
      <protection/>
    </xf>
    <xf numFmtId="0" fontId="16" fillId="0" borderId="10" xfId="72" applyFont="1" applyFill="1" applyBorder="1" applyAlignment="1">
      <alignment vertical="center" wrapText="1"/>
      <protection/>
    </xf>
    <xf numFmtId="3" fontId="16" fillId="0" borderId="10" xfId="72" applyNumberFormat="1" applyFont="1" applyFill="1" applyBorder="1" applyAlignment="1">
      <alignment horizontal="right" wrapText="1"/>
      <protection/>
    </xf>
    <xf numFmtId="0" fontId="5" fillId="0" borderId="10" xfId="72" applyFont="1" applyFill="1" applyBorder="1" applyAlignment="1">
      <alignment vertical="center" wrapText="1"/>
      <protection/>
    </xf>
    <xf numFmtId="3" fontId="5" fillId="0" borderId="10" xfId="72" applyNumberFormat="1" applyFont="1" applyFill="1" applyBorder="1" applyAlignment="1">
      <alignment horizontal="right"/>
      <protection/>
    </xf>
    <xf numFmtId="0" fontId="16" fillId="0" borderId="10" xfId="72" applyFont="1" applyFill="1" applyBorder="1" applyAlignment="1">
      <alignment horizontal="left" vertical="center" wrapText="1" indent="1"/>
      <protection/>
    </xf>
    <xf numFmtId="3" fontId="16" fillId="0" borderId="10" xfId="72" applyNumberFormat="1" applyFont="1" applyFill="1" applyBorder="1" applyAlignment="1">
      <alignment vertical="center" wrapText="1"/>
      <protection/>
    </xf>
    <xf numFmtId="3" fontId="5" fillId="0" borderId="10" xfId="72" applyNumberFormat="1" applyFont="1" applyFill="1" applyBorder="1" applyAlignment="1">
      <alignment horizontal="right" wrapText="1"/>
      <protection/>
    </xf>
    <xf numFmtId="0" fontId="16" fillId="33" borderId="10" xfId="72" applyFont="1" applyFill="1" applyBorder="1" applyAlignment="1">
      <alignment vertical="center" wrapText="1"/>
      <protection/>
    </xf>
    <xf numFmtId="3" fontId="16" fillId="34" borderId="10" xfId="72" applyNumberFormat="1" applyFont="1" applyFill="1" applyBorder="1" applyAlignment="1">
      <alignment horizontal="right" wrapText="1"/>
      <protection/>
    </xf>
    <xf numFmtId="3" fontId="16" fillId="0" borderId="10" xfId="72" applyNumberFormat="1" applyFont="1" applyFill="1" applyBorder="1" applyAlignment="1">
      <alignment horizontal="right"/>
      <protection/>
    </xf>
    <xf numFmtId="0" fontId="5" fillId="0" borderId="10" xfId="72" applyFont="1" applyFill="1" applyBorder="1" applyAlignment="1">
      <alignment wrapText="1"/>
      <protection/>
    </xf>
    <xf numFmtId="0" fontId="16" fillId="33" borderId="10" xfId="72" applyFont="1" applyFill="1" applyBorder="1" applyAlignment="1">
      <alignment wrapText="1"/>
      <protection/>
    </xf>
    <xf numFmtId="1" fontId="19" fillId="0" borderId="11" xfId="72" applyNumberFormat="1" applyFont="1" applyFill="1" applyBorder="1" applyAlignment="1">
      <alignment wrapText="1"/>
      <protection/>
    </xf>
    <xf numFmtId="3" fontId="20" fillId="0" borderId="10" xfId="72" applyNumberFormat="1" applyFont="1" applyFill="1" applyBorder="1" applyAlignment="1">
      <alignment horizontal="right" wrapText="1"/>
      <protection/>
    </xf>
    <xf numFmtId="3" fontId="19" fillId="0" borderId="10" xfId="72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right"/>
    </xf>
    <xf numFmtId="180" fontId="5" fillId="0" borderId="11" xfId="66" applyNumberFormat="1" applyFont="1" applyFill="1" applyBorder="1" applyAlignment="1">
      <alignment vertical="center" wrapText="1"/>
      <protection/>
    </xf>
    <xf numFmtId="180" fontId="5" fillId="0" borderId="10" xfId="66" applyNumberFormat="1" applyFont="1" applyFill="1" applyBorder="1" applyAlignment="1">
      <alignment horizontal="right" vertical="center" wrapText="1"/>
      <protection/>
    </xf>
    <xf numFmtId="0" fontId="5" fillId="0" borderId="0" xfId="70" applyFont="1" applyFill="1">
      <alignment/>
      <protection/>
    </xf>
    <xf numFmtId="0" fontId="16" fillId="0" borderId="10" xfId="72" applyFont="1" applyFill="1" applyBorder="1" applyAlignment="1">
      <alignment vertical="center"/>
      <protection/>
    </xf>
    <xf numFmtId="3" fontId="16" fillId="35" borderId="10" xfId="72" applyNumberFormat="1" applyFont="1" applyFill="1" applyBorder="1" applyAlignment="1">
      <alignment horizontal="right" wrapText="1"/>
      <protection/>
    </xf>
    <xf numFmtId="180" fontId="16" fillId="0" borderId="10" xfId="72" applyNumberFormat="1" applyFont="1" applyFill="1" applyBorder="1" applyAlignment="1">
      <alignment horizontal="right" vertical="center"/>
      <protection/>
    </xf>
    <xf numFmtId="180" fontId="16" fillId="0" borderId="10" xfId="72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8" applyFont="1">
      <alignment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3" fontId="5" fillId="0" borderId="0" xfId="68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0" fontId="16" fillId="0" borderId="0" xfId="72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 wrapText="1" shrinkToFit="1"/>
      <protection/>
    </xf>
    <xf numFmtId="0" fontId="16" fillId="34" borderId="13" xfId="72" applyFont="1" applyFill="1" applyBorder="1" applyAlignment="1">
      <alignment horizontal="center" vertical="center" wrapText="1" shrinkToFit="1"/>
      <protection/>
    </xf>
    <xf numFmtId="180" fontId="16" fillId="34" borderId="10" xfId="72" applyNumberFormat="1" applyFont="1" applyFill="1" applyBorder="1" applyAlignment="1">
      <alignment horizontal="center" vertical="center" wrapText="1" shrinkToFit="1"/>
      <protection/>
    </xf>
    <xf numFmtId="0" fontId="16" fillId="34" borderId="14" xfId="72" applyFont="1" applyFill="1" applyBorder="1" applyAlignment="1">
      <alignment horizontal="center" vertical="center" wrapText="1" shrinkToFit="1"/>
      <protection/>
    </xf>
    <xf numFmtId="3" fontId="5" fillId="34" borderId="10" xfId="72" applyNumberFormat="1" applyFont="1" applyFill="1" applyBorder="1" applyAlignment="1">
      <alignment horizontal="center" vertical="center" wrapText="1" shrinkToFit="1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0" fontId="5" fillId="0" borderId="11" xfId="72" applyFont="1" applyFill="1" applyBorder="1" applyAlignment="1">
      <alignment horizontal="left" vertical="top" wrapText="1" indent="3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top"/>
      <protection/>
    </xf>
    <xf numFmtId="0" fontId="5" fillId="0" borderId="11" xfId="72" applyFont="1" applyFill="1" applyBorder="1" applyAlignment="1">
      <alignment horizontal="left" vertical="top" wrapText="1" shrinkToFit="1"/>
      <protection/>
    </xf>
    <xf numFmtId="180" fontId="16" fillId="0" borderId="10" xfId="72" applyNumberFormat="1" applyFont="1" applyFill="1" applyBorder="1" applyAlignment="1">
      <alignment horizontal="center" vertical="top"/>
      <protection/>
    </xf>
    <xf numFmtId="180" fontId="16" fillId="0" borderId="14" xfId="72" applyNumberFormat="1" applyFont="1" applyFill="1" applyBorder="1" applyAlignment="1">
      <alignment horizontal="center" vertical="top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21" fillId="0" borderId="0" xfId="72" applyFont="1" applyFill="1" applyBorder="1" applyAlignment="1">
      <alignment wrapText="1" shrinkToFit="1"/>
      <protection/>
    </xf>
    <xf numFmtId="0" fontId="16" fillId="34" borderId="13" xfId="72" applyFont="1" applyFill="1" applyBorder="1" applyAlignment="1">
      <alignment horizontal="center" vertical="center"/>
      <protection/>
    </xf>
    <xf numFmtId="180" fontId="16" fillId="34" borderId="12" xfId="7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2" applyFont="1" applyFill="1" applyBorder="1" applyAlignment="1">
      <alignment horizontal="right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34" borderId="10" xfId="72" applyFont="1" applyFill="1" applyBorder="1" applyAlignment="1">
      <alignment horizontal="center" vertical="center"/>
      <protection/>
    </xf>
    <xf numFmtId="180" fontId="5" fillId="0" borderId="10" xfId="69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64" fillId="0" borderId="0" xfId="72" applyNumberFormat="1" applyFont="1" applyFill="1" applyBorder="1" applyAlignment="1">
      <alignment wrapText="1" shrinkToFit="1"/>
      <protection/>
    </xf>
    <xf numFmtId="0" fontId="16" fillId="0" borderId="0" xfId="73" applyFont="1" applyFill="1" applyBorder="1" applyAlignment="1">
      <alignment horizontal="left" wrapText="1" shrinkToFit="1"/>
      <protection/>
    </xf>
    <xf numFmtId="0" fontId="5" fillId="0" borderId="0" xfId="73" applyFont="1" applyFill="1" applyBorder="1" applyAlignment="1">
      <alignment wrapText="1" shrinkToFit="1"/>
      <protection/>
    </xf>
    <xf numFmtId="3" fontId="5" fillId="0" borderId="0" xfId="73" applyNumberFormat="1" applyFont="1" applyFill="1" applyBorder="1" applyAlignment="1">
      <alignment wrapText="1" shrinkToFit="1"/>
      <protection/>
    </xf>
    <xf numFmtId="0" fontId="16" fillId="34" borderId="10" xfId="73" applyFont="1" applyFill="1" applyBorder="1" applyAlignment="1">
      <alignment horizontal="center" vertical="center"/>
      <protection/>
    </xf>
    <xf numFmtId="0" fontId="16" fillId="34" borderId="13" xfId="73" applyFont="1" applyFill="1" applyBorder="1" applyAlignment="1">
      <alignment horizontal="center" vertical="center"/>
      <protection/>
    </xf>
    <xf numFmtId="180" fontId="16" fillId="34" borderId="10" xfId="73" applyNumberFormat="1" applyFont="1" applyFill="1" applyBorder="1" applyAlignment="1">
      <alignment horizontal="center" vertical="center"/>
      <protection/>
    </xf>
    <xf numFmtId="0" fontId="16" fillId="34" borderId="14" xfId="73" applyFont="1" applyFill="1" applyBorder="1" applyAlignment="1">
      <alignment horizontal="center" vertical="center"/>
      <protection/>
    </xf>
    <xf numFmtId="3" fontId="5" fillId="34" borderId="10" xfId="73" applyNumberFormat="1" applyFont="1" applyFill="1" applyBorder="1" applyAlignment="1">
      <alignment horizontal="center" vertical="center"/>
      <protection/>
    </xf>
    <xf numFmtId="0" fontId="16" fillId="0" borderId="11" xfId="73" applyFont="1" applyFill="1" applyBorder="1" applyAlignment="1">
      <alignment horizontal="left" vertical="top" wrapText="1" shrinkToFit="1"/>
      <protection/>
    </xf>
    <xf numFmtId="3" fontId="16" fillId="0" borderId="10" xfId="73" applyNumberFormat="1" applyFont="1" applyFill="1" applyBorder="1" applyAlignment="1">
      <alignment horizontal="center" vertical="center"/>
      <protection/>
    </xf>
    <xf numFmtId="3" fontId="16" fillId="0" borderId="14" xfId="73" applyNumberFormat="1" applyFont="1" applyFill="1" applyBorder="1" applyAlignment="1">
      <alignment horizontal="center" vertical="center"/>
      <protection/>
    </xf>
    <xf numFmtId="180" fontId="16" fillId="0" borderId="0" xfId="73" applyNumberFormat="1" applyFont="1" applyFill="1" applyBorder="1" applyAlignment="1" applyProtection="1">
      <alignment wrapText="1" shrinkToFit="1"/>
      <protection locked="0"/>
    </xf>
    <xf numFmtId="0" fontId="16" fillId="0" borderId="0" xfId="73" applyFont="1" applyFill="1" applyBorder="1" applyAlignment="1">
      <alignment wrapText="1" shrinkToFit="1"/>
      <protection/>
    </xf>
    <xf numFmtId="0" fontId="5" fillId="0" borderId="11" xfId="73" applyFont="1" applyFill="1" applyBorder="1" applyAlignment="1">
      <alignment horizontal="left" vertical="top" wrapText="1" indent="1" shrinkToFit="1"/>
      <protection/>
    </xf>
    <xf numFmtId="3" fontId="5" fillId="0" borderId="14" xfId="73" applyNumberFormat="1" applyFont="1" applyFill="1" applyBorder="1" applyAlignment="1">
      <alignment horizontal="center" vertical="center"/>
      <protection/>
    </xf>
    <xf numFmtId="3" fontId="5" fillId="0" borderId="10" xfId="73" applyNumberFormat="1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>
      <alignment horizontal="left" vertical="top" wrapText="1" shrinkToFit="1"/>
      <protection/>
    </xf>
    <xf numFmtId="0" fontId="5" fillId="0" borderId="0" xfId="73" applyFont="1" applyFill="1" applyBorder="1" applyAlignment="1">
      <alignment horizontal="left" vertical="top"/>
      <protection/>
    </xf>
    <xf numFmtId="0" fontId="17" fillId="0" borderId="15" xfId="73" applyFont="1" applyFill="1" applyBorder="1" applyAlignment="1">
      <alignment wrapText="1" shrinkToFit="1"/>
      <protection/>
    </xf>
    <xf numFmtId="0" fontId="5" fillId="0" borderId="15" xfId="73" applyFont="1" applyFill="1" applyBorder="1" applyAlignment="1">
      <alignment wrapText="1" shrinkToFit="1"/>
      <protection/>
    </xf>
    <xf numFmtId="4" fontId="5" fillId="0" borderId="15" xfId="73" applyNumberFormat="1" applyFont="1" applyFill="1" applyBorder="1" applyAlignment="1">
      <alignment wrapText="1" shrinkToFit="1"/>
      <protection/>
    </xf>
    <xf numFmtId="3" fontId="5" fillId="0" borderId="15" xfId="73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85" fontId="5" fillId="0" borderId="0" xfId="0" applyNumberFormat="1" applyFont="1" applyAlignment="1">
      <alignment/>
    </xf>
    <xf numFmtId="217" fontId="5" fillId="0" borderId="0" xfId="0" applyNumberFormat="1" applyFont="1" applyAlignment="1">
      <alignment/>
    </xf>
    <xf numFmtId="181" fontId="5" fillId="0" borderId="10" xfId="78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8" applyFont="1" applyFill="1" applyBorder="1" applyAlignment="1">
      <alignment/>
    </xf>
    <xf numFmtId="202" fontId="5" fillId="0" borderId="10" xfId="86" applyNumberFormat="1" applyFont="1" applyBorder="1" applyAlignment="1">
      <alignment/>
    </xf>
    <xf numFmtId="9" fontId="5" fillId="33" borderId="10" xfId="78" applyFont="1" applyFill="1" applyBorder="1" applyAlignment="1">
      <alignment/>
    </xf>
    <xf numFmtId="0" fontId="5" fillId="0" borderId="0" xfId="67" applyFont="1" applyFill="1" applyProtection="1">
      <alignment/>
      <protection locked="0"/>
    </xf>
    <xf numFmtId="0" fontId="16" fillId="0" borderId="0" xfId="67" applyFont="1" applyFill="1" applyProtection="1">
      <alignment/>
      <protection locked="0"/>
    </xf>
    <xf numFmtId="9" fontId="17" fillId="0" borderId="0" xfId="67" applyNumberFormat="1" applyFont="1" applyFill="1" applyProtection="1">
      <alignment/>
      <protection locked="0"/>
    </xf>
    <xf numFmtId="180" fontId="5" fillId="0" borderId="0" xfId="67" applyNumberFormat="1" applyFont="1" applyFill="1" applyProtection="1">
      <alignment/>
      <protection locked="0"/>
    </xf>
    <xf numFmtId="180" fontId="17" fillId="0" borderId="0" xfId="67" applyNumberFormat="1" applyFont="1" applyFill="1" applyProtection="1">
      <alignment/>
      <protection locked="0"/>
    </xf>
    <xf numFmtId="9" fontId="16" fillId="0" borderId="0" xfId="67" applyNumberFormat="1" applyFont="1" applyFill="1" applyProtection="1">
      <alignment/>
      <protection locked="0"/>
    </xf>
    <xf numFmtId="0" fontId="21" fillId="0" borderId="0" xfId="67" applyFont="1" applyFill="1" applyProtection="1">
      <alignment/>
      <protection locked="0"/>
    </xf>
    <xf numFmtId="0" fontId="5" fillId="0" borderId="10" xfId="67" applyFont="1" applyFill="1" applyBorder="1" applyAlignment="1" applyProtection="1">
      <alignment vertical="top"/>
      <protection locked="0"/>
    </xf>
    <xf numFmtId="0" fontId="5" fillId="0" borderId="10" xfId="71" applyFont="1" applyFill="1" applyBorder="1" applyAlignment="1">
      <alignment horizontal="left" vertical="center" wrapText="1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16" fillId="0" borderId="10" xfId="73" applyFont="1" applyFill="1" applyBorder="1" applyAlignment="1">
      <alignment horizontal="center" vertical="center"/>
      <protection/>
    </xf>
    <xf numFmtId="0" fontId="5" fillId="0" borderId="0" xfId="67" applyFont="1" applyFill="1" applyAlignment="1" applyProtection="1">
      <alignment horizontal="center"/>
      <protection locked="0"/>
    </xf>
    <xf numFmtId="180" fontId="5" fillId="0" borderId="10" xfId="71" applyNumberFormat="1" applyFont="1" applyFill="1" applyBorder="1" applyAlignment="1">
      <alignment horizontal="right" vertical="center"/>
      <protection/>
    </xf>
    <xf numFmtId="180" fontId="5" fillId="0" borderId="10" xfId="67" applyNumberFormat="1" applyFont="1" applyFill="1" applyBorder="1" applyAlignment="1" applyProtection="1">
      <alignment/>
      <protection locked="0"/>
    </xf>
    <xf numFmtId="180" fontId="16" fillId="0" borderId="10" xfId="67" applyNumberFormat="1" applyFont="1" applyFill="1" applyBorder="1" applyAlignment="1" applyProtection="1">
      <alignment/>
      <protection locked="0"/>
    </xf>
    <xf numFmtId="0" fontId="5" fillId="0" borderId="0" xfId="67" applyFont="1" applyFill="1" applyAlignment="1" applyProtection="1">
      <alignment/>
      <protection locked="0"/>
    </xf>
    <xf numFmtId="0" fontId="5" fillId="0" borderId="0" xfId="67" applyFont="1" applyFill="1" applyAlignment="1" applyProtection="1">
      <alignment vertical="center"/>
      <protection locked="0"/>
    </xf>
    <xf numFmtId="0" fontId="5" fillId="36" borderId="10" xfId="71" applyFont="1" applyFill="1" applyBorder="1" applyAlignment="1">
      <alignment horizontal="left" vertical="center" wrapText="1" indent="2"/>
      <protection/>
    </xf>
    <xf numFmtId="180" fontId="5" fillId="39" borderId="10" xfId="67" applyNumberFormat="1" applyFont="1" applyFill="1" applyBorder="1" applyAlignment="1" applyProtection="1">
      <alignment/>
      <protection locked="0"/>
    </xf>
    <xf numFmtId="180" fontId="5" fillId="0" borderId="0" xfId="67" applyNumberFormat="1" applyFont="1" applyFill="1" applyAlignment="1" applyProtection="1">
      <alignment/>
      <protection locked="0"/>
    </xf>
    <xf numFmtId="180" fontId="64" fillId="0" borderId="0" xfId="67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8" fontId="5" fillId="0" borderId="0" xfId="0" applyNumberFormat="1" applyFont="1" applyAlignment="1">
      <alignment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95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8" applyFont="1" applyBorder="1" applyAlignment="1">
      <alignment vertical="center"/>
      <protection/>
    </xf>
    <xf numFmtId="3" fontId="5" fillId="0" borderId="10" xfId="68" applyNumberFormat="1" applyFont="1" applyFill="1" applyBorder="1" applyAlignment="1">
      <alignment horizontal="right" vertical="center"/>
      <protection/>
    </xf>
    <xf numFmtId="0" fontId="16" fillId="0" borderId="10" xfId="68" applyFont="1" applyBorder="1" applyAlignment="1">
      <alignment vertical="center"/>
      <protection/>
    </xf>
    <xf numFmtId="3" fontId="16" fillId="0" borderId="10" xfId="68" applyNumberFormat="1" applyFont="1" applyFill="1" applyBorder="1" applyAlignment="1">
      <alignment horizontal="right" vertical="center"/>
      <protection/>
    </xf>
    <xf numFmtId="0" fontId="16" fillId="2" borderId="11" xfId="69" applyFont="1" applyFill="1" applyBorder="1" applyAlignment="1">
      <alignment vertical="center"/>
      <protection/>
    </xf>
    <xf numFmtId="9" fontId="5" fillId="0" borderId="10" xfId="68" applyNumberFormat="1" applyFont="1" applyFill="1" applyBorder="1" applyAlignment="1">
      <alignment horizontal="right" vertical="center"/>
      <protection/>
    </xf>
    <xf numFmtId="9" fontId="16" fillId="0" borderId="10" xfId="68" applyNumberFormat="1" applyFont="1" applyFill="1" applyBorder="1" applyAlignment="1">
      <alignment horizontal="right" vertical="center"/>
      <protection/>
    </xf>
    <xf numFmtId="185" fontId="5" fillId="0" borderId="10" xfId="68" applyNumberFormat="1" applyFont="1" applyFill="1" applyBorder="1" applyAlignment="1">
      <alignment horizontal="right" vertical="center"/>
      <protection/>
    </xf>
    <xf numFmtId="0" fontId="16" fillId="0" borderId="0" xfId="68" applyFont="1" applyAlignment="1">
      <alignment vertical="center"/>
      <protection/>
    </xf>
    <xf numFmtId="0" fontId="5" fillId="0" borderId="10" xfId="68" applyFont="1" applyBorder="1" applyAlignment="1">
      <alignment vertical="center" wrapText="1"/>
      <protection/>
    </xf>
    <xf numFmtId="0" fontId="16" fillId="2" borderId="10" xfId="0" applyFont="1" applyFill="1" applyBorder="1" applyAlignment="1">
      <alignment horizontal="center"/>
    </xf>
    <xf numFmtId="185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35" borderId="10" xfId="0" applyNumberFormat="1" applyFont="1" applyFill="1" applyBorder="1" applyAlignment="1">
      <alignment horizontal="center"/>
    </xf>
    <xf numFmtId="0" fontId="16" fillId="0" borderId="0" xfId="73" applyFont="1" applyFill="1" applyBorder="1" applyAlignment="1">
      <alignment horizontal="left"/>
      <protection/>
    </xf>
    <xf numFmtId="0" fontId="5" fillId="0" borderId="0" xfId="73" applyFont="1" applyFill="1" applyBorder="1" applyAlignment="1">
      <alignment/>
      <protection/>
    </xf>
    <xf numFmtId="0" fontId="5" fillId="0" borderId="11" xfId="73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4" fontId="5" fillId="0" borderId="0" xfId="73" applyNumberFormat="1" applyFont="1" applyFill="1" applyBorder="1" applyAlignment="1">
      <alignment wrapText="1" shrinkToFit="1"/>
      <protection/>
    </xf>
    <xf numFmtId="181" fontId="5" fillId="33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49" fontId="17" fillId="0" borderId="10" xfId="0" applyNumberFormat="1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193" fontId="16" fillId="0" borderId="1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181" fontId="21" fillId="0" borderId="0" xfId="0" applyNumberFormat="1" applyFont="1" applyAlignment="1">
      <alignment/>
    </xf>
    <xf numFmtId="181" fontId="5" fillId="3" borderId="10" xfId="0" applyNumberFormat="1" applyFont="1" applyFill="1" applyBorder="1" applyAlignment="1">
      <alignment/>
    </xf>
    <xf numFmtId="3" fontId="17" fillId="35" borderId="10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0" fontId="16" fillId="2" borderId="10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right" vertical="center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3" fontId="16" fillId="0" borderId="0" xfId="72" applyNumberFormat="1" applyFont="1" applyFill="1" applyBorder="1" applyAlignment="1">
      <alignment wrapText="1" shrinkToFit="1"/>
      <protection/>
    </xf>
    <xf numFmtId="3" fontId="5" fillId="0" borderId="0" xfId="67" applyNumberFormat="1" applyFont="1" applyFill="1" applyProtection="1">
      <alignment/>
      <protection locked="0"/>
    </xf>
    <xf numFmtId="10" fontId="5" fillId="0" borderId="0" xfId="0" applyNumberFormat="1" applyFont="1" applyFill="1" applyBorder="1" applyAlignment="1">
      <alignment horizontal="center"/>
    </xf>
    <xf numFmtId="3" fontId="16" fillId="2" borderId="10" xfId="69" applyNumberFormat="1" applyFont="1" applyFill="1" applyBorder="1" applyAlignment="1">
      <alignment horizontal="center" vertical="center"/>
      <protection/>
    </xf>
    <xf numFmtId="0" fontId="16" fillId="34" borderId="13" xfId="73" applyFont="1" applyFill="1" applyBorder="1" applyAlignment="1">
      <alignment horizontal="center" vertical="center" wrapText="1" shrinkToFit="1"/>
      <protection/>
    </xf>
    <xf numFmtId="0" fontId="16" fillId="34" borderId="14" xfId="73" applyFont="1" applyFill="1" applyBorder="1" applyAlignment="1">
      <alignment horizontal="center" vertical="center" wrapText="1" shrinkToFit="1"/>
      <protection/>
    </xf>
    <xf numFmtId="1" fontId="5" fillId="34" borderId="14" xfId="73" applyNumberFormat="1" applyFont="1" applyFill="1" applyBorder="1" applyAlignment="1">
      <alignment horizontal="center" vertical="center" wrapText="1" shrinkToFit="1"/>
      <protection/>
    </xf>
    <xf numFmtId="3" fontId="5" fillId="35" borderId="10" xfId="0" applyNumberFormat="1" applyFont="1" applyFill="1" applyBorder="1" applyAlignment="1">
      <alignment/>
    </xf>
    <xf numFmtId="181" fontId="5" fillId="33" borderId="10" xfId="80" applyNumberFormat="1" applyFont="1" applyFill="1" applyBorder="1" applyAlignment="1">
      <alignment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9" fontId="5" fillId="0" borderId="0" xfId="0" applyNumberFormat="1" applyFont="1" applyAlignment="1">
      <alignment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5" fillId="0" borderId="11" xfId="73" applyFont="1" applyFill="1" applyBorder="1" applyAlignment="1">
      <alignment horizontal="left" vertical="top" wrapText="1" shrinkToFit="1"/>
      <protection/>
    </xf>
    <xf numFmtId="0" fontId="21" fillId="0" borderId="0" xfId="67" applyFont="1" applyFill="1" applyBorder="1" applyProtection="1">
      <alignment/>
      <protection locked="0"/>
    </xf>
    <xf numFmtId="3" fontId="5" fillId="0" borderId="0" xfId="67" applyNumberFormat="1" applyFont="1" applyFill="1" applyBorder="1" applyAlignment="1" applyProtection="1">
      <alignment horizontal="center"/>
      <protection locked="0"/>
    </xf>
    <xf numFmtId="181" fontId="17" fillId="0" borderId="10" xfId="67" applyNumberFormat="1" applyFont="1" applyFill="1" applyBorder="1" applyProtection="1">
      <alignment/>
      <protection locked="0"/>
    </xf>
    <xf numFmtId="0" fontId="16" fillId="0" borderId="0" xfId="67" applyFont="1" applyFill="1" applyBorder="1" applyProtection="1">
      <alignment/>
      <protection locked="0"/>
    </xf>
    <xf numFmtId="0" fontId="17" fillId="0" borderId="10" xfId="67" applyFont="1" applyFill="1" applyBorder="1" applyProtection="1">
      <alignment/>
      <protection locked="0"/>
    </xf>
    <xf numFmtId="180" fontId="17" fillId="0" borderId="10" xfId="67" applyNumberFormat="1" applyFont="1" applyFill="1" applyBorder="1" applyAlignment="1" applyProtection="1">
      <alignment/>
      <protection locked="0"/>
    </xf>
    <xf numFmtId="3" fontId="5" fillId="0" borderId="10" xfId="68" applyNumberFormat="1" applyFont="1" applyFill="1" applyBorder="1" applyAlignment="1">
      <alignment horizontal="center" vertical="center"/>
      <protection/>
    </xf>
    <xf numFmtId="9" fontId="5" fillId="0" borderId="11" xfId="68" applyNumberFormat="1" applyFont="1" applyFill="1" applyBorder="1" applyAlignment="1">
      <alignment horizontal="center" vertical="center"/>
      <protection/>
    </xf>
    <xf numFmtId="0" fontId="17" fillId="0" borderId="10" xfId="68" applyFont="1" applyBorder="1" applyAlignment="1">
      <alignment vertical="center"/>
      <protection/>
    </xf>
    <xf numFmtId="3" fontId="17" fillId="0" borderId="10" xfId="68" applyNumberFormat="1" applyFont="1" applyFill="1" applyBorder="1" applyAlignment="1">
      <alignment horizontal="center" vertical="center"/>
      <protection/>
    </xf>
    <xf numFmtId="3" fontId="17" fillId="0" borderId="10" xfId="68" applyNumberFormat="1" applyFont="1" applyFill="1" applyBorder="1" applyAlignment="1">
      <alignment horizontal="right" vertical="center"/>
      <protection/>
    </xf>
    <xf numFmtId="0" fontId="17" fillId="0" borderId="0" xfId="68" applyFont="1">
      <alignment/>
      <protection/>
    </xf>
    <xf numFmtId="0" fontId="17" fillId="0" borderId="10" xfId="68" applyFont="1" applyBorder="1" applyAlignment="1">
      <alignment horizontal="left" vertical="center" indent="20"/>
      <protection/>
    </xf>
    <xf numFmtId="0" fontId="5" fillId="0" borderId="10" xfId="68" applyFont="1" applyBorder="1" applyAlignment="1">
      <alignment horizontal="left" vertical="center" wrapText="1"/>
      <protection/>
    </xf>
    <xf numFmtId="9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68" applyNumberFormat="1" applyFont="1" applyFill="1" applyBorder="1" applyAlignment="1">
      <alignment horizontal="right" vertical="center"/>
      <protection/>
    </xf>
    <xf numFmtId="0" fontId="16" fillId="2" borderId="1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vertical="center"/>
    </xf>
    <xf numFmtId="17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left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73" applyFont="1" applyFill="1" applyBorder="1" applyAlignment="1">
      <alignment/>
      <protection/>
    </xf>
    <xf numFmtId="0" fontId="67" fillId="0" borderId="0" xfId="68" applyFont="1">
      <alignment/>
      <protection/>
    </xf>
    <xf numFmtId="0" fontId="67" fillId="0" borderId="0" xfId="68" applyFont="1" applyAlignment="1">
      <alignment horizontal="right" vertical="center"/>
      <protection/>
    </xf>
    <xf numFmtId="0" fontId="5" fillId="0" borderId="0" xfId="73" applyFont="1" applyFill="1" applyBorder="1" applyAlignment="1">
      <alignment horizontal="center"/>
      <protection/>
    </xf>
    <xf numFmtId="0" fontId="5" fillId="0" borderId="0" xfId="68" applyFont="1" applyFill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80" fontId="5" fillId="0" borderId="0" xfId="72" applyNumberFormat="1" applyFont="1" applyFill="1" applyBorder="1" applyAlignment="1">
      <alignment horizontal="left" vertical="top"/>
      <protection/>
    </xf>
    <xf numFmtId="0" fontId="16" fillId="2" borderId="1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/>
    </xf>
    <xf numFmtId="0" fontId="16" fillId="0" borderId="0" xfId="0" applyFont="1" applyBorder="1" applyAlignment="1">
      <alignment horizontal="left"/>
    </xf>
    <xf numFmtId="3" fontId="16" fillId="2" borderId="10" xfId="69" applyNumberFormat="1" applyFont="1" applyFill="1" applyBorder="1" applyAlignment="1">
      <alignment horizontal="center" vertical="center"/>
      <protection/>
    </xf>
    <xf numFmtId="0" fontId="16" fillId="0" borderId="11" xfId="73" applyFont="1" applyFill="1" applyBorder="1" applyAlignment="1">
      <alignment horizontal="left" vertical="top"/>
      <protection/>
    </xf>
    <xf numFmtId="0" fontId="16" fillId="0" borderId="0" xfId="73" applyFont="1" applyFill="1" applyBorder="1" applyAlignment="1">
      <alignment/>
      <protection/>
    </xf>
    <xf numFmtId="3" fontId="5" fillId="0" borderId="0" xfId="73" applyNumberFormat="1" applyFont="1" applyFill="1" applyBorder="1" applyAlignment="1">
      <alignment/>
      <protection/>
    </xf>
    <xf numFmtId="3" fontId="5" fillId="35" borderId="10" xfId="73" applyNumberFormat="1" applyFont="1" applyFill="1" applyBorder="1" applyAlignment="1">
      <alignment horizontal="center" vertical="center" wrapText="1"/>
      <protection/>
    </xf>
    <xf numFmtId="3" fontId="5" fillId="0" borderId="10" xfId="73" applyNumberFormat="1" applyFont="1" applyFill="1" applyBorder="1" applyAlignment="1">
      <alignment horizontal="center" vertical="center" wrapText="1"/>
      <protection/>
    </xf>
    <xf numFmtId="3" fontId="16" fillId="0" borderId="10" xfId="73" applyNumberFormat="1" applyFont="1" applyFill="1" applyBorder="1" applyAlignment="1">
      <alignment horizontal="center" vertical="center" wrapText="1"/>
      <protection/>
    </xf>
    <xf numFmtId="3" fontId="17" fillId="0" borderId="0" xfId="73" applyNumberFormat="1" applyFont="1" applyFill="1" applyBorder="1" applyAlignment="1">
      <alignment/>
      <protection/>
    </xf>
    <xf numFmtId="3" fontId="5" fillId="0" borderId="15" xfId="73" applyNumberFormat="1" applyFont="1" applyFill="1" applyBorder="1" applyAlignment="1">
      <alignment/>
      <protection/>
    </xf>
    <xf numFmtId="0" fontId="16" fillId="3" borderId="10" xfId="68" applyFont="1" applyFill="1" applyBorder="1" applyAlignment="1">
      <alignment vertical="center"/>
      <protection/>
    </xf>
    <xf numFmtId="3" fontId="16" fillId="3" borderId="10" xfId="68" applyNumberFormat="1" applyFont="1" applyFill="1" applyBorder="1" applyAlignment="1">
      <alignment horizontal="right" vertical="center"/>
      <protection/>
    </xf>
    <xf numFmtId="0" fontId="25" fillId="3" borderId="10" xfId="68" applyFont="1" applyFill="1" applyBorder="1" applyAlignment="1">
      <alignment vertical="center"/>
      <protection/>
    </xf>
    <xf numFmtId="3" fontId="25" fillId="3" borderId="10" xfId="68" applyNumberFormat="1" applyFont="1" applyFill="1" applyBorder="1" applyAlignment="1">
      <alignment horizontal="center" vertical="center"/>
      <protection/>
    </xf>
    <xf numFmtId="3" fontId="25" fillId="3" borderId="10" xfId="68" applyNumberFormat="1" applyFont="1" applyFill="1" applyBorder="1" applyAlignment="1">
      <alignment horizontal="right" vertical="center"/>
      <protection/>
    </xf>
    <xf numFmtId="3" fontId="16" fillId="2" borderId="10" xfId="69" applyNumberFormat="1" applyFont="1" applyFill="1" applyBorder="1" applyAlignment="1">
      <alignment horizontal="center" vertical="center"/>
      <protection/>
    </xf>
    <xf numFmtId="0" fontId="25" fillId="0" borderId="10" xfId="68" applyFont="1" applyBorder="1" applyAlignment="1">
      <alignment vertical="center"/>
      <protection/>
    </xf>
    <xf numFmtId="3" fontId="25" fillId="0" borderId="10" xfId="68" applyNumberFormat="1" applyFont="1" applyFill="1" applyBorder="1" applyAlignment="1">
      <alignment horizontal="right" vertical="center"/>
      <protection/>
    </xf>
    <xf numFmtId="9" fontId="25" fillId="0" borderId="10" xfId="68" applyNumberFormat="1" applyFont="1" applyFill="1" applyBorder="1" applyAlignment="1">
      <alignment horizontal="right" vertical="center"/>
      <protection/>
    </xf>
    <xf numFmtId="0" fontId="25" fillId="0" borderId="0" xfId="68" applyFont="1">
      <alignment/>
      <protection/>
    </xf>
    <xf numFmtId="0" fontId="25" fillId="0" borderId="10" xfId="68" applyFont="1" applyBorder="1" applyAlignment="1">
      <alignment horizontal="left" vertical="center" indent="3"/>
      <protection/>
    </xf>
    <xf numFmtId="3" fontId="5" fillId="3" borderId="10" xfId="68" applyNumberFormat="1" applyFont="1" applyFill="1" applyBorder="1" applyAlignment="1">
      <alignment horizontal="center" vertical="center"/>
      <protection/>
    </xf>
    <xf numFmtId="0" fontId="1" fillId="0" borderId="0" xfId="54" applyAlignment="1" applyProtection="1">
      <alignment/>
      <protection/>
    </xf>
    <xf numFmtId="181" fontId="5" fillId="33" borderId="10" xfId="8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81" fontId="5" fillId="0" borderId="10" xfId="8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73" applyFont="1" applyFill="1" applyBorder="1" applyAlignment="1">
      <alignment horizontal="left" vertical="top"/>
      <protection/>
    </xf>
    <xf numFmtId="0" fontId="16" fillId="0" borderId="10" xfId="73" applyFont="1" applyFill="1" applyBorder="1" applyAlignment="1">
      <alignment horizontal="left" vertical="top"/>
      <protection/>
    </xf>
    <xf numFmtId="3" fontId="16" fillId="2" borderId="10" xfId="69" applyNumberFormat="1" applyFont="1" applyFill="1" applyBorder="1" applyAlignment="1">
      <alignment horizontal="center" vertical="center"/>
      <protection/>
    </xf>
    <xf numFmtId="3" fontId="16" fillId="2" borderId="14" xfId="69" applyNumberFormat="1" applyFont="1" applyFill="1" applyBorder="1" applyAlignment="1">
      <alignment horizontal="center" vertical="center"/>
      <protection/>
    </xf>
    <xf numFmtId="0" fontId="5" fillId="0" borderId="10" xfId="68" applyFont="1" applyBorder="1">
      <alignment/>
      <protection/>
    </xf>
    <xf numFmtId="185" fontId="5" fillId="35" borderId="10" xfId="0" applyNumberFormat="1" applyFont="1" applyFill="1" applyBorder="1" applyAlignment="1">
      <alignment horizontal="right"/>
    </xf>
    <xf numFmtId="0" fontId="16" fillId="0" borderId="13" xfId="72" applyFont="1" applyFill="1" applyBorder="1" applyAlignment="1">
      <alignment horizontal="center" vertical="center" wrapText="1"/>
      <protection/>
    </xf>
    <xf numFmtId="0" fontId="16" fillId="0" borderId="14" xfId="72" applyFont="1" applyFill="1" applyBorder="1" applyAlignment="1">
      <alignment horizontal="center" vertical="center" wrapText="1"/>
      <protection/>
    </xf>
    <xf numFmtId="0" fontId="16" fillId="0" borderId="10" xfId="72" applyFont="1" applyFill="1" applyBorder="1" applyAlignment="1">
      <alignment horizontal="center" vertical="center" wrapText="1"/>
      <protection/>
    </xf>
    <xf numFmtId="180" fontId="16" fillId="34" borderId="16" xfId="72" applyNumberFormat="1" applyFont="1" applyFill="1" applyBorder="1" applyAlignment="1">
      <alignment horizontal="center" vertical="center"/>
      <protection/>
    </xf>
    <xf numFmtId="0" fontId="16" fillId="34" borderId="16" xfId="72" applyFont="1" applyFill="1" applyBorder="1" applyAlignment="1">
      <alignment horizontal="center" vertical="center"/>
      <protection/>
    </xf>
    <xf numFmtId="0" fontId="16" fillId="34" borderId="12" xfId="72" applyFont="1" applyFill="1" applyBorder="1" applyAlignment="1">
      <alignment horizontal="center" vertical="center"/>
      <protection/>
    </xf>
    <xf numFmtId="180" fontId="16" fillId="34" borderId="10" xfId="72" applyNumberFormat="1" applyFont="1" applyFill="1" applyBorder="1" applyAlignment="1">
      <alignment horizontal="center" vertical="center" wrapText="1" shrinkToFit="1"/>
      <protection/>
    </xf>
    <xf numFmtId="0" fontId="16" fillId="34" borderId="17" xfId="72" applyFont="1" applyFill="1" applyBorder="1" applyAlignment="1">
      <alignment horizontal="center" vertical="center" wrapText="1" shrinkToFit="1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3" xfId="72" applyFont="1" applyFill="1" applyBorder="1" applyAlignment="1">
      <alignment horizontal="center" vertical="center" wrapText="1" shrinkToFit="1"/>
      <protection/>
    </xf>
    <xf numFmtId="0" fontId="16" fillId="34" borderId="14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 wrapText="1" shrinkToFit="1"/>
      <protection/>
    </xf>
    <xf numFmtId="0" fontId="16" fillId="34" borderId="13" xfId="72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0" fontId="16" fillId="34" borderId="17" xfId="73" applyFont="1" applyFill="1" applyBorder="1" applyAlignment="1">
      <alignment horizontal="center" vertical="center" wrapText="1" shrinkToFit="1"/>
      <protection/>
    </xf>
    <xf numFmtId="0" fontId="16" fillId="34" borderId="18" xfId="73" applyFont="1" applyFill="1" applyBorder="1" applyAlignment="1">
      <alignment horizontal="center" vertical="center" wrapText="1" shrinkToFit="1"/>
      <protection/>
    </xf>
    <xf numFmtId="0" fontId="16" fillId="34" borderId="10" xfId="73" applyFont="1" applyFill="1" applyBorder="1" applyAlignment="1">
      <alignment horizontal="center" vertical="center"/>
      <protection/>
    </xf>
    <xf numFmtId="180" fontId="16" fillId="34" borderId="10" xfId="73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34" borderId="17" xfId="73" applyFont="1" applyFill="1" applyBorder="1" applyAlignment="1">
      <alignment horizontal="center" vertical="center"/>
      <protection/>
    </xf>
    <xf numFmtId="0" fontId="16" fillId="34" borderId="18" xfId="73" applyFont="1" applyFill="1" applyBorder="1" applyAlignment="1">
      <alignment horizontal="center" vertical="center"/>
      <protection/>
    </xf>
    <xf numFmtId="0" fontId="16" fillId="34" borderId="13" xfId="73" applyFont="1" applyFill="1" applyBorder="1" applyAlignment="1">
      <alignment horizontal="center" vertical="center" wrapText="1"/>
      <protection/>
    </xf>
    <xf numFmtId="0" fontId="16" fillId="34" borderId="14" xfId="7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0" xfId="73" applyFont="1" applyFill="1" applyBorder="1" applyAlignment="1">
      <alignment horizontal="center" vertical="center" wrapText="1"/>
      <protection/>
    </xf>
    <xf numFmtId="180" fontId="16" fillId="34" borderId="11" xfId="73" applyNumberFormat="1" applyFont="1" applyFill="1" applyBorder="1" applyAlignment="1">
      <alignment horizontal="center" vertical="center" wrapText="1" shrinkToFit="1"/>
      <protection/>
    </xf>
    <xf numFmtId="180" fontId="16" fillId="34" borderId="16" xfId="73" applyNumberFormat="1" applyFont="1" applyFill="1" applyBorder="1" applyAlignment="1">
      <alignment horizontal="center" vertical="center" wrapText="1" shrinkToFit="1"/>
      <protection/>
    </xf>
    <xf numFmtId="180" fontId="16" fillId="34" borderId="12" xfId="73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9" applyFont="1" applyFill="1" applyBorder="1" applyAlignment="1">
      <alignment horizontal="left" vertical="center"/>
      <protection/>
    </xf>
    <xf numFmtId="0" fontId="16" fillId="2" borderId="14" xfId="69" applyFont="1" applyFill="1" applyBorder="1" applyAlignment="1">
      <alignment horizontal="left" vertical="center"/>
      <protection/>
    </xf>
    <xf numFmtId="3" fontId="16" fillId="2" borderId="11" xfId="69" applyNumberFormat="1" applyFont="1" applyFill="1" applyBorder="1" applyAlignment="1">
      <alignment horizontal="center" vertical="center"/>
      <protection/>
    </xf>
    <xf numFmtId="3" fontId="16" fillId="2" borderId="16" xfId="69" applyNumberFormat="1" applyFont="1" applyFill="1" applyBorder="1" applyAlignment="1">
      <alignment horizontal="center" vertical="center"/>
      <protection/>
    </xf>
    <xf numFmtId="3" fontId="16" fillId="2" borderId="12" xfId="69" applyNumberFormat="1" applyFont="1" applyFill="1" applyBorder="1" applyAlignment="1">
      <alignment horizontal="center" vertical="center"/>
      <protection/>
    </xf>
  </cellXfs>
  <cellStyles count="81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Euro 2" xfId="35"/>
    <cellStyle name="Flag" xfId="36"/>
    <cellStyle name="Milliers [0]_JULY97" xfId="37"/>
    <cellStyle name="Milliers_JULY97" xfId="38"/>
    <cellStyle name="Monétaire [0]_JULY97" xfId="39"/>
    <cellStyle name="Monétaire_JULY97" xfId="40"/>
    <cellStyle name="Normal_Assump." xfId="41"/>
    <cellStyle name="Option" xfId="42"/>
    <cellStyle name="Price" xfId="43"/>
    <cellStyle name="Unit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 2 2" xfId="65"/>
    <cellStyle name="Обычный_Алтын-ОрдаНовыйБП" xfId="66"/>
    <cellStyle name="Обычный_Алтын-ОрдаНовыйБП 2" xfId="67"/>
    <cellStyle name="Обычный_БП кир завод 3.3  (40 млн. +20 забут реал на 18.07.06 для АФ увел курс)" xfId="68"/>
    <cellStyle name="Обычный_Копия cityrus4-18 лет СМР 52 млн $" xfId="69"/>
    <cellStyle name="Обычный_НовыйМир" xfId="70"/>
    <cellStyle name="Обычный_ПереченьКЗ" xfId="71"/>
    <cellStyle name="Обычный_Формы отчетов" xfId="72"/>
    <cellStyle name="Обычный_Формы отчетов 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Процентный 2 2" xfId="80"/>
    <cellStyle name="Процентный 3" xfId="81"/>
    <cellStyle name="Связанная ячейка" xfId="82"/>
    <cellStyle name="Стиль 1" xfId="83"/>
    <cellStyle name="Текст предупреждения" xfId="84"/>
    <cellStyle name="Тысячи [0]" xfId="85"/>
    <cellStyle name="Comma" xfId="86"/>
    <cellStyle name="Comma [0]" xfId="87"/>
    <cellStyle name="Финансовый 2" xfId="88"/>
    <cellStyle name="Хороший" xfId="89"/>
    <cellStyle name="桁区切り [0.00]_PERSONAL" xfId="90"/>
    <cellStyle name="桁区切り_PERSONAL" xfId="91"/>
    <cellStyle name="標準_PERSONAL" xfId="92"/>
    <cellStyle name="通貨 [0.00]_PERSONAL" xfId="93"/>
    <cellStyle name="通貨_PERSONAL" xfId="9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externalLink" Target="externalLinks/externalLink71.xml" /><Relationship Id="rId8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%20&#1087;&#1086;&#1083;&#1080;&#1075;&#1088;&#1072;&#1092;&#1080;&#1080;%20&#1048;&#1055;%20&#1052;&#1091;&#1075;&#1083;&#1072;&#1077;&#107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1-Ф3"/>
      <sheetName val="2-ф2"/>
      <sheetName val="3-Баланс"/>
      <sheetName val="Исх"/>
      <sheetName val="Дох-расх"/>
      <sheetName val="Расх перем"/>
      <sheetName val="Услуги"/>
      <sheetName val="Пост"/>
      <sheetName val="ФОТ"/>
      <sheetName val="кр"/>
      <sheetName val="Инв"/>
      <sheetName val="безубыт"/>
      <sheetName val="Осн.парам."/>
    </sheetNames>
    <sheetDataSet>
      <sheetData sheetId="3">
        <row r="30">
          <cell r="C30">
            <v>0.14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hta.kz/catalog/111/" TargetMode="External" /><Relationship Id="rId2" Type="http://schemas.openxmlformats.org/officeDocument/2006/relationships/hyperlink" Target="http://www.mechta.kz/catalog/264/20376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41"/>
  <sheetViews>
    <sheetView showGridLines="0" showZeros="0" zoomScalePageLayoutView="0" workbookViewId="0" topLeftCell="A1">
      <pane xSplit="3" ySplit="6" topLeftCell="D19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D51" sqref="AD51"/>
    </sheetView>
  </sheetViews>
  <sheetFormatPr defaultColWidth="9.00390625" defaultRowHeight="12.75" outlineLevelRow="1" outlineLevelCol="1"/>
  <cols>
    <col min="1" max="1" width="37.25390625" style="57" customWidth="1"/>
    <col min="2" max="2" width="10.125" style="58" customWidth="1"/>
    <col min="3" max="3" width="1.875" style="58" customWidth="1"/>
    <col min="4" max="5" width="7.75390625" style="6" hidden="1" customWidth="1" outlineLevel="1"/>
    <col min="6" max="6" width="8.125" style="6" hidden="1" customWidth="1" outlineLevel="1"/>
    <col min="7" max="7" width="8.75390625" style="54" hidden="1" customWidth="1" outlineLevel="1"/>
    <col min="8" max="15" width="8.125" style="6" hidden="1" customWidth="1" outlineLevel="1"/>
    <col min="16" max="16" width="8.25390625" style="7" customWidth="1" collapsed="1"/>
    <col min="17" max="28" width="8.125" style="6" hidden="1" customWidth="1" outlineLevel="1"/>
    <col min="29" max="29" width="10.625" style="7" customWidth="1" collapsed="1"/>
    <col min="30" max="30" width="9.125" style="7" customWidth="1"/>
    <col min="31" max="31" width="10.25390625" style="7" customWidth="1"/>
    <col min="32" max="32" width="10.00390625" style="7" customWidth="1"/>
    <col min="33" max="33" width="10.625" style="7" customWidth="1"/>
    <col min="34" max="34" width="8.75390625" style="8" bestFit="1" customWidth="1"/>
    <col min="35" max="35" width="10.125" style="8" customWidth="1"/>
    <col min="36" max="36" width="9.875" style="8" customWidth="1"/>
    <col min="37" max="37" width="11.375" style="8" customWidth="1"/>
    <col min="38" max="38" width="10.75390625" style="8" customWidth="1"/>
    <col min="39" max="39" width="9.125" style="8" customWidth="1"/>
    <col min="40" max="42" width="0" style="8" hidden="1" customWidth="1"/>
    <col min="43" max="16384" width="9.125" style="8" customWidth="1"/>
  </cols>
  <sheetData>
    <row r="1" spans="1:27" ht="12.75">
      <c r="A1" s="59" t="s">
        <v>158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MAX(K34:AE34)</f>
        <v>1166462.9319999998</v>
      </c>
      <c r="B2" s="10">
        <f>MIN(I34:AE34)</f>
        <v>-266158.1360000002</v>
      </c>
      <c r="C2" s="1"/>
      <c r="D2" s="2"/>
      <c r="E2" s="2"/>
      <c r="F2" s="2"/>
      <c r="G2" s="3"/>
      <c r="H2" s="2"/>
      <c r="I2" s="251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Исх!$C$12</f>
        <v>$ USD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3" ht="15.75" customHeight="1">
      <c r="A5" s="339" t="s">
        <v>2</v>
      </c>
      <c r="B5" s="341" t="s">
        <v>84</v>
      </c>
      <c r="C5" s="15"/>
      <c r="D5" s="341">
        <v>2019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>
        <v>2020</v>
      </c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15">
        <v>2021</v>
      </c>
      <c r="AE5" s="15">
        <f>AD5+1</f>
        <v>2022</v>
      </c>
      <c r="AF5" s="15">
        <f>AE5+1</f>
        <v>2023</v>
      </c>
      <c r="AG5" s="15">
        <f>AF5+1</f>
        <v>2024</v>
      </c>
    </row>
    <row r="6" spans="1:33" ht="12.75">
      <c r="A6" s="340"/>
      <c r="B6" s="341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106</v>
      </c>
      <c r="AE6" s="15" t="s">
        <v>106</v>
      </c>
      <c r="AF6" s="15" t="s">
        <v>106</v>
      </c>
      <c r="AG6" s="15" t="s">
        <v>106</v>
      </c>
    </row>
    <row r="7" spans="1:33" s="21" customFormat="1" ht="25.5">
      <c r="A7" s="17" t="s">
        <v>181</v>
      </c>
      <c r="B7" s="18">
        <f>P7</f>
        <v>0</v>
      </c>
      <c r="C7" s="19"/>
      <c r="D7" s="20">
        <f>C34</f>
        <v>0</v>
      </c>
      <c r="E7" s="20">
        <f aca="true" t="shared" si="2" ref="E7:K7">D34</f>
        <v>0</v>
      </c>
      <c r="F7" s="20">
        <f t="shared" si="2"/>
        <v>0</v>
      </c>
      <c r="G7" s="20">
        <f>F34</f>
        <v>0</v>
      </c>
      <c r="H7" s="20">
        <f t="shared" si="2"/>
        <v>0</v>
      </c>
      <c r="I7" s="20">
        <f>H34</f>
        <v>0</v>
      </c>
      <c r="J7" s="20">
        <f t="shared" si="2"/>
        <v>0</v>
      </c>
      <c r="K7" s="20">
        <f t="shared" si="2"/>
        <v>0</v>
      </c>
      <c r="L7" s="20">
        <f>K34</f>
        <v>0</v>
      </c>
      <c r="M7" s="20">
        <f>L34</f>
        <v>0</v>
      </c>
      <c r="N7" s="20">
        <f>M34</f>
        <v>0</v>
      </c>
      <c r="O7" s="20">
        <f>N34</f>
        <v>0</v>
      </c>
      <c r="P7" s="20">
        <f>D7</f>
        <v>0</v>
      </c>
      <c r="Q7" s="20">
        <f>P34</f>
        <v>0</v>
      </c>
      <c r="R7" s="20">
        <f aca="true" t="shared" si="3" ref="R7:AA7">Q34</f>
        <v>349678.072</v>
      </c>
      <c r="S7" s="20">
        <f t="shared" si="3"/>
        <v>696831.044</v>
      </c>
      <c r="T7" s="20">
        <f t="shared" si="3"/>
        <v>664877.016</v>
      </c>
      <c r="U7" s="20">
        <f t="shared" si="3"/>
        <v>632939.9879999999</v>
      </c>
      <c r="V7" s="20">
        <f t="shared" si="3"/>
        <v>975482.9599999998</v>
      </c>
      <c r="W7" s="20">
        <f t="shared" si="3"/>
        <v>1166462.9319999998</v>
      </c>
      <c r="X7" s="20">
        <f t="shared" si="3"/>
        <v>1129428.9039999999</v>
      </c>
      <c r="Y7" s="20">
        <f t="shared" si="3"/>
        <v>1092929.876</v>
      </c>
      <c r="Z7" s="20">
        <f t="shared" si="3"/>
        <v>1056383.848</v>
      </c>
      <c r="AA7" s="20">
        <f t="shared" si="3"/>
        <v>1019808.82</v>
      </c>
      <c r="AB7" s="20">
        <f>AA34</f>
        <v>983768.7919999999</v>
      </c>
      <c r="AC7" s="20">
        <f>Q7</f>
        <v>0</v>
      </c>
      <c r="AD7" s="20">
        <f>AC34</f>
        <v>-266158.1360000002</v>
      </c>
      <c r="AE7" s="20">
        <f>AD34</f>
        <v>161340.98239999986</v>
      </c>
      <c r="AF7" s="20">
        <f>AE34</f>
        <v>477032.4735999999</v>
      </c>
      <c r="AG7" s="20">
        <f>AF34</f>
        <v>651523.9648</v>
      </c>
    </row>
    <row r="8" spans="1:33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4" s="21" customFormat="1" ht="12.75">
      <c r="A9" s="26" t="s">
        <v>16</v>
      </c>
      <c r="B9" s="27">
        <f aca="true" t="shared" si="4" ref="B9:B14">P9+AC9+AD9+AE9+AF9+AG9</f>
        <v>6173055</v>
      </c>
      <c r="C9" s="27"/>
      <c r="D9" s="27">
        <f aca="true" t="shared" si="5" ref="D9:AG9">SUM(D10:D10)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63</v>
      </c>
      <c r="R9" s="27">
        <f t="shared" si="5"/>
        <v>72.89999999999999</v>
      </c>
      <c r="S9" s="27">
        <f t="shared" si="5"/>
        <v>180.9</v>
      </c>
      <c r="T9" s="27">
        <f t="shared" si="5"/>
        <v>297.9</v>
      </c>
      <c r="U9" s="27">
        <f t="shared" si="5"/>
        <v>477.9</v>
      </c>
      <c r="V9" s="27">
        <f t="shared" si="5"/>
        <v>639.9</v>
      </c>
      <c r="W9" s="27">
        <f t="shared" si="5"/>
        <v>810.9</v>
      </c>
      <c r="X9" s="27">
        <f t="shared" si="5"/>
        <v>945.9</v>
      </c>
      <c r="Y9" s="27">
        <f t="shared" si="5"/>
        <v>1098.8999999999999</v>
      </c>
      <c r="Z9" s="27">
        <f t="shared" si="5"/>
        <v>1269.8999999999999</v>
      </c>
      <c r="AA9" s="27">
        <f t="shared" si="5"/>
        <v>1404.8999999999999</v>
      </c>
      <c r="AB9" s="27">
        <f t="shared" si="5"/>
        <v>121608</v>
      </c>
      <c r="AC9" s="27">
        <f t="shared" si="5"/>
        <v>128871</v>
      </c>
      <c r="AD9" s="27">
        <f t="shared" si="5"/>
        <v>1468296</v>
      </c>
      <c r="AE9" s="27">
        <f t="shared" si="5"/>
        <v>1486296</v>
      </c>
      <c r="AF9" s="27">
        <f t="shared" si="5"/>
        <v>1522296</v>
      </c>
      <c r="AG9" s="27">
        <f t="shared" si="5"/>
        <v>1567296</v>
      </c>
      <c r="AH9" s="305"/>
    </row>
    <row r="10" spans="1:34" ht="12.75">
      <c r="A10" s="28" t="str">
        <f>'2-ф2'!A6</f>
        <v>Доходы по финансированию</v>
      </c>
      <c r="B10" s="27">
        <f t="shared" si="4"/>
        <v>6173055</v>
      </c>
      <c r="C10" s="27"/>
      <c r="D10" s="29">
        <f>'2-ф2'!D6*Исх!$C$21</f>
        <v>0</v>
      </c>
      <c r="E10" s="29">
        <f>'2-ф2'!E6*Исх!$C$21</f>
        <v>0</v>
      </c>
      <c r="F10" s="29">
        <f>'2-ф2'!F6*Исх!$C$21</f>
        <v>0</v>
      </c>
      <c r="G10" s="29">
        <f>'2-ф2'!G6*Исх!$C$21</f>
        <v>0</v>
      </c>
      <c r="H10" s="29">
        <f>'2-ф2'!H6*Исх!$C$21</f>
        <v>0</v>
      </c>
      <c r="I10" s="29">
        <f>'2-ф2'!I6*Исх!$C$21</f>
        <v>0</v>
      </c>
      <c r="J10" s="29">
        <f>'2-ф2'!J6*Исх!$C$21</f>
        <v>0</v>
      </c>
      <c r="K10" s="29">
        <f>'2-ф2'!K6*Исх!$C$21</f>
        <v>0</v>
      </c>
      <c r="L10" s="29">
        <f>'2-ф2'!L6*Исх!$C$21</f>
        <v>0</v>
      </c>
      <c r="M10" s="29">
        <f>'2-ф2'!M6*Исх!$C$21</f>
        <v>0</v>
      </c>
      <c r="N10" s="29">
        <f>'2-ф2'!N6*Исх!$C$21</f>
        <v>0</v>
      </c>
      <c r="O10" s="29">
        <f>'2-ф2'!O6*Исх!$C$21</f>
        <v>0</v>
      </c>
      <c r="P10" s="27">
        <f>SUM(D10:O10)</f>
        <v>0</v>
      </c>
      <c r="Q10" s="29">
        <f>'2-ф2'!Q6*Исх!$C$21</f>
        <v>63</v>
      </c>
      <c r="R10" s="29">
        <f>'2-ф2'!R6*Исх!$C$21</f>
        <v>72.89999999999999</v>
      </c>
      <c r="S10" s="29">
        <f>'2-ф2'!S6*Исх!$C$21</f>
        <v>180.9</v>
      </c>
      <c r="T10" s="29">
        <f>'2-ф2'!T6*Исх!$C$21</f>
        <v>297.9</v>
      </c>
      <c r="U10" s="29">
        <f>'2-ф2'!U6*Исх!$C$21</f>
        <v>477.9</v>
      </c>
      <c r="V10" s="29">
        <f>'2-ф2'!V6*Исх!$C$21</f>
        <v>639.9</v>
      </c>
      <c r="W10" s="29">
        <f>'2-ф2'!W6*Исх!$C$21</f>
        <v>810.9</v>
      </c>
      <c r="X10" s="29">
        <f>'2-ф2'!X6*Исх!$C$21</f>
        <v>945.9</v>
      </c>
      <c r="Y10" s="29">
        <f>'2-ф2'!Y6*Исх!$C$21</f>
        <v>1098.8999999999999</v>
      </c>
      <c r="Z10" s="29">
        <f>'2-ф2'!Z6*Исх!$C$21</f>
        <v>1269.8999999999999</v>
      </c>
      <c r="AA10" s="29">
        <f>'2-ф2'!AA6*Исх!$C$21</f>
        <v>1404.8999999999999</v>
      </c>
      <c r="AB10" s="29">
        <f>'2-ф2'!AB6*Исх!$C$21</f>
        <v>121608</v>
      </c>
      <c r="AC10" s="27">
        <f>SUM(Q10:AB10)</f>
        <v>128871</v>
      </c>
      <c r="AD10" s="29">
        <f>'2-ф2'!AD6*Исх!$C$21</f>
        <v>1468296</v>
      </c>
      <c r="AE10" s="29">
        <f>'2-ф2'!AE6*Исх!$C$21</f>
        <v>1486296</v>
      </c>
      <c r="AF10" s="29">
        <f>'2-ф2'!AF6*Исх!$C$21</f>
        <v>1522296</v>
      </c>
      <c r="AG10" s="29">
        <f>'2-ф2'!AG6*Исх!$C$21</f>
        <v>1567296</v>
      </c>
      <c r="AH10" s="305"/>
    </row>
    <row r="11" spans="1:34" s="21" customFormat="1" ht="12.75">
      <c r="A11" s="30" t="s">
        <v>4</v>
      </c>
      <c r="B11" s="27">
        <f t="shared" si="4"/>
        <v>2681039.5439999998</v>
      </c>
      <c r="C11" s="27"/>
      <c r="D11" s="31">
        <f aca="true" t="shared" si="6" ref="D11:AG11">SUM(D12:D15)</f>
        <v>0</v>
      </c>
      <c r="E11" s="31">
        <f t="shared" si="6"/>
        <v>0</v>
      </c>
      <c r="F11" s="31">
        <f t="shared" si="6"/>
        <v>0</v>
      </c>
      <c r="G11" s="31">
        <f t="shared" si="6"/>
        <v>0</v>
      </c>
      <c r="H11" s="31">
        <f t="shared" si="6"/>
        <v>0</v>
      </c>
      <c r="I11" s="31">
        <f t="shared" si="6"/>
        <v>0</v>
      </c>
      <c r="J11" s="31">
        <f t="shared" si="6"/>
        <v>0</v>
      </c>
      <c r="K11" s="31">
        <f t="shared" si="6"/>
        <v>0</v>
      </c>
      <c r="L11" s="31">
        <f t="shared" si="6"/>
        <v>0</v>
      </c>
      <c r="M11" s="31">
        <f t="shared" si="6"/>
        <v>0</v>
      </c>
      <c r="N11" s="31">
        <f t="shared" si="6"/>
        <v>0</v>
      </c>
      <c r="O11" s="31">
        <f t="shared" si="6"/>
        <v>0</v>
      </c>
      <c r="P11" s="31">
        <f t="shared" si="6"/>
        <v>0</v>
      </c>
      <c r="Q11" s="31">
        <f t="shared" si="6"/>
        <v>24684.928</v>
      </c>
      <c r="R11" s="31">
        <f t="shared" si="6"/>
        <v>27809.928</v>
      </c>
      <c r="S11" s="31">
        <f t="shared" si="6"/>
        <v>30934.928</v>
      </c>
      <c r="T11" s="31">
        <f t="shared" si="6"/>
        <v>30934.928</v>
      </c>
      <c r="U11" s="31">
        <f t="shared" si="6"/>
        <v>30934.928</v>
      </c>
      <c r="V11" s="31">
        <f t="shared" si="6"/>
        <v>34059.928</v>
      </c>
      <c r="W11" s="31">
        <f t="shared" si="6"/>
        <v>35944.928</v>
      </c>
      <c r="X11" s="31">
        <f t="shared" si="6"/>
        <v>35944.928</v>
      </c>
      <c r="Y11" s="31">
        <f t="shared" si="6"/>
        <v>35944.928</v>
      </c>
      <c r="Z11" s="31">
        <f t="shared" si="6"/>
        <v>35944.928</v>
      </c>
      <c r="AA11" s="31">
        <f t="shared" si="6"/>
        <v>35944.928</v>
      </c>
      <c r="AB11" s="31">
        <f t="shared" si="6"/>
        <v>35944.928</v>
      </c>
      <c r="AC11" s="31">
        <f t="shared" si="6"/>
        <v>395029.13600000006</v>
      </c>
      <c r="AD11" s="31">
        <f t="shared" si="6"/>
        <v>565796.8816</v>
      </c>
      <c r="AE11" s="31">
        <f t="shared" si="6"/>
        <v>595604.5088</v>
      </c>
      <c r="AF11" s="31">
        <f t="shared" si="6"/>
        <v>572804.5088</v>
      </c>
      <c r="AG11" s="31">
        <f t="shared" si="6"/>
        <v>551804.5088</v>
      </c>
      <c r="AH11" s="305"/>
    </row>
    <row r="12" spans="1:34" ht="12.75">
      <c r="A12" s="28" t="s">
        <v>143</v>
      </c>
      <c r="B12" s="27">
        <f t="shared" si="4"/>
        <v>1406695.68</v>
      </c>
      <c r="C12" s="27"/>
      <c r="D12" s="29"/>
      <c r="E12" s="29"/>
      <c r="F12" s="29">
        <f>(Пост!$C$14-Пост!$C$6)*Исх!$C$21+Пост!$C$6+Пост!$C$16+Пост!$C$20</f>
        <v>0</v>
      </c>
      <c r="G12" s="29">
        <f>(Пост!$C$14-Пост!$C$6)*Исх!$C$21+Пост!$C$6+Пост!$C$16+Пост!$C$20</f>
        <v>0</v>
      </c>
      <c r="H12" s="29">
        <f>(Пост!$C$14-Пост!$C$6)*Исх!$C$21+Пост!$C$6+Пост!$C$16+Пост!$C$20</f>
        <v>0</v>
      </c>
      <c r="I12" s="29">
        <f>(Пост!$C$14-Пост!$C$6)*Исх!$C$21+Пост!$C$6+Пост!$C$16+Пост!$C$20</f>
        <v>0</v>
      </c>
      <c r="J12" s="29">
        <f>(Пост!$C$14-Пост!$C$6)*Исх!$C$21+Пост!$C$6+Пост!$C$16+Пост!$C$20</f>
        <v>0</v>
      </c>
      <c r="K12" s="29">
        <f>(Пост!$C$14-Пост!$C$6)*Исх!$C$21+Пост!$C$6+Пост!$C$16+Пост!$C$20</f>
        <v>0</v>
      </c>
      <c r="L12" s="29">
        <f>(Пост!$C$14-Пост!$C$6)*Исх!$C$21+Пост!$C$6+Пост!$C$16+Пост!$C$20</f>
        <v>0</v>
      </c>
      <c r="M12" s="29">
        <f>(Пост!$C$14-Пост!$C$6)*Исх!$C$21+Пост!$C$6+Пост!$C$16+Пост!$C$20</f>
        <v>0</v>
      </c>
      <c r="N12" s="29">
        <f>(Пост!$C$14-Пост!$C$6)*Исх!$C$21+Пост!$C$6+Пост!$C$16+Пост!$C$20</f>
        <v>0</v>
      </c>
      <c r="O12" s="29">
        <f>(Пост!$C$14-Пост!$C$6)*Исх!$C$21+Пост!$C$6+Пост!$C$16+Пост!$C$20</f>
        <v>0</v>
      </c>
      <c r="P12" s="27">
        <f>SUM(D12:O12)</f>
        <v>0</v>
      </c>
      <c r="Q12" s="29">
        <f>(Пост!$D$14-Пост!$D$6)*Исх!$C$21+Пост!$D$6+Пост!$D$16+Пост!$D$20</f>
        <v>23444.928</v>
      </c>
      <c r="R12" s="29">
        <f>(Пост!$D$14-Пост!$D$6)*Исх!$C$21+Пост!$D$6+Пост!$D$16+Пост!$D$20</f>
        <v>23444.928</v>
      </c>
      <c r="S12" s="29">
        <f>(Пост!$D$14-Пост!$D$6)*Исх!$C$21+Пост!$D$6+Пост!$D$16+Пост!$D$20</f>
        <v>23444.928</v>
      </c>
      <c r="T12" s="29">
        <f>(Пост!$D$14-Пост!$D$6)*Исх!$C$21+Пост!$D$6+Пост!$D$16+Пост!$D$20</f>
        <v>23444.928</v>
      </c>
      <c r="U12" s="29">
        <f>(Пост!$D$14-Пост!$D$6)*Исх!$C$21+Пост!$D$6+Пост!$D$16+Пост!$D$20</f>
        <v>23444.928</v>
      </c>
      <c r="V12" s="29">
        <f>(Пост!$D$14-Пост!$D$6)*Исх!$C$21+Пост!$D$6+Пост!$D$16+Пост!$D$20</f>
        <v>23444.928</v>
      </c>
      <c r="W12" s="29">
        <f>(Пост!$D$14-Пост!$D$6)*Исх!$C$21+Пост!$D$6+Пост!$D$16+Пост!$D$20</f>
        <v>23444.928</v>
      </c>
      <c r="X12" s="29">
        <f>(Пост!$D$14-Пост!$D$6)*Исх!$C$21+Пост!$D$6+Пост!$D$16+Пост!$D$20</f>
        <v>23444.928</v>
      </c>
      <c r="Y12" s="29">
        <f>(Пост!$D$14-Пост!$D$6)*Исх!$C$21+Пост!$D$6+Пост!$D$16+Пост!$D$20</f>
        <v>23444.928</v>
      </c>
      <c r="Z12" s="29">
        <f>(Пост!$D$14-Пост!$D$6)*Исх!$C$21+Пост!$D$6+Пост!$D$16+Пост!$D$20</f>
        <v>23444.928</v>
      </c>
      <c r="AA12" s="29">
        <f>(Пост!$D$14-Пост!$D$6)*Исх!$C$21+Пост!$D$6+Пост!$D$16+Пост!$D$20</f>
        <v>23444.928</v>
      </c>
      <c r="AB12" s="29">
        <f>(Пост!$D$14-Пост!$D$6)*Исх!$C$21+Пост!$D$6+Пост!$D$16+Пост!$D$20</f>
        <v>23444.928</v>
      </c>
      <c r="AC12" s="27">
        <f>SUM(Q12:AB12)</f>
        <v>281339.13600000006</v>
      </c>
      <c r="AD12" s="29">
        <f>((Пост!E14-Пост!E6)*Исх!$C$21+Пост!E6+Пост!E16+Пост!E20)*12</f>
        <v>281339.136</v>
      </c>
      <c r="AE12" s="29">
        <f>((Пост!F14-Пост!F6)*Исх!$C$21+Пост!F6+Пост!F16+Пост!F20)*12</f>
        <v>281339.136</v>
      </c>
      <c r="AF12" s="29">
        <f>((Пост!G14-Пост!G6)*Исх!$C$21+Пост!G6+Пост!G16+Пост!G20)*12</f>
        <v>281339.136</v>
      </c>
      <c r="AG12" s="29">
        <f>((Пост!H14-Пост!H6)*Исх!$C$21+Пост!H6+Пост!H16+Пост!H20)*12</f>
        <v>281339.136</v>
      </c>
      <c r="AH12" s="305"/>
    </row>
    <row r="13" spans="1:34" ht="12.75">
      <c r="A13" s="28" t="s">
        <v>50</v>
      </c>
      <c r="B13" s="27">
        <f t="shared" si="4"/>
        <v>419940</v>
      </c>
      <c r="C13" s="27"/>
      <c r="D13" s="29">
        <f>кр!C24</f>
        <v>0</v>
      </c>
      <c r="E13" s="29">
        <f>кр!D24</f>
        <v>0</v>
      </c>
      <c r="F13" s="29">
        <f>'Оборотный капитал'!F14</f>
        <v>0</v>
      </c>
      <c r="G13" s="29">
        <f>'Оборотный капитал'!G14</f>
        <v>0</v>
      </c>
      <c r="H13" s="29">
        <f>'Оборотный капитал'!H14</f>
        <v>0</v>
      </c>
      <c r="I13" s="29">
        <f>'Оборотный капитал'!I14</f>
        <v>0</v>
      </c>
      <c r="J13" s="29">
        <f>'Оборотный капитал'!J14</f>
        <v>0</v>
      </c>
      <c r="K13" s="29">
        <f>'Оборотный капитал'!K14</f>
        <v>0</v>
      </c>
      <c r="L13" s="29">
        <f>'Оборотный капитал'!L14</f>
        <v>0</v>
      </c>
      <c r="M13" s="29">
        <f>'Оборотный капитал'!M14</f>
        <v>0</v>
      </c>
      <c r="N13" s="29">
        <f>'Оборотный капитал'!N14</f>
        <v>0</v>
      </c>
      <c r="O13" s="29">
        <f>'Оборотный капитал'!O14</f>
        <v>0</v>
      </c>
      <c r="P13" s="27">
        <f>SUM(D13:O13)</f>
        <v>0</v>
      </c>
      <c r="Q13" s="29">
        <f>кр!P11</f>
        <v>1240</v>
      </c>
      <c r="R13" s="29">
        <f>кр!Q11</f>
        <v>4365</v>
      </c>
      <c r="S13" s="29">
        <f>кр!R11</f>
        <v>7490</v>
      </c>
      <c r="T13" s="29">
        <f>кр!S11</f>
        <v>7490</v>
      </c>
      <c r="U13" s="29">
        <f>кр!T11</f>
        <v>7490</v>
      </c>
      <c r="V13" s="29">
        <f>кр!U11</f>
        <v>10615</v>
      </c>
      <c r="W13" s="29">
        <f>кр!V11</f>
        <v>12500</v>
      </c>
      <c r="X13" s="29">
        <f>кр!W11</f>
        <v>12500</v>
      </c>
      <c r="Y13" s="29">
        <f>кр!X11</f>
        <v>12500</v>
      </c>
      <c r="Z13" s="29">
        <f>кр!Y11</f>
        <v>12500</v>
      </c>
      <c r="AA13" s="29">
        <f>кр!Z11</f>
        <v>12500</v>
      </c>
      <c r="AB13" s="29">
        <f>кр!AA11</f>
        <v>12500</v>
      </c>
      <c r="AC13" s="27">
        <f>SUM(Q13:AB13)</f>
        <v>113690</v>
      </c>
      <c r="AD13" s="32">
        <f>'2-ф2'!AD15</f>
        <v>132812.5</v>
      </c>
      <c r="AE13" s="32">
        <f>'2-ф2'!AE15</f>
        <v>95312.5</v>
      </c>
      <c r="AF13" s="32">
        <f>'2-ф2'!AF15</f>
        <v>57812.5</v>
      </c>
      <c r="AG13" s="32">
        <f>'2-ф2'!AG15</f>
        <v>20312.5</v>
      </c>
      <c r="AH13" s="305"/>
    </row>
    <row r="14" spans="1:34" ht="12.75">
      <c r="A14" s="95" t="s">
        <v>44</v>
      </c>
      <c r="B14" s="27">
        <f t="shared" si="4"/>
        <v>854403.8640000001</v>
      </c>
      <c r="C14" s="27"/>
      <c r="D14" s="29">
        <f>'2-ф2'!D17</f>
        <v>0</v>
      </c>
      <c r="E14" s="29">
        <f>'2-ф2'!E17</f>
        <v>0</v>
      </c>
      <c r="F14" s="29">
        <f>'2-ф2'!F17</f>
        <v>0</v>
      </c>
      <c r="G14" s="29">
        <f>'2-ф2'!G17</f>
        <v>0</v>
      </c>
      <c r="H14" s="29">
        <f>'2-ф2'!H17</f>
        <v>0</v>
      </c>
      <c r="I14" s="29">
        <f>'2-ф2'!I17</f>
        <v>0</v>
      </c>
      <c r="J14" s="29">
        <f>'2-ф2'!J17</f>
        <v>0</v>
      </c>
      <c r="K14" s="29">
        <f>'2-ф2'!K17</f>
        <v>0</v>
      </c>
      <c r="L14" s="29">
        <f>'2-ф2'!L17</f>
        <v>0</v>
      </c>
      <c r="M14" s="29">
        <f>'2-ф2'!M17</f>
        <v>0</v>
      </c>
      <c r="N14" s="29">
        <f>'2-ф2'!N17</f>
        <v>0</v>
      </c>
      <c r="O14" s="29">
        <f>'2-ф2'!O17</f>
        <v>0</v>
      </c>
      <c r="P14" s="27">
        <f>SUM(D14:O14)</f>
        <v>0</v>
      </c>
      <c r="Q14" s="29">
        <f>'2-ф2'!Q17</f>
        <v>0</v>
      </c>
      <c r="R14" s="29">
        <f>'2-ф2'!R17</f>
        <v>0</v>
      </c>
      <c r="S14" s="29">
        <f>'2-ф2'!S17</f>
        <v>0</v>
      </c>
      <c r="T14" s="29">
        <f>'2-ф2'!T17</f>
        <v>0</v>
      </c>
      <c r="U14" s="29">
        <f>'2-ф2'!U17</f>
        <v>0</v>
      </c>
      <c r="V14" s="29">
        <f>'2-ф2'!V17</f>
        <v>0</v>
      </c>
      <c r="W14" s="29">
        <f>'2-ф2'!W17</f>
        <v>0</v>
      </c>
      <c r="X14" s="29">
        <f>'2-ф2'!X17</f>
        <v>0</v>
      </c>
      <c r="Y14" s="29">
        <f>'2-ф2'!Y17</f>
        <v>0</v>
      </c>
      <c r="Z14" s="29">
        <f>'2-ф2'!Z17</f>
        <v>0</v>
      </c>
      <c r="AA14" s="29">
        <f>'2-ф2'!AA17</f>
        <v>0</v>
      </c>
      <c r="AB14" s="29">
        <f>'2-ф2'!AB17</f>
        <v>0</v>
      </c>
      <c r="AC14" s="27">
        <f>SUM(Q14:AB14)</f>
        <v>0</v>
      </c>
      <c r="AD14" s="29">
        <f>'2-ф2'!AD17</f>
        <v>151645.24560000002</v>
      </c>
      <c r="AE14" s="29">
        <f>'2-ф2'!AE17</f>
        <v>218952.8728</v>
      </c>
      <c r="AF14" s="29">
        <f>'2-ф2'!AF17</f>
        <v>233652.8728</v>
      </c>
      <c r="AG14" s="29">
        <f>'2-ф2'!AG17</f>
        <v>250152.8728</v>
      </c>
      <c r="AH14" s="305"/>
    </row>
    <row r="15" spans="1:34" ht="12.75" hidden="1">
      <c r="A15" s="28" t="s">
        <v>30</v>
      </c>
      <c r="B15" s="27">
        <f>P15+AC15+AD15+AE15</f>
        <v>0</v>
      </c>
      <c r="C15" s="27"/>
      <c r="D15" s="29">
        <f>'2-ф2'!D30</f>
        <v>0</v>
      </c>
      <c r="E15" s="29">
        <f>'2-ф2'!E30</f>
        <v>0</v>
      </c>
      <c r="F15" s="29">
        <f>'2-ф2'!F30</f>
        <v>0</v>
      </c>
      <c r="G15" s="29">
        <f>'2-ф2'!G30</f>
        <v>0</v>
      </c>
      <c r="H15" s="29">
        <f>'2-ф2'!H30</f>
        <v>0</v>
      </c>
      <c r="I15" s="29">
        <f>'2-ф2'!I30</f>
        <v>0</v>
      </c>
      <c r="J15" s="29">
        <f>'2-ф2'!J30</f>
        <v>0</v>
      </c>
      <c r="K15" s="29">
        <f>'2-ф2'!K30</f>
        <v>0</v>
      </c>
      <c r="L15" s="29">
        <f>'2-ф2'!L30</f>
        <v>0</v>
      </c>
      <c r="M15" s="29">
        <f>'2-ф2'!M30</f>
        <v>0</v>
      </c>
      <c r="N15" s="29">
        <f>'2-ф2'!N30</f>
        <v>0</v>
      </c>
      <c r="O15" s="29">
        <f>'2-ф2'!O30</f>
        <v>0</v>
      </c>
      <c r="P15" s="27">
        <f>SUM(D15:O15)</f>
        <v>0</v>
      </c>
      <c r="Q15" s="29">
        <f>'2-ф2'!Q30</f>
        <v>0</v>
      </c>
      <c r="R15" s="29">
        <f>'2-ф2'!R30</f>
        <v>0</v>
      </c>
      <c r="S15" s="29">
        <f>'2-ф2'!S30</f>
        <v>0</v>
      </c>
      <c r="T15" s="29">
        <f>'2-ф2'!T30</f>
        <v>0</v>
      </c>
      <c r="U15" s="29">
        <f>'2-ф2'!U30</f>
        <v>0</v>
      </c>
      <c r="V15" s="29">
        <f>'2-ф2'!V30</f>
        <v>0</v>
      </c>
      <c r="W15" s="29">
        <f>'2-ф2'!W30</f>
        <v>0</v>
      </c>
      <c r="X15" s="29">
        <f>'2-ф2'!X30</f>
        <v>0</v>
      </c>
      <c r="Y15" s="29">
        <f>'2-ф2'!Y30</f>
        <v>0</v>
      </c>
      <c r="Z15" s="29">
        <f>'2-ф2'!Z30</f>
        <v>0</v>
      </c>
      <c r="AA15" s="29">
        <f>'2-ф2'!AA30</f>
        <v>0</v>
      </c>
      <c r="AB15" s="29">
        <f>'2-ф2'!AB30</f>
        <v>0</v>
      </c>
      <c r="AC15" s="27">
        <f>SUM(Q15:AB15)</f>
        <v>0</v>
      </c>
      <c r="AD15" s="29">
        <f>'2-ф2'!AD30</f>
        <v>0</v>
      </c>
      <c r="AE15" s="29">
        <f>'2-ф2'!AE30</f>
        <v>0</v>
      </c>
      <c r="AF15" s="29">
        <f>'2-ф2'!AF30</f>
        <v>0</v>
      </c>
      <c r="AG15" s="29">
        <f>'2-ф2'!AG30</f>
        <v>0</v>
      </c>
      <c r="AH15" s="305"/>
    </row>
    <row r="16" spans="1:34" s="21" customFormat="1" ht="25.5">
      <c r="A16" s="33" t="s">
        <v>17</v>
      </c>
      <c r="B16" s="18">
        <f>B9-B11</f>
        <v>3492015.4560000002</v>
      </c>
      <c r="C16" s="18"/>
      <c r="D16" s="18">
        <f aca="true" t="shared" si="7" ref="D16:AG16">D9-D11</f>
        <v>0</v>
      </c>
      <c r="E16" s="18">
        <f t="shared" si="7"/>
        <v>0</v>
      </c>
      <c r="F16" s="18">
        <f t="shared" si="7"/>
        <v>0</v>
      </c>
      <c r="G16" s="18">
        <f t="shared" si="7"/>
        <v>0</v>
      </c>
      <c r="H16" s="18">
        <f t="shared" si="7"/>
        <v>0</v>
      </c>
      <c r="I16" s="18">
        <f t="shared" si="7"/>
        <v>0</v>
      </c>
      <c r="J16" s="18">
        <f t="shared" si="7"/>
        <v>0</v>
      </c>
      <c r="K16" s="18">
        <f t="shared" si="7"/>
        <v>0</v>
      </c>
      <c r="L16" s="18">
        <f t="shared" si="7"/>
        <v>0</v>
      </c>
      <c r="M16" s="18">
        <f t="shared" si="7"/>
        <v>0</v>
      </c>
      <c r="N16" s="18">
        <f t="shared" si="7"/>
        <v>0</v>
      </c>
      <c r="O16" s="18">
        <f t="shared" si="7"/>
        <v>0</v>
      </c>
      <c r="P16" s="18">
        <f t="shared" si="7"/>
        <v>0</v>
      </c>
      <c r="Q16" s="18">
        <f t="shared" si="7"/>
        <v>-24621.928</v>
      </c>
      <c r="R16" s="18">
        <f t="shared" si="7"/>
        <v>-27737.028</v>
      </c>
      <c r="S16" s="18">
        <f t="shared" si="7"/>
        <v>-30754.028</v>
      </c>
      <c r="T16" s="18">
        <f t="shared" si="7"/>
        <v>-30637.028</v>
      </c>
      <c r="U16" s="18">
        <f t="shared" si="7"/>
        <v>-30457.028</v>
      </c>
      <c r="V16" s="18">
        <f t="shared" si="7"/>
        <v>-33420.028</v>
      </c>
      <c r="W16" s="18">
        <f t="shared" si="7"/>
        <v>-35134.028</v>
      </c>
      <c r="X16" s="18">
        <f t="shared" si="7"/>
        <v>-34999.028</v>
      </c>
      <c r="Y16" s="18">
        <f t="shared" si="7"/>
        <v>-34846.028</v>
      </c>
      <c r="Z16" s="18">
        <f t="shared" si="7"/>
        <v>-34675.028</v>
      </c>
      <c r="AA16" s="18">
        <f t="shared" si="7"/>
        <v>-34540.028</v>
      </c>
      <c r="AB16" s="18">
        <f t="shared" si="7"/>
        <v>85663.072</v>
      </c>
      <c r="AC16" s="18">
        <f t="shared" si="7"/>
        <v>-266158.13600000006</v>
      </c>
      <c r="AD16" s="18">
        <f t="shared" si="7"/>
        <v>902499.1184</v>
      </c>
      <c r="AE16" s="18">
        <f t="shared" si="7"/>
        <v>890691.4912</v>
      </c>
      <c r="AF16" s="18">
        <f t="shared" si="7"/>
        <v>949491.4912</v>
      </c>
      <c r="AG16" s="18">
        <f t="shared" si="7"/>
        <v>1015491.4912</v>
      </c>
      <c r="AH16" s="305"/>
    </row>
    <row r="17" spans="1:34" s="21" customFormat="1" ht="12.75">
      <c r="A17" s="22" t="s">
        <v>18</v>
      </c>
      <c r="B17" s="23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34"/>
      <c r="AD17" s="34"/>
      <c r="AE17" s="34"/>
      <c r="AF17" s="34"/>
      <c r="AG17" s="34"/>
      <c r="AH17" s="305"/>
    </row>
    <row r="18" spans="1:34" s="21" customFormat="1" ht="12.75">
      <c r="A18" s="26" t="s">
        <v>5</v>
      </c>
      <c r="B18" s="27">
        <f>P18+AC18+AD18+AE18+AF18+AG18</f>
        <v>0</v>
      </c>
      <c r="C18" s="2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27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27"/>
      <c r="AD18" s="27"/>
      <c r="AE18" s="27"/>
      <c r="AF18" s="27"/>
      <c r="AG18" s="27"/>
      <c r="AH18" s="305"/>
    </row>
    <row r="19" spans="1:34" s="21" customFormat="1" ht="12.75">
      <c r="A19" s="26" t="s">
        <v>6</v>
      </c>
      <c r="B19" s="27">
        <f>P19+AC19+AD19+AE19+AF19+AG19</f>
        <v>148800</v>
      </c>
      <c r="C19" s="27"/>
      <c r="D19" s="27">
        <f aca="true" t="shared" si="8" ref="D19:AC19">SUM(D20:D21)</f>
        <v>0</v>
      </c>
      <c r="E19" s="27">
        <f t="shared" si="8"/>
        <v>0</v>
      </c>
      <c r="F19" s="27">
        <f t="shared" si="8"/>
        <v>0</v>
      </c>
      <c r="G19" s="27">
        <f t="shared" si="8"/>
        <v>0</v>
      </c>
      <c r="H19" s="27">
        <f>SUM(H20:H21)</f>
        <v>0</v>
      </c>
      <c r="I19" s="27">
        <f t="shared" si="8"/>
        <v>0</v>
      </c>
      <c r="J19" s="27">
        <f t="shared" si="8"/>
        <v>0</v>
      </c>
      <c r="K19" s="27">
        <f t="shared" si="8"/>
        <v>0</v>
      </c>
      <c r="L19" s="27">
        <f t="shared" si="8"/>
        <v>0</v>
      </c>
      <c r="M19" s="27">
        <f t="shared" si="8"/>
        <v>0</v>
      </c>
      <c r="N19" s="27">
        <f t="shared" si="8"/>
        <v>0</v>
      </c>
      <c r="O19" s="27">
        <f t="shared" si="8"/>
        <v>148800</v>
      </c>
      <c r="P19" s="27">
        <f t="shared" si="8"/>
        <v>148800</v>
      </c>
      <c r="Q19" s="27">
        <f t="shared" si="8"/>
        <v>0</v>
      </c>
      <c r="R19" s="27">
        <f>SUM(R20:R21)</f>
        <v>0</v>
      </c>
      <c r="S19" s="27">
        <f t="shared" si="8"/>
        <v>0</v>
      </c>
      <c r="T19" s="27">
        <f t="shared" si="8"/>
        <v>0</v>
      </c>
      <c r="U19" s="27">
        <f t="shared" si="8"/>
        <v>0</v>
      </c>
      <c r="V19" s="27">
        <f t="shared" si="8"/>
        <v>0</v>
      </c>
      <c r="W19" s="27">
        <f t="shared" si="8"/>
        <v>0</v>
      </c>
      <c r="X19" s="27">
        <f t="shared" si="8"/>
        <v>0</v>
      </c>
      <c r="Y19" s="27">
        <f t="shared" si="8"/>
        <v>0</v>
      </c>
      <c r="Z19" s="27">
        <f t="shared" si="8"/>
        <v>0</v>
      </c>
      <c r="AA19" s="27">
        <f t="shared" si="8"/>
        <v>0</v>
      </c>
      <c r="AB19" s="27">
        <f t="shared" si="8"/>
        <v>0</v>
      </c>
      <c r="AC19" s="27">
        <f t="shared" si="8"/>
        <v>0</v>
      </c>
      <c r="AD19" s="27">
        <f>SUM(AD20:AD21)</f>
        <v>0</v>
      </c>
      <c r="AE19" s="27">
        <f>SUM(AE20:AE21)</f>
        <v>0</v>
      </c>
      <c r="AF19" s="27">
        <f>SUM(AF20:AF21)</f>
        <v>0</v>
      </c>
      <c r="AG19" s="27">
        <f>SUM(AG20:AG21)</f>
        <v>0</v>
      </c>
      <c r="AH19" s="305"/>
    </row>
    <row r="20" spans="1:34" ht="12.75">
      <c r="A20" s="36" t="s">
        <v>257</v>
      </c>
      <c r="B20" s="27">
        <f>P20+AC20+AD20+AE20+AF20+AG20</f>
        <v>84800</v>
      </c>
      <c r="C20" s="27"/>
      <c r="D20" s="29">
        <f>Инв!E18-Инв!E16</f>
        <v>0</v>
      </c>
      <c r="E20" s="29">
        <f>Инв!F18-Инв!F16</f>
        <v>0</v>
      </c>
      <c r="F20" s="29">
        <f>Инв!G18-Инв!G16</f>
        <v>0</v>
      </c>
      <c r="G20" s="29">
        <f>Инв!H18-Инв!H16</f>
        <v>0</v>
      </c>
      <c r="H20" s="29">
        <f>Инв!I18-Инв!I16</f>
        <v>0</v>
      </c>
      <c r="I20" s="29">
        <f>Инв!J18-Инв!J16</f>
        <v>0</v>
      </c>
      <c r="J20" s="29">
        <f>Инв!K18-Инв!K16</f>
        <v>0</v>
      </c>
      <c r="K20" s="29">
        <f>Инв!L18-Инв!L16</f>
        <v>0</v>
      </c>
      <c r="L20" s="29">
        <f>Инв!M18-Инв!M16</f>
        <v>0</v>
      </c>
      <c r="M20" s="29">
        <f>Инв!N18-Инв!N16</f>
        <v>0</v>
      </c>
      <c r="N20" s="29">
        <f>Инв!O18-Инв!O16</f>
        <v>0</v>
      </c>
      <c r="O20" s="29">
        <f>Инв!P7</f>
        <v>84800</v>
      </c>
      <c r="P20" s="27">
        <f>SUM(D20:O20)</f>
        <v>84800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7">
        <f>SUM(Q20:AB20)</f>
        <v>0</v>
      </c>
      <c r="AD20" s="27"/>
      <c r="AE20" s="27"/>
      <c r="AF20" s="27"/>
      <c r="AG20" s="27"/>
      <c r="AH20" s="305"/>
    </row>
    <row r="21" spans="1:34" ht="12.75">
      <c r="A21" s="36" t="s">
        <v>294</v>
      </c>
      <c r="B21" s="27">
        <f>P21+AC21+AD21+AE21+AF21+AG21</f>
        <v>64000</v>
      </c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f>Инв!P5</f>
        <v>64000</v>
      </c>
      <c r="P21" s="27">
        <f>SUM(D21:O21)</f>
        <v>64000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/>
      <c r="AD21" s="27"/>
      <c r="AE21" s="27"/>
      <c r="AF21" s="27"/>
      <c r="AG21" s="27"/>
      <c r="AH21" s="305"/>
    </row>
    <row r="22" spans="1:34" s="21" customFormat="1" ht="25.5">
      <c r="A22" s="37" t="s">
        <v>19</v>
      </c>
      <c r="B22" s="18">
        <f>B18-B19</f>
        <v>-148800</v>
      </c>
      <c r="C22" s="18"/>
      <c r="D22" s="18">
        <f>D18-D19</f>
        <v>0</v>
      </c>
      <c r="E22" s="18">
        <f aca="true" t="shared" si="9" ref="E22:O22">E18-E19</f>
        <v>0</v>
      </c>
      <c r="F22" s="18">
        <f t="shared" si="9"/>
        <v>0</v>
      </c>
      <c r="G22" s="18">
        <f t="shared" si="9"/>
        <v>0</v>
      </c>
      <c r="H22" s="18">
        <f t="shared" si="9"/>
        <v>0</v>
      </c>
      <c r="I22" s="18">
        <f t="shared" si="9"/>
        <v>0</v>
      </c>
      <c r="J22" s="18">
        <f>J18-J19</f>
        <v>0</v>
      </c>
      <c r="K22" s="18">
        <f t="shared" si="9"/>
        <v>0</v>
      </c>
      <c r="L22" s="18">
        <f t="shared" si="9"/>
        <v>0</v>
      </c>
      <c r="M22" s="18">
        <f t="shared" si="9"/>
        <v>0</v>
      </c>
      <c r="N22" s="18">
        <f t="shared" si="9"/>
        <v>0</v>
      </c>
      <c r="O22" s="18">
        <f t="shared" si="9"/>
        <v>-148800</v>
      </c>
      <c r="P22" s="18">
        <f>SUM(D22:O22)</f>
        <v>-148800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305"/>
    </row>
    <row r="23" spans="1:34" s="41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  <c r="AD23" s="40"/>
      <c r="AE23" s="40"/>
      <c r="AF23" s="40"/>
      <c r="AG23" s="40"/>
      <c r="AH23" s="305"/>
    </row>
    <row r="24" spans="1:34" s="21" customFormat="1" ht="12.75">
      <c r="A24" s="22" t="s">
        <v>20</v>
      </c>
      <c r="B24" s="23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4"/>
      <c r="AD24" s="34"/>
      <c r="AE24" s="34"/>
      <c r="AF24" s="34"/>
      <c r="AG24" s="34"/>
      <c r="AH24" s="305"/>
    </row>
    <row r="25" spans="1:34" s="21" customFormat="1" ht="12.75">
      <c r="A25" s="26" t="s">
        <v>5</v>
      </c>
      <c r="B25" s="27">
        <f aca="true" t="shared" si="10" ref="B25:B31">P25+AC25+AD25+AE25+AF25+AG25</f>
        <v>1500000</v>
      </c>
      <c r="C25" s="27"/>
      <c r="D25" s="27">
        <f>SUM(D26:D27)</f>
        <v>0</v>
      </c>
      <c r="E25" s="27">
        <f aca="true" t="shared" si="11" ref="E25:O25">SUM(E26:E27)</f>
        <v>0</v>
      </c>
      <c r="F25" s="27">
        <f t="shared" si="11"/>
        <v>0</v>
      </c>
      <c r="G25" s="27">
        <f t="shared" si="11"/>
        <v>0</v>
      </c>
      <c r="H25" s="27">
        <f t="shared" si="11"/>
        <v>0</v>
      </c>
      <c r="I25" s="27">
        <f t="shared" si="11"/>
        <v>0</v>
      </c>
      <c r="J25" s="27">
        <f t="shared" si="11"/>
        <v>0</v>
      </c>
      <c r="K25" s="27">
        <f t="shared" si="11"/>
        <v>0</v>
      </c>
      <c r="L25" s="27">
        <f t="shared" si="11"/>
        <v>0</v>
      </c>
      <c r="M25" s="27">
        <f t="shared" si="11"/>
        <v>0</v>
      </c>
      <c r="N25" s="27">
        <f t="shared" si="11"/>
        <v>0</v>
      </c>
      <c r="O25" s="27">
        <f t="shared" si="11"/>
        <v>148800</v>
      </c>
      <c r="P25" s="27">
        <f aca="true" t="shared" si="12" ref="P25:AD25">SUM(P26:P27)</f>
        <v>148800</v>
      </c>
      <c r="Q25" s="27">
        <f t="shared" si="12"/>
        <v>375000</v>
      </c>
      <c r="R25" s="27">
        <f t="shared" si="12"/>
        <v>375000</v>
      </c>
      <c r="S25" s="27">
        <f t="shared" si="12"/>
        <v>0</v>
      </c>
      <c r="T25" s="27">
        <f t="shared" si="12"/>
        <v>0</v>
      </c>
      <c r="U25" s="27">
        <f t="shared" si="12"/>
        <v>375000</v>
      </c>
      <c r="V25" s="27">
        <f t="shared" si="12"/>
        <v>226200</v>
      </c>
      <c r="W25" s="27">
        <f t="shared" si="12"/>
        <v>0</v>
      </c>
      <c r="X25" s="27">
        <f t="shared" si="12"/>
        <v>0</v>
      </c>
      <c r="Y25" s="27">
        <f t="shared" si="12"/>
        <v>0</v>
      </c>
      <c r="Z25" s="27">
        <f t="shared" si="12"/>
        <v>0</v>
      </c>
      <c r="AA25" s="27">
        <f t="shared" si="12"/>
        <v>0</v>
      </c>
      <c r="AB25" s="27">
        <f t="shared" si="12"/>
        <v>0</v>
      </c>
      <c r="AC25" s="27">
        <f t="shared" si="12"/>
        <v>1351200</v>
      </c>
      <c r="AD25" s="27">
        <f t="shared" si="12"/>
        <v>0</v>
      </c>
      <c r="AE25" s="27">
        <f>SUM(AE26:AE27)</f>
        <v>0</v>
      </c>
      <c r="AF25" s="27">
        <f>SUM(AF26:AF27)</f>
        <v>0</v>
      </c>
      <c r="AG25" s="27">
        <f>SUM(AG26:AG27)</f>
        <v>0</v>
      </c>
      <c r="AH25" s="305"/>
    </row>
    <row r="26" spans="1:34" ht="12.75" customHeight="1">
      <c r="A26" s="36" t="s">
        <v>52</v>
      </c>
      <c r="B26" s="27">
        <f t="shared" si="10"/>
        <v>0</v>
      </c>
      <c r="C26" s="27"/>
      <c r="D26" s="29"/>
      <c r="E26" s="29">
        <f>E20</f>
        <v>0</v>
      </c>
      <c r="F26" s="29">
        <f>'Оборотный капитал'!F5</f>
        <v>0</v>
      </c>
      <c r="G26" s="29">
        <f>'Оборотный капитал'!G5</f>
        <v>0</v>
      </c>
      <c r="H26" s="29">
        <f>'Оборотный капитал'!H5</f>
        <v>0</v>
      </c>
      <c r="I26" s="29">
        <f>'Оборотный капитал'!I5</f>
        <v>0</v>
      </c>
      <c r="J26" s="29">
        <f>'Оборотный капитал'!J5</f>
        <v>0</v>
      </c>
      <c r="K26" s="29">
        <f>'Оборотный капитал'!K5</f>
        <v>0</v>
      </c>
      <c r="L26" s="29">
        <f>'Оборотный капитал'!L5</f>
        <v>0</v>
      </c>
      <c r="M26" s="29">
        <f>'Оборотный капитал'!M5</f>
        <v>0</v>
      </c>
      <c r="N26" s="29">
        <f>'Оборотный капитал'!N5</f>
        <v>0</v>
      </c>
      <c r="O26" s="29"/>
      <c r="P26" s="27">
        <f>SUM(D26:O26)</f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7">
        <f>SUM(Q26:AB26)</f>
        <v>0</v>
      </c>
      <c r="AD26" s="27"/>
      <c r="AE26" s="27"/>
      <c r="AF26" s="27"/>
      <c r="AG26" s="27"/>
      <c r="AH26" s="305"/>
    </row>
    <row r="27" spans="1:34" ht="12.75">
      <c r="A27" s="36" t="s">
        <v>311</v>
      </c>
      <c r="B27" s="27">
        <f t="shared" si="10"/>
        <v>1500000</v>
      </c>
      <c r="C27" s="27"/>
      <c r="D27" s="42">
        <f>D20-D26</f>
        <v>0</v>
      </c>
      <c r="E27" s="42"/>
      <c r="F27" s="29">
        <f>'Оборотный капитал'!F6</f>
        <v>0</v>
      </c>
      <c r="G27" s="29">
        <f>'Оборотный капитал'!G6</f>
        <v>0</v>
      </c>
      <c r="H27" s="29">
        <f>'Оборотный капитал'!H6</f>
        <v>0</v>
      </c>
      <c r="I27" s="29">
        <f>'Оборотный капитал'!I6</f>
        <v>0</v>
      </c>
      <c r="J27" s="29">
        <f>'Оборотный капитал'!J6</f>
        <v>0</v>
      </c>
      <c r="K27" s="29">
        <f>'Оборотный капитал'!K6</f>
        <v>0</v>
      </c>
      <c r="L27" s="29">
        <f>'Оборотный капитал'!L6</f>
        <v>0</v>
      </c>
      <c r="M27" s="29">
        <f>'Оборотный капитал'!M6</f>
        <v>0</v>
      </c>
      <c r="N27" s="29">
        <f>'Оборотный капитал'!N6</f>
        <v>0</v>
      </c>
      <c r="O27" s="29">
        <f>O19</f>
        <v>148800</v>
      </c>
      <c r="P27" s="27">
        <f>SUM(D27:O27)</f>
        <v>148800</v>
      </c>
      <c r="Q27" s="42">
        <f>'Оборотный капитал'!Q6</f>
        <v>375000</v>
      </c>
      <c r="R27" s="42">
        <f>'Оборотный капитал'!R6</f>
        <v>375000</v>
      </c>
      <c r="S27" s="42">
        <f>'Оборотный капитал'!S6</f>
        <v>0</v>
      </c>
      <c r="T27" s="42">
        <f>'Оборотный капитал'!T6</f>
        <v>0</v>
      </c>
      <c r="U27" s="42">
        <f>'Оборотный капитал'!U6</f>
        <v>375000</v>
      </c>
      <c r="V27" s="42">
        <f>'Оборотный капитал'!V6</f>
        <v>226200</v>
      </c>
      <c r="W27" s="42">
        <f>'Оборотный капитал'!W6</f>
        <v>0</v>
      </c>
      <c r="X27" s="42">
        <f>'Оборотный капитал'!X6</f>
        <v>0</v>
      </c>
      <c r="Y27" s="42">
        <f>'Оборотный капитал'!Y6</f>
        <v>0</v>
      </c>
      <c r="Z27" s="42">
        <f>'Оборотный капитал'!Z6</f>
        <v>0</v>
      </c>
      <c r="AA27" s="42">
        <f>'Оборотный капитал'!AA6</f>
        <v>0</v>
      </c>
      <c r="AB27" s="42">
        <f>'Оборотный капитал'!AB6</f>
        <v>0</v>
      </c>
      <c r="AC27" s="27">
        <f>SUM(Q27:AB27)</f>
        <v>1351200</v>
      </c>
      <c r="AD27" s="42">
        <f>'Оборотный капитал'!AD6</f>
        <v>0</v>
      </c>
      <c r="AE27" s="42">
        <f>'Оборотный капитал'!AE6</f>
        <v>0</v>
      </c>
      <c r="AF27" s="42">
        <f>'Оборотный капитал'!AF6</f>
        <v>0</v>
      </c>
      <c r="AG27" s="42">
        <f>'Оборотный капитал'!AG6</f>
        <v>0</v>
      </c>
      <c r="AH27" s="305"/>
    </row>
    <row r="28" spans="1:34" s="21" customFormat="1" ht="12.75">
      <c r="A28" s="26" t="s">
        <v>6</v>
      </c>
      <c r="B28" s="27">
        <f t="shared" si="10"/>
        <v>4051200</v>
      </c>
      <c r="C28" s="27"/>
      <c r="D28" s="27"/>
      <c r="E28" s="27">
        <f aca="true" t="shared" si="13" ref="E28:K28">SUM(E29:E31)</f>
        <v>0</v>
      </c>
      <c r="F28" s="27">
        <f t="shared" si="13"/>
        <v>0</v>
      </c>
      <c r="G28" s="27">
        <f t="shared" si="13"/>
        <v>0</v>
      </c>
      <c r="H28" s="27">
        <f t="shared" si="13"/>
        <v>0</v>
      </c>
      <c r="I28" s="27">
        <f t="shared" si="13"/>
        <v>0</v>
      </c>
      <c r="J28" s="27">
        <f t="shared" si="13"/>
        <v>0</v>
      </c>
      <c r="K28" s="27">
        <f t="shared" si="13"/>
        <v>0</v>
      </c>
      <c r="L28" s="27">
        <f aca="true" t="shared" si="14" ref="L28:AE28">SUM(L29:L31)</f>
        <v>0</v>
      </c>
      <c r="M28" s="27">
        <f t="shared" si="14"/>
        <v>0</v>
      </c>
      <c r="N28" s="27">
        <f t="shared" si="14"/>
        <v>0</v>
      </c>
      <c r="O28" s="27">
        <f t="shared" si="14"/>
        <v>0</v>
      </c>
      <c r="P28" s="27">
        <f>SUM(P29:P30)</f>
        <v>0</v>
      </c>
      <c r="Q28" s="27">
        <f t="shared" si="14"/>
        <v>700</v>
      </c>
      <c r="R28" s="27">
        <f t="shared" si="14"/>
        <v>110</v>
      </c>
      <c r="S28" s="27">
        <f t="shared" si="14"/>
        <v>1200</v>
      </c>
      <c r="T28" s="27">
        <f t="shared" si="14"/>
        <v>1300</v>
      </c>
      <c r="U28" s="27">
        <f t="shared" si="14"/>
        <v>2000</v>
      </c>
      <c r="V28" s="27">
        <f t="shared" si="14"/>
        <v>1800</v>
      </c>
      <c r="W28" s="27">
        <f t="shared" si="14"/>
        <v>1900</v>
      </c>
      <c r="X28" s="27">
        <f t="shared" si="14"/>
        <v>1500</v>
      </c>
      <c r="Y28" s="27">
        <f t="shared" si="14"/>
        <v>1700</v>
      </c>
      <c r="Z28" s="27">
        <f t="shared" si="14"/>
        <v>1900</v>
      </c>
      <c r="AA28" s="27">
        <f t="shared" si="14"/>
        <v>1500</v>
      </c>
      <c r="AB28" s="27">
        <f t="shared" si="14"/>
        <v>1335590</v>
      </c>
      <c r="AC28" s="27">
        <f>SUM(AC29:AC30)</f>
        <v>1351200</v>
      </c>
      <c r="AD28" s="27">
        <f t="shared" si="14"/>
        <v>475000</v>
      </c>
      <c r="AE28" s="27">
        <f t="shared" si="14"/>
        <v>575000</v>
      </c>
      <c r="AF28" s="27">
        <f>SUM(AF29:AF31)</f>
        <v>775000</v>
      </c>
      <c r="AG28" s="27">
        <f>SUM(AG29:AG31)</f>
        <v>875000</v>
      </c>
      <c r="AH28" s="305"/>
    </row>
    <row r="29" spans="1:34" ht="12.75">
      <c r="A29" s="28" t="s">
        <v>29</v>
      </c>
      <c r="B29" s="27">
        <f t="shared" si="10"/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7">
        <f>SUM(D29:O29)</f>
        <v>0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27">
        <f>SUM(Q29:AB29)</f>
        <v>0</v>
      </c>
      <c r="AD29" s="27"/>
      <c r="AE29" s="27"/>
      <c r="AF29" s="27"/>
      <c r="AG29" s="27"/>
      <c r="AH29" s="305"/>
    </row>
    <row r="30" spans="1:34" ht="12.75">
      <c r="A30" s="28" t="s">
        <v>275</v>
      </c>
      <c r="B30" s="27">
        <f t="shared" si="10"/>
        <v>2551200</v>
      </c>
      <c r="C30" s="32"/>
      <c r="D30" s="32"/>
      <c r="E30" s="32"/>
      <c r="F30" s="32">
        <f>'Оборотный капитал'!F5+'Оборотный капитал'!F6+'Оборотный капитал'!F21</f>
        <v>0</v>
      </c>
      <c r="G30" s="32">
        <f>'Оборотный капитал'!G5+'Оборотный капитал'!G6+'Оборотный капитал'!G21</f>
        <v>0</v>
      </c>
      <c r="H30" s="32">
        <f>'Оборотный капитал'!H5+'Оборотный капитал'!H6+'Оборотный капитал'!H21</f>
        <v>0</v>
      </c>
      <c r="I30" s="32">
        <f>'Оборотный капитал'!I5+'Оборотный капитал'!I6+'Оборотный капитал'!I21</f>
        <v>0</v>
      </c>
      <c r="J30" s="32">
        <f>'Оборотный капитал'!J5+'Оборотный капитал'!J6+'Оборотный капитал'!J21</f>
        <v>0</v>
      </c>
      <c r="K30" s="32">
        <f>'Оборотный капитал'!K5+'Оборотный капитал'!K6+'Оборотный капитал'!K21</f>
        <v>0</v>
      </c>
      <c r="L30" s="32">
        <f>'Оборотный капитал'!L5+'Оборотный капитал'!L6+'Оборотный капитал'!L21</f>
        <v>0</v>
      </c>
      <c r="M30" s="32">
        <f>'Оборотный капитал'!M5+'Оборотный капитал'!M6+'Оборотный капитал'!M21</f>
        <v>0</v>
      </c>
      <c r="N30" s="32">
        <f>'Оборотный капитал'!N5+'Оборотный капитал'!N6+'Оборотный капитал'!N21</f>
        <v>0</v>
      </c>
      <c r="O30" s="32">
        <f>'Оборотный капитал'!O5+'Оборотный капитал'!O6+'Оборотный капитал'!O21</f>
        <v>0</v>
      </c>
      <c r="P30" s="27">
        <f>SUM(D30:O30)</f>
        <v>0</v>
      </c>
      <c r="Q30" s="32">
        <f>'Оборотный капитал'!Q10+'Оборотный капитал'!Q21</f>
        <v>700</v>
      </c>
      <c r="R30" s="32">
        <f>'Оборотный капитал'!R10+'Оборотный капитал'!R21</f>
        <v>110</v>
      </c>
      <c r="S30" s="32">
        <f>'Оборотный капитал'!S10+'Оборотный капитал'!S21</f>
        <v>1200</v>
      </c>
      <c r="T30" s="32">
        <f>'Оборотный капитал'!T10+'Оборотный капитал'!T21</f>
        <v>1300</v>
      </c>
      <c r="U30" s="32">
        <f>'Оборотный капитал'!U10+'Оборотный капитал'!U21</f>
        <v>2000</v>
      </c>
      <c r="V30" s="32">
        <f>'Оборотный капитал'!V10+'Оборотный капитал'!V21</f>
        <v>1800</v>
      </c>
      <c r="W30" s="32">
        <f>'Оборотный капитал'!W10+'Оборотный капитал'!W21</f>
        <v>1900</v>
      </c>
      <c r="X30" s="32">
        <f>'Оборотный капитал'!X10+'Оборотный капитал'!X21</f>
        <v>1500</v>
      </c>
      <c r="Y30" s="32">
        <f>'Оборотный капитал'!Y10+'Оборотный капитал'!Y21</f>
        <v>1700</v>
      </c>
      <c r="Z30" s="32">
        <f>'Оборотный капитал'!Z10+'Оборотный капитал'!Z21</f>
        <v>1900</v>
      </c>
      <c r="AA30" s="32">
        <f>'Оборотный капитал'!AA10+'Оборотный капитал'!AA21</f>
        <v>1500</v>
      </c>
      <c r="AB30" s="32">
        <f>'Оборотный капитал'!AB10+'Оборотный капитал'!AB21</f>
        <v>1335590</v>
      </c>
      <c r="AC30" s="27">
        <f>SUM(Q30:AB30)</f>
        <v>1351200</v>
      </c>
      <c r="AD30" s="32">
        <f>'Оборотный капитал'!AD10+'Оборотный капитал'!AD21</f>
        <v>100000</v>
      </c>
      <c r="AE30" s="32">
        <f>'Оборотный капитал'!AE10+'Оборотный капитал'!AE21</f>
        <v>200000</v>
      </c>
      <c r="AF30" s="32">
        <f>'Оборотный капитал'!AF10+'Оборотный капитал'!AF21</f>
        <v>400000</v>
      </c>
      <c r="AG30" s="32">
        <f>'Оборотный капитал'!AG10+'Оборотный капитал'!AG21</f>
        <v>500000</v>
      </c>
      <c r="AH30" s="305"/>
    </row>
    <row r="31" spans="1:34" ht="13.5" customHeight="1">
      <c r="A31" s="36" t="s">
        <v>157</v>
      </c>
      <c r="B31" s="27">
        <f t="shared" si="10"/>
        <v>1500000</v>
      </c>
      <c r="C31" s="27"/>
      <c r="D31" s="32"/>
      <c r="E31" s="32">
        <f>кр!D10</f>
        <v>0</v>
      </c>
      <c r="F31" s="32">
        <f>кр!E10</f>
        <v>0</v>
      </c>
      <c r="G31" s="32">
        <f>кр!F10</f>
        <v>0</v>
      </c>
      <c r="H31" s="32">
        <f>кр!G10</f>
        <v>0</v>
      </c>
      <c r="I31" s="32">
        <f>кр!H10</f>
        <v>0</v>
      </c>
      <c r="J31" s="32">
        <f>кр!I10</f>
        <v>0</v>
      </c>
      <c r="K31" s="32">
        <f>кр!J10</f>
        <v>0</v>
      </c>
      <c r="L31" s="32">
        <f>кр!K10</f>
        <v>0</v>
      </c>
      <c r="M31" s="32">
        <f>кр!L10</f>
        <v>0</v>
      </c>
      <c r="N31" s="32">
        <f>кр!M10</f>
        <v>0</v>
      </c>
      <c r="O31" s="32">
        <f>кр!N10</f>
        <v>0</v>
      </c>
      <c r="P31" s="27">
        <f>SUM(D31:O31)</f>
        <v>0</v>
      </c>
      <c r="Q31" s="32">
        <f>кр!P10</f>
        <v>0</v>
      </c>
      <c r="R31" s="32">
        <f>кр!Q10</f>
        <v>0</v>
      </c>
      <c r="S31" s="32">
        <f>кр!R10</f>
        <v>0</v>
      </c>
      <c r="T31" s="32">
        <f>кр!S10</f>
        <v>0</v>
      </c>
      <c r="U31" s="32">
        <f>кр!T10</f>
        <v>0</v>
      </c>
      <c r="V31" s="32">
        <f>кр!U10</f>
        <v>0</v>
      </c>
      <c r="W31" s="32">
        <f>кр!V10</f>
        <v>0</v>
      </c>
      <c r="X31" s="32">
        <f>кр!W10</f>
        <v>0</v>
      </c>
      <c r="Y31" s="32">
        <f>кр!X10</f>
        <v>0</v>
      </c>
      <c r="Z31" s="32">
        <f>кр!Y10</f>
        <v>0</v>
      </c>
      <c r="AA31" s="32">
        <f>кр!Z10</f>
        <v>0</v>
      </c>
      <c r="AB31" s="32">
        <f>кр!AA10</f>
        <v>0</v>
      </c>
      <c r="AC31" s="27">
        <f>SUM(Q31:AB31)</f>
        <v>0</v>
      </c>
      <c r="AD31" s="32">
        <f>кр!AO23</f>
        <v>375000</v>
      </c>
      <c r="AE31" s="32">
        <f>кр!BB23</f>
        <v>375000</v>
      </c>
      <c r="AF31" s="32">
        <f>кр!BO23</f>
        <v>375000</v>
      </c>
      <c r="AG31" s="32">
        <f>кр!CB23</f>
        <v>375000</v>
      </c>
      <c r="AH31" s="305"/>
    </row>
    <row r="32" spans="1:34" s="21" customFormat="1" ht="25.5">
      <c r="A32" s="37" t="s">
        <v>21</v>
      </c>
      <c r="B32" s="18">
        <f>B25-B28</f>
        <v>-2551200</v>
      </c>
      <c r="C32" s="18"/>
      <c r="D32" s="18">
        <f>D25-D28</f>
        <v>0</v>
      </c>
      <c r="E32" s="18">
        <f aca="true" t="shared" si="15" ref="E32:AE32">E25-E28</f>
        <v>0</v>
      </c>
      <c r="F32" s="18">
        <f t="shared" si="15"/>
        <v>0</v>
      </c>
      <c r="G32" s="18">
        <f t="shared" si="15"/>
        <v>0</v>
      </c>
      <c r="H32" s="18">
        <f t="shared" si="15"/>
        <v>0</v>
      </c>
      <c r="I32" s="18">
        <f t="shared" si="15"/>
        <v>0</v>
      </c>
      <c r="J32" s="18">
        <f t="shared" si="15"/>
        <v>0</v>
      </c>
      <c r="K32" s="18">
        <f t="shared" si="15"/>
        <v>0</v>
      </c>
      <c r="L32" s="18">
        <f t="shared" si="15"/>
        <v>0</v>
      </c>
      <c r="M32" s="18">
        <f t="shared" si="15"/>
        <v>0</v>
      </c>
      <c r="N32" s="18">
        <f t="shared" si="15"/>
        <v>0</v>
      </c>
      <c r="O32" s="18">
        <f>O25-O28</f>
        <v>148800</v>
      </c>
      <c r="P32" s="18">
        <f t="shared" si="15"/>
        <v>148800</v>
      </c>
      <c r="Q32" s="18">
        <f t="shared" si="15"/>
        <v>374300</v>
      </c>
      <c r="R32" s="18">
        <f t="shared" si="15"/>
        <v>374890</v>
      </c>
      <c r="S32" s="18">
        <f t="shared" si="15"/>
        <v>-1200</v>
      </c>
      <c r="T32" s="18">
        <f t="shared" si="15"/>
        <v>-1300</v>
      </c>
      <c r="U32" s="18">
        <f t="shared" si="15"/>
        <v>373000</v>
      </c>
      <c r="V32" s="18">
        <f t="shared" si="15"/>
        <v>224400</v>
      </c>
      <c r="W32" s="18">
        <f t="shared" si="15"/>
        <v>-1900</v>
      </c>
      <c r="X32" s="18">
        <f t="shared" si="15"/>
        <v>-1500</v>
      </c>
      <c r="Y32" s="18">
        <f t="shared" si="15"/>
        <v>-1700</v>
      </c>
      <c r="Z32" s="18">
        <f t="shared" si="15"/>
        <v>-1900</v>
      </c>
      <c r="AA32" s="18">
        <f t="shared" si="15"/>
        <v>-1500</v>
      </c>
      <c r="AB32" s="18">
        <f t="shared" si="15"/>
        <v>-1335590</v>
      </c>
      <c r="AC32" s="18">
        <f t="shared" si="15"/>
        <v>0</v>
      </c>
      <c r="AD32" s="18">
        <f t="shared" si="15"/>
        <v>-475000</v>
      </c>
      <c r="AE32" s="18">
        <f t="shared" si="15"/>
        <v>-575000</v>
      </c>
      <c r="AF32" s="18">
        <f>AF25-AF28</f>
        <v>-775000</v>
      </c>
      <c r="AG32" s="18">
        <f>AG25-AG28</f>
        <v>-875000</v>
      </c>
      <c r="AH32" s="305"/>
    </row>
    <row r="33" spans="1:34" s="45" customFormat="1" ht="12.75">
      <c r="A33" s="43" t="s">
        <v>22</v>
      </c>
      <c r="B33" s="44">
        <f>B16+B22+B32</f>
        <v>792015.4560000002</v>
      </c>
      <c r="C33" s="27"/>
      <c r="D33" s="44">
        <f>D16+D22+D32</f>
        <v>0</v>
      </c>
      <c r="E33" s="44">
        <f aca="true" t="shared" si="16" ref="E33:AE33">E16+E22+E32</f>
        <v>0</v>
      </c>
      <c r="F33" s="44">
        <f t="shared" si="16"/>
        <v>0</v>
      </c>
      <c r="G33" s="44">
        <f t="shared" si="16"/>
        <v>0</v>
      </c>
      <c r="H33" s="44">
        <f t="shared" si="16"/>
        <v>0</v>
      </c>
      <c r="I33" s="44">
        <f t="shared" si="16"/>
        <v>0</v>
      </c>
      <c r="J33" s="44">
        <f t="shared" si="16"/>
        <v>0</v>
      </c>
      <c r="K33" s="44">
        <f t="shared" si="16"/>
        <v>0</v>
      </c>
      <c r="L33" s="44">
        <f>L16+L22+L32</f>
        <v>0</v>
      </c>
      <c r="M33" s="44">
        <f t="shared" si="16"/>
        <v>0</v>
      </c>
      <c r="N33" s="44">
        <f t="shared" si="16"/>
        <v>0</v>
      </c>
      <c r="O33" s="44">
        <f t="shared" si="16"/>
        <v>0</v>
      </c>
      <c r="P33" s="44">
        <f t="shared" si="16"/>
        <v>0</v>
      </c>
      <c r="Q33" s="44">
        <f t="shared" si="16"/>
        <v>349678.072</v>
      </c>
      <c r="R33" s="44">
        <f t="shared" si="16"/>
        <v>347152.972</v>
      </c>
      <c r="S33" s="44">
        <f t="shared" si="16"/>
        <v>-31954.028</v>
      </c>
      <c r="T33" s="44">
        <f t="shared" si="16"/>
        <v>-31937.028</v>
      </c>
      <c r="U33" s="44">
        <f t="shared" si="16"/>
        <v>342542.972</v>
      </c>
      <c r="V33" s="44">
        <f t="shared" si="16"/>
        <v>190979.972</v>
      </c>
      <c r="W33" s="44">
        <f t="shared" si="16"/>
        <v>-37034.028</v>
      </c>
      <c r="X33" s="44">
        <f t="shared" si="16"/>
        <v>-36499.028</v>
      </c>
      <c r="Y33" s="44">
        <f t="shared" si="16"/>
        <v>-36546.028</v>
      </c>
      <c r="Z33" s="44">
        <f t="shared" si="16"/>
        <v>-36575.028</v>
      </c>
      <c r="AA33" s="44">
        <f t="shared" si="16"/>
        <v>-36040.028</v>
      </c>
      <c r="AB33" s="44">
        <f t="shared" si="16"/>
        <v>-1249926.928</v>
      </c>
      <c r="AC33" s="44">
        <f>AC16+AC22+AC32</f>
        <v>-266158.13600000006</v>
      </c>
      <c r="AD33" s="44">
        <f t="shared" si="16"/>
        <v>427499.11840000004</v>
      </c>
      <c r="AE33" s="44">
        <f t="shared" si="16"/>
        <v>315691.49120000005</v>
      </c>
      <c r="AF33" s="44">
        <f>AF16+AF22+AF32</f>
        <v>174491.49120000005</v>
      </c>
      <c r="AG33" s="44">
        <f>AG16+AG22+AG32</f>
        <v>140491.49120000005</v>
      </c>
      <c r="AH33" s="305"/>
    </row>
    <row r="34" spans="1:42" s="21" customFormat="1" ht="12.75">
      <c r="A34" s="46" t="s">
        <v>51</v>
      </c>
      <c r="B34" s="27">
        <f>B7+B16+B22+B32</f>
        <v>792015.4560000002</v>
      </c>
      <c r="C34" s="47"/>
      <c r="D34" s="48">
        <f aca="true" t="shared" si="17" ref="D34:O34">D7+D16+D22+D32</f>
        <v>0</v>
      </c>
      <c r="E34" s="48">
        <f t="shared" si="17"/>
        <v>0</v>
      </c>
      <c r="F34" s="48">
        <f t="shared" si="17"/>
        <v>0</v>
      </c>
      <c r="G34" s="48">
        <f t="shared" si="17"/>
        <v>0</v>
      </c>
      <c r="H34" s="48">
        <f t="shared" si="17"/>
        <v>0</v>
      </c>
      <c r="I34" s="48">
        <f t="shared" si="17"/>
        <v>0</v>
      </c>
      <c r="J34" s="48">
        <f t="shared" si="17"/>
        <v>0</v>
      </c>
      <c r="K34" s="48">
        <f t="shared" si="17"/>
        <v>0</v>
      </c>
      <c r="L34" s="48">
        <f t="shared" si="17"/>
        <v>0</v>
      </c>
      <c r="M34" s="48">
        <f t="shared" si="17"/>
        <v>0</v>
      </c>
      <c r="N34" s="48">
        <f t="shared" si="17"/>
        <v>0</v>
      </c>
      <c r="O34" s="48">
        <f t="shared" si="17"/>
        <v>0</v>
      </c>
      <c r="P34" s="49">
        <f>O34</f>
        <v>0</v>
      </c>
      <c r="Q34" s="48">
        <f>P34+Q16+Q22+Q32</f>
        <v>349678.072</v>
      </c>
      <c r="R34" s="48">
        <f aca="true" t="shared" si="18" ref="R34:AB34">Q34+R16+R22+R32</f>
        <v>696831.044</v>
      </c>
      <c r="S34" s="48">
        <f t="shared" si="18"/>
        <v>664877.016</v>
      </c>
      <c r="T34" s="48">
        <f t="shared" si="18"/>
        <v>632939.9879999999</v>
      </c>
      <c r="U34" s="48">
        <f t="shared" si="18"/>
        <v>975482.9599999998</v>
      </c>
      <c r="V34" s="48">
        <f t="shared" si="18"/>
        <v>1166462.9319999998</v>
      </c>
      <c r="W34" s="48">
        <f t="shared" si="18"/>
        <v>1129428.9039999999</v>
      </c>
      <c r="X34" s="48">
        <f t="shared" si="18"/>
        <v>1092929.876</v>
      </c>
      <c r="Y34" s="48">
        <f t="shared" si="18"/>
        <v>1056383.848</v>
      </c>
      <c r="Z34" s="48">
        <f t="shared" si="18"/>
        <v>1019808.82</v>
      </c>
      <c r="AA34" s="48">
        <f t="shared" si="18"/>
        <v>983768.7919999999</v>
      </c>
      <c r="AB34" s="48">
        <f t="shared" si="18"/>
        <v>-266158.1360000002</v>
      </c>
      <c r="AC34" s="48">
        <f>AB34</f>
        <v>-266158.1360000002</v>
      </c>
      <c r="AD34" s="48">
        <f>AC34+AD16+AD22+AD32</f>
        <v>161340.98239999986</v>
      </c>
      <c r="AE34" s="48">
        <f>AD34+AE16+AE22+AE32</f>
        <v>477032.4735999999</v>
      </c>
      <c r="AF34" s="48">
        <f>AE34+AF16+AF22+AF32</f>
        <v>651523.9648</v>
      </c>
      <c r="AG34" s="48">
        <f>AF34+AG16+AG22+AG32</f>
        <v>792015.456</v>
      </c>
      <c r="AH34" s="7">
        <v>2015</v>
      </c>
      <c r="AI34" s="7">
        <f aca="true" t="shared" si="19" ref="AI34:AK35">AH34+1</f>
        <v>2016</v>
      </c>
      <c r="AJ34" s="7">
        <f t="shared" si="19"/>
        <v>2017</v>
      </c>
      <c r="AK34" s="7">
        <f t="shared" si="19"/>
        <v>2018</v>
      </c>
      <c r="AL34" s="7">
        <f aca="true" t="shared" si="20" ref="AL34:AP35">AK34+1</f>
        <v>2019</v>
      </c>
      <c r="AM34" s="7">
        <f t="shared" si="20"/>
        <v>2020</v>
      </c>
      <c r="AN34" s="7">
        <f t="shared" si="20"/>
        <v>2021</v>
      </c>
      <c r="AO34" s="7">
        <f t="shared" si="20"/>
        <v>2022</v>
      </c>
      <c r="AP34" s="7">
        <f t="shared" si="20"/>
        <v>2023</v>
      </c>
    </row>
    <row r="35" spans="1:42" ht="12.75">
      <c r="A35" s="50"/>
      <c r="B35" s="51">
        <f>AG34</f>
        <v>792015.456</v>
      </c>
      <c r="C35" s="52"/>
      <c r="D35" s="53">
        <f aca="true" t="shared" si="21" ref="D35:O35">D7+D33-D34</f>
        <v>0</v>
      </c>
      <c r="E35" s="53">
        <f t="shared" si="21"/>
        <v>0</v>
      </c>
      <c r="F35" s="53">
        <f t="shared" si="21"/>
        <v>0</v>
      </c>
      <c r="G35" s="53">
        <f t="shared" si="21"/>
        <v>0</v>
      </c>
      <c r="H35" s="53">
        <f t="shared" si="21"/>
        <v>0</v>
      </c>
      <c r="I35" s="53">
        <f t="shared" si="21"/>
        <v>0</v>
      </c>
      <c r="J35" s="53">
        <f t="shared" si="21"/>
        <v>0</v>
      </c>
      <c r="K35" s="53">
        <f t="shared" si="21"/>
        <v>0</v>
      </c>
      <c r="L35" s="53">
        <f t="shared" si="21"/>
        <v>0</v>
      </c>
      <c r="M35" s="53">
        <f t="shared" si="21"/>
        <v>0</v>
      </c>
      <c r="N35" s="53">
        <f t="shared" si="21"/>
        <v>0</v>
      </c>
      <c r="O35" s="53">
        <f t="shared" si="21"/>
        <v>0</v>
      </c>
      <c r="P35" s="53"/>
      <c r="Q35" s="53">
        <f aca="true" t="shared" si="22" ref="Q35:AB35">Q7+Q33-Q34</f>
        <v>0</v>
      </c>
      <c r="R35" s="53">
        <f t="shared" si="22"/>
        <v>0</v>
      </c>
      <c r="S35" s="53">
        <f t="shared" si="22"/>
        <v>0</v>
      </c>
      <c r="T35" s="53">
        <f t="shared" si="22"/>
        <v>0</v>
      </c>
      <c r="U35" s="53">
        <f t="shared" si="22"/>
        <v>0</v>
      </c>
      <c r="V35" s="53">
        <f>V7+V33-V34</f>
        <v>0</v>
      </c>
      <c r="W35" s="53">
        <f t="shared" si="22"/>
        <v>0</v>
      </c>
      <c r="X35" s="53">
        <f t="shared" si="22"/>
        <v>0</v>
      </c>
      <c r="Y35" s="53">
        <f t="shared" si="22"/>
        <v>0</v>
      </c>
      <c r="Z35" s="53">
        <f t="shared" si="22"/>
        <v>0</v>
      </c>
      <c r="AA35" s="53">
        <f t="shared" si="22"/>
        <v>0</v>
      </c>
      <c r="AB35" s="53">
        <f t="shared" si="22"/>
        <v>0</v>
      </c>
      <c r="AC35" s="53"/>
      <c r="AD35" s="53">
        <f>AD7+AD33-AD34</f>
        <v>0</v>
      </c>
      <c r="AE35" s="53">
        <f>AE7+AE33-AE34</f>
        <v>0</v>
      </c>
      <c r="AF35" s="53">
        <f>AF7+AF33-AF34</f>
        <v>0</v>
      </c>
      <c r="AG35" s="53">
        <f>AG7+AG33-AG34</f>
        <v>0</v>
      </c>
      <c r="AH35" s="60">
        <v>0</v>
      </c>
      <c r="AI35" s="60">
        <f t="shared" si="19"/>
        <v>1</v>
      </c>
      <c r="AJ35" s="60">
        <f t="shared" si="19"/>
        <v>2</v>
      </c>
      <c r="AK35" s="60">
        <f t="shared" si="19"/>
        <v>3</v>
      </c>
      <c r="AL35" s="60">
        <f t="shared" si="20"/>
        <v>4</v>
      </c>
      <c r="AM35" s="60">
        <f t="shared" si="20"/>
        <v>5</v>
      </c>
      <c r="AN35" s="60">
        <f t="shared" si="20"/>
        <v>6</v>
      </c>
      <c r="AO35" s="60">
        <f t="shared" si="20"/>
        <v>7</v>
      </c>
      <c r="AP35" s="60">
        <f t="shared" si="20"/>
        <v>8</v>
      </c>
    </row>
    <row r="36" spans="1:42" ht="12.75">
      <c r="A36" s="50" t="s">
        <v>56</v>
      </c>
      <c r="B36" s="61">
        <f>B34-B35</f>
        <v>0</v>
      </c>
      <c r="C36" s="52"/>
      <c r="Q36" s="55"/>
      <c r="AH36" s="55">
        <f>P33</f>
        <v>0</v>
      </c>
      <c r="AI36" s="55">
        <f>AC33</f>
        <v>-266158.13600000006</v>
      </c>
      <c r="AJ36" s="55">
        <f>AD33</f>
        <v>427499.11840000004</v>
      </c>
      <c r="AK36" s="55">
        <f>AE33</f>
        <v>315691.49120000005</v>
      </c>
      <c r="AL36" s="55">
        <f>AF33</f>
        <v>174491.49120000005</v>
      </c>
      <c r="AM36" s="55">
        <f>AG33</f>
        <v>140491.49120000005</v>
      </c>
      <c r="AN36" s="55">
        <f>AM37</f>
        <v>140491.49120000005</v>
      </c>
      <c r="AO36" s="55">
        <f>AN37</f>
        <v>140491.49120000005</v>
      </c>
      <c r="AP36" s="55">
        <f>AO37</f>
        <v>140491.49120000005</v>
      </c>
    </row>
    <row r="37" spans="1:42" ht="12.75">
      <c r="A37" s="50" t="s">
        <v>57</v>
      </c>
      <c r="B37" s="52"/>
      <c r="C37" s="52"/>
      <c r="AH37" s="55">
        <f>AH36+P31+P29+P13</f>
        <v>0</v>
      </c>
      <c r="AI37" s="55">
        <f>AI36+AC31+AC29+AC13</f>
        <v>-152468.13600000006</v>
      </c>
      <c r="AJ37" s="55">
        <f>AJ36+AD31+AD29+AD13</f>
        <v>935311.6184</v>
      </c>
      <c r="AK37" s="55">
        <f>AK36+AE31+AE29+AE13</f>
        <v>786003.9912</v>
      </c>
      <c r="AL37" s="55">
        <f>AL36+AH31+AH29+AH13</f>
        <v>174491.49120000005</v>
      </c>
      <c r="AM37" s="55">
        <f>AM36+AI31+AI29+AI13</f>
        <v>140491.49120000005</v>
      </c>
      <c r="AN37" s="55">
        <f>AN36+AJ31+AJ29+AJ13</f>
        <v>140491.49120000005</v>
      </c>
      <c r="AO37" s="55">
        <f>AO36+AK31+AK29+AK13</f>
        <v>140491.49120000005</v>
      </c>
      <c r="AP37" s="55">
        <f>AP36+AL31+AL29+AL13</f>
        <v>140491.49120000005</v>
      </c>
    </row>
    <row r="38" spans="1:42" ht="12.75">
      <c r="A38" s="50" t="s">
        <v>58</v>
      </c>
      <c r="B38" s="52"/>
      <c r="C38" s="52"/>
      <c r="V38" s="55"/>
      <c r="AH38" s="55">
        <f>P25</f>
        <v>148800</v>
      </c>
      <c r="AI38" s="55">
        <f>AC25</f>
        <v>1351200</v>
      </c>
      <c r="AJ38" s="55"/>
      <c r="AK38" s="55"/>
      <c r="AL38" s="55"/>
      <c r="AM38" s="55"/>
      <c r="AN38" s="55"/>
      <c r="AO38" s="55"/>
      <c r="AP38" s="55"/>
    </row>
    <row r="39" spans="1:42" ht="12.75">
      <c r="A39" s="62" t="s">
        <v>59</v>
      </c>
      <c r="B39" s="52"/>
      <c r="C39" s="52"/>
      <c r="AH39" s="63">
        <f aca="true" t="shared" si="23" ref="AH39:AP39">AH37-AH38</f>
        <v>-148800</v>
      </c>
      <c r="AI39" s="63">
        <f t="shared" si="23"/>
        <v>-1503668.136</v>
      </c>
      <c r="AJ39" s="63">
        <f t="shared" si="23"/>
        <v>935311.6184</v>
      </c>
      <c r="AK39" s="63">
        <f t="shared" si="23"/>
        <v>786003.9912</v>
      </c>
      <c r="AL39" s="63">
        <f t="shared" si="23"/>
        <v>174491.49120000005</v>
      </c>
      <c r="AM39" s="63">
        <f t="shared" si="23"/>
        <v>140491.49120000005</v>
      </c>
      <c r="AN39" s="63">
        <f t="shared" si="23"/>
        <v>140491.49120000005</v>
      </c>
      <c r="AO39" s="63">
        <f t="shared" si="23"/>
        <v>140491.49120000005</v>
      </c>
      <c r="AP39" s="63">
        <f t="shared" si="23"/>
        <v>140491.49120000005</v>
      </c>
    </row>
    <row r="40" spans="1:42" ht="12.75">
      <c r="A40" s="64" t="s">
        <v>60</v>
      </c>
      <c r="B40" s="52"/>
      <c r="C40" s="52"/>
      <c r="AH40" s="65">
        <f>AH39/(1+Исх!$C$7)^'1-Ф3'!AH35</f>
        <v>-148800</v>
      </c>
      <c r="AI40" s="65">
        <f>AI39/(1+Исх!$C$7)^'1-Ф3'!AI35</f>
        <v>-1379512.0513761467</v>
      </c>
      <c r="AJ40" s="65">
        <f>AJ39/(1+Исх!$C$7)^'1-Ф3'!AJ35</f>
        <v>787233.0766770473</v>
      </c>
      <c r="AK40" s="65">
        <f>AK39/(1+Исх!$C$7)^'1-Ф3'!AK35</f>
        <v>606939.297266702</v>
      </c>
      <c r="AL40" s="65">
        <f>AL39/(1+Исх!$C$7)^'1-Ф3'!AL35</f>
        <v>123614.1714824409</v>
      </c>
      <c r="AM40" s="65">
        <f>AM39/(1+Исх!$C$7)^'1-Ф3'!AM35</f>
        <v>91309.8296387378</v>
      </c>
      <c r="AN40" s="65">
        <f>AN39/(1+Исх!$C$7)^'1-Ф3'!AN35</f>
        <v>83770.4859070989</v>
      </c>
      <c r="AO40" s="65">
        <f>AO39/(1+Исх!$C$7)^'1-Ф3'!AO35</f>
        <v>76853.65679550359</v>
      </c>
      <c r="AP40" s="65">
        <f>AP39/(1+Исх!$C$7)^'1-Ф3'!AP35</f>
        <v>70507.94201422346</v>
      </c>
    </row>
    <row r="41" spans="1:42" ht="12.75">
      <c r="A41" s="62" t="s">
        <v>61</v>
      </c>
      <c r="B41" s="52"/>
      <c r="C41" s="52"/>
      <c r="AH41" s="63">
        <f>AH39</f>
        <v>-148800</v>
      </c>
      <c r="AI41" s="63">
        <f aca="true" t="shared" si="24" ref="AI41:AK42">AH41+AI39</f>
        <v>-1652468.136</v>
      </c>
      <c r="AJ41" s="63">
        <f t="shared" si="24"/>
        <v>-717156.5175999999</v>
      </c>
      <c r="AK41" s="63">
        <f t="shared" si="24"/>
        <v>68847.47360000014</v>
      </c>
      <c r="AL41" s="63">
        <f aca="true" t="shared" si="25" ref="AL41:AP42">AK41+AL39</f>
        <v>243338.9648000002</v>
      </c>
      <c r="AM41" s="63">
        <f t="shared" si="25"/>
        <v>383830.45600000024</v>
      </c>
      <c r="AN41" s="63">
        <f t="shared" si="25"/>
        <v>524321.9472000003</v>
      </c>
      <c r="AO41" s="63">
        <f t="shared" si="25"/>
        <v>664813.4384000003</v>
      </c>
      <c r="AP41" s="63">
        <f t="shared" si="25"/>
        <v>805304.9296000004</v>
      </c>
    </row>
    <row r="42" spans="1:42" ht="12.75">
      <c r="A42" s="64" t="s">
        <v>62</v>
      </c>
      <c r="B42" s="52"/>
      <c r="C42" s="52"/>
      <c r="AH42" s="65">
        <f>AH40</f>
        <v>-148800</v>
      </c>
      <c r="AI42" s="65">
        <f t="shared" si="24"/>
        <v>-1528312.0513761467</v>
      </c>
      <c r="AJ42" s="65">
        <f t="shared" si="24"/>
        <v>-741078.9746990994</v>
      </c>
      <c r="AK42" s="65">
        <f t="shared" si="24"/>
        <v>-134139.67743239738</v>
      </c>
      <c r="AL42" s="65">
        <f t="shared" si="25"/>
        <v>-10525.505949956481</v>
      </c>
      <c r="AM42" s="65">
        <f t="shared" si="25"/>
        <v>80784.32368878133</v>
      </c>
      <c r="AN42" s="65">
        <f t="shared" si="25"/>
        <v>164554.80959588022</v>
      </c>
      <c r="AO42" s="65">
        <f t="shared" si="25"/>
        <v>241408.4663913838</v>
      </c>
      <c r="AP42" s="65">
        <f t="shared" si="25"/>
        <v>311916.4084056072</v>
      </c>
    </row>
    <row r="43" spans="1:42" ht="12.75">
      <c r="A43" s="50" t="s">
        <v>63</v>
      </c>
      <c r="B43" s="52"/>
      <c r="C43" s="52"/>
      <c r="AH43" s="55">
        <f>NPV(Исх!$C$7,'1-Ф3'!$AH37:AH37)</f>
        <v>0</v>
      </c>
      <c r="AI43" s="55">
        <f>NPV(Исх!$C$7,'1-Ф3'!$AH37:AI37)</f>
        <v>-128329.37968184499</v>
      </c>
      <c r="AJ43" s="55">
        <f>NPV(Исх!$C$7,'1-Ф3'!$AH37:AJ37)</f>
        <v>593902.800755813</v>
      </c>
      <c r="AK43" s="55">
        <f>NPV(Исх!$C$7,'1-Ф3'!$AH37:AK37)</f>
        <v>1150727.8441197597</v>
      </c>
      <c r="AL43" s="55">
        <f>NPV(Исх!$C$7,'1-Ф3'!$AH37:AL37)</f>
        <v>1264135.3408926413</v>
      </c>
      <c r="AM43" s="55">
        <f>NPV(Исх!$C$7,'1-Ф3'!$AH37:AM37)</f>
        <v>1347905.82679974</v>
      </c>
      <c r="AN43" s="55">
        <f>NPV(Исх!$C$7,'1-Ф3'!$AH37:AN37)</f>
        <v>1424759.483595244</v>
      </c>
      <c r="AO43" s="55">
        <f>NPV(Исх!$C$7,'1-Ф3'!$AH37:AO37)</f>
        <v>1495267.4256094673</v>
      </c>
      <c r="AP43" s="55">
        <f>NPV(Исх!$C$7,'1-Ф3'!$AH37:AP37)</f>
        <v>1559953.6109436173</v>
      </c>
    </row>
    <row r="44" spans="1:42" ht="12.75">
      <c r="A44" s="50" t="s">
        <v>64</v>
      </c>
      <c r="B44" s="52"/>
      <c r="C44" s="52"/>
      <c r="AH44" s="55">
        <f>NPV(Исх!$C$7,'1-Ф3'!$AH38:AH38)</f>
        <v>136513.7614678899</v>
      </c>
      <c r="AI44" s="55">
        <f>NPV(Исх!$C$7,'1-Ф3'!$AH38:AI38)</f>
        <v>1273791.7683696658</v>
      </c>
      <c r="AJ44" s="55">
        <f>NPV(Исх!$C$7,'1-Ф3'!$AH38:AJ38)</f>
        <v>1273791.7683696658</v>
      </c>
      <c r="AK44" s="55">
        <f>NPV(Исх!$C$7,'1-Ф3'!$AH38:AK38)</f>
        <v>1273791.7683696658</v>
      </c>
      <c r="AL44" s="55">
        <f>NPV(Исх!$C$7,'1-Ф3'!$AH38:AL38)</f>
        <v>1273791.7683696658</v>
      </c>
      <c r="AM44" s="55">
        <f>NPV(Исх!$C$7,'1-Ф3'!$AH38:AM38)</f>
        <v>1273791.7683696658</v>
      </c>
      <c r="AN44" s="55">
        <f>NPV(Исх!$C$7,'1-Ф3'!$AH38:AN38)</f>
        <v>1273791.7683696658</v>
      </c>
      <c r="AO44" s="55">
        <f>NPV(Исх!$C$7,'1-Ф3'!$AH38:AO38)</f>
        <v>1273791.7683696658</v>
      </c>
      <c r="AP44" s="55">
        <f>NPV(Исх!$C$7,'1-Ф3'!$AH38:AP38)</f>
        <v>1273791.7683696658</v>
      </c>
    </row>
    <row r="45" spans="1:42" ht="12.75">
      <c r="A45" s="50" t="s">
        <v>65</v>
      </c>
      <c r="B45" s="52"/>
      <c r="C45" s="52"/>
      <c r="AH45" s="55">
        <f aca="true" t="shared" si="26" ref="AH45:AP45">AH43-AH44</f>
        <v>-136513.7614678899</v>
      </c>
      <c r="AI45" s="55">
        <f t="shared" si="26"/>
        <v>-1402121.1480515108</v>
      </c>
      <c r="AJ45" s="55">
        <f t="shared" si="26"/>
        <v>-679888.9676138528</v>
      </c>
      <c r="AK45" s="55">
        <f t="shared" si="26"/>
        <v>-123063.9242499061</v>
      </c>
      <c r="AL45" s="55">
        <f t="shared" si="26"/>
        <v>-9656.427477024496</v>
      </c>
      <c r="AM45" s="55">
        <f t="shared" si="26"/>
        <v>74114.05843007425</v>
      </c>
      <c r="AN45" s="55">
        <f t="shared" si="26"/>
        <v>150967.71522557805</v>
      </c>
      <c r="AO45" s="55">
        <f t="shared" si="26"/>
        <v>221475.65723980148</v>
      </c>
      <c r="AP45" s="55">
        <f t="shared" si="26"/>
        <v>286161.84257395146</v>
      </c>
    </row>
    <row r="46" spans="1:42" ht="12.75">
      <c r="A46" s="50" t="s">
        <v>66</v>
      </c>
      <c r="B46" s="52"/>
      <c r="C46" s="52"/>
      <c r="AH46" s="66">
        <f aca="true" t="shared" si="27" ref="AH46:AP46">AH43/AH44</f>
        <v>0</v>
      </c>
      <c r="AI46" s="66">
        <f t="shared" si="27"/>
        <v>-0.1007459640331124</v>
      </c>
      <c r="AJ46" s="66">
        <f t="shared" si="27"/>
        <v>0.466247950020868</v>
      </c>
      <c r="AK46" s="66">
        <f t="shared" si="27"/>
        <v>0.9033877221491105</v>
      </c>
      <c r="AL46" s="66">
        <f t="shared" si="27"/>
        <v>0.9924191475272416</v>
      </c>
      <c r="AM46" s="66">
        <f t="shared" si="27"/>
        <v>1.0581838101567678</v>
      </c>
      <c r="AN46" s="66">
        <f t="shared" si="27"/>
        <v>1.1185183630278932</v>
      </c>
      <c r="AO46" s="66">
        <f t="shared" si="27"/>
        <v>1.1738711638270904</v>
      </c>
      <c r="AP46" s="66">
        <f t="shared" si="27"/>
        <v>1.2246535498814</v>
      </c>
    </row>
    <row r="47" spans="1:42" ht="12.75">
      <c r="A47" s="50" t="s">
        <v>67</v>
      </c>
      <c r="B47" s="52"/>
      <c r="C47" s="52"/>
      <c r="AH47" s="67" t="str">
        <f>IF(ISERROR(IRR($AH39:AH$39))," ",IF(IRR($AH39:AH$39)&lt;0," ",IRR($AH39:AH$39)))</f>
        <v> </v>
      </c>
      <c r="AI47" s="67" t="str">
        <f>IF(ISERROR(IRR($AH39:AI$39))," ",IF(IRR($AH39:AI$39)&lt;0," ",IRR($AH39:AI$39)))</f>
        <v> </v>
      </c>
      <c r="AJ47" s="67" t="str">
        <f>IF(ISERROR(IRR($AH39:AJ$39))," ",IF(IRR($AH39:AJ$39)&lt;0," ",IRR($AH39:AJ$39)))</f>
        <v> </v>
      </c>
      <c r="AK47" s="67">
        <f>IF(ISERROR(IRR($AH39:AK$39))," ",IF(IRR($AH39:AK$39)&lt;0," ",IRR($AH39:AK$39)))</f>
        <v>0.02678102025037012</v>
      </c>
      <c r="AL47" s="67">
        <f>IF(ISERROR(IRR($AH39:AL$39))," ",IF(IRR($AH39:AL$39)&lt;0," ",IRR($AH39:AL$39)))</f>
        <v>0.08547377781021745</v>
      </c>
      <c r="AM47" s="67">
        <f>IF(ISERROR(IRR($AH39:AM$39))," ",IF(IRR($AH39:AM$39)&lt;0," ",IRR($AH39:AM$39)))</f>
        <v>0.12182713329265844</v>
      </c>
      <c r="AN47" s="67">
        <f>IF(ISERROR(IRR($AH39:AN$39))," ",IF(IRR($AH39:AN$39)&lt;0," ",IRR($AH39:AN$39)))</f>
        <v>0.14919457503710784</v>
      </c>
      <c r="AO47" s="67">
        <f>IF(ISERROR(IRR($AH39:AO$39))," ",IF(IRR($AH39:AO$39)&lt;0," ",IRR($AH39:AO$39)))</f>
        <v>0.16951943871788852</v>
      </c>
      <c r="AP47" s="67">
        <f>IF(ISERROR(IRR($AH39:AP$39))," ",IF(IRR($AH39:AP$39)&lt;0," ",IRR($AH39:AP$39)))</f>
        <v>0.18461438801161115</v>
      </c>
    </row>
    <row r="48" spans="1:3" ht="12.75">
      <c r="A48" s="68" t="s">
        <v>31</v>
      </c>
      <c r="B48" s="56">
        <f>AK35-AK41/AL39</f>
        <v>2.605439364827893</v>
      </c>
      <c r="C48" s="52"/>
    </row>
    <row r="49" spans="1:3" ht="12.75">
      <c r="A49" s="68" t="s">
        <v>25</v>
      </c>
      <c r="B49" s="56">
        <f>AL35-AL42/AM40</f>
        <v>4.115272430050522</v>
      </c>
      <c r="C49" s="52"/>
    </row>
    <row r="50" spans="1:3" ht="12.75">
      <c r="A50" s="50"/>
      <c r="B50" s="52"/>
      <c r="C50" s="52"/>
    </row>
    <row r="51" spans="1:3" ht="12.75">
      <c r="A51" s="50"/>
      <c r="B51" s="52"/>
      <c r="C51" s="52"/>
    </row>
    <row r="52" spans="1:3" ht="12.75">
      <c r="A52" s="50"/>
      <c r="B52" s="52"/>
      <c r="C52" s="52"/>
    </row>
    <row r="53" spans="1:3" ht="12.75">
      <c r="A53" s="50"/>
      <c r="B53" s="52"/>
      <c r="C53" s="52"/>
    </row>
    <row r="54" spans="1:3" ht="12.75">
      <c r="A54" s="50"/>
      <c r="B54" s="52"/>
      <c r="C54" s="52"/>
    </row>
    <row r="55" spans="1:3" ht="12.75">
      <c r="A55" s="50"/>
      <c r="B55" s="52"/>
      <c r="C55" s="52"/>
    </row>
    <row r="56" spans="1:3" ht="12.75">
      <c r="A56" s="50"/>
      <c r="B56" s="52"/>
      <c r="C56" s="52"/>
    </row>
    <row r="57" spans="1:3" ht="12.75">
      <c r="A57" s="50"/>
      <c r="B57" s="52"/>
      <c r="C57" s="52"/>
    </row>
    <row r="58" spans="1:3" ht="12.75">
      <c r="A58" s="50"/>
      <c r="B58" s="52"/>
      <c r="C58" s="52"/>
    </row>
    <row r="59" spans="1:3" ht="12.75">
      <c r="A59" s="50"/>
      <c r="B59" s="52"/>
      <c r="C59" s="52"/>
    </row>
    <row r="60" spans="1:3" ht="12.75">
      <c r="A60" s="50"/>
      <c r="B60" s="52"/>
      <c r="C60" s="52"/>
    </row>
    <row r="61" spans="1:3" ht="12.75">
      <c r="A61" s="50"/>
      <c r="B61" s="52"/>
      <c r="C61" s="52"/>
    </row>
    <row r="62" spans="1:33" ht="12.75">
      <c r="A62" s="50"/>
      <c r="B62" s="52"/>
      <c r="C62" s="5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2.75">
      <c r="A63" s="50"/>
      <c r="B63" s="52"/>
      <c r="C63" s="5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2.75">
      <c r="A64" s="50"/>
      <c r="B64" s="52"/>
      <c r="C64" s="5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2.75">
      <c r="A65" s="50"/>
      <c r="B65" s="52"/>
      <c r="C65" s="5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2.75">
      <c r="A66" s="50"/>
      <c r="B66" s="52"/>
      <c r="C66" s="5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2.75">
      <c r="A67" s="50"/>
      <c r="B67" s="52"/>
      <c r="C67" s="5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2.75">
      <c r="A68" s="50"/>
      <c r="B68" s="52"/>
      <c r="C68" s="5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2.75">
      <c r="A69" s="50"/>
      <c r="B69" s="52"/>
      <c r="C69" s="5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2.75">
      <c r="A70" s="50"/>
      <c r="B70" s="52"/>
      <c r="C70" s="5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2.75">
      <c r="A71" s="50"/>
      <c r="B71" s="52"/>
      <c r="C71" s="5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2.75">
      <c r="A72" s="50"/>
      <c r="B72" s="52"/>
      <c r="C72" s="5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2.75">
      <c r="A73" s="50"/>
      <c r="B73" s="52"/>
      <c r="C73" s="5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2.75">
      <c r="A74" s="50"/>
      <c r="B74" s="52"/>
      <c r="C74" s="5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2.75">
      <c r="A75" s="50"/>
      <c r="B75" s="52"/>
      <c r="C75" s="5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2.75">
      <c r="A76" s="50"/>
      <c r="B76" s="52"/>
      <c r="C76" s="5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2.75">
      <c r="A77" s="50"/>
      <c r="B77" s="52"/>
      <c r="C77" s="5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2.75">
      <c r="A78" s="50"/>
      <c r="B78" s="52"/>
      <c r="C78" s="5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2.75">
      <c r="A79" s="50"/>
      <c r="B79" s="52"/>
      <c r="C79" s="5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12.75">
      <c r="A80" s="50"/>
      <c r="B80" s="52"/>
      <c r="C80" s="5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12.75">
      <c r="A81" s="50"/>
      <c r="B81" s="52"/>
      <c r="C81" s="5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12.75">
      <c r="A82" s="50"/>
      <c r="B82" s="52"/>
      <c r="C82" s="5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2.75">
      <c r="A83" s="50"/>
      <c r="B83" s="52"/>
      <c r="C83" s="5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2.75">
      <c r="A84" s="50"/>
      <c r="B84" s="52"/>
      <c r="C84" s="5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ht="12.75">
      <c r="A85" s="50"/>
      <c r="B85" s="52"/>
      <c r="C85" s="5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12.75">
      <c r="A86" s="50"/>
      <c r="B86" s="52"/>
      <c r="C86" s="5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ht="12.75">
      <c r="A87" s="50"/>
      <c r="B87" s="52"/>
      <c r="C87" s="5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2.75">
      <c r="A88" s="50"/>
      <c r="B88" s="52"/>
      <c r="C88" s="5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2.75">
      <c r="A89" s="50"/>
      <c r="B89" s="52"/>
      <c r="C89" s="5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2.75">
      <c r="A90" s="50"/>
      <c r="B90" s="52"/>
      <c r="C90" s="5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2.75">
      <c r="A91" s="50"/>
      <c r="B91" s="52"/>
      <c r="C91" s="5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2.75">
      <c r="A92" s="50"/>
      <c r="B92" s="52"/>
      <c r="C92" s="5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2.75">
      <c r="A93" s="50"/>
      <c r="B93" s="52"/>
      <c r="C93" s="5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2.75">
      <c r="A94" s="50"/>
      <c r="B94" s="52"/>
      <c r="C94" s="5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2.75">
      <c r="A95" s="50"/>
      <c r="B95" s="52"/>
      <c r="C95" s="5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2.75">
      <c r="A96" s="50"/>
      <c r="B96" s="52"/>
      <c r="C96" s="5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2.75">
      <c r="A97" s="50"/>
      <c r="B97" s="52"/>
      <c r="C97" s="5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2.75">
      <c r="A98" s="50"/>
      <c r="B98" s="52"/>
      <c r="C98" s="5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2.75">
      <c r="A99" s="50"/>
      <c r="B99" s="52"/>
      <c r="C99" s="5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2.75">
      <c r="A100" s="50"/>
      <c r="B100" s="52"/>
      <c r="C100" s="5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ht="12.75">
      <c r="A101" s="50"/>
      <c r="B101" s="52"/>
      <c r="C101" s="5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ht="12.75">
      <c r="A102" s="50"/>
      <c r="B102" s="52"/>
      <c r="C102" s="5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ht="12.75">
      <c r="A103" s="50"/>
      <c r="B103" s="52"/>
      <c r="C103" s="5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ht="12.75">
      <c r="A104" s="50"/>
      <c r="B104" s="52"/>
      <c r="C104" s="5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ht="12.75">
      <c r="A105" s="50"/>
      <c r="B105" s="52"/>
      <c r="C105" s="5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ht="12.75">
      <c r="A106" s="50"/>
      <c r="B106" s="52"/>
      <c r="C106" s="5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ht="12.75">
      <c r="A107" s="50"/>
      <c r="B107" s="52"/>
      <c r="C107" s="5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ht="12.75">
      <c r="A108" s="50"/>
      <c r="B108" s="52"/>
      <c r="C108" s="5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ht="12.75">
      <c r="A109" s="50"/>
      <c r="B109" s="52"/>
      <c r="C109" s="5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ht="12.75">
      <c r="A110" s="50"/>
      <c r="B110" s="52"/>
      <c r="C110" s="5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ht="12.75">
      <c r="A111" s="50"/>
      <c r="B111" s="52"/>
      <c r="C111" s="5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ht="12.75">
      <c r="A112" s="50"/>
      <c r="B112" s="52"/>
      <c r="C112" s="5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ht="12.75">
      <c r="A113" s="50"/>
      <c r="B113" s="52"/>
      <c r="C113" s="5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ht="12.75">
      <c r="A114" s="50"/>
      <c r="B114" s="52"/>
      <c r="C114" s="5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ht="12.75">
      <c r="A115" s="50"/>
      <c r="B115" s="52"/>
      <c r="C115" s="5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ht="12.75">
      <c r="A116" s="50"/>
      <c r="B116" s="52"/>
      <c r="C116" s="5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ht="12.75">
      <c r="A117" s="50"/>
      <c r="B117" s="52"/>
      <c r="C117" s="5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ht="12.75">
      <c r="A118" s="50"/>
      <c r="B118" s="52"/>
      <c r="C118" s="5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ht="12.75">
      <c r="A119" s="50"/>
      <c r="B119" s="52"/>
      <c r="C119" s="5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ht="12.75">
      <c r="A120" s="50"/>
      <c r="B120" s="52"/>
      <c r="C120" s="5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 ht="12.75">
      <c r="A121" s="50"/>
      <c r="B121" s="52"/>
      <c r="C121" s="5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ht="12.75">
      <c r="A122" s="50"/>
      <c r="B122" s="52"/>
      <c r="C122" s="5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ht="12.75">
      <c r="A123" s="50"/>
      <c r="B123" s="52"/>
      <c r="C123" s="5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ht="12.75">
      <c r="A124" s="50"/>
      <c r="B124" s="52"/>
      <c r="C124" s="5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ht="12.75">
      <c r="A125" s="50"/>
      <c r="B125" s="52"/>
      <c r="C125" s="5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ht="12.75">
      <c r="A126" s="50"/>
      <c r="B126" s="52"/>
      <c r="C126" s="5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ht="12.75">
      <c r="A127" s="50"/>
      <c r="B127" s="52"/>
      <c r="C127" s="5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ht="12.75">
      <c r="A128" s="50"/>
      <c r="B128" s="52"/>
      <c r="C128" s="5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ht="12.75">
      <c r="A129" s="50"/>
      <c r="B129" s="52"/>
      <c r="C129" s="5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ht="12.75">
      <c r="A130" s="50"/>
      <c r="B130" s="52"/>
      <c r="C130" s="5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ht="12.75">
      <c r="A131" s="50"/>
      <c r="B131" s="52"/>
      <c r="C131" s="5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ht="12.75">
      <c r="A132" s="50"/>
      <c r="B132" s="52"/>
      <c r="C132" s="5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ht="12.75">
      <c r="A133" s="50"/>
      <c r="B133" s="52"/>
      <c r="C133" s="5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ht="12.75">
      <c r="A134" s="50"/>
      <c r="B134" s="52"/>
      <c r="C134" s="5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ht="12.75">
      <c r="A135" s="50"/>
      <c r="B135" s="52"/>
      <c r="C135" s="5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ht="12.75">
      <c r="A136" s="50"/>
      <c r="B136" s="52"/>
      <c r="C136" s="5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ht="12.75">
      <c r="A137" s="50"/>
      <c r="B137" s="52"/>
      <c r="C137" s="5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 ht="12.75">
      <c r="A138" s="50"/>
      <c r="B138" s="52"/>
      <c r="C138" s="5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ht="12.75">
      <c r="A139" s="50"/>
      <c r="B139" s="52"/>
      <c r="C139" s="5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1:33" ht="12.75">
      <c r="A140" s="50"/>
      <c r="B140" s="52"/>
      <c r="C140" s="5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1:33" ht="12.75">
      <c r="A141" s="50"/>
      <c r="B141" s="52"/>
      <c r="C141" s="5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EP60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ES10" sqref="ES10"/>
    </sheetView>
  </sheetViews>
  <sheetFormatPr defaultColWidth="9.00390625" defaultRowHeight="12.75" outlineLevelRow="1" outlineLevelCol="1"/>
  <cols>
    <col min="1" max="1" width="23.25390625" style="171" customWidth="1"/>
    <col min="2" max="2" width="12.125" style="171" customWidth="1"/>
    <col min="3" max="14" width="9.125" style="171" hidden="1" customWidth="1" outlineLevel="1"/>
    <col min="15" max="15" width="8.375" style="172" customWidth="1" collapsed="1"/>
    <col min="16" max="27" width="8.375" style="171" hidden="1" customWidth="1" outlineLevel="1"/>
    <col min="28" max="28" width="9.75390625" style="172" customWidth="1" collapsed="1"/>
    <col min="29" max="40" width="9.75390625" style="171" hidden="1" customWidth="1" outlineLevel="1"/>
    <col min="41" max="41" width="10.125" style="172" customWidth="1" collapsed="1"/>
    <col min="42" max="53" width="9.75390625" style="171" hidden="1" customWidth="1" outlineLevel="1"/>
    <col min="54" max="54" width="8.375" style="172" customWidth="1" collapsed="1"/>
    <col min="55" max="66" width="8.375" style="171" hidden="1" customWidth="1" outlineLevel="1"/>
    <col min="67" max="67" width="8.375" style="172" customWidth="1" collapsed="1"/>
    <col min="68" max="79" width="8.375" style="171" hidden="1" customWidth="1" outlineLevel="1"/>
    <col min="80" max="80" width="8.375" style="172" customWidth="1" collapsed="1"/>
    <col min="81" max="92" width="8.375" style="171" hidden="1" customWidth="1" outlineLevel="1"/>
    <col min="93" max="93" width="8.375" style="172" hidden="1" customWidth="1"/>
    <col min="94" max="105" width="8.375" style="171" hidden="1" customWidth="1" outlineLevel="1"/>
    <col min="106" max="106" width="8.375" style="172" hidden="1" customWidth="1"/>
    <col min="107" max="118" width="8.375" style="171" hidden="1" customWidth="1" outlineLevel="1"/>
    <col min="119" max="119" width="8.375" style="172" hidden="1" customWidth="1" collapsed="1"/>
    <col min="120" max="131" width="8.375" style="171" hidden="1" customWidth="1" outlineLevel="1"/>
    <col min="132" max="132" width="8.375" style="172" hidden="1" customWidth="1" collapsed="1"/>
    <col min="133" max="144" width="8.375" style="171" hidden="1" customWidth="1" outlineLevel="1"/>
    <col min="145" max="145" width="8.375" style="172" hidden="1" customWidth="1" collapsed="1"/>
    <col min="146" max="146" width="12.25390625" style="171" customWidth="1"/>
    <col min="147" max="16384" width="9.125" style="171" customWidth="1"/>
  </cols>
  <sheetData>
    <row r="1" ht="9.75" customHeight="1"/>
    <row r="2" spans="1:15" ht="18.75" customHeight="1">
      <c r="A2" s="172" t="s">
        <v>94</v>
      </c>
      <c r="B2" s="173"/>
      <c r="D2" s="174"/>
      <c r="E2" s="174"/>
      <c r="F2" s="175"/>
      <c r="G2" s="174"/>
      <c r="O2" s="176"/>
    </row>
    <row r="3" spans="1:15" ht="13.5" customHeight="1">
      <c r="A3" s="177"/>
      <c r="B3" s="173"/>
      <c r="D3" s="174"/>
      <c r="E3" s="174"/>
      <c r="F3" s="175"/>
      <c r="G3" s="174"/>
      <c r="O3" s="176"/>
    </row>
    <row r="4" spans="1:2" ht="12.75">
      <c r="A4" s="264" t="s">
        <v>230</v>
      </c>
      <c r="B4" s="265"/>
    </row>
    <row r="5" spans="1:145" ht="15.75" customHeight="1">
      <c r="A5" s="178" t="s">
        <v>10</v>
      </c>
      <c r="B5" s="266">
        <f>Исх!C31</f>
        <v>0</v>
      </c>
      <c r="C5" s="370">
        <v>2019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>
        <v>2020</v>
      </c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>
        <v>2021</v>
      </c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>
        <v>2022</v>
      </c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>
        <v>2023</v>
      </c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>
        <v>2024</v>
      </c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>
        <v>2021</v>
      </c>
      <c r="CD5" s="370"/>
      <c r="CE5" s="370"/>
      <c r="CF5" s="370"/>
      <c r="CG5" s="370"/>
      <c r="CH5" s="370"/>
      <c r="CI5" s="370"/>
      <c r="CJ5" s="370"/>
      <c r="CK5" s="370"/>
      <c r="CL5" s="370"/>
      <c r="CM5" s="370"/>
      <c r="CN5" s="370"/>
      <c r="CO5" s="370"/>
      <c r="CP5" s="370">
        <v>2022</v>
      </c>
      <c r="CQ5" s="370"/>
      <c r="CR5" s="370"/>
      <c r="CS5" s="370"/>
      <c r="CT5" s="370"/>
      <c r="CU5" s="370"/>
      <c r="CV5" s="370"/>
      <c r="CW5" s="370"/>
      <c r="CX5" s="370"/>
      <c r="CY5" s="370"/>
      <c r="CZ5" s="370"/>
      <c r="DA5" s="370"/>
      <c r="DB5" s="370"/>
      <c r="DC5" s="370">
        <v>2023</v>
      </c>
      <c r="DD5" s="370"/>
      <c r="DE5" s="370"/>
      <c r="DF5" s="370"/>
      <c r="DG5" s="370"/>
      <c r="DH5" s="370"/>
      <c r="DI5" s="370"/>
      <c r="DJ5" s="370"/>
      <c r="DK5" s="370"/>
      <c r="DL5" s="370"/>
      <c r="DM5" s="370"/>
      <c r="DN5" s="370"/>
      <c r="DO5" s="370"/>
      <c r="DP5" s="370">
        <v>2024</v>
      </c>
      <c r="DQ5" s="370"/>
      <c r="DR5" s="370"/>
      <c r="DS5" s="370"/>
      <c r="DT5" s="370"/>
      <c r="DU5" s="370"/>
      <c r="DV5" s="370"/>
      <c r="DW5" s="370"/>
      <c r="DX5" s="370"/>
      <c r="DY5" s="370"/>
      <c r="DZ5" s="370"/>
      <c r="EA5" s="370"/>
      <c r="EB5" s="370"/>
      <c r="EC5" s="370">
        <v>2025</v>
      </c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</row>
    <row r="6" spans="1:145" s="183" customFormat="1" ht="15" customHeight="1">
      <c r="A6" s="179" t="s">
        <v>8</v>
      </c>
      <c r="B6" s="180" t="s">
        <v>84</v>
      </c>
      <c r="C6" s="181">
        <v>1</v>
      </c>
      <c r="D6" s="181">
        <v>2</v>
      </c>
      <c r="E6" s="181">
        <f>D6+1</f>
        <v>3</v>
      </c>
      <c r="F6" s="181">
        <f aca="true" t="shared" si="0" ref="F6:N6">E6+1</f>
        <v>4</v>
      </c>
      <c r="G6" s="181">
        <f t="shared" si="0"/>
        <v>5</v>
      </c>
      <c r="H6" s="181">
        <f t="shared" si="0"/>
        <v>6</v>
      </c>
      <c r="I6" s="181">
        <f t="shared" si="0"/>
        <v>7</v>
      </c>
      <c r="J6" s="181">
        <f t="shared" si="0"/>
        <v>8</v>
      </c>
      <c r="K6" s="181">
        <f t="shared" si="0"/>
        <v>9</v>
      </c>
      <c r="L6" s="181">
        <f t="shared" si="0"/>
        <v>10</v>
      </c>
      <c r="M6" s="181">
        <f t="shared" si="0"/>
        <v>11</v>
      </c>
      <c r="N6" s="181">
        <f t="shared" si="0"/>
        <v>12</v>
      </c>
      <c r="O6" s="182" t="s">
        <v>0</v>
      </c>
      <c r="P6" s="181">
        <v>1</v>
      </c>
      <c r="Q6" s="181">
        <v>2</v>
      </c>
      <c r="R6" s="181">
        <f>Q6+1</f>
        <v>3</v>
      </c>
      <c r="S6" s="181">
        <f aca="true" t="shared" si="1" ref="S6:AA6">R6+1</f>
        <v>4</v>
      </c>
      <c r="T6" s="181">
        <f t="shared" si="1"/>
        <v>5</v>
      </c>
      <c r="U6" s="181">
        <f t="shared" si="1"/>
        <v>6</v>
      </c>
      <c r="V6" s="181">
        <f t="shared" si="1"/>
        <v>7</v>
      </c>
      <c r="W6" s="181">
        <f t="shared" si="1"/>
        <v>8</v>
      </c>
      <c r="X6" s="181">
        <f t="shared" si="1"/>
        <v>9</v>
      </c>
      <c r="Y6" s="181">
        <f t="shared" si="1"/>
        <v>10</v>
      </c>
      <c r="Z6" s="181">
        <f t="shared" si="1"/>
        <v>11</v>
      </c>
      <c r="AA6" s="181">
        <f t="shared" si="1"/>
        <v>12</v>
      </c>
      <c r="AB6" s="182" t="s">
        <v>0</v>
      </c>
      <c r="AC6" s="181">
        <v>1</v>
      </c>
      <c r="AD6" s="181">
        <v>2</v>
      </c>
      <c r="AE6" s="181">
        <f aca="true" t="shared" si="2" ref="AE6:BN6">AD6+1</f>
        <v>3</v>
      </c>
      <c r="AF6" s="181">
        <f t="shared" si="2"/>
        <v>4</v>
      </c>
      <c r="AG6" s="181">
        <f t="shared" si="2"/>
        <v>5</v>
      </c>
      <c r="AH6" s="181">
        <f t="shared" si="2"/>
        <v>6</v>
      </c>
      <c r="AI6" s="181">
        <f t="shared" si="2"/>
        <v>7</v>
      </c>
      <c r="AJ6" s="181">
        <f t="shared" si="2"/>
        <v>8</v>
      </c>
      <c r="AK6" s="181">
        <f t="shared" si="2"/>
        <v>9</v>
      </c>
      <c r="AL6" s="181">
        <f t="shared" si="2"/>
        <v>10</v>
      </c>
      <c r="AM6" s="181">
        <f t="shared" si="2"/>
        <v>11</v>
      </c>
      <c r="AN6" s="181">
        <f t="shared" si="2"/>
        <v>12</v>
      </c>
      <c r="AO6" s="182" t="s">
        <v>0</v>
      </c>
      <c r="AP6" s="181">
        <v>1</v>
      </c>
      <c r="AQ6" s="181">
        <v>2</v>
      </c>
      <c r="AR6" s="181">
        <f>AQ6+1</f>
        <v>3</v>
      </c>
      <c r="AS6" s="181">
        <f t="shared" si="2"/>
        <v>4</v>
      </c>
      <c r="AT6" s="181">
        <f t="shared" si="2"/>
        <v>5</v>
      </c>
      <c r="AU6" s="181">
        <f t="shared" si="2"/>
        <v>6</v>
      </c>
      <c r="AV6" s="181">
        <f t="shared" si="2"/>
        <v>7</v>
      </c>
      <c r="AW6" s="181">
        <f t="shared" si="2"/>
        <v>8</v>
      </c>
      <c r="AX6" s="181">
        <f t="shared" si="2"/>
        <v>9</v>
      </c>
      <c r="AY6" s="181">
        <f t="shared" si="2"/>
        <v>10</v>
      </c>
      <c r="AZ6" s="181">
        <f t="shared" si="2"/>
        <v>11</v>
      </c>
      <c r="BA6" s="181">
        <f t="shared" si="2"/>
        <v>12</v>
      </c>
      <c r="BB6" s="182" t="s">
        <v>0</v>
      </c>
      <c r="BC6" s="181">
        <v>1</v>
      </c>
      <c r="BD6" s="181">
        <v>2</v>
      </c>
      <c r="BE6" s="181">
        <f>BD6+1</f>
        <v>3</v>
      </c>
      <c r="BF6" s="181">
        <f t="shared" si="2"/>
        <v>4</v>
      </c>
      <c r="BG6" s="181">
        <f t="shared" si="2"/>
        <v>5</v>
      </c>
      <c r="BH6" s="181">
        <f t="shared" si="2"/>
        <v>6</v>
      </c>
      <c r="BI6" s="181">
        <f t="shared" si="2"/>
        <v>7</v>
      </c>
      <c r="BJ6" s="181">
        <f t="shared" si="2"/>
        <v>8</v>
      </c>
      <c r="BK6" s="181">
        <f t="shared" si="2"/>
        <v>9</v>
      </c>
      <c r="BL6" s="181">
        <f t="shared" si="2"/>
        <v>10</v>
      </c>
      <c r="BM6" s="181">
        <f t="shared" si="2"/>
        <v>11</v>
      </c>
      <c r="BN6" s="181">
        <f t="shared" si="2"/>
        <v>12</v>
      </c>
      <c r="BO6" s="182" t="s">
        <v>0</v>
      </c>
      <c r="BP6" s="181">
        <v>1</v>
      </c>
      <c r="BQ6" s="181">
        <v>2</v>
      </c>
      <c r="BR6" s="181">
        <f aca="true" t="shared" si="3" ref="BR6:CA6">BQ6+1</f>
        <v>3</v>
      </c>
      <c r="BS6" s="181">
        <f t="shared" si="3"/>
        <v>4</v>
      </c>
      <c r="BT6" s="181">
        <f t="shared" si="3"/>
        <v>5</v>
      </c>
      <c r="BU6" s="181">
        <f t="shared" si="3"/>
        <v>6</v>
      </c>
      <c r="BV6" s="181">
        <f t="shared" si="3"/>
        <v>7</v>
      </c>
      <c r="BW6" s="181">
        <f t="shared" si="3"/>
        <v>8</v>
      </c>
      <c r="BX6" s="181">
        <f t="shared" si="3"/>
        <v>9</v>
      </c>
      <c r="BY6" s="181">
        <f t="shared" si="3"/>
        <v>10</v>
      </c>
      <c r="BZ6" s="181">
        <f t="shared" si="3"/>
        <v>11</v>
      </c>
      <c r="CA6" s="181">
        <f t="shared" si="3"/>
        <v>12</v>
      </c>
      <c r="CB6" s="182" t="s">
        <v>0</v>
      </c>
      <c r="CC6" s="181">
        <v>1</v>
      </c>
      <c r="CD6" s="181">
        <v>2</v>
      </c>
      <c r="CE6" s="181">
        <f aca="true" t="shared" si="4" ref="CE6:CN6">CD6+1</f>
        <v>3</v>
      </c>
      <c r="CF6" s="181">
        <f t="shared" si="4"/>
        <v>4</v>
      </c>
      <c r="CG6" s="181">
        <f t="shared" si="4"/>
        <v>5</v>
      </c>
      <c r="CH6" s="181">
        <f t="shared" si="4"/>
        <v>6</v>
      </c>
      <c r="CI6" s="181">
        <f t="shared" si="4"/>
        <v>7</v>
      </c>
      <c r="CJ6" s="181">
        <f t="shared" si="4"/>
        <v>8</v>
      </c>
      <c r="CK6" s="181">
        <f t="shared" si="4"/>
        <v>9</v>
      </c>
      <c r="CL6" s="181">
        <f t="shared" si="4"/>
        <v>10</v>
      </c>
      <c r="CM6" s="181">
        <f t="shared" si="4"/>
        <v>11</v>
      </c>
      <c r="CN6" s="181">
        <f t="shared" si="4"/>
        <v>12</v>
      </c>
      <c r="CO6" s="182" t="s">
        <v>0</v>
      </c>
      <c r="CP6" s="181">
        <v>1</v>
      </c>
      <c r="CQ6" s="181">
        <v>2</v>
      </c>
      <c r="CR6" s="181">
        <f aca="true" t="shared" si="5" ref="CR6:DA6">CQ6+1</f>
        <v>3</v>
      </c>
      <c r="CS6" s="181">
        <f t="shared" si="5"/>
        <v>4</v>
      </c>
      <c r="CT6" s="181">
        <f t="shared" si="5"/>
        <v>5</v>
      </c>
      <c r="CU6" s="181">
        <f t="shared" si="5"/>
        <v>6</v>
      </c>
      <c r="CV6" s="181">
        <f t="shared" si="5"/>
        <v>7</v>
      </c>
      <c r="CW6" s="181">
        <f t="shared" si="5"/>
        <v>8</v>
      </c>
      <c r="CX6" s="181">
        <f t="shared" si="5"/>
        <v>9</v>
      </c>
      <c r="CY6" s="181">
        <f t="shared" si="5"/>
        <v>10</v>
      </c>
      <c r="CZ6" s="181">
        <f t="shared" si="5"/>
        <v>11</v>
      </c>
      <c r="DA6" s="181">
        <f t="shared" si="5"/>
        <v>12</v>
      </c>
      <c r="DB6" s="182" t="s">
        <v>0</v>
      </c>
      <c r="DC6" s="181">
        <v>1</v>
      </c>
      <c r="DD6" s="181">
        <v>2</v>
      </c>
      <c r="DE6" s="181">
        <f aca="true" t="shared" si="6" ref="DE6:DN6">DD6+1</f>
        <v>3</v>
      </c>
      <c r="DF6" s="181">
        <f t="shared" si="6"/>
        <v>4</v>
      </c>
      <c r="DG6" s="181">
        <f t="shared" si="6"/>
        <v>5</v>
      </c>
      <c r="DH6" s="181">
        <f t="shared" si="6"/>
        <v>6</v>
      </c>
      <c r="DI6" s="181">
        <f t="shared" si="6"/>
        <v>7</v>
      </c>
      <c r="DJ6" s="181">
        <f t="shared" si="6"/>
        <v>8</v>
      </c>
      <c r="DK6" s="181">
        <f t="shared" si="6"/>
        <v>9</v>
      </c>
      <c r="DL6" s="181">
        <f t="shared" si="6"/>
        <v>10</v>
      </c>
      <c r="DM6" s="181">
        <f t="shared" si="6"/>
        <v>11</v>
      </c>
      <c r="DN6" s="181">
        <f t="shared" si="6"/>
        <v>12</v>
      </c>
      <c r="DO6" s="182" t="s">
        <v>0</v>
      </c>
      <c r="DP6" s="181">
        <v>1</v>
      </c>
      <c r="DQ6" s="181">
        <v>2</v>
      </c>
      <c r="DR6" s="181">
        <f aca="true" t="shared" si="7" ref="DR6:EA6">DQ6+1</f>
        <v>3</v>
      </c>
      <c r="DS6" s="181">
        <f t="shared" si="7"/>
        <v>4</v>
      </c>
      <c r="DT6" s="181">
        <f t="shared" si="7"/>
        <v>5</v>
      </c>
      <c r="DU6" s="181">
        <f t="shared" si="7"/>
        <v>6</v>
      </c>
      <c r="DV6" s="181">
        <f t="shared" si="7"/>
        <v>7</v>
      </c>
      <c r="DW6" s="181">
        <f t="shared" si="7"/>
        <v>8</v>
      </c>
      <c r="DX6" s="181">
        <f t="shared" si="7"/>
        <v>9</v>
      </c>
      <c r="DY6" s="181">
        <f t="shared" si="7"/>
        <v>10</v>
      </c>
      <c r="DZ6" s="181">
        <f t="shared" si="7"/>
        <v>11</v>
      </c>
      <c r="EA6" s="181">
        <f t="shared" si="7"/>
        <v>12</v>
      </c>
      <c r="EB6" s="182" t="s">
        <v>0</v>
      </c>
      <c r="EC6" s="181">
        <v>1</v>
      </c>
      <c r="ED6" s="181">
        <v>2</v>
      </c>
      <c r="EE6" s="181">
        <f aca="true" t="shared" si="8" ref="EE6:EN6">ED6+1</f>
        <v>3</v>
      </c>
      <c r="EF6" s="181">
        <f t="shared" si="8"/>
        <v>4</v>
      </c>
      <c r="EG6" s="181">
        <f t="shared" si="8"/>
        <v>5</v>
      </c>
      <c r="EH6" s="181">
        <f t="shared" si="8"/>
        <v>6</v>
      </c>
      <c r="EI6" s="181">
        <f t="shared" si="8"/>
        <v>7</v>
      </c>
      <c r="EJ6" s="181">
        <f t="shared" si="8"/>
        <v>8</v>
      </c>
      <c r="EK6" s="181">
        <f t="shared" si="8"/>
        <v>9</v>
      </c>
      <c r="EL6" s="181">
        <f t="shared" si="8"/>
        <v>10</v>
      </c>
      <c r="EM6" s="181">
        <f t="shared" si="8"/>
        <v>11</v>
      </c>
      <c r="EN6" s="181">
        <f t="shared" si="8"/>
        <v>12</v>
      </c>
      <c r="EO6" s="182" t="s">
        <v>0</v>
      </c>
    </row>
    <row r="7" spans="1:146" ht="12.75">
      <c r="A7" s="179" t="s">
        <v>102</v>
      </c>
      <c r="B7" s="184">
        <f>O7+AB7+AO7+BB7+BO7+CB7+CO7+DB7+DO7+EB7+EO7</f>
        <v>1500000</v>
      </c>
      <c r="C7" s="185">
        <f>C20+C35+C50</f>
        <v>0</v>
      </c>
      <c r="D7" s="185">
        <f aca="true" t="shared" si="9" ref="D7:N7">D20+D35+D50</f>
        <v>0</v>
      </c>
      <c r="E7" s="185">
        <f t="shared" si="9"/>
        <v>0</v>
      </c>
      <c r="F7" s="185">
        <f t="shared" si="9"/>
        <v>0</v>
      </c>
      <c r="G7" s="185">
        <f t="shared" si="9"/>
        <v>0</v>
      </c>
      <c r="H7" s="185">
        <f t="shared" si="9"/>
        <v>0</v>
      </c>
      <c r="I7" s="185">
        <f t="shared" si="9"/>
        <v>0</v>
      </c>
      <c r="J7" s="185">
        <f t="shared" si="9"/>
        <v>0</v>
      </c>
      <c r="K7" s="185">
        <f t="shared" si="9"/>
        <v>0</v>
      </c>
      <c r="L7" s="185">
        <f t="shared" si="9"/>
        <v>0</v>
      </c>
      <c r="M7" s="185">
        <f t="shared" si="9"/>
        <v>0</v>
      </c>
      <c r="N7" s="185">
        <f t="shared" si="9"/>
        <v>148800</v>
      </c>
      <c r="O7" s="186">
        <f>SUM(C7:N7)</f>
        <v>148800</v>
      </c>
      <c r="P7" s="185">
        <f aca="true" t="shared" si="10" ref="P7:AA12">P20+P35+P50</f>
        <v>375000</v>
      </c>
      <c r="Q7" s="185">
        <f t="shared" si="10"/>
        <v>375000</v>
      </c>
      <c r="R7" s="185">
        <f t="shared" si="10"/>
        <v>0</v>
      </c>
      <c r="S7" s="185">
        <f t="shared" si="10"/>
        <v>0</v>
      </c>
      <c r="T7" s="185">
        <f t="shared" si="10"/>
        <v>375000</v>
      </c>
      <c r="U7" s="185">
        <f t="shared" si="10"/>
        <v>226200</v>
      </c>
      <c r="V7" s="185">
        <f t="shared" si="10"/>
        <v>0</v>
      </c>
      <c r="W7" s="185">
        <f t="shared" si="10"/>
        <v>0</v>
      </c>
      <c r="X7" s="185">
        <f t="shared" si="10"/>
        <v>0</v>
      </c>
      <c r="Y7" s="185">
        <f t="shared" si="10"/>
        <v>0</v>
      </c>
      <c r="Z7" s="185">
        <f t="shared" si="10"/>
        <v>0</v>
      </c>
      <c r="AA7" s="185">
        <f t="shared" si="10"/>
        <v>0</v>
      </c>
      <c r="AB7" s="186">
        <f>SUM(P7:AA7)</f>
        <v>1351200</v>
      </c>
      <c r="AC7" s="185">
        <f aca="true" t="shared" si="11" ref="AC7:AN12">AC20+AC35+AC50</f>
        <v>0</v>
      </c>
      <c r="AD7" s="185">
        <f t="shared" si="11"/>
        <v>0</v>
      </c>
      <c r="AE7" s="185">
        <f t="shared" si="11"/>
        <v>0</v>
      </c>
      <c r="AF7" s="185">
        <f t="shared" si="11"/>
        <v>0</v>
      </c>
      <c r="AG7" s="185">
        <f t="shared" si="11"/>
        <v>0</v>
      </c>
      <c r="AH7" s="185">
        <f t="shared" si="11"/>
        <v>0</v>
      </c>
      <c r="AI7" s="185">
        <f t="shared" si="11"/>
        <v>0</v>
      </c>
      <c r="AJ7" s="185">
        <f t="shared" si="11"/>
        <v>0</v>
      </c>
      <c r="AK7" s="185">
        <f t="shared" si="11"/>
        <v>0</v>
      </c>
      <c r="AL7" s="185">
        <f t="shared" si="11"/>
        <v>0</v>
      </c>
      <c r="AM7" s="185">
        <f t="shared" si="11"/>
        <v>0</v>
      </c>
      <c r="AN7" s="185">
        <f t="shared" si="11"/>
        <v>0</v>
      </c>
      <c r="AO7" s="186">
        <f>SUM(AC7:AN7)</f>
        <v>0</v>
      </c>
      <c r="AP7" s="185">
        <f aca="true" t="shared" si="12" ref="AP7:BA12">AP20+AP35+AP50</f>
        <v>0</v>
      </c>
      <c r="AQ7" s="185">
        <f t="shared" si="12"/>
        <v>0</v>
      </c>
      <c r="AR7" s="185">
        <f t="shared" si="12"/>
        <v>0</v>
      </c>
      <c r="AS7" s="185">
        <f t="shared" si="12"/>
        <v>0</v>
      </c>
      <c r="AT7" s="185">
        <f t="shared" si="12"/>
        <v>0</v>
      </c>
      <c r="AU7" s="185">
        <f t="shared" si="12"/>
        <v>0</v>
      </c>
      <c r="AV7" s="185">
        <f t="shared" si="12"/>
        <v>0</v>
      </c>
      <c r="AW7" s="185">
        <f t="shared" si="12"/>
        <v>0</v>
      </c>
      <c r="AX7" s="185">
        <f t="shared" si="12"/>
        <v>0</v>
      </c>
      <c r="AY7" s="185">
        <f t="shared" si="12"/>
        <v>0</v>
      </c>
      <c r="AZ7" s="185">
        <f t="shared" si="12"/>
        <v>0</v>
      </c>
      <c r="BA7" s="185">
        <f t="shared" si="12"/>
        <v>0</v>
      </c>
      <c r="BB7" s="186">
        <f>SUM(AP7:BA7)</f>
        <v>0</v>
      </c>
      <c r="BC7" s="185">
        <f aca="true" t="shared" si="13" ref="BC7:BN12">BC20+BC35+BC50</f>
        <v>0</v>
      </c>
      <c r="BD7" s="185">
        <f t="shared" si="13"/>
        <v>0</v>
      </c>
      <c r="BE7" s="185">
        <f t="shared" si="13"/>
        <v>0</v>
      </c>
      <c r="BF7" s="185">
        <f t="shared" si="13"/>
        <v>0</v>
      </c>
      <c r="BG7" s="185">
        <f t="shared" si="13"/>
        <v>0</v>
      </c>
      <c r="BH7" s="185">
        <f t="shared" si="13"/>
        <v>0</v>
      </c>
      <c r="BI7" s="185">
        <f t="shared" si="13"/>
        <v>0</v>
      </c>
      <c r="BJ7" s="185">
        <f t="shared" si="13"/>
        <v>0</v>
      </c>
      <c r="BK7" s="185">
        <f t="shared" si="13"/>
        <v>0</v>
      </c>
      <c r="BL7" s="185">
        <f t="shared" si="13"/>
        <v>0</v>
      </c>
      <c r="BM7" s="185">
        <f t="shared" si="13"/>
        <v>0</v>
      </c>
      <c r="BN7" s="185">
        <f t="shared" si="13"/>
        <v>0</v>
      </c>
      <c r="BO7" s="186">
        <f>SUM(BC7:BN7)</f>
        <v>0</v>
      </c>
      <c r="BP7" s="185">
        <f aca="true" t="shared" si="14" ref="BP7:CA12">BP20+BP35+BP50</f>
        <v>0</v>
      </c>
      <c r="BQ7" s="185">
        <f t="shared" si="14"/>
        <v>0</v>
      </c>
      <c r="BR7" s="185">
        <f t="shared" si="14"/>
        <v>0</v>
      </c>
      <c r="BS7" s="185">
        <f t="shared" si="14"/>
        <v>0</v>
      </c>
      <c r="BT7" s="185">
        <f t="shared" si="14"/>
        <v>0</v>
      </c>
      <c r="BU7" s="185">
        <f t="shared" si="14"/>
        <v>0</v>
      </c>
      <c r="BV7" s="185">
        <f t="shared" si="14"/>
        <v>0</v>
      </c>
      <c r="BW7" s="185">
        <f t="shared" si="14"/>
        <v>0</v>
      </c>
      <c r="BX7" s="185">
        <f t="shared" si="14"/>
        <v>0</v>
      </c>
      <c r="BY7" s="185">
        <f t="shared" si="14"/>
        <v>0</v>
      </c>
      <c r="BZ7" s="185">
        <f t="shared" si="14"/>
        <v>0</v>
      </c>
      <c r="CA7" s="185">
        <f t="shared" si="14"/>
        <v>0</v>
      </c>
      <c r="CB7" s="186">
        <f>SUM(BP7:CA7)</f>
        <v>0</v>
      </c>
      <c r="CC7" s="185">
        <f aca="true" t="shared" si="15" ref="CC7:CN12">CC20+CC35+CC50</f>
        <v>0</v>
      </c>
      <c r="CD7" s="185">
        <f t="shared" si="15"/>
        <v>0</v>
      </c>
      <c r="CE7" s="185">
        <f t="shared" si="15"/>
        <v>0</v>
      </c>
      <c r="CF7" s="185">
        <f t="shared" si="15"/>
        <v>0</v>
      </c>
      <c r="CG7" s="185">
        <f t="shared" si="15"/>
        <v>0</v>
      </c>
      <c r="CH7" s="185">
        <f t="shared" si="15"/>
        <v>0</v>
      </c>
      <c r="CI7" s="185">
        <f t="shared" si="15"/>
        <v>0</v>
      </c>
      <c r="CJ7" s="185">
        <f t="shared" si="15"/>
        <v>0</v>
      </c>
      <c r="CK7" s="185">
        <f t="shared" si="15"/>
        <v>0</v>
      </c>
      <c r="CL7" s="185">
        <f t="shared" si="15"/>
        <v>0</v>
      </c>
      <c r="CM7" s="185">
        <f t="shared" si="15"/>
        <v>0</v>
      </c>
      <c r="CN7" s="185">
        <f t="shared" si="15"/>
        <v>0</v>
      </c>
      <c r="CO7" s="186">
        <f>SUM(CC7:CN7)</f>
        <v>0</v>
      </c>
      <c r="CP7" s="185">
        <f aca="true" t="shared" si="16" ref="CP7:DA12">CP20+CP35+CP50</f>
        <v>0</v>
      </c>
      <c r="CQ7" s="185">
        <f t="shared" si="16"/>
        <v>0</v>
      </c>
      <c r="CR7" s="185">
        <f t="shared" si="16"/>
        <v>0</v>
      </c>
      <c r="CS7" s="185">
        <f t="shared" si="16"/>
        <v>0</v>
      </c>
      <c r="CT7" s="185">
        <f t="shared" si="16"/>
        <v>0</v>
      </c>
      <c r="CU7" s="185">
        <f t="shared" si="16"/>
        <v>0</v>
      </c>
      <c r="CV7" s="185">
        <f t="shared" si="16"/>
        <v>0</v>
      </c>
      <c r="CW7" s="185">
        <f t="shared" si="16"/>
        <v>0</v>
      </c>
      <c r="CX7" s="185">
        <f t="shared" si="16"/>
        <v>0</v>
      </c>
      <c r="CY7" s="185">
        <f t="shared" si="16"/>
        <v>0</v>
      </c>
      <c r="CZ7" s="185">
        <f t="shared" si="16"/>
        <v>0</v>
      </c>
      <c r="DA7" s="185">
        <f t="shared" si="16"/>
        <v>0</v>
      </c>
      <c r="DB7" s="186">
        <f>SUM(CP7:DA7)</f>
        <v>0</v>
      </c>
      <c r="DC7" s="185">
        <f aca="true" t="shared" si="17" ref="DC7:DN12">DC20+DC35+DC50</f>
        <v>0</v>
      </c>
      <c r="DD7" s="185">
        <f t="shared" si="17"/>
        <v>0</v>
      </c>
      <c r="DE7" s="185">
        <f t="shared" si="17"/>
        <v>0</v>
      </c>
      <c r="DF7" s="185">
        <f t="shared" si="17"/>
        <v>0</v>
      </c>
      <c r="DG7" s="185">
        <f t="shared" si="17"/>
        <v>0</v>
      </c>
      <c r="DH7" s="185">
        <f t="shared" si="17"/>
        <v>0</v>
      </c>
      <c r="DI7" s="185">
        <f t="shared" si="17"/>
        <v>0</v>
      </c>
      <c r="DJ7" s="185">
        <f t="shared" si="17"/>
        <v>0</v>
      </c>
      <c r="DK7" s="185">
        <f t="shared" si="17"/>
        <v>0</v>
      </c>
      <c r="DL7" s="185">
        <f t="shared" si="17"/>
        <v>0</v>
      </c>
      <c r="DM7" s="185">
        <f t="shared" si="17"/>
        <v>0</v>
      </c>
      <c r="DN7" s="185">
        <f t="shared" si="17"/>
        <v>0</v>
      </c>
      <c r="DO7" s="186">
        <f>SUM(DC7:DN7)</f>
        <v>0</v>
      </c>
      <c r="DP7" s="185">
        <f aca="true" t="shared" si="18" ref="DP7:EA12">DP20+DP35+DP50</f>
        <v>0</v>
      </c>
      <c r="DQ7" s="185">
        <f t="shared" si="18"/>
        <v>0</v>
      </c>
      <c r="DR7" s="185">
        <f t="shared" si="18"/>
        <v>0</v>
      </c>
      <c r="DS7" s="185">
        <f t="shared" si="18"/>
        <v>0</v>
      </c>
      <c r="DT7" s="185">
        <f t="shared" si="18"/>
        <v>0</v>
      </c>
      <c r="DU7" s="185">
        <f t="shared" si="18"/>
        <v>0</v>
      </c>
      <c r="DV7" s="185">
        <f t="shared" si="18"/>
        <v>0</v>
      </c>
      <c r="DW7" s="185">
        <f t="shared" si="18"/>
        <v>0</v>
      </c>
      <c r="DX7" s="185">
        <f t="shared" si="18"/>
        <v>0</v>
      </c>
      <c r="DY7" s="185">
        <f t="shared" si="18"/>
        <v>0</v>
      </c>
      <c r="DZ7" s="185">
        <f t="shared" si="18"/>
        <v>0</v>
      </c>
      <c r="EA7" s="185">
        <f t="shared" si="18"/>
        <v>0</v>
      </c>
      <c r="EB7" s="186">
        <f>SUM(DP7:EA7)</f>
        <v>0</v>
      </c>
      <c r="EC7" s="185">
        <f aca="true" t="shared" si="19" ref="EC7:EN12">EC20+EC35+EC50</f>
        <v>0</v>
      </c>
      <c r="ED7" s="185">
        <f t="shared" si="19"/>
        <v>0</v>
      </c>
      <c r="EE7" s="185">
        <f t="shared" si="19"/>
        <v>0</v>
      </c>
      <c r="EF7" s="185">
        <f t="shared" si="19"/>
        <v>0</v>
      </c>
      <c r="EG7" s="185">
        <f t="shared" si="19"/>
        <v>0</v>
      </c>
      <c r="EH7" s="185">
        <f t="shared" si="19"/>
        <v>0</v>
      </c>
      <c r="EI7" s="185">
        <f t="shared" si="19"/>
        <v>0</v>
      </c>
      <c r="EJ7" s="185">
        <f t="shared" si="19"/>
        <v>0</v>
      </c>
      <c r="EK7" s="185">
        <f t="shared" si="19"/>
        <v>0</v>
      </c>
      <c r="EL7" s="185">
        <f t="shared" si="19"/>
        <v>0</v>
      </c>
      <c r="EM7" s="185">
        <f t="shared" si="19"/>
        <v>0</v>
      </c>
      <c r="EN7" s="185">
        <f t="shared" si="19"/>
        <v>0</v>
      </c>
      <c r="EO7" s="186">
        <f>SUM(EC7:EN7)</f>
        <v>0</v>
      </c>
      <c r="EP7" s="187"/>
    </row>
    <row r="8" spans="1:145" s="188" customFormat="1" ht="20.25" customHeight="1">
      <c r="A8" s="179" t="s">
        <v>27</v>
      </c>
      <c r="B8" s="184">
        <f>O8+AB8+AO8+BB8+BO8+CB8+CO8+DB8+DO8+EB8+EO8</f>
        <v>0</v>
      </c>
      <c r="C8" s="185">
        <f aca="true" t="shared" si="20" ref="C8:N12">C21+C36+C51</f>
        <v>0</v>
      </c>
      <c r="D8" s="185">
        <f t="shared" si="20"/>
        <v>0</v>
      </c>
      <c r="E8" s="185">
        <f t="shared" si="20"/>
        <v>0</v>
      </c>
      <c r="F8" s="185">
        <f t="shared" si="20"/>
        <v>0</v>
      </c>
      <c r="G8" s="185">
        <f t="shared" si="20"/>
        <v>0</v>
      </c>
      <c r="H8" s="185">
        <f t="shared" si="20"/>
        <v>0</v>
      </c>
      <c r="I8" s="185">
        <f t="shared" si="20"/>
        <v>0</v>
      </c>
      <c r="J8" s="185">
        <f t="shared" si="20"/>
        <v>0</v>
      </c>
      <c r="K8" s="185">
        <f t="shared" si="20"/>
        <v>0</v>
      </c>
      <c r="L8" s="185">
        <f t="shared" si="20"/>
        <v>0</v>
      </c>
      <c r="M8" s="185">
        <f t="shared" si="20"/>
        <v>0</v>
      </c>
      <c r="N8" s="185">
        <f t="shared" si="20"/>
        <v>0</v>
      </c>
      <c r="O8" s="186">
        <f>SUM(C8:N8)</f>
        <v>0</v>
      </c>
      <c r="P8" s="185">
        <f t="shared" si="10"/>
        <v>0</v>
      </c>
      <c r="Q8" s="185">
        <f t="shared" si="10"/>
        <v>0</v>
      </c>
      <c r="R8" s="185">
        <f t="shared" si="10"/>
        <v>0</v>
      </c>
      <c r="S8" s="185">
        <f t="shared" si="10"/>
        <v>0</v>
      </c>
      <c r="T8" s="185">
        <f t="shared" si="10"/>
        <v>0</v>
      </c>
      <c r="U8" s="185">
        <f t="shared" si="10"/>
        <v>0</v>
      </c>
      <c r="V8" s="185">
        <f t="shared" si="10"/>
        <v>0</v>
      </c>
      <c r="W8" s="185">
        <f t="shared" si="10"/>
        <v>0</v>
      </c>
      <c r="X8" s="185">
        <f t="shared" si="10"/>
        <v>0</v>
      </c>
      <c r="Y8" s="185">
        <f t="shared" si="10"/>
        <v>0</v>
      </c>
      <c r="Z8" s="185">
        <f t="shared" si="10"/>
        <v>0</v>
      </c>
      <c r="AA8" s="185">
        <f t="shared" si="10"/>
        <v>0</v>
      </c>
      <c r="AB8" s="186">
        <f>SUM(P8:AA8)</f>
        <v>0</v>
      </c>
      <c r="AC8" s="185">
        <f t="shared" si="11"/>
        <v>0</v>
      </c>
      <c r="AD8" s="185">
        <f t="shared" si="11"/>
        <v>0</v>
      </c>
      <c r="AE8" s="185">
        <f t="shared" si="11"/>
        <v>0</v>
      </c>
      <c r="AF8" s="185">
        <f t="shared" si="11"/>
        <v>0</v>
      </c>
      <c r="AG8" s="185">
        <f t="shared" si="11"/>
        <v>0</v>
      </c>
      <c r="AH8" s="185">
        <f t="shared" si="11"/>
        <v>0</v>
      </c>
      <c r="AI8" s="185">
        <f t="shared" si="11"/>
        <v>0</v>
      </c>
      <c r="AJ8" s="185">
        <f t="shared" si="11"/>
        <v>0</v>
      </c>
      <c r="AK8" s="185">
        <f t="shared" si="11"/>
        <v>0</v>
      </c>
      <c r="AL8" s="185">
        <f t="shared" si="11"/>
        <v>0</v>
      </c>
      <c r="AM8" s="185">
        <f t="shared" si="11"/>
        <v>0</v>
      </c>
      <c r="AN8" s="185">
        <f t="shared" si="11"/>
        <v>0</v>
      </c>
      <c r="AO8" s="186">
        <f>SUM(AC8:AN8)</f>
        <v>0</v>
      </c>
      <c r="AP8" s="185">
        <f t="shared" si="12"/>
        <v>0</v>
      </c>
      <c r="AQ8" s="185">
        <f t="shared" si="12"/>
        <v>0</v>
      </c>
      <c r="AR8" s="185">
        <f t="shared" si="12"/>
        <v>0</v>
      </c>
      <c r="AS8" s="185">
        <f t="shared" si="12"/>
        <v>0</v>
      </c>
      <c r="AT8" s="185">
        <f t="shared" si="12"/>
        <v>0</v>
      </c>
      <c r="AU8" s="185">
        <f t="shared" si="12"/>
        <v>0</v>
      </c>
      <c r="AV8" s="185">
        <f t="shared" si="12"/>
        <v>0</v>
      </c>
      <c r="AW8" s="185">
        <f t="shared" si="12"/>
        <v>0</v>
      </c>
      <c r="AX8" s="185">
        <f t="shared" si="12"/>
        <v>0</v>
      </c>
      <c r="AY8" s="185">
        <f t="shared" si="12"/>
        <v>0</v>
      </c>
      <c r="AZ8" s="185">
        <f t="shared" si="12"/>
        <v>0</v>
      </c>
      <c r="BA8" s="185">
        <f t="shared" si="12"/>
        <v>0</v>
      </c>
      <c r="BB8" s="186">
        <f>SUM(AP8:BA8)</f>
        <v>0</v>
      </c>
      <c r="BC8" s="185">
        <f t="shared" si="13"/>
        <v>0</v>
      </c>
      <c r="BD8" s="185">
        <f t="shared" si="13"/>
        <v>0</v>
      </c>
      <c r="BE8" s="185">
        <f t="shared" si="13"/>
        <v>0</v>
      </c>
      <c r="BF8" s="185">
        <f t="shared" si="13"/>
        <v>0</v>
      </c>
      <c r="BG8" s="185">
        <f t="shared" si="13"/>
        <v>0</v>
      </c>
      <c r="BH8" s="185">
        <f t="shared" si="13"/>
        <v>0</v>
      </c>
      <c r="BI8" s="185">
        <f t="shared" si="13"/>
        <v>0</v>
      </c>
      <c r="BJ8" s="185">
        <f t="shared" si="13"/>
        <v>0</v>
      </c>
      <c r="BK8" s="185">
        <f t="shared" si="13"/>
        <v>0</v>
      </c>
      <c r="BL8" s="185">
        <f t="shared" si="13"/>
        <v>0</v>
      </c>
      <c r="BM8" s="185">
        <f t="shared" si="13"/>
        <v>0</v>
      </c>
      <c r="BN8" s="185">
        <f t="shared" si="13"/>
        <v>0</v>
      </c>
      <c r="BO8" s="186">
        <f>SUM(BC8:BN8)</f>
        <v>0</v>
      </c>
      <c r="BP8" s="185">
        <f t="shared" si="14"/>
        <v>0</v>
      </c>
      <c r="BQ8" s="185">
        <f t="shared" si="14"/>
        <v>0</v>
      </c>
      <c r="BR8" s="185">
        <f t="shared" si="14"/>
        <v>0</v>
      </c>
      <c r="BS8" s="185">
        <f t="shared" si="14"/>
        <v>0</v>
      </c>
      <c r="BT8" s="185">
        <f t="shared" si="14"/>
        <v>0</v>
      </c>
      <c r="BU8" s="185">
        <f t="shared" si="14"/>
        <v>0</v>
      </c>
      <c r="BV8" s="185">
        <f t="shared" si="14"/>
        <v>0</v>
      </c>
      <c r="BW8" s="185">
        <f t="shared" si="14"/>
        <v>0</v>
      </c>
      <c r="BX8" s="185">
        <f t="shared" si="14"/>
        <v>0</v>
      </c>
      <c r="BY8" s="185">
        <f t="shared" si="14"/>
        <v>0</v>
      </c>
      <c r="BZ8" s="185">
        <f t="shared" si="14"/>
        <v>0</v>
      </c>
      <c r="CA8" s="185">
        <f t="shared" si="14"/>
        <v>0</v>
      </c>
      <c r="CB8" s="186">
        <f>SUM(BP8:CA8)</f>
        <v>0</v>
      </c>
      <c r="CC8" s="185">
        <f t="shared" si="15"/>
        <v>0</v>
      </c>
      <c r="CD8" s="185">
        <f t="shared" si="15"/>
        <v>0</v>
      </c>
      <c r="CE8" s="185">
        <f t="shared" si="15"/>
        <v>0</v>
      </c>
      <c r="CF8" s="185">
        <f t="shared" si="15"/>
        <v>0</v>
      </c>
      <c r="CG8" s="185">
        <f t="shared" si="15"/>
        <v>0</v>
      </c>
      <c r="CH8" s="185">
        <f t="shared" si="15"/>
        <v>0</v>
      </c>
      <c r="CI8" s="185">
        <f t="shared" si="15"/>
        <v>0</v>
      </c>
      <c r="CJ8" s="185">
        <f t="shared" si="15"/>
        <v>0</v>
      </c>
      <c r="CK8" s="185">
        <f t="shared" si="15"/>
        <v>0</v>
      </c>
      <c r="CL8" s="185">
        <f t="shared" si="15"/>
        <v>0</v>
      </c>
      <c r="CM8" s="185">
        <f t="shared" si="15"/>
        <v>0</v>
      </c>
      <c r="CN8" s="185">
        <f t="shared" si="15"/>
        <v>0</v>
      </c>
      <c r="CO8" s="186">
        <f>SUM(CC8:CN8)</f>
        <v>0</v>
      </c>
      <c r="CP8" s="185">
        <f t="shared" si="16"/>
        <v>0</v>
      </c>
      <c r="CQ8" s="185">
        <f t="shared" si="16"/>
        <v>0</v>
      </c>
      <c r="CR8" s="185">
        <f t="shared" si="16"/>
        <v>0</v>
      </c>
      <c r="CS8" s="185">
        <f t="shared" si="16"/>
        <v>0</v>
      </c>
      <c r="CT8" s="185">
        <f t="shared" si="16"/>
        <v>0</v>
      </c>
      <c r="CU8" s="185">
        <f t="shared" si="16"/>
        <v>0</v>
      </c>
      <c r="CV8" s="185">
        <f t="shared" si="16"/>
        <v>0</v>
      </c>
      <c r="CW8" s="185">
        <f t="shared" si="16"/>
        <v>0</v>
      </c>
      <c r="CX8" s="185">
        <f t="shared" si="16"/>
        <v>0</v>
      </c>
      <c r="CY8" s="185">
        <f t="shared" si="16"/>
        <v>0</v>
      </c>
      <c r="CZ8" s="185">
        <f t="shared" si="16"/>
        <v>0</v>
      </c>
      <c r="DA8" s="185">
        <f t="shared" si="16"/>
        <v>0</v>
      </c>
      <c r="DB8" s="186">
        <f>SUM(CP8:DA8)</f>
        <v>0</v>
      </c>
      <c r="DC8" s="185">
        <f t="shared" si="17"/>
        <v>0</v>
      </c>
      <c r="DD8" s="185">
        <f t="shared" si="17"/>
        <v>0</v>
      </c>
      <c r="DE8" s="185">
        <f t="shared" si="17"/>
        <v>0</v>
      </c>
      <c r="DF8" s="185">
        <f t="shared" si="17"/>
        <v>0</v>
      </c>
      <c r="DG8" s="185">
        <f t="shared" si="17"/>
        <v>0</v>
      </c>
      <c r="DH8" s="185">
        <f t="shared" si="17"/>
        <v>0</v>
      </c>
      <c r="DI8" s="185">
        <f t="shared" si="17"/>
        <v>0</v>
      </c>
      <c r="DJ8" s="185">
        <f t="shared" si="17"/>
        <v>0</v>
      </c>
      <c r="DK8" s="185">
        <f t="shared" si="17"/>
        <v>0</v>
      </c>
      <c r="DL8" s="185">
        <f t="shared" si="17"/>
        <v>0</v>
      </c>
      <c r="DM8" s="185">
        <f t="shared" si="17"/>
        <v>0</v>
      </c>
      <c r="DN8" s="185">
        <f t="shared" si="17"/>
        <v>0</v>
      </c>
      <c r="DO8" s="186">
        <f>SUM(DC8:DN8)</f>
        <v>0</v>
      </c>
      <c r="DP8" s="185">
        <f t="shared" si="18"/>
        <v>0</v>
      </c>
      <c r="DQ8" s="185">
        <f t="shared" si="18"/>
        <v>0</v>
      </c>
      <c r="DR8" s="185">
        <f t="shared" si="18"/>
        <v>0</v>
      </c>
      <c r="DS8" s="185">
        <f t="shared" si="18"/>
        <v>0</v>
      </c>
      <c r="DT8" s="185">
        <f t="shared" si="18"/>
        <v>0</v>
      </c>
      <c r="DU8" s="185">
        <f t="shared" si="18"/>
        <v>0</v>
      </c>
      <c r="DV8" s="185">
        <f t="shared" si="18"/>
        <v>0</v>
      </c>
      <c r="DW8" s="185">
        <f t="shared" si="18"/>
        <v>0</v>
      </c>
      <c r="DX8" s="185">
        <f t="shared" si="18"/>
        <v>0</v>
      </c>
      <c r="DY8" s="185">
        <f t="shared" si="18"/>
        <v>0</v>
      </c>
      <c r="DZ8" s="185">
        <f t="shared" si="18"/>
        <v>0</v>
      </c>
      <c r="EA8" s="185">
        <f t="shared" si="18"/>
        <v>0</v>
      </c>
      <c r="EB8" s="186">
        <f>SUM(DP8:EA8)</f>
        <v>0</v>
      </c>
      <c r="EC8" s="185">
        <f t="shared" si="19"/>
        <v>0</v>
      </c>
      <c r="ED8" s="185">
        <f t="shared" si="19"/>
        <v>0</v>
      </c>
      <c r="EE8" s="185">
        <f t="shared" si="19"/>
        <v>0</v>
      </c>
      <c r="EF8" s="185">
        <f t="shared" si="19"/>
        <v>0</v>
      </c>
      <c r="EG8" s="185">
        <f t="shared" si="19"/>
        <v>0</v>
      </c>
      <c r="EH8" s="185">
        <f t="shared" si="19"/>
        <v>0</v>
      </c>
      <c r="EI8" s="185">
        <f t="shared" si="19"/>
        <v>0</v>
      </c>
      <c r="EJ8" s="185">
        <f t="shared" si="19"/>
        <v>0</v>
      </c>
      <c r="EK8" s="185">
        <f t="shared" si="19"/>
        <v>0</v>
      </c>
      <c r="EL8" s="185">
        <f t="shared" si="19"/>
        <v>0</v>
      </c>
      <c r="EM8" s="185">
        <f t="shared" si="19"/>
        <v>0</v>
      </c>
      <c r="EN8" s="185">
        <f t="shared" si="19"/>
        <v>0</v>
      </c>
      <c r="EO8" s="186">
        <f>SUM(EC8:EN8)</f>
        <v>0</v>
      </c>
    </row>
    <row r="9" spans="1:145" s="188" customFormat="1" ht="12.75">
      <c r="A9" s="189" t="s">
        <v>11</v>
      </c>
      <c r="B9" s="184">
        <f>O9+AB9+AO9+BB9+BO9+CB9+CO9+DB9+DO9+EB9+EO9</f>
        <v>419940</v>
      </c>
      <c r="C9" s="185">
        <f t="shared" si="20"/>
        <v>0</v>
      </c>
      <c r="D9" s="185">
        <f t="shared" si="20"/>
        <v>0</v>
      </c>
      <c r="E9" s="185">
        <f t="shared" si="20"/>
        <v>0</v>
      </c>
      <c r="F9" s="185">
        <f t="shared" si="20"/>
        <v>0</v>
      </c>
      <c r="G9" s="185">
        <f t="shared" si="20"/>
        <v>0</v>
      </c>
      <c r="H9" s="185">
        <f t="shared" si="20"/>
        <v>0</v>
      </c>
      <c r="I9" s="185">
        <f t="shared" si="20"/>
        <v>0</v>
      </c>
      <c r="J9" s="185">
        <f t="shared" si="20"/>
        <v>0</v>
      </c>
      <c r="K9" s="185">
        <f t="shared" si="20"/>
        <v>0</v>
      </c>
      <c r="L9" s="185">
        <f t="shared" si="20"/>
        <v>0</v>
      </c>
      <c r="M9" s="185">
        <f t="shared" si="20"/>
        <v>0</v>
      </c>
      <c r="N9" s="185">
        <f t="shared" si="20"/>
        <v>0</v>
      </c>
      <c r="O9" s="186">
        <f>SUM(C9:N9)</f>
        <v>0</v>
      </c>
      <c r="P9" s="185">
        <f t="shared" si="10"/>
        <v>1240</v>
      </c>
      <c r="Q9" s="185">
        <f t="shared" si="10"/>
        <v>4365</v>
      </c>
      <c r="R9" s="185">
        <f t="shared" si="10"/>
        <v>7490</v>
      </c>
      <c r="S9" s="185">
        <f t="shared" si="10"/>
        <v>7490</v>
      </c>
      <c r="T9" s="185">
        <f t="shared" si="10"/>
        <v>7490</v>
      </c>
      <c r="U9" s="185">
        <f t="shared" si="10"/>
        <v>10615</v>
      </c>
      <c r="V9" s="185">
        <f t="shared" si="10"/>
        <v>12500</v>
      </c>
      <c r="W9" s="185">
        <f t="shared" si="10"/>
        <v>12500</v>
      </c>
      <c r="X9" s="185">
        <f t="shared" si="10"/>
        <v>12500</v>
      </c>
      <c r="Y9" s="185">
        <f t="shared" si="10"/>
        <v>12500</v>
      </c>
      <c r="Z9" s="185">
        <f t="shared" si="10"/>
        <v>12500</v>
      </c>
      <c r="AA9" s="185">
        <f t="shared" si="10"/>
        <v>12500</v>
      </c>
      <c r="AB9" s="186">
        <f>SUM(P9:AA9)</f>
        <v>113690</v>
      </c>
      <c r="AC9" s="185">
        <f t="shared" si="11"/>
        <v>12500</v>
      </c>
      <c r="AD9" s="185">
        <f t="shared" si="11"/>
        <v>12239.583333333334</v>
      </c>
      <c r="AE9" s="185">
        <f t="shared" si="11"/>
        <v>11979.166666666666</v>
      </c>
      <c r="AF9" s="185">
        <f t="shared" si="11"/>
        <v>11718.75</v>
      </c>
      <c r="AG9" s="185">
        <f t="shared" si="11"/>
        <v>11458.333333333334</v>
      </c>
      <c r="AH9" s="185">
        <f t="shared" si="11"/>
        <v>11197.916666666666</v>
      </c>
      <c r="AI9" s="185">
        <f t="shared" si="11"/>
        <v>10937.5</v>
      </c>
      <c r="AJ9" s="185">
        <f t="shared" si="11"/>
        <v>10677.083333333334</v>
      </c>
      <c r="AK9" s="185">
        <f t="shared" si="11"/>
        <v>10416.666666666666</v>
      </c>
      <c r="AL9" s="185">
        <f t="shared" si="11"/>
        <v>10156.25</v>
      </c>
      <c r="AM9" s="185">
        <f t="shared" si="11"/>
        <v>9895.833333333334</v>
      </c>
      <c r="AN9" s="185">
        <f t="shared" si="11"/>
        <v>9635.416666666666</v>
      </c>
      <c r="AO9" s="186">
        <f>SUM(AC9:AN9)</f>
        <v>132812.5</v>
      </c>
      <c r="AP9" s="185">
        <f t="shared" si="12"/>
        <v>9375</v>
      </c>
      <c r="AQ9" s="185">
        <f t="shared" si="12"/>
        <v>9114.583333333334</v>
      </c>
      <c r="AR9" s="185">
        <f t="shared" si="12"/>
        <v>8854.166666666666</v>
      </c>
      <c r="AS9" s="185">
        <f t="shared" si="12"/>
        <v>8593.75</v>
      </c>
      <c r="AT9" s="185">
        <f t="shared" si="12"/>
        <v>8333.333333333334</v>
      </c>
      <c r="AU9" s="185">
        <f t="shared" si="12"/>
        <v>8072.916666666667</v>
      </c>
      <c r="AV9" s="185">
        <f t="shared" si="12"/>
        <v>7812.5</v>
      </c>
      <c r="AW9" s="185">
        <f t="shared" si="12"/>
        <v>7552.083333333333</v>
      </c>
      <c r="AX9" s="185">
        <f t="shared" si="12"/>
        <v>7291.666666666667</v>
      </c>
      <c r="AY9" s="185">
        <f t="shared" si="12"/>
        <v>7031.25</v>
      </c>
      <c r="AZ9" s="185">
        <f t="shared" si="12"/>
        <v>6770.833333333333</v>
      </c>
      <c r="BA9" s="185">
        <f t="shared" si="12"/>
        <v>6510.416666666667</v>
      </c>
      <c r="BB9" s="186">
        <f>SUM(AP9:BA9)</f>
        <v>95312.5</v>
      </c>
      <c r="BC9" s="185">
        <f t="shared" si="13"/>
        <v>6250</v>
      </c>
      <c r="BD9" s="185">
        <f t="shared" si="13"/>
        <v>5989.583333333333</v>
      </c>
      <c r="BE9" s="185">
        <f t="shared" si="13"/>
        <v>5729.166666666667</v>
      </c>
      <c r="BF9" s="185">
        <f t="shared" si="13"/>
        <v>5468.75</v>
      </c>
      <c r="BG9" s="185">
        <f t="shared" si="13"/>
        <v>5208.333333333333</v>
      </c>
      <c r="BH9" s="185">
        <f t="shared" si="13"/>
        <v>4947.916666666667</v>
      </c>
      <c r="BI9" s="185">
        <f t="shared" si="13"/>
        <v>4687.5</v>
      </c>
      <c r="BJ9" s="185">
        <f t="shared" si="13"/>
        <v>4427.083333333333</v>
      </c>
      <c r="BK9" s="185">
        <f t="shared" si="13"/>
        <v>4166.666666666667</v>
      </c>
      <c r="BL9" s="185">
        <f t="shared" si="13"/>
        <v>3906.25</v>
      </c>
      <c r="BM9" s="185">
        <f t="shared" si="13"/>
        <v>3645.8333333333335</v>
      </c>
      <c r="BN9" s="185">
        <f t="shared" si="13"/>
        <v>3385.4166666666665</v>
      </c>
      <c r="BO9" s="186">
        <f>SUM(BC9:BN9)</f>
        <v>57812.5</v>
      </c>
      <c r="BP9" s="185">
        <f t="shared" si="14"/>
        <v>3125</v>
      </c>
      <c r="BQ9" s="185">
        <f t="shared" si="14"/>
        <v>2864.5833333333335</v>
      </c>
      <c r="BR9" s="185">
        <f t="shared" si="14"/>
        <v>2604.1666666666665</v>
      </c>
      <c r="BS9" s="185">
        <f t="shared" si="14"/>
        <v>2343.75</v>
      </c>
      <c r="BT9" s="185">
        <f t="shared" si="14"/>
        <v>2083.3333333333335</v>
      </c>
      <c r="BU9" s="185">
        <f t="shared" si="14"/>
        <v>1822.9166666666667</v>
      </c>
      <c r="BV9" s="185">
        <f t="shared" si="14"/>
        <v>1562.5</v>
      </c>
      <c r="BW9" s="185">
        <f t="shared" si="14"/>
        <v>1302.0833333333333</v>
      </c>
      <c r="BX9" s="185">
        <f t="shared" si="14"/>
        <v>1041.6666666666667</v>
      </c>
      <c r="BY9" s="185">
        <f t="shared" si="14"/>
        <v>781.25</v>
      </c>
      <c r="BZ9" s="185">
        <f t="shared" si="14"/>
        <v>520.8333333333334</v>
      </c>
      <c r="CA9" s="185">
        <f t="shared" si="14"/>
        <v>260.4166666666667</v>
      </c>
      <c r="CB9" s="186">
        <f>SUM(BP9:CA9)</f>
        <v>20312.5</v>
      </c>
      <c r="CC9" s="185">
        <f t="shared" si="15"/>
        <v>0</v>
      </c>
      <c r="CD9" s="185">
        <f t="shared" si="15"/>
        <v>0</v>
      </c>
      <c r="CE9" s="185">
        <f t="shared" si="15"/>
        <v>0</v>
      </c>
      <c r="CF9" s="185">
        <f t="shared" si="15"/>
        <v>0</v>
      </c>
      <c r="CG9" s="185">
        <f t="shared" si="15"/>
        <v>0</v>
      </c>
      <c r="CH9" s="185">
        <f t="shared" si="15"/>
        <v>0</v>
      </c>
      <c r="CI9" s="185">
        <f t="shared" si="15"/>
        <v>0</v>
      </c>
      <c r="CJ9" s="185">
        <f t="shared" si="15"/>
        <v>0</v>
      </c>
      <c r="CK9" s="185">
        <f t="shared" si="15"/>
        <v>0</v>
      </c>
      <c r="CL9" s="185">
        <f t="shared" si="15"/>
        <v>0</v>
      </c>
      <c r="CM9" s="185">
        <f t="shared" si="15"/>
        <v>0</v>
      </c>
      <c r="CN9" s="185">
        <f t="shared" si="15"/>
        <v>0</v>
      </c>
      <c r="CO9" s="186">
        <f>SUM(CC9:CN9)</f>
        <v>0</v>
      </c>
      <c r="CP9" s="185">
        <f t="shared" si="16"/>
        <v>0</v>
      </c>
      <c r="CQ9" s="185">
        <f t="shared" si="16"/>
        <v>0</v>
      </c>
      <c r="CR9" s="185">
        <f t="shared" si="16"/>
        <v>0</v>
      </c>
      <c r="CS9" s="185">
        <f t="shared" si="16"/>
        <v>0</v>
      </c>
      <c r="CT9" s="185">
        <f t="shared" si="16"/>
        <v>0</v>
      </c>
      <c r="CU9" s="185">
        <f t="shared" si="16"/>
        <v>0</v>
      </c>
      <c r="CV9" s="185">
        <f t="shared" si="16"/>
        <v>0</v>
      </c>
      <c r="CW9" s="185">
        <f t="shared" si="16"/>
        <v>0</v>
      </c>
      <c r="CX9" s="185">
        <f t="shared" si="16"/>
        <v>0</v>
      </c>
      <c r="CY9" s="185">
        <f t="shared" si="16"/>
        <v>0</v>
      </c>
      <c r="CZ9" s="185">
        <f t="shared" si="16"/>
        <v>0</v>
      </c>
      <c r="DA9" s="185">
        <f t="shared" si="16"/>
        <v>0</v>
      </c>
      <c r="DB9" s="186">
        <f>SUM(CP9:DA9)</f>
        <v>0</v>
      </c>
      <c r="DC9" s="185">
        <f t="shared" si="17"/>
        <v>0</v>
      </c>
      <c r="DD9" s="185">
        <f t="shared" si="17"/>
        <v>0</v>
      </c>
      <c r="DE9" s="185">
        <f t="shared" si="17"/>
        <v>0</v>
      </c>
      <c r="DF9" s="185">
        <f t="shared" si="17"/>
        <v>0</v>
      </c>
      <c r="DG9" s="185">
        <f t="shared" si="17"/>
        <v>0</v>
      </c>
      <c r="DH9" s="185">
        <f t="shared" si="17"/>
        <v>0</v>
      </c>
      <c r="DI9" s="185">
        <f t="shared" si="17"/>
        <v>0</v>
      </c>
      <c r="DJ9" s="185">
        <f t="shared" si="17"/>
        <v>0</v>
      </c>
      <c r="DK9" s="185">
        <f t="shared" si="17"/>
        <v>0</v>
      </c>
      <c r="DL9" s="185">
        <f t="shared" si="17"/>
        <v>0</v>
      </c>
      <c r="DM9" s="185">
        <f t="shared" si="17"/>
        <v>0</v>
      </c>
      <c r="DN9" s="185">
        <f t="shared" si="17"/>
        <v>0</v>
      </c>
      <c r="DO9" s="186">
        <f>SUM(DC9:DN9)</f>
        <v>0</v>
      </c>
      <c r="DP9" s="185">
        <f t="shared" si="18"/>
        <v>0</v>
      </c>
      <c r="DQ9" s="185">
        <f t="shared" si="18"/>
        <v>0</v>
      </c>
      <c r="DR9" s="185">
        <f t="shared" si="18"/>
        <v>0</v>
      </c>
      <c r="DS9" s="185">
        <f t="shared" si="18"/>
        <v>0</v>
      </c>
      <c r="DT9" s="185">
        <f t="shared" si="18"/>
        <v>0</v>
      </c>
      <c r="DU9" s="185">
        <f t="shared" si="18"/>
        <v>0</v>
      </c>
      <c r="DV9" s="185">
        <f t="shared" si="18"/>
        <v>0</v>
      </c>
      <c r="DW9" s="185">
        <f t="shared" si="18"/>
        <v>0</v>
      </c>
      <c r="DX9" s="185">
        <f t="shared" si="18"/>
        <v>0</v>
      </c>
      <c r="DY9" s="185">
        <f t="shared" si="18"/>
        <v>0</v>
      </c>
      <c r="DZ9" s="185">
        <f t="shared" si="18"/>
        <v>0</v>
      </c>
      <c r="EA9" s="185">
        <f t="shared" si="18"/>
        <v>0</v>
      </c>
      <c r="EB9" s="186">
        <f>SUM(DP9:EA9)</f>
        <v>0</v>
      </c>
      <c r="EC9" s="185">
        <f t="shared" si="19"/>
        <v>0</v>
      </c>
      <c r="ED9" s="185">
        <f t="shared" si="19"/>
        <v>0</v>
      </c>
      <c r="EE9" s="185">
        <f t="shared" si="19"/>
        <v>0</v>
      </c>
      <c r="EF9" s="185">
        <f t="shared" si="19"/>
        <v>0</v>
      </c>
      <c r="EG9" s="185">
        <f t="shared" si="19"/>
        <v>0</v>
      </c>
      <c r="EH9" s="185">
        <f t="shared" si="19"/>
        <v>0</v>
      </c>
      <c r="EI9" s="185">
        <f t="shared" si="19"/>
        <v>0</v>
      </c>
      <c r="EJ9" s="185">
        <f t="shared" si="19"/>
        <v>0</v>
      </c>
      <c r="EK9" s="185">
        <f t="shared" si="19"/>
        <v>0</v>
      </c>
      <c r="EL9" s="185">
        <f t="shared" si="19"/>
        <v>0</v>
      </c>
      <c r="EM9" s="185">
        <f t="shared" si="19"/>
        <v>0</v>
      </c>
      <c r="EN9" s="185">
        <f t="shared" si="19"/>
        <v>0</v>
      </c>
      <c r="EO9" s="186">
        <f>SUM(EC9:EN9)</f>
        <v>0</v>
      </c>
    </row>
    <row r="10" spans="1:146" ht="12.75">
      <c r="A10" s="179" t="s">
        <v>12</v>
      </c>
      <c r="B10" s="184">
        <f>O10+AB10+AO10+BB10+BO10+CB10+CO10+DB10+DO10+EB10+EO10</f>
        <v>1500000</v>
      </c>
      <c r="C10" s="185">
        <f t="shared" si="20"/>
        <v>0</v>
      </c>
      <c r="D10" s="185">
        <f t="shared" si="20"/>
        <v>0</v>
      </c>
      <c r="E10" s="185">
        <f t="shared" si="20"/>
        <v>0</v>
      </c>
      <c r="F10" s="185">
        <f t="shared" si="20"/>
        <v>0</v>
      </c>
      <c r="G10" s="185">
        <f t="shared" si="20"/>
        <v>0</v>
      </c>
      <c r="H10" s="185">
        <f t="shared" si="20"/>
        <v>0</v>
      </c>
      <c r="I10" s="185">
        <f t="shared" si="20"/>
        <v>0</v>
      </c>
      <c r="J10" s="185">
        <f t="shared" si="20"/>
        <v>0</v>
      </c>
      <c r="K10" s="185">
        <f t="shared" si="20"/>
        <v>0</v>
      </c>
      <c r="L10" s="185">
        <f t="shared" si="20"/>
        <v>0</v>
      </c>
      <c r="M10" s="185">
        <f t="shared" si="20"/>
        <v>0</v>
      </c>
      <c r="N10" s="185">
        <f t="shared" si="20"/>
        <v>0</v>
      </c>
      <c r="O10" s="186">
        <f>SUM(C10:N10)</f>
        <v>0</v>
      </c>
      <c r="P10" s="185">
        <f t="shared" si="10"/>
        <v>0</v>
      </c>
      <c r="Q10" s="185">
        <f t="shared" si="10"/>
        <v>0</v>
      </c>
      <c r="R10" s="185">
        <f t="shared" si="10"/>
        <v>0</v>
      </c>
      <c r="S10" s="185">
        <f t="shared" si="10"/>
        <v>0</v>
      </c>
      <c r="T10" s="185">
        <f t="shared" si="10"/>
        <v>0</v>
      </c>
      <c r="U10" s="185">
        <f t="shared" si="10"/>
        <v>0</v>
      </c>
      <c r="V10" s="185">
        <f t="shared" si="10"/>
        <v>0</v>
      </c>
      <c r="W10" s="185">
        <f t="shared" si="10"/>
        <v>0</v>
      </c>
      <c r="X10" s="185">
        <f t="shared" si="10"/>
        <v>0</v>
      </c>
      <c r="Y10" s="185">
        <f t="shared" si="10"/>
        <v>0</v>
      </c>
      <c r="Z10" s="185">
        <f t="shared" si="10"/>
        <v>0</v>
      </c>
      <c r="AA10" s="185">
        <f t="shared" si="10"/>
        <v>0</v>
      </c>
      <c r="AB10" s="186">
        <f>SUM(P10:AA10)</f>
        <v>0</v>
      </c>
      <c r="AC10" s="185">
        <f t="shared" si="11"/>
        <v>31250</v>
      </c>
      <c r="AD10" s="185">
        <f t="shared" si="11"/>
        <v>31250</v>
      </c>
      <c r="AE10" s="185">
        <f t="shared" si="11"/>
        <v>31250</v>
      </c>
      <c r="AF10" s="185">
        <f t="shared" si="11"/>
        <v>31250</v>
      </c>
      <c r="AG10" s="185">
        <f t="shared" si="11"/>
        <v>31250</v>
      </c>
      <c r="AH10" s="185">
        <f t="shared" si="11"/>
        <v>31250</v>
      </c>
      <c r="AI10" s="185">
        <f t="shared" si="11"/>
        <v>31250</v>
      </c>
      <c r="AJ10" s="185">
        <f t="shared" si="11"/>
        <v>31250</v>
      </c>
      <c r="AK10" s="185">
        <f t="shared" si="11"/>
        <v>31250</v>
      </c>
      <c r="AL10" s="185">
        <f t="shared" si="11"/>
        <v>31250</v>
      </c>
      <c r="AM10" s="185">
        <f t="shared" si="11"/>
        <v>31250</v>
      </c>
      <c r="AN10" s="185">
        <f t="shared" si="11"/>
        <v>31250</v>
      </c>
      <c r="AO10" s="186">
        <f>SUM(AC10:AN10)</f>
        <v>375000</v>
      </c>
      <c r="AP10" s="185">
        <f t="shared" si="12"/>
        <v>31250</v>
      </c>
      <c r="AQ10" s="185">
        <f t="shared" si="12"/>
        <v>31250</v>
      </c>
      <c r="AR10" s="185">
        <f t="shared" si="12"/>
        <v>31250</v>
      </c>
      <c r="AS10" s="185">
        <f t="shared" si="12"/>
        <v>31250</v>
      </c>
      <c r="AT10" s="185">
        <f t="shared" si="12"/>
        <v>31250</v>
      </c>
      <c r="AU10" s="185">
        <f t="shared" si="12"/>
        <v>31250</v>
      </c>
      <c r="AV10" s="185">
        <f t="shared" si="12"/>
        <v>31250</v>
      </c>
      <c r="AW10" s="185">
        <f t="shared" si="12"/>
        <v>31250</v>
      </c>
      <c r="AX10" s="185">
        <f t="shared" si="12"/>
        <v>31250</v>
      </c>
      <c r="AY10" s="185">
        <f t="shared" si="12"/>
        <v>31250</v>
      </c>
      <c r="AZ10" s="185">
        <f t="shared" si="12"/>
        <v>31250</v>
      </c>
      <c r="BA10" s="185">
        <f t="shared" si="12"/>
        <v>31250</v>
      </c>
      <c r="BB10" s="186">
        <f>SUM(AP10:BA10)</f>
        <v>375000</v>
      </c>
      <c r="BC10" s="185">
        <f t="shared" si="13"/>
        <v>31250</v>
      </c>
      <c r="BD10" s="185">
        <f t="shared" si="13"/>
        <v>31250</v>
      </c>
      <c r="BE10" s="185">
        <f t="shared" si="13"/>
        <v>31250</v>
      </c>
      <c r="BF10" s="185">
        <f t="shared" si="13"/>
        <v>31250</v>
      </c>
      <c r="BG10" s="185">
        <f t="shared" si="13"/>
        <v>31250</v>
      </c>
      <c r="BH10" s="185">
        <f t="shared" si="13"/>
        <v>31250</v>
      </c>
      <c r="BI10" s="185">
        <f t="shared" si="13"/>
        <v>31250</v>
      </c>
      <c r="BJ10" s="185">
        <f t="shared" si="13"/>
        <v>31250</v>
      </c>
      <c r="BK10" s="185">
        <f t="shared" si="13"/>
        <v>31250</v>
      </c>
      <c r="BL10" s="185">
        <f t="shared" si="13"/>
        <v>31250</v>
      </c>
      <c r="BM10" s="185">
        <f t="shared" si="13"/>
        <v>31250</v>
      </c>
      <c r="BN10" s="185">
        <f t="shared" si="13"/>
        <v>31250</v>
      </c>
      <c r="BO10" s="186">
        <f>SUM(BC10:BN10)</f>
        <v>375000</v>
      </c>
      <c r="BP10" s="185">
        <f t="shared" si="14"/>
        <v>31250</v>
      </c>
      <c r="BQ10" s="185">
        <f t="shared" si="14"/>
        <v>31250</v>
      </c>
      <c r="BR10" s="185">
        <f t="shared" si="14"/>
        <v>31250</v>
      </c>
      <c r="BS10" s="185">
        <f t="shared" si="14"/>
        <v>31250</v>
      </c>
      <c r="BT10" s="185">
        <f t="shared" si="14"/>
        <v>31250</v>
      </c>
      <c r="BU10" s="185">
        <f t="shared" si="14"/>
        <v>31250</v>
      </c>
      <c r="BV10" s="185">
        <f t="shared" si="14"/>
        <v>31250</v>
      </c>
      <c r="BW10" s="185">
        <f t="shared" si="14"/>
        <v>31250</v>
      </c>
      <c r="BX10" s="185">
        <f t="shared" si="14"/>
        <v>31250</v>
      </c>
      <c r="BY10" s="185">
        <f t="shared" si="14"/>
        <v>31250</v>
      </c>
      <c r="BZ10" s="185">
        <f t="shared" si="14"/>
        <v>31250</v>
      </c>
      <c r="CA10" s="185">
        <f t="shared" si="14"/>
        <v>31250</v>
      </c>
      <c r="CB10" s="186">
        <f>SUM(BP10:CA10)</f>
        <v>375000</v>
      </c>
      <c r="CC10" s="185">
        <f t="shared" si="15"/>
        <v>0</v>
      </c>
      <c r="CD10" s="185">
        <f t="shared" si="15"/>
        <v>0</v>
      </c>
      <c r="CE10" s="185">
        <f t="shared" si="15"/>
        <v>0</v>
      </c>
      <c r="CF10" s="185">
        <f t="shared" si="15"/>
        <v>0</v>
      </c>
      <c r="CG10" s="185">
        <f t="shared" si="15"/>
        <v>0</v>
      </c>
      <c r="CH10" s="185">
        <f t="shared" si="15"/>
        <v>0</v>
      </c>
      <c r="CI10" s="185">
        <f t="shared" si="15"/>
        <v>0</v>
      </c>
      <c r="CJ10" s="185">
        <f t="shared" si="15"/>
        <v>0</v>
      </c>
      <c r="CK10" s="185">
        <f t="shared" si="15"/>
        <v>0</v>
      </c>
      <c r="CL10" s="185">
        <f t="shared" si="15"/>
        <v>0</v>
      </c>
      <c r="CM10" s="185">
        <f t="shared" si="15"/>
        <v>0</v>
      </c>
      <c r="CN10" s="185">
        <f t="shared" si="15"/>
        <v>0</v>
      </c>
      <c r="CO10" s="186">
        <f>SUM(CC10:CN10)</f>
        <v>0</v>
      </c>
      <c r="CP10" s="185">
        <f t="shared" si="16"/>
        <v>0</v>
      </c>
      <c r="CQ10" s="185">
        <f t="shared" si="16"/>
        <v>0</v>
      </c>
      <c r="CR10" s="185">
        <f t="shared" si="16"/>
        <v>0</v>
      </c>
      <c r="CS10" s="185">
        <f t="shared" si="16"/>
        <v>0</v>
      </c>
      <c r="CT10" s="185">
        <f t="shared" si="16"/>
        <v>0</v>
      </c>
      <c r="CU10" s="185">
        <f t="shared" si="16"/>
        <v>0</v>
      </c>
      <c r="CV10" s="185">
        <f t="shared" si="16"/>
        <v>0</v>
      </c>
      <c r="CW10" s="185">
        <f t="shared" si="16"/>
        <v>0</v>
      </c>
      <c r="CX10" s="185">
        <f t="shared" si="16"/>
        <v>0</v>
      </c>
      <c r="CY10" s="185">
        <f t="shared" si="16"/>
        <v>0</v>
      </c>
      <c r="CZ10" s="185">
        <f t="shared" si="16"/>
        <v>0</v>
      </c>
      <c r="DA10" s="185">
        <f t="shared" si="16"/>
        <v>0</v>
      </c>
      <c r="DB10" s="186">
        <f>SUM(CP10:DA10)</f>
        <v>0</v>
      </c>
      <c r="DC10" s="185">
        <f t="shared" si="17"/>
        <v>0</v>
      </c>
      <c r="DD10" s="185">
        <f t="shared" si="17"/>
        <v>0</v>
      </c>
      <c r="DE10" s="185">
        <f t="shared" si="17"/>
        <v>0</v>
      </c>
      <c r="DF10" s="185">
        <f t="shared" si="17"/>
        <v>0</v>
      </c>
      <c r="DG10" s="185">
        <f t="shared" si="17"/>
        <v>0</v>
      </c>
      <c r="DH10" s="185">
        <f t="shared" si="17"/>
        <v>0</v>
      </c>
      <c r="DI10" s="185">
        <f t="shared" si="17"/>
        <v>0</v>
      </c>
      <c r="DJ10" s="185">
        <f t="shared" si="17"/>
        <v>0</v>
      </c>
      <c r="DK10" s="185">
        <f t="shared" si="17"/>
        <v>0</v>
      </c>
      <c r="DL10" s="185">
        <f t="shared" si="17"/>
        <v>0</v>
      </c>
      <c r="DM10" s="185">
        <f t="shared" si="17"/>
        <v>0</v>
      </c>
      <c r="DN10" s="185">
        <f t="shared" si="17"/>
        <v>0</v>
      </c>
      <c r="DO10" s="186">
        <f>SUM(DC10:DN10)</f>
        <v>0</v>
      </c>
      <c r="DP10" s="185">
        <f t="shared" si="18"/>
        <v>0</v>
      </c>
      <c r="DQ10" s="185">
        <f t="shared" si="18"/>
        <v>0</v>
      </c>
      <c r="DR10" s="185">
        <f t="shared" si="18"/>
        <v>0</v>
      </c>
      <c r="DS10" s="185">
        <f t="shared" si="18"/>
        <v>0</v>
      </c>
      <c r="DT10" s="185">
        <f t="shared" si="18"/>
        <v>0</v>
      </c>
      <c r="DU10" s="185">
        <f t="shared" si="18"/>
        <v>0</v>
      </c>
      <c r="DV10" s="185">
        <f t="shared" si="18"/>
        <v>0</v>
      </c>
      <c r="DW10" s="185">
        <f t="shared" si="18"/>
        <v>0</v>
      </c>
      <c r="DX10" s="185">
        <f t="shared" si="18"/>
        <v>0</v>
      </c>
      <c r="DY10" s="185">
        <f t="shared" si="18"/>
        <v>0</v>
      </c>
      <c r="DZ10" s="185">
        <f t="shared" si="18"/>
        <v>0</v>
      </c>
      <c r="EA10" s="185">
        <f t="shared" si="18"/>
        <v>0</v>
      </c>
      <c r="EB10" s="186">
        <f>SUM(DP10:EA10)</f>
        <v>0</v>
      </c>
      <c r="EC10" s="185">
        <f t="shared" si="19"/>
        <v>0</v>
      </c>
      <c r="ED10" s="185">
        <f t="shared" si="19"/>
        <v>0</v>
      </c>
      <c r="EE10" s="185">
        <f t="shared" si="19"/>
        <v>0</v>
      </c>
      <c r="EF10" s="185">
        <f t="shared" si="19"/>
        <v>0</v>
      </c>
      <c r="EG10" s="185">
        <f t="shared" si="19"/>
        <v>0</v>
      </c>
      <c r="EH10" s="185">
        <f t="shared" si="19"/>
        <v>0</v>
      </c>
      <c r="EI10" s="185">
        <f t="shared" si="19"/>
        <v>0</v>
      </c>
      <c r="EJ10" s="185">
        <f t="shared" si="19"/>
        <v>0</v>
      </c>
      <c r="EK10" s="185">
        <f t="shared" si="19"/>
        <v>0</v>
      </c>
      <c r="EL10" s="185">
        <f t="shared" si="19"/>
        <v>0</v>
      </c>
      <c r="EM10" s="185">
        <f t="shared" si="19"/>
        <v>0</v>
      </c>
      <c r="EN10" s="185">
        <f t="shared" si="19"/>
        <v>0</v>
      </c>
      <c r="EO10" s="186">
        <f>SUM(EC10:EN10)</f>
        <v>0</v>
      </c>
      <c r="EP10" s="187"/>
    </row>
    <row r="11" spans="1:146" ht="12.75">
      <c r="A11" s="179" t="s">
        <v>13</v>
      </c>
      <c r="B11" s="184">
        <f>O11+AB11+AO11+BB11+BO11+CB11+CO11+DB11+DO11+EB11+EO11</f>
        <v>419940</v>
      </c>
      <c r="C11" s="185">
        <f t="shared" si="20"/>
        <v>0</v>
      </c>
      <c r="D11" s="185">
        <f t="shared" si="20"/>
        <v>0</v>
      </c>
      <c r="E11" s="185">
        <f t="shared" si="20"/>
        <v>0</v>
      </c>
      <c r="F11" s="185">
        <f t="shared" si="20"/>
        <v>0</v>
      </c>
      <c r="G11" s="185">
        <f t="shared" si="20"/>
        <v>0</v>
      </c>
      <c r="H11" s="185">
        <f t="shared" si="20"/>
        <v>0</v>
      </c>
      <c r="I11" s="185">
        <f t="shared" si="20"/>
        <v>0</v>
      </c>
      <c r="J11" s="185">
        <f t="shared" si="20"/>
        <v>0</v>
      </c>
      <c r="K11" s="185">
        <f t="shared" si="20"/>
        <v>0</v>
      </c>
      <c r="L11" s="185">
        <f t="shared" si="20"/>
        <v>0</v>
      </c>
      <c r="M11" s="185">
        <f t="shared" si="20"/>
        <v>0</v>
      </c>
      <c r="N11" s="185">
        <f t="shared" si="20"/>
        <v>0</v>
      </c>
      <c r="O11" s="186">
        <f>SUM(C11:N11)</f>
        <v>0</v>
      </c>
      <c r="P11" s="185">
        <f t="shared" si="10"/>
        <v>1240</v>
      </c>
      <c r="Q11" s="185">
        <f t="shared" si="10"/>
        <v>4365</v>
      </c>
      <c r="R11" s="185">
        <f t="shared" si="10"/>
        <v>7490</v>
      </c>
      <c r="S11" s="185">
        <f t="shared" si="10"/>
        <v>7490</v>
      </c>
      <c r="T11" s="185">
        <f t="shared" si="10"/>
        <v>7490</v>
      </c>
      <c r="U11" s="185">
        <f t="shared" si="10"/>
        <v>10615</v>
      </c>
      <c r="V11" s="185">
        <f t="shared" si="10"/>
        <v>12500</v>
      </c>
      <c r="W11" s="185">
        <f t="shared" si="10"/>
        <v>12500</v>
      </c>
      <c r="X11" s="185">
        <f t="shared" si="10"/>
        <v>12500</v>
      </c>
      <c r="Y11" s="185">
        <f t="shared" si="10"/>
        <v>12500</v>
      </c>
      <c r="Z11" s="185">
        <f t="shared" si="10"/>
        <v>12500</v>
      </c>
      <c r="AA11" s="185">
        <f t="shared" si="10"/>
        <v>12500</v>
      </c>
      <c r="AB11" s="186">
        <f>SUM(P11:AA11)</f>
        <v>113690</v>
      </c>
      <c r="AC11" s="185">
        <f t="shared" si="11"/>
        <v>12500</v>
      </c>
      <c r="AD11" s="185">
        <f t="shared" si="11"/>
        <v>12239.583333333334</v>
      </c>
      <c r="AE11" s="185">
        <f t="shared" si="11"/>
        <v>11979.166666666666</v>
      </c>
      <c r="AF11" s="185">
        <f t="shared" si="11"/>
        <v>11718.75</v>
      </c>
      <c r="AG11" s="185">
        <f t="shared" si="11"/>
        <v>11458.333333333334</v>
      </c>
      <c r="AH11" s="185">
        <f t="shared" si="11"/>
        <v>11197.916666666666</v>
      </c>
      <c r="AI11" s="185">
        <f t="shared" si="11"/>
        <v>10937.5</v>
      </c>
      <c r="AJ11" s="185">
        <f t="shared" si="11"/>
        <v>10677.083333333334</v>
      </c>
      <c r="AK11" s="185">
        <f t="shared" si="11"/>
        <v>10416.666666666666</v>
      </c>
      <c r="AL11" s="185">
        <f t="shared" si="11"/>
        <v>10156.25</v>
      </c>
      <c r="AM11" s="185">
        <f t="shared" si="11"/>
        <v>9895.833333333334</v>
      </c>
      <c r="AN11" s="185">
        <f t="shared" si="11"/>
        <v>9635.416666666666</v>
      </c>
      <c r="AO11" s="186">
        <f>SUM(AC11:AN11)</f>
        <v>132812.5</v>
      </c>
      <c r="AP11" s="185">
        <f t="shared" si="12"/>
        <v>9375</v>
      </c>
      <c r="AQ11" s="185">
        <f t="shared" si="12"/>
        <v>9114.583333333334</v>
      </c>
      <c r="AR11" s="185">
        <f t="shared" si="12"/>
        <v>8854.166666666666</v>
      </c>
      <c r="AS11" s="185">
        <f t="shared" si="12"/>
        <v>8593.75</v>
      </c>
      <c r="AT11" s="185">
        <f t="shared" si="12"/>
        <v>8333.333333333334</v>
      </c>
      <c r="AU11" s="185">
        <f t="shared" si="12"/>
        <v>8072.916666666667</v>
      </c>
      <c r="AV11" s="185">
        <f t="shared" si="12"/>
        <v>7812.5</v>
      </c>
      <c r="AW11" s="185">
        <f t="shared" si="12"/>
        <v>7552.083333333333</v>
      </c>
      <c r="AX11" s="185">
        <f t="shared" si="12"/>
        <v>7291.666666666667</v>
      </c>
      <c r="AY11" s="185">
        <f t="shared" si="12"/>
        <v>7031.25</v>
      </c>
      <c r="AZ11" s="185">
        <f t="shared" si="12"/>
        <v>6770.833333333333</v>
      </c>
      <c r="BA11" s="185">
        <f t="shared" si="12"/>
        <v>6510.416666666667</v>
      </c>
      <c r="BB11" s="186">
        <f>SUM(AP11:BA11)</f>
        <v>95312.5</v>
      </c>
      <c r="BC11" s="185">
        <f t="shared" si="13"/>
        <v>6250</v>
      </c>
      <c r="BD11" s="185">
        <f t="shared" si="13"/>
        <v>5989.583333333333</v>
      </c>
      <c r="BE11" s="185">
        <f t="shared" si="13"/>
        <v>5729.166666666667</v>
      </c>
      <c r="BF11" s="185">
        <f t="shared" si="13"/>
        <v>5468.75</v>
      </c>
      <c r="BG11" s="185">
        <f t="shared" si="13"/>
        <v>5208.333333333333</v>
      </c>
      <c r="BH11" s="185">
        <f t="shared" si="13"/>
        <v>4947.916666666667</v>
      </c>
      <c r="BI11" s="185">
        <f t="shared" si="13"/>
        <v>4687.5</v>
      </c>
      <c r="BJ11" s="185">
        <f t="shared" si="13"/>
        <v>4427.083333333333</v>
      </c>
      <c r="BK11" s="185">
        <f t="shared" si="13"/>
        <v>4166.666666666667</v>
      </c>
      <c r="BL11" s="185">
        <f t="shared" si="13"/>
        <v>3906.25</v>
      </c>
      <c r="BM11" s="185">
        <f t="shared" si="13"/>
        <v>3645.8333333333335</v>
      </c>
      <c r="BN11" s="185">
        <f t="shared" si="13"/>
        <v>3385.4166666666665</v>
      </c>
      <c r="BO11" s="186">
        <f>SUM(BC11:BN11)</f>
        <v>57812.5</v>
      </c>
      <c r="BP11" s="185">
        <f t="shared" si="14"/>
        <v>3125</v>
      </c>
      <c r="BQ11" s="185">
        <f t="shared" si="14"/>
        <v>2864.5833333333335</v>
      </c>
      <c r="BR11" s="185">
        <f t="shared" si="14"/>
        <v>2604.1666666666665</v>
      </c>
      <c r="BS11" s="185">
        <f t="shared" si="14"/>
        <v>2343.75</v>
      </c>
      <c r="BT11" s="185">
        <f t="shared" si="14"/>
        <v>2083.3333333333335</v>
      </c>
      <c r="BU11" s="185">
        <f t="shared" si="14"/>
        <v>1822.9166666666667</v>
      </c>
      <c r="BV11" s="185">
        <f t="shared" si="14"/>
        <v>1562.5</v>
      </c>
      <c r="BW11" s="185">
        <f t="shared" si="14"/>
        <v>1302.0833333333333</v>
      </c>
      <c r="BX11" s="185">
        <f t="shared" si="14"/>
        <v>1041.6666666666667</v>
      </c>
      <c r="BY11" s="185">
        <f t="shared" si="14"/>
        <v>781.25</v>
      </c>
      <c r="BZ11" s="185">
        <f t="shared" si="14"/>
        <v>520.8333333333334</v>
      </c>
      <c r="CA11" s="185">
        <f t="shared" si="14"/>
        <v>260.4166666666667</v>
      </c>
      <c r="CB11" s="186">
        <f>SUM(BP11:CA11)</f>
        <v>20312.5</v>
      </c>
      <c r="CC11" s="185">
        <f t="shared" si="15"/>
        <v>0</v>
      </c>
      <c r="CD11" s="185">
        <f t="shared" si="15"/>
        <v>0</v>
      </c>
      <c r="CE11" s="185">
        <f t="shared" si="15"/>
        <v>0</v>
      </c>
      <c r="CF11" s="185">
        <f t="shared" si="15"/>
        <v>0</v>
      </c>
      <c r="CG11" s="185">
        <f t="shared" si="15"/>
        <v>0</v>
      </c>
      <c r="CH11" s="185">
        <f t="shared" si="15"/>
        <v>0</v>
      </c>
      <c r="CI11" s="185">
        <f t="shared" si="15"/>
        <v>0</v>
      </c>
      <c r="CJ11" s="185">
        <f t="shared" si="15"/>
        <v>0</v>
      </c>
      <c r="CK11" s="185">
        <f t="shared" si="15"/>
        <v>0</v>
      </c>
      <c r="CL11" s="185">
        <f t="shared" si="15"/>
        <v>0</v>
      </c>
      <c r="CM11" s="185">
        <f t="shared" si="15"/>
        <v>0</v>
      </c>
      <c r="CN11" s="185">
        <f t="shared" si="15"/>
        <v>0</v>
      </c>
      <c r="CO11" s="186">
        <f>SUM(CC11:CN11)</f>
        <v>0</v>
      </c>
      <c r="CP11" s="185">
        <f t="shared" si="16"/>
        <v>0</v>
      </c>
      <c r="CQ11" s="185">
        <f t="shared" si="16"/>
        <v>0</v>
      </c>
      <c r="CR11" s="185">
        <f t="shared" si="16"/>
        <v>0</v>
      </c>
      <c r="CS11" s="185">
        <f t="shared" si="16"/>
        <v>0</v>
      </c>
      <c r="CT11" s="185">
        <f t="shared" si="16"/>
        <v>0</v>
      </c>
      <c r="CU11" s="185">
        <f t="shared" si="16"/>
        <v>0</v>
      </c>
      <c r="CV11" s="185">
        <f t="shared" si="16"/>
        <v>0</v>
      </c>
      <c r="CW11" s="185">
        <f t="shared" si="16"/>
        <v>0</v>
      </c>
      <c r="CX11" s="185">
        <f t="shared" si="16"/>
        <v>0</v>
      </c>
      <c r="CY11" s="185">
        <f t="shared" si="16"/>
        <v>0</v>
      </c>
      <c r="CZ11" s="185">
        <f t="shared" si="16"/>
        <v>0</v>
      </c>
      <c r="DA11" s="185">
        <f t="shared" si="16"/>
        <v>0</v>
      </c>
      <c r="DB11" s="186">
        <f>SUM(CP11:DA11)</f>
        <v>0</v>
      </c>
      <c r="DC11" s="185">
        <f t="shared" si="17"/>
        <v>0</v>
      </c>
      <c r="DD11" s="185">
        <f t="shared" si="17"/>
        <v>0</v>
      </c>
      <c r="DE11" s="185">
        <f t="shared" si="17"/>
        <v>0</v>
      </c>
      <c r="DF11" s="185">
        <f t="shared" si="17"/>
        <v>0</v>
      </c>
      <c r="DG11" s="185">
        <f t="shared" si="17"/>
        <v>0</v>
      </c>
      <c r="DH11" s="185">
        <f t="shared" si="17"/>
        <v>0</v>
      </c>
      <c r="DI11" s="185">
        <f t="shared" si="17"/>
        <v>0</v>
      </c>
      <c r="DJ11" s="185">
        <f t="shared" si="17"/>
        <v>0</v>
      </c>
      <c r="DK11" s="185">
        <f t="shared" si="17"/>
        <v>0</v>
      </c>
      <c r="DL11" s="185">
        <f t="shared" si="17"/>
        <v>0</v>
      </c>
      <c r="DM11" s="185">
        <f t="shared" si="17"/>
        <v>0</v>
      </c>
      <c r="DN11" s="185">
        <f t="shared" si="17"/>
        <v>0</v>
      </c>
      <c r="DO11" s="186">
        <f>SUM(DC11:DN11)</f>
        <v>0</v>
      </c>
      <c r="DP11" s="185">
        <f t="shared" si="18"/>
        <v>0</v>
      </c>
      <c r="DQ11" s="185">
        <f t="shared" si="18"/>
        <v>0</v>
      </c>
      <c r="DR11" s="185">
        <f t="shared" si="18"/>
        <v>0</v>
      </c>
      <c r="DS11" s="185">
        <f t="shared" si="18"/>
        <v>0</v>
      </c>
      <c r="DT11" s="185">
        <f t="shared" si="18"/>
        <v>0</v>
      </c>
      <c r="DU11" s="185">
        <f t="shared" si="18"/>
        <v>0</v>
      </c>
      <c r="DV11" s="185">
        <f t="shared" si="18"/>
        <v>0</v>
      </c>
      <c r="DW11" s="185">
        <f t="shared" si="18"/>
        <v>0</v>
      </c>
      <c r="DX11" s="185">
        <f t="shared" si="18"/>
        <v>0</v>
      </c>
      <c r="DY11" s="185">
        <f t="shared" si="18"/>
        <v>0</v>
      </c>
      <c r="DZ11" s="185">
        <f t="shared" si="18"/>
        <v>0</v>
      </c>
      <c r="EA11" s="185">
        <f t="shared" si="18"/>
        <v>0</v>
      </c>
      <c r="EB11" s="186">
        <f>SUM(DP11:EA11)</f>
        <v>0</v>
      </c>
      <c r="EC11" s="185">
        <f t="shared" si="19"/>
        <v>0</v>
      </c>
      <c r="ED11" s="185">
        <f t="shared" si="19"/>
        <v>0</v>
      </c>
      <c r="EE11" s="185">
        <f t="shared" si="19"/>
        <v>0</v>
      </c>
      <c r="EF11" s="185">
        <f t="shared" si="19"/>
        <v>0</v>
      </c>
      <c r="EG11" s="185">
        <f t="shared" si="19"/>
        <v>0</v>
      </c>
      <c r="EH11" s="185">
        <f t="shared" si="19"/>
        <v>0</v>
      </c>
      <c r="EI11" s="185">
        <f t="shared" si="19"/>
        <v>0</v>
      </c>
      <c r="EJ11" s="185">
        <f t="shared" si="19"/>
        <v>0</v>
      </c>
      <c r="EK11" s="185">
        <f t="shared" si="19"/>
        <v>0</v>
      </c>
      <c r="EL11" s="185">
        <f t="shared" si="19"/>
        <v>0</v>
      </c>
      <c r="EM11" s="185">
        <f t="shared" si="19"/>
        <v>0</v>
      </c>
      <c r="EN11" s="185">
        <f t="shared" si="19"/>
        <v>0</v>
      </c>
      <c r="EO11" s="186">
        <f>SUM(EC11:EN11)</f>
        <v>0</v>
      </c>
      <c r="EP11" s="187" t="s">
        <v>53</v>
      </c>
    </row>
    <row r="12" spans="1:146" ht="12.75">
      <c r="A12" s="179" t="s">
        <v>14</v>
      </c>
      <c r="B12" s="184">
        <f>EO12</f>
        <v>0</v>
      </c>
      <c r="C12" s="185">
        <f t="shared" si="20"/>
        <v>0</v>
      </c>
      <c r="D12" s="185">
        <f t="shared" si="20"/>
        <v>0</v>
      </c>
      <c r="E12" s="185">
        <f t="shared" si="20"/>
        <v>0</v>
      </c>
      <c r="F12" s="185">
        <f t="shared" si="20"/>
        <v>0</v>
      </c>
      <c r="G12" s="185">
        <f t="shared" si="20"/>
        <v>0</v>
      </c>
      <c r="H12" s="185">
        <f t="shared" si="20"/>
        <v>0</v>
      </c>
      <c r="I12" s="185">
        <f t="shared" si="20"/>
        <v>0</v>
      </c>
      <c r="J12" s="185">
        <f t="shared" si="20"/>
        <v>0</v>
      </c>
      <c r="K12" s="185">
        <f t="shared" si="20"/>
        <v>0</v>
      </c>
      <c r="L12" s="185">
        <f t="shared" si="20"/>
        <v>0</v>
      </c>
      <c r="M12" s="185">
        <f t="shared" si="20"/>
        <v>0</v>
      </c>
      <c r="N12" s="185">
        <f t="shared" si="20"/>
        <v>148800</v>
      </c>
      <c r="O12" s="186">
        <f>N12</f>
        <v>148800</v>
      </c>
      <c r="P12" s="185">
        <f t="shared" si="10"/>
        <v>523800</v>
      </c>
      <c r="Q12" s="185">
        <f t="shared" si="10"/>
        <v>898800</v>
      </c>
      <c r="R12" s="185">
        <f t="shared" si="10"/>
        <v>898800</v>
      </c>
      <c r="S12" s="185">
        <f t="shared" si="10"/>
        <v>898800</v>
      </c>
      <c r="T12" s="185">
        <f t="shared" si="10"/>
        <v>1273800</v>
      </c>
      <c r="U12" s="185">
        <f t="shared" si="10"/>
        <v>1500000</v>
      </c>
      <c r="V12" s="185">
        <f t="shared" si="10"/>
        <v>1500000</v>
      </c>
      <c r="W12" s="185">
        <f t="shared" si="10"/>
        <v>1500000</v>
      </c>
      <c r="X12" s="185">
        <f t="shared" si="10"/>
        <v>1500000</v>
      </c>
      <c r="Y12" s="185">
        <f t="shared" si="10"/>
        <v>1500000</v>
      </c>
      <c r="Z12" s="185">
        <f t="shared" si="10"/>
        <v>1500000</v>
      </c>
      <c r="AA12" s="185">
        <f t="shared" si="10"/>
        <v>1500000</v>
      </c>
      <c r="AB12" s="186">
        <f>AA12</f>
        <v>1500000</v>
      </c>
      <c r="AC12" s="185">
        <f t="shared" si="11"/>
        <v>1468750</v>
      </c>
      <c r="AD12" s="185">
        <f t="shared" si="11"/>
        <v>1437500</v>
      </c>
      <c r="AE12" s="185">
        <f t="shared" si="11"/>
        <v>1406250</v>
      </c>
      <c r="AF12" s="185">
        <f t="shared" si="11"/>
        <v>1375000</v>
      </c>
      <c r="AG12" s="185">
        <f t="shared" si="11"/>
        <v>1343750</v>
      </c>
      <c r="AH12" s="185">
        <f t="shared" si="11"/>
        <v>1312500</v>
      </c>
      <c r="AI12" s="185">
        <f t="shared" si="11"/>
        <v>1281250</v>
      </c>
      <c r="AJ12" s="185">
        <f t="shared" si="11"/>
        <v>1250000</v>
      </c>
      <c r="AK12" s="185">
        <f t="shared" si="11"/>
        <v>1218750</v>
      </c>
      <c r="AL12" s="185">
        <f t="shared" si="11"/>
        <v>1187500</v>
      </c>
      <c r="AM12" s="185">
        <f t="shared" si="11"/>
        <v>1156250</v>
      </c>
      <c r="AN12" s="185">
        <f t="shared" si="11"/>
        <v>1125000</v>
      </c>
      <c r="AO12" s="186">
        <f>AN12</f>
        <v>1125000</v>
      </c>
      <c r="AP12" s="185">
        <f t="shared" si="12"/>
        <v>1093750</v>
      </c>
      <c r="AQ12" s="185">
        <f t="shared" si="12"/>
        <v>1062500</v>
      </c>
      <c r="AR12" s="185">
        <f t="shared" si="12"/>
        <v>1031250</v>
      </c>
      <c r="AS12" s="185">
        <f t="shared" si="12"/>
        <v>1000000</v>
      </c>
      <c r="AT12" s="185">
        <f t="shared" si="12"/>
        <v>968750</v>
      </c>
      <c r="AU12" s="185">
        <f t="shared" si="12"/>
        <v>937500</v>
      </c>
      <c r="AV12" s="185">
        <f t="shared" si="12"/>
        <v>906250</v>
      </c>
      <c r="AW12" s="185">
        <f t="shared" si="12"/>
        <v>875000</v>
      </c>
      <c r="AX12" s="185">
        <f t="shared" si="12"/>
        <v>843750</v>
      </c>
      <c r="AY12" s="185">
        <f t="shared" si="12"/>
        <v>812500</v>
      </c>
      <c r="AZ12" s="185">
        <f t="shared" si="12"/>
        <v>781250</v>
      </c>
      <c r="BA12" s="185">
        <f t="shared" si="12"/>
        <v>750000</v>
      </c>
      <c r="BB12" s="186">
        <f>BA12</f>
        <v>750000</v>
      </c>
      <c r="BC12" s="185">
        <f t="shared" si="13"/>
        <v>718750</v>
      </c>
      <c r="BD12" s="185">
        <f t="shared" si="13"/>
        <v>687500</v>
      </c>
      <c r="BE12" s="185">
        <f t="shared" si="13"/>
        <v>656250</v>
      </c>
      <c r="BF12" s="185">
        <f t="shared" si="13"/>
        <v>625000</v>
      </c>
      <c r="BG12" s="185">
        <f t="shared" si="13"/>
        <v>593750</v>
      </c>
      <c r="BH12" s="185">
        <f t="shared" si="13"/>
        <v>562500</v>
      </c>
      <c r="BI12" s="185">
        <f t="shared" si="13"/>
        <v>531250</v>
      </c>
      <c r="BJ12" s="185">
        <f t="shared" si="13"/>
        <v>500000</v>
      </c>
      <c r="BK12" s="185">
        <f t="shared" si="13"/>
        <v>468750</v>
      </c>
      <c r="BL12" s="185">
        <f t="shared" si="13"/>
        <v>437500</v>
      </c>
      <c r="BM12" s="185">
        <f t="shared" si="13"/>
        <v>406250</v>
      </c>
      <c r="BN12" s="185">
        <f t="shared" si="13"/>
        <v>375000</v>
      </c>
      <c r="BO12" s="186">
        <f>BN12</f>
        <v>375000</v>
      </c>
      <c r="BP12" s="185">
        <f t="shared" si="14"/>
        <v>343750</v>
      </c>
      <c r="BQ12" s="185">
        <f t="shared" si="14"/>
        <v>312500</v>
      </c>
      <c r="BR12" s="185">
        <f t="shared" si="14"/>
        <v>281250</v>
      </c>
      <c r="BS12" s="185">
        <f t="shared" si="14"/>
        <v>250000</v>
      </c>
      <c r="BT12" s="185">
        <f t="shared" si="14"/>
        <v>218750</v>
      </c>
      <c r="BU12" s="185">
        <f t="shared" si="14"/>
        <v>187500</v>
      </c>
      <c r="BV12" s="185">
        <f t="shared" si="14"/>
        <v>156250</v>
      </c>
      <c r="BW12" s="185">
        <f t="shared" si="14"/>
        <v>125000</v>
      </c>
      <c r="BX12" s="185">
        <f t="shared" si="14"/>
        <v>93750</v>
      </c>
      <c r="BY12" s="185">
        <f t="shared" si="14"/>
        <v>62500</v>
      </c>
      <c r="BZ12" s="185">
        <f t="shared" si="14"/>
        <v>31250</v>
      </c>
      <c r="CA12" s="185">
        <f t="shared" si="14"/>
        <v>0</v>
      </c>
      <c r="CB12" s="186">
        <f>CA12</f>
        <v>0</v>
      </c>
      <c r="CC12" s="185">
        <f t="shared" si="15"/>
        <v>0</v>
      </c>
      <c r="CD12" s="185">
        <f t="shared" si="15"/>
        <v>0</v>
      </c>
      <c r="CE12" s="185">
        <f t="shared" si="15"/>
        <v>0</v>
      </c>
      <c r="CF12" s="185">
        <f t="shared" si="15"/>
        <v>0</v>
      </c>
      <c r="CG12" s="185">
        <f t="shared" si="15"/>
        <v>0</v>
      </c>
      <c r="CH12" s="185">
        <f t="shared" si="15"/>
        <v>0</v>
      </c>
      <c r="CI12" s="185">
        <f t="shared" si="15"/>
        <v>0</v>
      </c>
      <c r="CJ12" s="185">
        <f t="shared" si="15"/>
        <v>0</v>
      </c>
      <c r="CK12" s="185">
        <f t="shared" si="15"/>
        <v>0</v>
      </c>
      <c r="CL12" s="185">
        <f t="shared" si="15"/>
        <v>0</v>
      </c>
      <c r="CM12" s="185">
        <f t="shared" si="15"/>
        <v>0</v>
      </c>
      <c r="CN12" s="185">
        <f t="shared" si="15"/>
        <v>0</v>
      </c>
      <c r="CO12" s="186">
        <f>CN12</f>
        <v>0</v>
      </c>
      <c r="CP12" s="185">
        <f t="shared" si="16"/>
        <v>0</v>
      </c>
      <c r="CQ12" s="185">
        <f t="shared" si="16"/>
        <v>0</v>
      </c>
      <c r="CR12" s="185">
        <f t="shared" si="16"/>
        <v>0</v>
      </c>
      <c r="CS12" s="185">
        <f t="shared" si="16"/>
        <v>0</v>
      </c>
      <c r="CT12" s="185">
        <f t="shared" si="16"/>
        <v>0</v>
      </c>
      <c r="CU12" s="185">
        <f t="shared" si="16"/>
        <v>0</v>
      </c>
      <c r="CV12" s="185">
        <f t="shared" si="16"/>
        <v>0</v>
      </c>
      <c r="CW12" s="185">
        <f t="shared" si="16"/>
        <v>0</v>
      </c>
      <c r="CX12" s="185">
        <f t="shared" si="16"/>
        <v>0</v>
      </c>
      <c r="CY12" s="185">
        <f t="shared" si="16"/>
        <v>0</v>
      </c>
      <c r="CZ12" s="185">
        <f t="shared" si="16"/>
        <v>0</v>
      </c>
      <c r="DA12" s="185">
        <f t="shared" si="16"/>
        <v>0</v>
      </c>
      <c r="DB12" s="186">
        <f>DA12</f>
        <v>0</v>
      </c>
      <c r="DC12" s="185">
        <f t="shared" si="17"/>
        <v>0</v>
      </c>
      <c r="DD12" s="185">
        <f t="shared" si="17"/>
        <v>0</v>
      </c>
      <c r="DE12" s="185">
        <f t="shared" si="17"/>
        <v>0</v>
      </c>
      <c r="DF12" s="185">
        <f t="shared" si="17"/>
        <v>0</v>
      </c>
      <c r="DG12" s="185">
        <f t="shared" si="17"/>
        <v>0</v>
      </c>
      <c r="DH12" s="185">
        <f t="shared" si="17"/>
        <v>0</v>
      </c>
      <c r="DI12" s="185">
        <f t="shared" si="17"/>
        <v>0</v>
      </c>
      <c r="DJ12" s="185">
        <f t="shared" si="17"/>
        <v>0</v>
      </c>
      <c r="DK12" s="185">
        <f t="shared" si="17"/>
        <v>0</v>
      </c>
      <c r="DL12" s="185">
        <f t="shared" si="17"/>
        <v>0</v>
      </c>
      <c r="DM12" s="185">
        <f t="shared" si="17"/>
        <v>0</v>
      </c>
      <c r="DN12" s="185">
        <f t="shared" si="17"/>
        <v>0</v>
      </c>
      <c r="DO12" s="186">
        <f>DN12</f>
        <v>0</v>
      </c>
      <c r="DP12" s="185">
        <f t="shared" si="18"/>
        <v>0</v>
      </c>
      <c r="DQ12" s="185">
        <f t="shared" si="18"/>
        <v>0</v>
      </c>
      <c r="DR12" s="185">
        <f t="shared" si="18"/>
        <v>0</v>
      </c>
      <c r="DS12" s="185">
        <f t="shared" si="18"/>
        <v>0</v>
      </c>
      <c r="DT12" s="185">
        <f t="shared" si="18"/>
        <v>0</v>
      </c>
      <c r="DU12" s="185">
        <f t="shared" si="18"/>
        <v>0</v>
      </c>
      <c r="DV12" s="185">
        <f t="shared" si="18"/>
        <v>0</v>
      </c>
      <c r="DW12" s="185">
        <f t="shared" si="18"/>
        <v>0</v>
      </c>
      <c r="DX12" s="185">
        <f t="shared" si="18"/>
        <v>0</v>
      </c>
      <c r="DY12" s="185">
        <f t="shared" si="18"/>
        <v>0</v>
      </c>
      <c r="DZ12" s="185">
        <f t="shared" si="18"/>
        <v>0</v>
      </c>
      <c r="EA12" s="185">
        <f t="shared" si="18"/>
        <v>0</v>
      </c>
      <c r="EB12" s="186">
        <f>EA12</f>
        <v>0</v>
      </c>
      <c r="EC12" s="185">
        <f t="shared" si="19"/>
        <v>0</v>
      </c>
      <c r="ED12" s="185">
        <f t="shared" si="19"/>
        <v>0</v>
      </c>
      <c r="EE12" s="185">
        <f t="shared" si="19"/>
        <v>0</v>
      </c>
      <c r="EF12" s="185">
        <f t="shared" si="19"/>
        <v>0</v>
      </c>
      <c r="EG12" s="185">
        <f t="shared" si="19"/>
        <v>0</v>
      </c>
      <c r="EH12" s="185">
        <f t="shared" si="19"/>
        <v>0</v>
      </c>
      <c r="EI12" s="185">
        <f t="shared" si="19"/>
        <v>0</v>
      </c>
      <c r="EJ12" s="185">
        <f t="shared" si="19"/>
        <v>0</v>
      </c>
      <c r="EK12" s="185">
        <f t="shared" si="19"/>
        <v>0</v>
      </c>
      <c r="EL12" s="185">
        <f t="shared" si="19"/>
        <v>0</v>
      </c>
      <c r="EM12" s="185">
        <f t="shared" si="19"/>
        <v>0</v>
      </c>
      <c r="EN12" s="185">
        <f t="shared" si="19"/>
        <v>0</v>
      </c>
      <c r="EO12" s="186">
        <f>EN12</f>
        <v>0</v>
      </c>
      <c r="EP12" s="191">
        <f>MAX(C12:BO12)</f>
        <v>1500000</v>
      </c>
    </row>
    <row r="13" spans="1:146" ht="12.75">
      <c r="A13" s="171" t="s">
        <v>73</v>
      </c>
      <c r="B13" s="171">
        <f>Исх!C34*12-Исх!C36</f>
        <v>48</v>
      </c>
      <c r="EP13" s="174"/>
    </row>
    <row r="14" ht="12.75" hidden="1" outlineLevel="1">
      <c r="A14" s="192">
        <f>B9-B8-B11</f>
        <v>0</v>
      </c>
    </row>
    <row r="15" ht="12.75" hidden="1" outlineLevel="1">
      <c r="A15" s="192">
        <f>B9-B8-B11</f>
        <v>0</v>
      </c>
    </row>
    <row r="16" ht="12.75" collapsed="1"/>
    <row r="17" spans="1:145" ht="12.75">
      <c r="A17" s="267" t="s">
        <v>231</v>
      </c>
      <c r="B17" s="265"/>
      <c r="DB17" s="171"/>
      <c r="DO17" s="171"/>
      <c r="EB17" s="171"/>
      <c r="EO17" s="171"/>
    </row>
    <row r="18" spans="1:145" ht="15.75" customHeight="1">
      <c r="A18" s="178" t="s">
        <v>10</v>
      </c>
      <c r="B18" s="266">
        <f>Исх!C33</f>
        <v>0.1</v>
      </c>
      <c r="C18" s="370">
        <f>C5</f>
        <v>2019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>
        <f>P5</f>
        <v>2020</v>
      </c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>
        <f>AC5</f>
        <v>2021</v>
      </c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>
        <f>AP5</f>
        <v>2022</v>
      </c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>
        <f>BC5</f>
        <v>2023</v>
      </c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>
        <f>BP5</f>
        <v>2024</v>
      </c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>
        <f>CC5</f>
        <v>2021</v>
      </c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>
        <f>CP5</f>
        <v>2022</v>
      </c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>
        <f>DC5</f>
        <v>2023</v>
      </c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/>
      <c r="DO18" s="370"/>
      <c r="DP18" s="370">
        <f>DP5</f>
        <v>2024</v>
      </c>
      <c r="DQ18" s="370"/>
      <c r="DR18" s="370"/>
      <c r="DS18" s="370"/>
      <c r="DT18" s="370"/>
      <c r="DU18" s="370"/>
      <c r="DV18" s="370"/>
      <c r="DW18" s="370"/>
      <c r="DX18" s="370"/>
      <c r="DY18" s="370"/>
      <c r="DZ18" s="370"/>
      <c r="EA18" s="370"/>
      <c r="EB18" s="370"/>
      <c r="EC18" s="370">
        <f>EC5</f>
        <v>2025</v>
      </c>
      <c r="ED18" s="370"/>
      <c r="EE18" s="370"/>
      <c r="EF18" s="370"/>
      <c r="EG18" s="370"/>
      <c r="EH18" s="370"/>
      <c r="EI18" s="370"/>
      <c r="EJ18" s="370"/>
      <c r="EK18" s="370"/>
      <c r="EL18" s="370"/>
      <c r="EM18" s="370"/>
      <c r="EN18" s="370"/>
      <c r="EO18" s="370"/>
    </row>
    <row r="19" spans="1:145" s="183" customFormat="1" ht="15" customHeight="1">
      <c r="A19" s="179" t="s">
        <v>8</v>
      </c>
      <c r="B19" s="180" t="s">
        <v>84</v>
      </c>
      <c r="C19" s="181">
        <v>1</v>
      </c>
      <c r="D19" s="181">
        <v>2</v>
      </c>
      <c r="E19" s="181">
        <f aca="true" t="shared" si="21" ref="E19:N19">D19+1</f>
        <v>3</v>
      </c>
      <c r="F19" s="181">
        <f t="shared" si="21"/>
        <v>4</v>
      </c>
      <c r="G19" s="181">
        <f t="shared" si="21"/>
        <v>5</v>
      </c>
      <c r="H19" s="181">
        <f t="shared" si="21"/>
        <v>6</v>
      </c>
      <c r="I19" s="181">
        <f t="shared" si="21"/>
        <v>7</v>
      </c>
      <c r="J19" s="181">
        <f t="shared" si="21"/>
        <v>8</v>
      </c>
      <c r="K19" s="181">
        <f t="shared" si="21"/>
        <v>9</v>
      </c>
      <c r="L19" s="181">
        <f t="shared" si="21"/>
        <v>10</v>
      </c>
      <c r="M19" s="181">
        <f t="shared" si="21"/>
        <v>11</v>
      </c>
      <c r="N19" s="181">
        <f t="shared" si="21"/>
        <v>12</v>
      </c>
      <c r="O19" s="182" t="str">
        <f>O6</f>
        <v>Итого</v>
      </c>
      <c r="P19" s="181">
        <v>1</v>
      </c>
      <c r="Q19" s="181">
        <v>2</v>
      </c>
      <c r="R19" s="181">
        <f aca="true" t="shared" si="22" ref="R19:AA19">Q19+1</f>
        <v>3</v>
      </c>
      <c r="S19" s="181">
        <f t="shared" si="22"/>
        <v>4</v>
      </c>
      <c r="T19" s="181">
        <f t="shared" si="22"/>
        <v>5</v>
      </c>
      <c r="U19" s="181">
        <f t="shared" si="22"/>
        <v>6</v>
      </c>
      <c r="V19" s="181">
        <f t="shared" si="22"/>
        <v>7</v>
      </c>
      <c r="W19" s="181">
        <f t="shared" si="22"/>
        <v>8</v>
      </c>
      <c r="X19" s="181">
        <f t="shared" si="22"/>
        <v>9</v>
      </c>
      <c r="Y19" s="181">
        <f t="shared" si="22"/>
        <v>10</v>
      </c>
      <c r="Z19" s="181">
        <f t="shared" si="22"/>
        <v>11</v>
      </c>
      <c r="AA19" s="181">
        <f t="shared" si="22"/>
        <v>12</v>
      </c>
      <c r="AB19" s="182" t="str">
        <f>AB6</f>
        <v>Итого</v>
      </c>
      <c r="AC19" s="181">
        <v>1</v>
      </c>
      <c r="AD19" s="181">
        <v>2</v>
      </c>
      <c r="AE19" s="181">
        <f aca="true" t="shared" si="23" ref="AE19:AN19">AD19+1</f>
        <v>3</v>
      </c>
      <c r="AF19" s="181">
        <f t="shared" si="23"/>
        <v>4</v>
      </c>
      <c r="AG19" s="181">
        <f t="shared" si="23"/>
        <v>5</v>
      </c>
      <c r="AH19" s="181">
        <f t="shared" si="23"/>
        <v>6</v>
      </c>
      <c r="AI19" s="181">
        <f t="shared" si="23"/>
        <v>7</v>
      </c>
      <c r="AJ19" s="181">
        <f t="shared" si="23"/>
        <v>8</v>
      </c>
      <c r="AK19" s="181">
        <f t="shared" si="23"/>
        <v>9</v>
      </c>
      <c r="AL19" s="181">
        <f t="shared" si="23"/>
        <v>10</v>
      </c>
      <c r="AM19" s="181">
        <f t="shared" si="23"/>
        <v>11</v>
      </c>
      <c r="AN19" s="181">
        <f t="shared" si="23"/>
        <v>12</v>
      </c>
      <c r="AO19" s="182" t="str">
        <f>AO6</f>
        <v>Итого</v>
      </c>
      <c r="AP19" s="181">
        <v>1</v>
      </c>
      <c r="AQ19" s="181">
        <v>2</v>
      </c>
      <c r="AR19" s="181">
        <f aca="true" t="shared" si="24" ref="AR19:BA19">AQ19+1</f>
        <v>3</v>
      </c>
      <c r="AS19" s="181">
        <f t="shared" si="24"/>
        <v>4</v>
      </c>
      <c r="AT19" s="181">
        <f t="shared" si="24"/>
        <v>5</v>
      </c>
      <c r="AU19" s="181">
        <f t="shared" si="24"/>
        <v>6</v>
      </c>
      <c r="AV19" s="181">
        <f t="shared" si="24"/>
        <v>7</v>
      </c>
      <c r="AW19" s="181">
        <f t="shared" si="24"/>
        <v>8</v>
      </c>
      <c r="AX19" s="181">
        <f t="shared" si="24"/>
        <v>9</v>
      </c>
      <c r="AY19" s="181">
        <f t="shared" si="24"/>
        <v>10</v>
      </c>
      <c r="AZ19" s="181">
        <f t="shared" si="24"/>
        <v>11</v>
      </c>
      <c r="BA19" s="181">
        <f t="shared" si="24"/>
        <v>12</v>
      </c>
      <c r="BB19" s="182" t="str">
        <f>BB6</f>
        <v>Итого</v>
      </c>
      <c r="BC19" s="181">
        <v>1</v>
      </c>
      <c r="BD19" s="181">
        <v>2</v>
      </c>
      <c r="BE19" s="181">
        <f aca="true" t="shared" si="25" ref="BE19:BN19">BD19+1</f>
        <v>3</v>
      </c>
      <c r="BF19" s="181">
        <f t="shared" si="25"/>
        <v>4</v>
      </c>
      <c r="BG19" s="181">
        <f t="shared" si="25"/>
        <v>5</v>
      </c>
      <c r="BH19" s="181">
        <f t="shared" si="25"/>
        <v>6</v>
      </c>
      <c r="BI19" s="181">
        <f t="shared" si="25"/>
        <v>7</v>
      </c>
      <c r="BJ19" s="181">
        <f t="shared" si="25"/>
        <v>8</v>
      </c>
      <c r="BK19" s="181">
        <f t="shared" si="25"/>
        <v>9</v>
      </c>
      <c r="BL19" s="181">
        <f t="shared" si="25"/>
        <v>10</v>
      </c>
      <c r="BM19" s="181">
        <f t="shared" si="25"/>
        <v>11</v>
      </c>
      <c r="BN19" s="181">
        <f t="shared" si="25"/>
        <v>12</v>
      </c>
      <c r="BO19" s="182" t="str">
        <f>BO6</f>
        <v>Итого</v>
      </c>
      <c r="BP19" s="181">
        <v>1</v>
      </c>
      <c r="BQ19" s="181">
        <v>2</v>
      </c>
      <c r="BR19" s="181">
        <f aca="true" t="shared" si="26" ref="BR19:CA19">BQ19+1</f>
        <v>3</v>
      </c>
      <c r="BS19" s="181">
        <f t="shared" si="26"/>
        <v>4</v>
      </c>
      <c r="BT19" s="181">
        <f t="shared" si="26"/>
        <v>5</v>
      </c>
      <c r="BU19" s="181">
        <f t="shared" si="26"/>
        <v>6</v>
      </c>
      <c r="BV19" s="181">
        <f t="shared" si="26"/>
        <v>7</v>
      </c>
      <c r="BW19" s="181">
        <f t="shared" si="26"/>
        <v>8</v>
      </c>
      <c r="BX19" s="181">
        <f t="shared" si="26"/>
        <v>9</v>
      </c>
      <c r="BY19" s="181">
        <f t="shared" si="26"/>
        <v>10</v>
      </c>
      <c r="BZ19" s="181">
        <f t="shared" si="26"/>
        <v>11</v>
      </c>
      <c r="CA19" s="181">
        <f t="shared" si="26"/>
        <v>12</v>
      </c>
      <c r="CB19" s="182" t="str">
        <f>CB6</f>
        <v>Итого</v>
      </c>
      <c r="CC19" s="181">
        <v>1</v>
      </c>
      <c r="CD19" s="181">
        <v>2</v>
      </c>
      <c r="CE19" s="181">
        <f aca="true" t="shared" si="27" ref="CE19:CN19">CD19+1</f>
        <v>3</v>
      </c>
      <c r="CF19" s="181">
        <f t="shared" si="27"/>
        <v>4</v>
      </c>
      <c r="CG19" s="181">
        <f t="shared" si="27"/>
        <v>5</v>
      </c>
      <c r="CH19" s="181">
        <f t="shared" si="27"/>
        <v>6</v>
      </c>
      <c r="CI19" s="181">
        <f t="shared" si="27"/>
        <v>7</v>
      </c>
      <c r="CJ19" s="181">
        <f t="shared" si="27"/>
        <v>8</v>
      </c>
      <c r="CK19" s="181">
        <f t="shared" si="27"/>
        <v>9</v>
      </c>
      <c r="CL19" s="181">
        <f t="shared" si="27"/>
        <v>10</v>
      </c>
      <c r="CM19" s="181">
        <f t="shared" si="27"/>
        <v>11</v>
      </c>
      <c r="CN19" s="181">
        <f t="shared" si="27"/>
        <v>12</v>
      </c>
      <c r="CO19" s="182" t="str">
        <f>CO6</f>
        <v>Итого</v>
      </c>
      <c r="CP19" s="181">
        <v>1</v>
      </c>
      <c r="CQ19" s="181">
        <f aca="true" t="shared" si="28" ref="CQ19:DA19">CP19+1</f>
        <v>2</v>
      </c>
      <c r="CR19" s="181">
        <f t="shared" si="28"/>
        <v>3</v>
      </c>
      <c r="CS19" s="181">
        <f t="shared" si="28"/>
        <v>4</v>
      </c>
      <c r="CT19" s="181">
        <f t="shared" si="28"/>
        <v>5</v>
      </c>
      <c r="CU19" s="181">
        <f t="shared" si="28"/>
        <v>6</v>
      </c>
      <c r="CV19" s="181">
        <f t="shared" si="28"/>
        <v>7</v>
      </c>
      <c r="CW19" s="181">
        <f t="shared" si="28"/>
        <v>8</v>
      </c>
      <c r="CX19" s="181">
        <f t="shared" si="28"/>
        <v>9</v>
      </c>
      <c r="CY19" s="181">
        <f t="shared" si="28"/>
        <v>10</v>
      </c>
      <c r="CZ19" s="181">
        <f t="shared" si="28"/>
        <v>11</v>
      </c>
      <c r="DA19" s="181">
        <f t="shared" si="28"/>
        <v>12</v>
      </c>
      <c r="DB19" s="182" t="str">
        <f>DB6</f>
        <v>Итого</v>
      </c>
      <c r="DC19" s="181">
        <v>1</v>
      </c>
      <c r="DD19" s="181">
        <f aca="true" t="shared" si="29" ref="DD19:DN19">DC19+1</f>
        <v>2</v>
      </c>
      <c r="DE19" s="181">
        <f t="shared" si="29"/>
        <v>3</v>
      </c>
      <c r="DF19" s="181">
        <f t="shared" si="29"/>
        <v>4</v>
      </c>
      <c r="DG19" s="181">
        <f t="shared" si="29"/>
        <v>5</v>
      </c>
      <c r="DH19" s="181">
        <f t="shared" si="29"/>
        <v>6</v>
      </c>
      <c r="DI19" s="181">
        <f t="shared" si="29"/>
        <v>7</v>
      </c>
      <c r="DJ19" s="181">
        <f t="shared" si="29"/>
        <v>8</v>
      </c>
      <c r="DK19" s="181">
        <f t="shared" si="29"/>
        <v>9</v>
      </c>
      <c r="DL19" s="181">
        <f t="shared" si="29"/>
        <v>10</v>
      </c>
      <c r="DM19" s="181">
        <f t="shared" si="29"/>
        <v>11</v>
      </c>
      <c r="DN19" s="181">
        <f t="shared" si="29"/>
        <v>12</v>
      </c>
      <c r="DO19" s="182" t="s">
        <v>0</v>
      </c>
      <c r="DP19" s="181">
        <v>1</v>
      </c>
      <c r="DQ19" s="181">
        <f aca="true" t="shared" si="30" ref="DQ19:EA19">DP19+1</f>
        <v>2</v>
      </c>
      <c r="DR19" s="181">
        <f t="shared" si="30"/>
        <v>3</v>
      </c>
      <c r="DS19" s="181">
        <f t="shared" si="30"/>
        <v>4</v>
      </c>
      <c r="DT19" s="181">
        <f t="shared" si="30"/>
        <v>5</v>
      </c>
      <c r="DU19" s="181">
        <f t="shared" si="30"/>
        <v>6</v>
      </c>
      <c r="DV19" s="181">
        <f t="shared" si="30"/>
        <v>7</v>
      </c>
      <c r="DW19" s="181">
        <f t="shared" si="30"/>
        <v>8</v>
      </c>
      <c r="DX19" s="181">
        <f t="shared" si="30"/>
        <v>9</v>
      </c>
      <c r="DY19" s="181">
        <f t="shared" si="30"/>
        <v>10</v>
      </c>
      <c r="DZ19" s="181">
        <f t="shared" si="30"/>
        <v>11</v>
      </c>
      <c r="EA19" s="181">
        <f t="shared" si="30"/>
        <v>12</v>
      </c>
      <c r="EB19" s="182" t="s">
        <v>0</v>
      </c>
      <c r="EC19" s="181">
        <v>1</v>
      </c>
      <c r="ED19" s="181">
        <f aca="true" t="shared" si="31" ref="ED19:EN19">EC19+1</f>
        <v>2</v>
      </c>
      <c r="EE19" s="181">
        <f t="shared" si="31"/>
        <v>3</v>
      </c>
      <c r="EF19" s="181">
        <f t="shared" si="31"/>
        <v>4</v>
      </c>
      <c r="EG19" s="181">
        <f t="shared" si="31"/>
        <v>5</v>
      </c>
      <c r="EH19" s="181">
        <f t="shared" si="31"/>
        <v>6</v>
      </c>
      <c r="EI19" s="181">
        <f t="shared" si="31"/>
        <v>7</v>
      </c>
      <c r="EJ19" s="181">
        <f t="shared" si="31"/>
        <v>8</v>
      </c>
      <c r="EK19" s="181">
        <f t="shared" si="31"/>
        <v>9</v>
      </c>
      <c r="EL19" s="181">
        <f t="shared" si="31"/>
        <v>10</v>
      </c>
      <c r="EM19" s="181">
        <f t="shared" si="31"/>
        <v>11</v>
      </c>
      <c r="EN19" s="181">
        <f t="shared" si="31"/>
        <v>12</v>
      </c>
      <c r="EO19" s="182" t="s">
        <v>0</v>
      </c>
    </row>
    <row r="20" spans="1:145" ht="12.75">
      <c r="A20" s="179" t="s">
        <v>102</v>
      </c>
      <c r="B20" s="184">
        <f>O20+AB20+AO20+BB20+BO20+CB20+CO20+DB20+DO20+EB20+EO20</f>
        <v>1500000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>
        <f>'1-Ф3'!O27</f>
        <v>148800</v>
      </c>
      <c r="O20" s="186">
        <f>SUM(C20:N20)</f>
        <v>148800</v>
      </c>
      <c r="P20" s="185">
        <f>'1-Ф3'!Q27</f>
        <v>375000</v>
      </c>
      <c r="Q20" s="185">
        <f>'1-Ф3'!R27</f>
        <v>375000</v>
      </c>
      <c r="R20" s="185">
        <f>'1-Ф3'!S27</f>
        <v>0</v>
      </c>
      <c r="S20" s="185">
        <f>'1-Ф3'!T27</f>
        <v>0</v>
      </c>
      <c r="T20" s="185">
        <f>'1-Ф3'!U27</f>
        <v>375000</v>
      </c>
      <c r="U20" s="185">
        <f>'1-Ф3'!V27</f>
        <v>226200</v>
      </c>
      <c r="V20" s="185">
        <f>'1-Ф3'!W27</f>
        <v>0</v>
      </c>
      <c r="W20" s="185">
        <f>'1-Ф3'!X27</f>
        <v>0</v>
      </c>
      <c r="X20" s="185">
        <f>'1-Ф3'!Y27</f>
        <v>0</v>
      </c>
      <c r="Y20" s="185">
        <f>'1-Ф3'!Z27</f>
        <v>0</v>
      </c>
      <c r="Z20" s="185"/>
      <c r="AA20" s="185"/>
      <c r="AB20" s="185">
        <f>SUM(P20:AA20)</f>
        <v>1351200</v>
      </c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>
        <f>SUM(AC20:AN20)</f>
        <v>0</v>
      </c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</row>
    <row r="21" spans="1:145" s="188" customFormat="1" ht="20.25" customHeight="1">
      <c r="A21" s="179" t="s">
        <v>27</v>
      </c>
      <c r="B21" s="184">
        <f>O21+AB21+AO21+BB21+BO21+CB21+CO21+DB21+DO21+EB21+EO21</f>
        <v>0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>
        <f>SUM(C21:N21)</f>
        <v>0</v>
      </c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6">
        <f>SUM(P21:AA21)</f>
        <v>0</v>
      </c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6">
        <f>SUM(AC21:AN21)</f>
        <v>0</v>
      </c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6">
        <f>SUM(AP21:BA21)</f>
        <v>0</v>
      </c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6">
        <f>SUM(BC21:BN21)</f>
        <v>0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6">
        <f>SUM(BP21:CA21)</f>
        <v>0</v>
      </c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6">
        <f>SUM(CC21:CN21)</f>
        <v>0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6">
        <f>SUM(CP21:DA21)</f>
        <v>0</v>
      </c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6">
        <f>SUM(DC21:DN21)</f>
        <v>0</v>
      </c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6">
        <f>SUM(DP21:EA21)</f>
        <v>0</v>
      </c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6">
        <f>SUM(EC21:EN21)</f>
        <v>0</v>
      </c>
    </row>
    <row r="22" spans="1:145" s="188" customFormat="1" ht="12.75">
      <c r="A22" s="189" t="s">
        <v>11</v>
      </c>
      <c r="B22" s="184">
        <f>O22+AB22+AO22+BB22+BO22+CB22+CO22+DB22+DO22+EB22+EO22</f>
        <v>419940</v>
      </c>
      <c r="C22" s="185"/>
      <c r="D22" s="185">
        <f>C25*$B18/12</f>
        <v>0</v>
      </c>
      <c r="E22" s="185">
        <f aca="true" t="shared" si="32" ref="E22:N22">D25*$B18/12</f>
        <v>0</v>
      </c>
      <c r="F22" s="185">
        <f t="shared" si="32"/>
        <v>0</v>
      </c>
      <c r="G22" s="185">
        <f>F25*$B18/12</f>
        <v>0</v>
      </c>
      <c r="H22" s="185">
        <f t="shared" si="32"/>
        <v>0</v>
      </c>
      <c r="I22" s="185">
        <f t="shared" si="32"/>
        <v>0</v>
      </c>
      <c r="J22" s="185">
        <f t="shared" si="32"/>
        <v>0</v>
      </c>
      <c r="K22" s="185">
        <f>J25*$B18/12</f>
        <v>0</v>
      </c>
      <c r="L22" s="185">
        <f t="shared" si="32"/>
        <v>0</v>
      </c>
      <c r="M22" s="185">
        <f t="shared" si="32"/>
        <v>0</v>
      </c>
      <c r="N22" s="185">
        <f t="shared" si="32"/>
        <v>0</v>
      </c>
      <c r="O22" s="186">
        <f>SUM(C22:N22)</f>
        <v>0</v>
      </c>
      <c r="P22" s="185">
        <f>O25*$B18/12</f>
        <v>1240</v>
      </c>
      <c r="Q22" s="185">
        <f aca="true" t="shared" si="33" ref="Q22:AA22">P25*$B18/12</f>
        <v>4365</v>
      </c>
      <c r="R22" s="185">
        <f t="shared" si="33"/>
        <v>7490</v>
      </c>
      <c r="S22" s="185">
        <f t="shared" si="33"/>
        <v>7490</v>
      </c>
      <c r="T22" s="185">
        <f t="shared" si="33"/>
        <v>7490</v>
      </c>
      <c r="U22" s="185">
        <f t="shared" si="33"/>
        <v>10615</v>
      </c>
      <c r="V22" s="185">
        <f t="shared" si="33"/>
        <v>12500</v>
      </c>
      <c r="W22" s="185">
        <f t="shared" si="33"/>
        <v>12500</v>
      </c>
      <c r="X22" s="185">
        <f t="shared" si="33"/>
        <v>12500</v>
      </c>
      <c r="Y22" s="185">
        <f t="shared" si="33"/>
        <v>12500</v>
      </c>
      <c r="Z22" s="185">
        <f t="shared" si="33"/>
        <v>12500</v>
      </c>
      <c r="AA22" s="185">
        <f t="shared" si="33"/>
        <v>12500</v>
      </c>
      <c r="AB22" s="186">
        <f>SUM(P22:AA22)</f>
        <v>113690</v>
      </c>
      <c r="AC22" s="185">
        <f>AB25*$B18/12</f>
        <v>12500</v>
      </c>
      <c r="AD22" s="185">
        <f aca="true" t="shared" si="34" ref="AD22:AN22">AC25*$B18/12</f>
        <v>12239.583333333334</v>
      </c>
      <c r="AE22" s="185">
        <f t="shared" si="34"/>
        <v>11979.166666666666</v>
      </c>
      <c r="AF22" s="185">
        <f t="shared" si="34"/>
        <v>11718.75</v>
      </c>
      <c r="AG22" s="185">
        <f t="shared" si="34"/>
        <v>11458.333333333334</v>
      </c>
      <c r="AH22" s="185">
        <f t="shared" si="34"/>
        <v>11197.916666666666</v>
      </c>
      <c r="AI22" s="185">
        <f t="shared" si="34"/>
        <v>10937.5</v>
      </c>
      <c r="AJ22" s="185">
        <f t="shared" si="34"/>
        <v>10677.083333333334</v>
      </c>
      <c r="AK22" s="185">
        <f t="shared" si="34"/>
        <v>10416.666666666666</v>
      </c>
      <c r="AL22" s="185">
        <f t="shared" si="34"/>
        <v>10156.25</v>
      </c>
      <c r="AM22" s="185">
        <f t="shared" si="34"/>
        <v>9895.833333333334</v>
      </c>
      <c r="AN22" s="185">
        <f t="shared" si="34"/>
        <v>9635.416666666666</v>
      </c>
      <c r="AO22" s="186">
        <f>SUM(AC22:AN22)</f>
        <v>132812.5</v>
      </c>
      <c r="AP22" s="185">
        <f>AO25*$B18/12</f>
        <v>9375</v>
      </c>
      <c r="AQ22" s="185">
        <f aca="true" t="shared" si="35" ref="AQ22:BA22">AP25*$B18/12</f>
        <v>9114.583333333334</v>
      </c>
      <c r="AR22" s="185">
        <f t="shared" si="35"/>
        <v>8854.166666666666</v>
      </c>
      <c r="AS22" s="185">
        <f t="shared" si="35"/>
        <v>8593.75</v>
      </c>
      <c r="AT22" s="185">
        <f t="shared" si="35"/>
        <v>8333.333333333334</v>
      </c>
      <c r="AU22" s="185">
        <f t="shared" si="35"/>
        <v>8072.916666666667</v>
      </c>
      <c r="AV22" s="185">
        <f t="shared" si="35"/>
        <v>7812.5</v>
      </c>
      <c r="AW22" s="185">
        <f t="shared" si="35"/>
        <v>7552.083333333333</v>
      </c>
      <c r="AX22" s="185">
        <f t="shared" si="35"/>
        <v>7291.666666666667</v>
      </c>
      <c r="AY22" s="185">
        <f t="shared" si="35"/>
        <v>7031.25</v>
      </c>
      <c r="AZ22" s="185">
        <f t="shared" si="35"/>
        <v>6770.833333333333</v>
      </c>
      <c r="BA22" s="185">
        <f t="shared" si="35"/>
        <v>6510.416666666667</v>
      </c>
      <c r="BB22" s="186">
        <f>SUM(AP22:BA22)</f>
        <v>95312.5</v>
      </c>
      <c r="BC22" s="185">
        <f aca="true" t="shared" si="36" ref="BC22:BN22">BB25*$B18/12</f>
        <v>6250</v>
      </c>
      <c r="BD22" s="185">
        <f t="shared" si="36"/>
        <v>5989.583333333333</v>
      </c>
      <c r="BE22" s="185">
        <f t="shared" si="36"/>
        <v>5729.166666666667</v>
      </c>
      <c r="BF22" s="185">
        <f t="shared" si="36"/>
        <v>5468.75</v>
      </c>
      <c r="BG22" s="185">
        <f t="shared" si="36"/>
        <v>5208.333333333333</v>
      </c>
      <c r="BH22" s="185">
        <f t="shared" si="36"/>
        <v>4947.916666666667</v>
      </c>
      <c r="BI22" s="185">
        <f t="shared" si="36"/>
        <v>4687.5</v>
      </c>
      <c r="BJ22" s="185">
        <f t="shared" si="36"/>
        <v>4427.083333333333</v>
      </c>
      <c r="BK22" s="185">
        <f t="shared" si="36"/>
        <v>4166.666666666667</v>
      </c>
      <c r="BL22" s="185">
        <f t="shared" si="36"/>
        <v>3906.25</v>
      </c>
      <c r="BM22" s="185">
        <f t="shared" si="36"/>
        <v>3645.8333333333335</v>
      </c>
      <c r="BN22" s="185">
        <f t="shared" si="36"/>
        <v>3385.4166666666665</v>
      </c>
      <c r="BO22" s="186">
        <f>SUM(BC22:BN22)</f>
        <v>57812.5</v>
      </c>
      <c r="BP22" s="185">
        <f>BO25*$B18/12</f>
        <v>3125</v>
      </c>
      <c r="BQ22" s="185">
        <f aca="true" t="shared" si="37" ref="BQ22:CA22">BP25*$B18/12</f>
        <v>2864.5833333333335</v>
      </c>
      <c r="BR22" s="185">
        <f t="shared" si="37"/>
        <v>2604.1666666666665</v>
      </c>
      <c r="BS22" s="185">
        <f t="shared" si="37"/>
        <v>2343.75</v>
      </c>
      <c r="BT22" s="185">
        <f t="shared" si="37"/>
        <v>2083.3333333333335</v>
      </c>
      <c r="BU22" s="185">
        <f t="shared" si="37"/>
        <v>1822.9166666666667</v>
      </c>
      <c r="BV22" s="185">
        <f t="shared" si="37"/>
        <v>1562.5</v>
      </c>
      <c r="BW22" s="185">
        <f t="shared" si="37"/>
        <v>1302.0833333333333</v>
      </c>
      <c r="BX22" s="185">
        <f t="shared" si="37"/>
        <v>1041.6666666666667</v>
      </c>
      <c r="BY22" s="185">
        <f t="shared" si="37"/>
        <v>781.25</v>
      </c>
      <c r="BZ22" s="185">
        <f t="shared" si="37"/>
        <v>520.8333333333334</v>
      </c>
      <c r="CA22" s="185">
        <f t="shared" si="37"/>
        <v>260.4166666666667</v>
      </c>
      <c r="CB22" s="186">
        <f>SUM(BP22:CA22)</f>
        <v>20312.5</v>
      </c>
      <c r="CC22" s="185">
        <f>CB25*$B18/12</f>
        <v>0</v>
      </c>
      <c r="CD22" s="185">
        <f aca="true" t="shared" si="38" ref="CD22:CN22">CC25*$B18/12</f>
        <v>0</v>
      </c>
      <c r="CE22" s="185">
        <f t="shared" si="38"/>
        <v>0</v>
      </c>
      <c r="CF22" s="185">
        <f t="shared" si="38"/>
        <v>0</v>
      </c>
      <c r="CG22" s="185">
        <f t="shared" si="38"/>
        <v>0</v>
      </c>
      <c r="CH22" s="185">
        <f t="shared" si="38"/>
        <v>0</v>
      </c>
      <c r="CI22" s="185">
        <f t="shared" si="38"/>
        <v>0</v>
      </c>
      <c r="CJ22" s="185">
        <f t="shared" si="38"/>
        <v>0</v>
      </c>
      <c r="CK22" s="185">
        <f t="shared" si="38"/>
        <v>0</v>
      </c>
      <c r="CL22" s="185">
        <f t="shared" si="38"/>
        <v>0</v>
      </c>
      <c r="CM22" s="185">
        <f t="shared" si="38"/>
        <v>0</v>
      </c>
      <c r="CN22" s="185">
        <f t="shared" si="38"/>
        <v>0</v>
      </c>
      <c r="CO22" s="186">
        <f>SUM(CC22:CN22)</f>
        <v>0</v>
      </c>
      <c r="CP22" s="185">
        <f>CO25*$B18/12</f>
        <v>0</v>
      </c>
      <c r="CQ22" s="185">
        <f aca="true" t="shared" si="39" ref="CQ22:DA22">CP25*$B18/12</f>
        <v>0</v>
      </c>
      <c r="CR22" s="185">
        <f t="shared" si="39"/>
        <v>0</v>
      </c>
      <c r="CS22" s="185">
        <f t="shared" si="39"/>
        <v>0</v>
      </c>
      <c r="CT22" s="185">
        <f t="shared" si="39"/>
        <v>0</v>
      </c>
      <c r="CU22" s="185">
        <f t="shared" si="39"/>
        <v>0</v>
      </c>
      <c r="CV22" s="185">
        <f t="shared" si="39"/>
        <v>0</v>
      </c>
      <c r="CW22" s="185">
        <f t="shared" si="39"/>
        <v>0</v>
      </c>
      <c r="CX22" s="185">
        <f t="shared" si="39"/>
        <v>0</v>
      </c>
      <c r="CY22" s="185">
        <f t="shared" si="39"/>
        <v>0</v>
      </c>
      <c r="CZ22" s="185">
        <f t="shared" si="39"/>
        <v>0</v>
      </c>
      <c r="DA22" s="185">
        <f t="shared" si="39"/>
        <v>0</v>
      </c>
      <c r="DB22" s="186">
        <f>SUM(CP22:DA22)</f>
        <v>0</v>
      </c>
      <c r="DC22" s="185">
        <f aca="true" t="shared" si="40" ref="DC22:DN22">DB25*$B18/12</f>
        <v>0</v>
      </c>
      <c r="DD22" s="185">
        <f t="shared" si="40"/>
        <v>0</v>
      </c>
      <c r="DE22" s="185">
        <f t="shared" si="40"/>
        <v>0</v>
      </c>
      <c r="DF22" s="185">
        <f t="shared" si="40"/>
        <v>0</v>
      </c>
      <c r="DG22" s="185">
        <f t="shared" si="40"/>
        <v>0</v>
      </c>
      <c r="DH22" s="185">
        <f t="shared" si="40"/>
        <v>0</v>
      </c>
      <c r="DI22" s="185">
        <f t="shared" si="40"/>
        <v>0</v>
      </c>
      <c r="DJ22" s="185">
        <f t="shared" si="40"/>
        <v>0</v>
      </c>
      <c r="DK22" s="185">
        <f t="shared" si="40"/>
        <v>0</v>
      </c>
      <c r="DL22" s="185">
        <f t="shared" si="40"/>
        <v>0</v>
      </c>
      <c r="DM22" s="185">
        <f t="shared" si="40"/>
        <v>0</v>
      </c>
      <c r="DN22" s="185">
        <f t="shared" si="40"/>
        <v>0</v>
      </c>
      <c r="DO22" s="186">
        <f>SUM(DC22:DN22)</f>
        <v>0</v>
      </c>
      <c r="DP22" s="185">
        <f aca="true" t="shared" si="41" ref="DP22:EA22">DO25*$B18/12</f>
        <v>0</v>
      </c>
      <c r="DQ22" s="185">
        <f t="shared" si="41"/>
        <v>0</v>
      </c>
      <c r="DR22" s="185">
        <f t="shared" si="41"/>
        <v>0</v>
      </c>
      <c r="DS22" s="185">
        <f t="shared" si="41"/>
        <v>0</v>
      </c>
      <c r="DT22" s="185">
        <f t="shared" si="41"/>
        <v>0</v>
      </c>
      <c r="DU22" s="185">
        <f t="shared" si="41"/>
        <v>0</v>
      </c>
      <c r="DV22" s="185">
        <f t="shared" si="41"/>
        <v>0</v>
      </c>
      <c r="DW22" s="185">
        <f t="shared" si="41"/>
        <v>0</v>
      </c>
      <c r="DX22" s="185">
        <f t="shared" si="41"/>
        <v>0</v>
      </c>
      <c r="DY22" s="185">
        <f t="shared" si="41"/>
        <v>0</v>
      </c>
      <c r="DZ22" s="185">
        <f t="shared" si="41"/>
        <v>0</v>
      </c>
      <c r="EA22" s="185">
        <f t="shared" si="41"/>
        <v>0</v>
      </c>
      <c r="EB22" s="186">
        <f>SUM(DP22:EA22)</f>
        <v>0</v>
      </c>
      <c r="EC22" s="185">
        <f aca="true" t="shared" si="42" ref="EC22:EN22">EB25*$B18/12</f>
        <v>0</v>
      </c>
      <c r="ED22" s="185">
        <f t="shared" si="42"/>
        <v>0</v>
      </c>
      <c r="EE22" s="185">
        <f t="shared" si="42"/>
        <v>0</v>
      </c>
      <c r="EF22" s="185">
        <f t="shared" si="42"/>
        <v>0</v>
      </c>
      <c r="EG22" s="185">
        <f t="shared" si="42"/>
        <v>0</v>
      </c>
      <c r="EH22" s="185">
        <f t="shared" si="42"/>
        <v>0</v>
      </c>
      <c r="EI22" s="185">
        <f t="shared" si="42"/>
        <v>0</v>
      </c>
      <c r="EJ22" s="185">
        <f t="shared" si="42"/>
        <v>0</v>
      </c>
      <c r="EK22" s="185">
        <f t="shared" si="42"/>
        <v>0</v>
      </c>
      <c r="EL22" s="185">
        <f t="shared" si="42"/>
        <v>0</v>
      </c>
      <c r="EM22" s="185">
        <f t="shared" si="42"/>
        <v>0</v>
      </c>
      <c r="EN22" s="185">
        <f t="shared" si="42"/>
        <v>0</v>
      </c>
      <c r="EO22" s="186">
        <f>SUM(EC22:EN22)</f>
        <v>0</v>
      </c>
    </row>
    <row r="23" spans="1:145" ht="12.75">
      <c r="A23" s="179" t="s">
        <v>12</v>
      </c>
      <c r="B23" s="184">
        <f>O23+AB23+AO23+BB23+BO23+CB23+CO23+DB23+DO23+EB23+EO23</f>
        <v>1500000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>
        <f>SUM(C23:N23)</f>
        <v>0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86">
        <f>SUM(P23:AA23)</f>
        <v>0</v>
      </c>
      <c r="AC23" s="185">
        <f>$B$20/(Исх!$C$34*12-Исх!$C$36)</f>
        <v>31250</v>
      </c>
      <c r="AD23" s="185">
        <f>$B$20/(Исх!$C$34*12-Исх!$C$36)</f>
        <v>31250</v>
      </c>
      <c r="AE23" s="185">
        <f>$B$20/(Исх!$C$34*12-Исх!$C$36)</f>
        <v>31250</v>
      </c>
      <c r="AF23" s="185">
        <f>$B$20/(Исх!$C$34*12-Исх!$C$36)</f>
        <v>31250</v>
      </c>
      <c r="AG23" s="185">
        <f>$B$20/(Исх!$C$34*12-Исх!$C$36)</f>
        <v>31250</v>
      </c>
      <c r="AH23" s="185">
        <f>$B$20/(Исх!$C$34*12-Исх!$C$36)</f>
        <v>31250</v>
      </c>
      <c r="AI23" s="185">
        <f>$B$20/(Исх!$C$34*12-Исх!$C$36)</f>
        <v>31250</v>
      </c>
      <c r="AJ23" s="185">
        <f>$B$20/(Исх!$C$34*12-Исх!$C$36)</f>
        <v>31250</v>
      </c>
      <c r="AK23" s="185">
        <f>$B$20/(Исх!$C$34*12-Исх!$C$36)</f>
        <v>31250</v>
      </c>
      <c r="AL23" s="185">
        <f>$B$20/(Исх!$C$34*12-Исх!$C$36)</f>
        <v>31250</v>
      </c>
      <c r="AM23" s="185">
        <f>$B$20/(Исх!$C$34*12-Исх!$C$36)</f>
        <v>31250</v>
      </c>
      <c r="AN23" s="185">
        <f>$B$20/(Исх!$C$34*12-Исх!$C$36)</f>
        <v>31250</v>
      </c>
      <c r="AO23" s="186">
        <f>SUM(AC23:AN23)</f>
        <v>375000</v>
      </c>
      <c r="AP23" s="185">
        <f>$B$20/(Исх!$C$34*12-Исх!$C$36)</f>
        <v>31250</v>
      </c>
      <c r="AQ23" s="185">
        <f>$B$20/(Исх!$C$34*12-Исх!$C$36)</f>
        <v>31250</v>
      </c>
      <c r="AR23" s="185">
        <f>$B$20/(Исх!$C$34*12-Исх!$C$36)</f>
        <v>31250</v>
      </c>
      <c r="AS23" s="185">
        <f>$B$20/(Исх!$C$34*12-Исх!$C$36)</f>
        <v>31250</v>
      </c>
      <c r="AT23" s="185">
        <f>$B$20/(Исх!$C$34*12-Исх!$C$36)</f>
        <v>31250</v>
      </c>
      <c r="AU23" s="185">
        <f>$B$20/(Исх!$C$34*12-Исх!$C$36)</f>
        <v>31250</v>
      </c>
      <c r="AV23" s="185">
        <f>$B$20/(Исх!$C$34*12-Исх!$C$36)</f>
        <v>31250</v>
      </c>
      <c r="AW23" s="185">
        <f>$B$20/(Исх!$C$34*12-Исх!$C$36)</f>
        <v>31250</v>
      </c>
      <c r="AX23" s="185">
        <f>$B$20/(Исх!$C$34*12-Исх!$C$36)</f>
        <v>31250</v>
      </c>
      <c r="AY23" s="185">
        <f>$B$20/(Исх!$C$34*12-Исх!$C$36)</f>
        <v>31250</v>
      </c>
      <c r="AZ23" s="185">
        <f>$B$20/(Исх!$C$34*12-Исх!$C$36)</f>
        <v>31250</v>
      </c>
      <c r="BA23" s="185">
        <f>$B$20/(Исх!$C$34*12-Исх!$C$36)</f>
        <v>31250</v>
      </c>
      <c r="BB23" s="186">
        <f>SUM(AP23:BA23)</f>
        <v>375000</v>
      </c>
      <c r="BC23" s="185">
        <f>$B$20/(Исх!$C$34*12-Исх!$C$36)</f>
        <v>31250</v>
      </c>
      <c r="BD23" s="185">
        <f>$B$20/(Исх!$C$34*12-Исх!$C$36)</f>
        <v>31250</v>
      </c>
      <c r="BE23" s="185">
        <f>$B$20/(Исх!$C$34*12-Исх!$C$36)</f>
        <v>31250</v>
      </c>
      <c r="BF23" s="185">
        <f>$B$20/(Исх!$C$34*12-Исх!$C$36)</f>
        <v>31250</v>
      </c>
      <c r="BG23" s="185">
        <f>$B$20/(Исх!$C$34*12-Исх!$C$36)</f>
        <v>31250</v>
      </c>
      <c r="BH23" s="185">
        <f>$B$20/(Исх!$C$34*12-Исх!$C$36)</f>
        <v>31250</v>
      </c>
      <c r="BI23" s="185">
        <f>$B$20/(Исх!$C$34*12-Исх!$C$36)</f>
        <v>31250</v>
      </c>
      <c r="BJ23" s="185">
        <f>$B$20/(Исх!$C$34*12-Исх!$C$36)</f>
        <v>31250</v>
      </c>
      <c r="BK23" s="185">
        <f>$B$20/(Исх!$C$34*12-Исх!$C$36)</f>
        <v>31250</v>
      </c>
      <c r="BL23" s="185">
        <f>$B$20/(Исх!$C$34*12-Исх!$C$36)</f>
        <v>31250</v>
      </c>
      <c r="BM23" s="185">
        <f>$B$20/(Исх!$C$34*12-Исх!$C$36)</f>
        <v>31250</v>
      </c>
      <c r="BN23" s="185">
        <f>$B$20/(Исх!$C$34*12-Исх!$C$36)</f>
        <v>31250</v>
      </c>
      <c r="BO23" s="186">
        <f>SUM(BC23:BN23)</f>
        <v>375000</v>
      </c>
      <c r="BP23" s="185">
        <f>$B$20/(Исх!$C$34*12-Исх!$C$36)</f>
        <v>31250</v>
      </c>
      <c r="BQ23" s="185">
        <f>$B$20/(Исх!$C$34*12-Исх!$C$36)</f>
        <v>31250</v>
      </c>
      <c r="BR23" s="185">
        <f>$B$20/(Исх!$C$34*12-Исх!$C$36)</f>
        <v>31250</v>
      </c>
      <c r="BS23" s="185">
        <f>$B$20/(Исх!$C$34*12-Исх!$C$36)</f>
        <v>31250</v>
      </c>
      <c r="BT23" s="185">
        <f>$B$20/(Исх!$C$34*12-Исх!$C$36)</f>
        <v>31250</v>
      </c>
      <c r="BU23" s="185">
        <f>$B$20/(Исх!$C$34*12-Исх!$C$36)</f>
        <v>31250</v>
      </c>
      <c r="BV23" s="185">
        <f>$B$20/(Исх!$C$34*12-Исх!$C$36)</f>
        <v>31250</v>
      </c>
      <c r="BW23" s="185">
        <f>$B$20/(Исх!$C$34*12-Исх!$C$36)</f>
        <v>31250</v>
      </c>
      <c r="BX23" s="185">
        <f>$B$20/(Исх!$C$34*12-Исх!$C$36)</f>
        <v>31250</v>
      </c>
      <c r="BY23" s="185">
        <f>$B$20/(Исх!$C$34*12-Исх!$C$36)</f>
        <v>31250</v>
      </c>
      <c r="BZ23" s="185">
        <f>$B$20/(Исх!$C$34*12-Исх!$C$36)</f>
        <v>31250</v>
      </c>
      <c r="CA23" s="185">
        <f>$B$20/(Исх!$C$34*12-Исх!$C$36)</f>
        <v>31250</v>
      </c>
      <c r="CB23" s="186">
        <f>SUM(BP23:CA23)</f>
        <v>375000</v>
      </c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6">
        <f>SUM(CC23:CN23)</f>
        <v>0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6">
        <f>SUM(CP23:DA23)</f>
        <v>0</v>
      </c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6">
        <f>SUM(DC23:DN23)</f>
        <v>0</v>
      </c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6">
        <f>SUM(DP23:EA23)</f>
        <v>0</v>
      </c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6">
        <f>SUM(EC23:EN23)</f>
        <v>0</v>
      </c>
    </row>
    <row r="24" spans="1:145" ht="12.75">
      <c r="A24" s="179" t="s">
        <v>13</v>
      </c>
      <c r="B24" s="184">
        <f>O24+AB24+AO24+BB24+BO24+CB24+CO24+DB24+DO24+EB24+EO24</f>
        <v>419940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>
        <f>SUM(C24:N24)</f>
        <v>0</v>
      </c>
      <c r="P24" s="185">
        <f>P22</f>
        <v>1240</v>
      </c>
      <c r="Q24" s="185">
        <f aca="true" t="shared" si="43" ref="Q24:AA24">Q22</f>
        <v>4365</v>
      </c>
      <c r="R24" s="185">
        <f t="shared" si="43"/>
        <v>7490</v>
      </c>
      <c r="S24" s="185">
        <f t="shared" si="43"/>
        <v>7490</v>
      </c>
      <c r="T24" s="185">
        <f t="shared" si="43"/>
        <v>7490</v>
      </c>
      <c r="U24" s="185">
        <f t="shared" si="43"/>
        <v>10615</v>
      </c>
      <c r="V24" s="185">
        <f t="shared" si="43"/>
        <v>12500</v>
      </c>
      <c r="W24" s="185">
        <f t="shared" si="43"/>
        <v>12500</v>
      </c>
      <c r="X24" s="185">
        <f t="shared" si="43"/>
        <v>12500</v>
      </c>
      <c r="Y24" s="185">
        <f t="shared" si="43"/>
        <v>12500</v>
      </c>
      <c r="Z24" s="185">
        <f t="shared" si="43"/>
        <v>12500</v>
      </c>
      <c r="AA24" s="185">
        <f t="shared" si="43"/>
        <v>12500</v>
      </c>
      <c r="AB24" s="186">
        <f>SUM(P24:AA24)</f>
        <v>113690</v>
      </c>
      <c r="AC24" s="185">
        <f>AC22</f>
        <v>12500</v>
      </c>
      <c r="AD24" s="185">
        <f aca="true" t="shared" si="44" ref="AD24:AN24">AD22</f>
        <v>12239.583333333334</v>
      </c>
      <c r="AE24" s="185">
        <f t="shared" si="44"/>
        <v>11979.166666666666</v>
      </c>
      <c r="AF24" s="185">
        <f t="shared" si="44"/>
        <v>11718.75</v>
      </c>
      <c r="AG24" s="185">
        <f t="shared" si="44"/>
        <v>11458.333333333334</v>
      </c>
      <c r="AH24" s="185">
        <f t="shared" si="44"/>
        <v>11197.916666666666</v>
      </c>
      <c r="AI24" s="185">
        <f t="shared" si="44"/>
        <v>10937.5</v>
      </c>
      <c r="AJ24" s="185">
        <f t="shared" si="44"/>
        <v>10677.083333333334</v>
      </c>
      <c r="AK24" s="185">
        <f t="shared" si="44"/>
        <v>10416.666666666666</v>
      </c>
      <c r="AL24" s="185">
        <f t="shared" si="44"/>
        <v>10156.25</v>
      </c>
      <c r="AM24" s="185">
        <f t="shared" si="44"/>
        <v>9895.833333333334</v>
      </c>
      <c r="AN24" s="185">
        <f t="shared" si="44"/>
        <v>9635.416666666666</v>
      </c>
      <c r="AO24" s="186">
        <f>SUM(AC24:AN24)</f>
        <v>132812.5</v>
      </c>
      <c r="AP24" s="185">
        <f>AP22</f>
        <v>9375</v>
      </c>
      <c r="AQ24" s="185">
        <f aca="true" t="shared" si="45" ref="AQ24:BA24">AQ22</f>
        <v>9114.583333333334</v>
      </c>
      <c r="AR24" s="185">
        <f t="shared" si="45"/>
        <v>8854.166666666666</v>
      </c>
      <c r="AS24" s="185">
        <f t="shared" si="45"/>
        <v>8593.75</v>
      </c>
      <c r="AT24" s="185">
        <f t="shared" si="45"/>
        <v>8333.333333333334</v>
      </c>
      <c r="AU24" s="185">
        <f t="shared" si="45"/>
        <v>8072.916666666667</v>
      </c>
      <c r="AV24" s="185">
        <f t="shared" si="45"/>
        <v>7812.5</v>
      </c>
      <c r="AW24" s="185">
        <f t="shared" si="45"/>
        <v>7552.083333333333</v>
      </c>
      <c r="AX24" s="185">
        <f t="shared" si="45"/>
        <v>7291.666666666667</v>
      </c>
      <c r="AY24" s="185">
        <f t="shared" si="45"/>
        <v>7031.25</v>
      </c>
      <c r="AZ24" s="185">
        <f t="shared" si="45"/>
        <v>6770.833333333333</v>
      </c>
      <c r="BA24" s="185">
        <f t="shared" si="45"/>
        <v>6510.416666666667</v>
      </c>
      <c r="BB24" s="186">
        <f>SUM(AP24:BA24)</f>
        <v>95312.5</v>
      </c>
      <c r="BC24" s="185">
        <f aca="true" t="shared" si="46" ref="BC24:BN24">BC22</f>
        <v>6250</v>
      </c>
      <c r="BD24" s="185">
        <f t="shared" si="46"/>
        <v>5989.583333333333</v>
      </c>
      <c r="BE24" s="185">
        <f t="shared" si="46"/>
        <v>5729.166666666667</v>
      </c>
      <c r="BF24" s="185">
        <f t="shared" si="46"/>
        <v>5468.75</v>
      </c>
      <c r="BG24" s="185">
        <f t="shared" si="46"/>
        <v>5208.333333333333</v>
      </c>
      <c r="BH24" s="185">
        <f t="shared" si="46"/>
        <v>4947.916666666667</v>
      </c>
      <c r="BI24" s="185">
        <f t="shared" si="46"/>
        <v>4687.5</v>
      </c>
      <c r="BJ24" s="185">
        <f t="shared" si="46"/>
        <v>4427.083333333333</v>
      </c>
      <c r="BK24" s="185">
        <f t="shared" si="46"/>
        <v>4166.666666666667</v>
      </c>
      <c r="BL24" s="185">
        <f t="shared" si="46"/>
        <v>3906.25</v>
      </c>
      <c r="BM24" s="185">
        <f t="shared" si="46"/>
        <v>3645.8333333333335</v>
      </c>
      <c r="BN24" s="185">
        <f t="shared" si="46"/>
        <v>3385.4166666666665</v>
      </c>
      <c r="BO24" s="186">
        <f>SUM(BC24:BN24)</f>
        <v>57812.5</v>
      </c>
      <c r="BP24" s="185">
        <f>BP22</f>
        <v>3125</v>
      </c>
      <c r="BQ24" s="185">
        <f aca="true" t="shared" si="47" ref="BQ24:CA24">BQ22</f>
        <v>2864.5833333333335</v>
      </c>
      <c r="BR24" s="185">
        <f t="shared" si="47"/>
        <v>2604.1666666666665</v>
      </c>
      <c r="BS24" s="185">
        <f t="shared" si="47"/>
        <v>2343.75</v>
      </c>
      <c r="BT24" s="185">
        <f t="shared" si="47"/>
        <v>2083.3333333333335</v>
      </c>
      <c r="BU24" s="185">
        <f t="shared" si="47"/>
        <v>1822.9166666666667</v>
      </c>
      <c r="BV24" s="185">
        <f t="shared" si="47"/>
        <v>1562.5</v>
      </c>
      <c r="BW24" s="185">
        <f t="shared" si="47"/>
        <v>1302.0833333333333</v>
      </c>
      <c r="BX24" s="185">
        <f t="shared" si="47"/>
        <v>1041.6666666666667</v>
      </c>
      <c r="BY24" s="185">
        <f t="shared" si="47"/>
        <v>781.25</v>
      </c>
      <c r="BZ24" s="185">
        <f t="shared" si="47"/>
        <v>520.8333333333334</v>
      </c>
      <c r="CA24" s="185">
        <f t="shared" si="47"/>
        <v>260.4166666666667</v>
      </c>
      <c r="CB24" s="186">
        <f>SUM(BP24:CA24)</f>
        <v>20312.5</v>
      </c>
      <c r="CC24" s="185">
        <f>CC22</f>
        <v>0</v>
      </c>
      <c r="CD24" s="185">
        <f aca="true" t="shared" si="48" ref="CD24:CN24">CD22</f>
        <v>0</v>
      </c>
      <c r="CE24" s="185">
        <f t="shared" si="48"/>
        <v>0</v>
      </c>
      <c r="CF24" s="185">
        <f t="shared" si="48"/>
        <v>0</v>
      </c>
      <c r="CG24" s="185">
        <f t="shared" si="48"/>
        <v>0</v>
      </c>
      <c r="CH24" s="185">
        <f t="shared" si="48"/>
        <v>0</v>
      </c>
      <c r="CI24" s="185">
        <f t="shared" si="48"/>
        <v>0</v>
      </c>
      <c r="CJ24" s="185">
        <f t="shared" si="48"/>
        <v>0</v>
      </c>
      <c r="CK24" s="185">
        <f t="shared" si="48"/>
        <v>0</v>
      </c>
      <c r="CL24" s="185">
        <f t="shared" si="48"/>
        <v>0</v>
      </c>
      <c r="CM24" s="185">
        <f t="shared" si="48"/>
        <v>0</v>
      </c>
      <c r="CN24" s="185">
        <f t="shared" si="48"/>
        <v>0</v>
      </c>
      <c r="CO24" s="186">
        <f>SUM(CC24:CN24)</f>
        <v>0</v>
      </c>
      <c r="CP24" s="185">
        <f>CP22</f>
        <v>0</v>
      </c>
      <c r="CQ24" s="185">
        <f aca="true" t="shared" si="49" ref="CQ24:DA24">CQ22</f>
        <v>0</v>
      </c>
      <c r="CR24" s="185">
        <f t="shared" si="49"/>
        <v>0</v>
      </c>
      <c r="CS24" s="185">
        <f t="shared" si="49"/>
        <v>0</v>
      </c>
      <c r="CT24" s="185">
        <f t="shared" si="49"/>
        <v>0</v>
      </c>
      <c r="CU24" s="185">
        <f t="shared" si="49"/>
        <v>0</v>
      </c>
      <c r="CV24" s="185">
        <f t="shared" si="49"/>
        <v>0</v>
      </c>
      <c r="CW24" s="185">
        <f t="shared" si="49"/>
        <v>0</v>
      </c>
      <c r="CX24" s="185">
        <f t="shared" si="49"/>
        <v>0</v>
      </c>
      <c r="CY24" s="185">
        <f t="shared" si="49"/>
        <v>0</v>
      </c>
      <c r="CZ24" s="185">
        <f t="shared" si="49"/>
        <v>0</v>
      </c>
      <c r="DA24" s="185">
        <f t="shared" si="49"/>
        <v>0</v>
      </c>
      <c r="DB24" s="186">
        <f>SUM(CP24:DA24)</f>
        <v>0</v>
      </c>
      <c r="DC24" s="185">
        <f aca="true" t="shared" si="50" ref="DC24:DN24">DC22</f>
        <v>0</v>
      </c>
      <c r="DD24" s="185">
        <f t="shared" si="50"/>
        <v>0</v>
      </c>
      <c r="DE24" s="185">
        <f t="shared" si="50"/>
        <v>0</v>
      </c>
      <c r="DF24" s="185">
        <f t="shared" si="50"/>
        <v>0</v>
      </c>
      <c r="DG24" s="185">
        <f t="shared" si="50"/>
        <v>0</v>
      </c>
      <c r="DH24" s="185">
        <f t="shared" si="50"/>
        <v>0</v>
      </c>
      <c r="DI24" s="185">
        <f t="shared" si="50"/>
        <v>0</v>
      </c>
      <c r="DJ24" s="185">
        <f t="shared" si="50"/>
        <v>0</v>
      </c>
      <c r="DK24" s="185">
        <f t="shared" si="50"/>
        <v>0</v>
      </c>
      <c r="DL24" s="185">
        <f t="shared" si="50"/>
        <v>0</v>
      </c>
      <c r="DM24" s="185">
        <f t="shared" si="50"/>
        <v>0</v>
      </c>
      <c r="DN24" s="185">
        <f t="shared" si="50"/>
        <v>0</v>
      </c>
      <c r="DO24" s="186">
        <f>SUM(DC24:DN24)</f>
        <v>0</v>
      </c>
      <c r="DP24" s="185">
        <f aca="true" t="shared" si="51" ref="DP24:EA24">DP22</f>
        <v>0</v>
      </c>
      <c r="DQ24" s="185">
        <f t="shared" si="51"/>
        <v>0</v>
      </c>
      <c r="DR24" s="185">
        <f t="shared" si="51"/>
        <v>0</v>
      </c>
      <c r="DS24" s="185">
        <f t="shared" si="51"/>
        <v>0</v>
      </c>
      <c r="DT24" s="185">
        <f t="shared" si="51"/>
        <v>0</v>
      </c>
      <c r="DU24" s="185">
        <f t="shared" si="51"/>
        <v>0</v>
      </c>
      <c r="DV24" s="185">
        <f t="shared" si="51"/>
        <v>0</v>
      </c>
      <c r="DW24" s="185">
        <f t="shared" si="51"/>
        <v>0</v>
      </c>
      <c r="DX24" s="185">
        <f t="shared" si="51"/>
        <v>0</v>
      </c>
      <c r="DY24" s="185">
        <f t="shared" si="51"/>
        <v>0</v>
      </c>
      <c r="DZ24" s="185">
        <f t="shared" si="51"/>
        <v>0</v>
      </c>
      <c r="EA24" s="185">
        <f t="shared" si="51"/>
        <v>0</v>
      </c>
      <c r="EB24" s="186">
        <f>SUM(DP24:EA24)</f>
        <v>0</v>
      </c>
      <c r="EC24" s="185">
        <f aca="true" t="shared" si="52" ref="EC24:EN24">EC22</f>
        <v>0</v>
      </c>
      <c r="ED24" s="185">
        <f t="shared" si="52"/>
        <v>0</v>
      </c>
      <c r="EE24" s="185">
        <f t="shared" si="52"/>
        <v>0</v>
      </c>
      <c r="EF24" s="185">
        <f t="shared" si="52"/>
        <v>0</v>
      </c>
      <c r="EG24" s="185">
        <f t="shared" si="52"/>
        <v>0</v>
      </c>
      <c r="EH24" s="185">
        <f t="shared" si="52"/>
        <v>0</v>
      </c>
      <c r="EI24" s="185">
        <f t="shared" si="52"/>
        <v>0</v>
      </c>
      <c r="EJ24" s="185">
        <f t="shared" si="52"/>
        <v>0</v>
      </c>
      <c r="EK24" s="185">
        <f t="shared" si="52"/>
        <v>0</v>
      </c>
      <c r="EL24" s="185">
        <f t="shared" si="52"/>
        <v>0</v>
      </c>
      <c r="EM24" s="185">
        <f t="shared" si="52"/>
        <v>0</v>
      </c>
      <c r="EN24" s="185">
        <f t="shared" si="52"/>
        <v>0</v>
      </c>
      <c r="EO24" s="186">
        <f>SUM(EC24:EN24)</f>
        <v>0</v>
      </c>
    </row>
    <row r="25" spans="1:145" ht="12.75">
      <c r="A25" s="179" t="s">
        <v>14</v>
      </c>
      <c r="B25" s="184">
        <f>EO25</f>
        <v>0</v>
      </c>
      <c r="C25" s="185">
        <f>C20</f>
        <v>0</v>
      </c>
      <c r="D25" s="185">
        <f aca="true" t="shared" si="53" ref="D25:N25">C25+D20-D23+D21</f>
        <v>0</v>
      </c>
      <c r="E25" s="185">
        <f t="shared" si="53"/>
        <v>0</v>
      </c>
      <c r="F25" s="185">
        <f t="shared" si="53"/>
        <v>0</v>
      </c>
      <c r="G25" s="185">
        <f t="shared" si="53"/>
        <v>0</v>
      </c>
      <c r="H25" s="185">
        <f t="shared" si="53"/>
        <v>0</v>
      </c>
      <c r="I25" s="185">
        <f t="shared" si="53"/>
        <v>0</v>
      </c>
      <c r="J25" s="185">
        <f t="shared" si="53"/>
        <v>0</v>
      </c>
      <c r="K25" s="185">
        <f t="shared" si="53"/>
        <v>0</v>
      </c>
      <c r="L25" s="185">
        <f t="shared" si="53"/>
        <v>0</v>
      </c>
      <c r="M25" s="185">
        <f t="shared" si="53"/>
        <v>0</v>
      </c>
      <c r="N25" s="185">
        <f t="shared" si="53"/>
        <v>148800</v>
      </c>
      <c r="O25" s="186">
        <f>N25</f>
        <v>148800</v>
      </c>
      <c r="P25" s="185">
        <f aca="true" t="shared" si="54" ref="P25:AA25">O25+P20-P23+P21</f>
        <v>523800</v>
      </c>
      <c r="Q25" s="185">
        <f t="shared" si="54"/>
        <v>898800</v>
      </c>
      <c r="R25" s="185">
        <f t="shared" si="54"/>
        <v>898800</v>
      </c>
      <c r="S25" s="185">
        <f t="shared" si="54"/>
        <v>898800</v>
      </c>
      <c r="T25" s="185">
        <f t="shared" si="54"/>
        <v>1273800</v>
      </c>
      <c r="U25" s="185">
        <f t="shared" si="54"/>
        <v>1500000</v>
      </c>
      <c r="V25" s="185">
        <f t="shared" si="54"/>
        <v>1500000</v>
      </c>
      <c r="W25" s="185">
        <f t="shared" si="54"/>
        <v>1500000</v>
      </c>
      <c r="X25" s="185">
        <f t="shared" si="54"/>
        <v>1500000</v>
      </c>
      <c r="Y25" s="185">
        <f t="shared" si="54"/>
        <v>1500000</v>
      </c>
      <c r="Z25" s="185">
        <f t="shared" si="54"/>
        <v>1500000</v>
      </c>
      <c r="AA25" s="185">
        <f t="shared" si="54"/>
        <v>1500000</v>
      </c>
      <c r="AB25" s="186">
        <f>AA25</f>
        <v>1500000</v>
      </c>
      <c r="AC25" s="185">
        <f aca="true" t="shared" si="55" ref="AC25:AN25">AB25+AC20-AC23+AC21</f>
        <v>1468750</v>
      </c>
      <c r="AD25" s="185">
        <f t="shared" si="55"/>
        <v>1437500</v>
      </c>
      <c r="AE25" s="185">
        <f t="shared" si="55"/>
        <v>1406250</v>
      </c>
      <c r="AF25" s="185">
        <f t="shared" si="55"/>
        <v>1375000</v>
      </c>
      <c r="AG25" s="185">
        <f t="shared" si="55"/>
        <v>1343750</v>
      </c>
      <c r="AH25" s="185">
        <f t="shared" si="55"/>
        <v>1312500</v>
      </c>
      <c r="AI25" s="185">
        <f t="shared" si="55"/>
        <v>1281250</v>
      </c>
      <c r="AJ25" s="185">
        <f t="shared" si="55"/>
        <v>1250000</v>
      </c>
      <c r="AK25" s="185">
        <f t="shared" si="55"/>
        <v>1218750</v>
      </c>
      <c r="AL25" s="185">
        <f t="shared" si="55"/>
        <v>1187500</v>
      </c>
      <c r="AM25" s="185">
        <f t="shared" si="55"/>
        <v>1156250</v>
      </c>
      <c r="AN25" s="185">
        <f t="shared" si="55"/>
        <v>1125000</v>
      </c>
      <c r="AO25" s="186">
        <f>AN25</f>
        <v>1125000</v>
      </c>
      <c r="AP25" s="185">
        <f aca="true" t="shared" si="56" ref="AP25:BA25">AO25+AP20-AP23+AP21</f>
        <v>1093750</v>
      </c>
      <c r="AQ25" s="185">
        <f t="shared" si="56"/>
        <v>1062500</v>
      </c>
      <c r="AR25" s="185">
        <f t="shared" si="56"/>
        <v>1031250</v>
      </c>
      <c r="AS25" s="185">
        <f t="shared" si="56"/>
        <v>1000000</v>
      </c>
      <c r="AT25" s="185">
        <f t="shared" si="56"/>
        <v>968750</v>
      </c>
      <c r="AU25" s="185">
        <f t="shared" si="56"/>
        <v>937500</v>
      </c>
      <c r="AV25" s="185">
        <f t="shared" si="56"/>
        <v>906250</v>
      </c>
      <c r="AW25" s="185">
        <f t="shared" si="56"/>
        <v>875000</v>
      </c>
      <c r="AX25" s="185">
        <f t="shared" si="56"/>
        <v>843750</v>
      </c>
      <c r="AY25" s="185">
        <f t="shared" si="56"/>
        <v>812500</v>
      </c>
      <c r="AZ25" s="185">
        <f t="shared" si="56"/>
        <v>781250</v>
      </c>
      <c r="BA25" s="185">
        <f t="shared" si="56"/>
        <v>750000</v>
      </c>
      <c r="BB25" s="186">
        <f>BA25</f>
        <v>750000</v>
      </c>
      <c r="BC25" s="185">
        <f aca="true" t="shared" si="57" ref="BC25:BN25">BB25+BC20-BC23+BC21</f>
        <v>718750</v>
      </c>
      <c r="BD25" s="185">
        <f t="shared" si="57"/>
        <v>687500</v>
      </c>
      <c r="BE25" s="185">
        <f t="shared" si="57"/>
        <v>656250</v>
      </c>
      <c r="BF25" s="185">
        <f t="shared" si="57"/>
        <v>625000</v>
      </c>
      <c r="BG25" s="185">
        <f t="shared" si="57"/>
        <v>593750</v>
      </c>
      <c r="BH25" s="185">
        <f t="shared" si="57"/>
        <v>562500</v>
      </c>
      <c r="BI25" s="185">
        <f t="shared" si="57"/>
        <v>531250</v>
      </c>
      <c r="BJ25" s="185">
        <f t="shared" si="57"/>
        <v>500000</v>
      </c>
      <c r="BK25" s="185">
        <f t="shared" si="57"/>
        <v>468750</v>
      </c>
      <c r="BL25" s="185">
        <f t="shared" si="57"/>
        <v>437500</v>
      </c>
      <c r="BM25" s="185">
        <f t="shared" si="57"/>
        <v>406250</v>
      </c>
      <c r="BN25" s="185">
        <f t="shared" si="57"/>
        <v>375000</v>
      </c>
      <c r="BO25" s="186">
        <f>BN25</f>
        <v>375000</v>
      </c>
      <c r="BP25" s="185">
        <f aca="true" t="shared" si="58" ref="BP25:BZ25">BO25+BP20-BP23+BP21</f>
        <v>343750</v>
      </c>
      <c r="BQ25" s="185">
        <f t="shared" si="58"/>
        <v>312500</v>
      </c>
      <c r="BR25" s="185">
        <f t="shared" si="58"/>
        <v>281250</v>
      </c>
      <c r="BS25" s="185">
        <f t="shared" si="58"/>
        <v>250000</v>
      </c>
      <c r="BT25" s="185">
        <f t="shared" si="58"/>
        <v>218750</v>
      </c>
      <c r="BU25" s="185">
        <f t="shared" si="58"/>
        <v>187500</v>
      </c>
      <c r="BV25" s="185">
        <f t="shared" si="58"/>
        <v>156250</v>
      </c>
      <c r="BW25" s="185">
        <f t="shared" si="58"/>
        <v>125000</v>
      </c>
      <c r="BX25" s="185">
        <f t="shared" si="58"/>
        <v>93750</v>
      </c>
      <c r="BY25" s="185">
        <f t="shared" si="58"/>
        <v>62500</v>
      </c>
      <c r="BZ25" s="185">
        <f t="shared" si="58"/>
        <v>31250</v>
      </c>
      <c r="CA25" s="185"/>
      <c r="CB25" s="186">
        <f>CA25</f>
        <v>0</v>
      </c>
      <c r="CC25" s="185">
        <f aca="true" t="shared" si="59" ref="CC25:CN25">CB25+CC20-CC23+CC21</f>
        <v>0</v>
      </c>
      <c r="CD25" s="185">
        <f t="shared" si="59"/>
        <v>0</v>
      </c>
      <c r="CE25" s="185">
        <f t="shared" si="59"/>
        <v>0</v>
      </c>
      <c r="CF25" s="185">
        <f t="shared" si="59"/>
        <v>0</v>
      </c>
      <c r="CG25" s="185">
        <f t="shared" si="59"/>
        <v>0</v>
      </c>
      <c r="CH25" s="185">
        <f t="shared" si="59"/>
        <v>0</v>
      </c>
      <c r="CI25" s="185">
        <f t="shared" si="59"/>
        <v>0</v>
      </c>
      <c r="CJ25" s="185">
        <f t="shared" si="59"/>
        <v>0</v>
      </c>
      <c r="CK25" s="185">
        <f t="shared" si="59"/>
        <v>0</v>
      </c>
      <c r="CL25" s="185">
        <f t="shared" si="59"/>
        <v>0</v>
      </c>
      <c r="CM25" s="185">
        <f t="shared" si="59"/>
        <v>0</v>
      </c>
      <c r="CN25" s="185">
        <f t="shared" si="59"/>
        <v>0</v>
      </c>
      <c r="CO25" s="186">
        <f>CN25</f>
        <v>0</v>
      </c>
      <c r="CP25" s="185">
        <f aca="true" t="shared" si="60" ref="CP25:DA25">CO25+CP20-CP23+CP21</f>
        <v>0</v>
      </c>
      <c r="CQ25" s="185">
        <f t="shared" si="60"/>
        <v>0</v>
      </c>
      <c r="CR25" s="185">
        <f t="shared" si="60"/>
        <v>0</v>
      </c>
      <c r="CS25" s="185">
        <f t="shared" si="60"/>
        <v>0</v>
      </c>
      <c r="CT25" s="185">
        <f t="shared" si="60"/>
        <v>0</v>
      </c>
      <c r="CU25" s="185">
        <f t="shared" si="60"/>
        <v>0</v>
      </c>
      <c r="CV25" s="185">
        <f t="shared" si="60"/>
        <v>0</v>
      </c>
      <c r="CW25" s="185">
        <f t="shared" si="60"/>
        <v>0</v>
      </c>
      <c r="CX25" s="185">
        <f t="shared" si="60"/>
        <v>0</v>
      </c>
      <c r="CY25" s="185">
        <f t="shared" si="60"/>
        <v>0</v>
      </c>
      <c r="CZ25" s="185">
        <f t="shared" si="60"/>
        <v>0</v>
      </c>
      <c r="DA25" s="185">
        <f t="shared" si="60"/>
        <v>0</v>
      </c>
      <c r="DB25" s="186">
        <f>DA25</f>
        <v>0</v>
      </c>
      <c r="DC25" s="185">
        <f aca="true" t="shared" si="61" ref="DC25:DN25">DB25+DC20-DC23+DC21</f>
        <v>0</v>
      </c>
      <c r="DD25" s="185">
        <f t="shared" si="61"/>
        <v>0</v>
      </c>
      <c r="DE25" s="185">
        <f t="shared" si="61"/>
        <v>0</v>
      </c>
      <c r="DF25" s="185">
        <f t="shared" si="61"/>
        <v>0</v>
      </c>
      <c r="DG25" s="185">
        <f t="shared" si="61"/>
        <v>0</v>
      </c>
      <c r="DH25" s="185">
        <f t="shared" si="61"/>
        <v>0</v>
      </c>
      <c r="DI25" s="185">
        <f t="shared" si="61"/>
        <v>0</v>
      </c>
      <c r="DJ25" s="185">
        <f t="shared" si="61"/>
        <v>0</v>
      </c>
      <c r="DK25" s="185">
        <f t="shared" si="61"/>
        <v>0</v>
      </c>
      <c r="DL25" s="185">
        <f t="shared" si="61"/>
        <v>0</v>
      </c>
      <c r="DM25" s="185">
        <f t="shared" si="61"/>
        <v>0</v>
      </c>
      <c r="DN25" s="185">
        <f t="shared" si="61"/>
        <v>0</v>
      </c>
      <c r="DO25" s="186">
        <f>DN25</f>
        <v>0</v>
      </c>
      <c r="DP25" s="185">
        <f aca="true" t="shared" si="62" ref="DP25:EA25">DO25+DP20-DP23+DP21</f>
        <v>0</v>
      </c>
      <c r="DQ25" s="185">
        <f t="shared" si="62"/>
        <v>0</v>
      </c>
      <c r="DR25" s="185">
        <f t="shared" si="62"/>
        <v>0</v>
      </c>
      <c r="DS25" s="185">
        <f t="shared" si="62"/>
        <v>0</v>
      </c>
      <c r="DT25" s="185">
        <f t="shared" si="62"/>
        <v>0</v>
      </c>
      <c r="DU25" s="185">
        <f t="shared" si="62"/>
        <v>0</v>
      </c>
      <c r="DV25" s="185">
        <f t="shared" si="62"/>
        <v>0</v>
      </c>
      <c r="DW25" s="185">
        <f t="shared" si="62"/>
        <v>0</v>
      </c>
      <c r="DX25" s="185">
        <f t="shared" si="62"/>
        <v>0</v>
      </c>
      <c r="DY25" s="185">
        <f t="shared" si="62"/>
        <v>0</v>
      </c>
      <c r="DZ25" s="185">
        <f t="shared" si="62"/>
        <v>0</v>
      </c>
      <c r="EA25" s="185">
        <f t="shared" si="62"/>
        <v>0</v>
      </c>
      <c r="EB25" s="186">
        <f>EA25</f>
        <v>0</v>
      </c>
      <c r="EC25" s="185">
        <f aca="true" t="shared" si="63" ref="EC25:EN25">EB25+EC20-EC23+EC21</f>
        <v>0</v>
      </c>
      <c r="ED25" s="185">
        <f t="shared" si="63"/>
        <v>0</v>
      </c>
      <c r="EE25" s="185">
        <f t="shared" si="63"/>
        <v>0</v>
      </c>
      <c r="EF25" s="185">
        <f t="shared" si="63"/>
        <v>0</v>
      </c>
      <c r="EG25" s="185">
        <f t="shared" si="63"/>
        <v>0</v>
      </c>
      <c r="EH25" s="185">
        <f t="shared" si="63"/>
        <v>0</v>
      </c>
      <c r="EI25" s="185">
        <f t="shared" si="63"/>
        <v>0</v>
      </c>
      <c r="EJ25" s="185">
        <f t="shared" si="63"/>
        <v>0</v>
      </c>
      <c r="EK25" s="185">
        <f t="shared" si="63"/>
        <v>0</v>
      </c>
      <c r="EL25" s="185">
        <f t="shared" si="63"/>
        <v>0</v>
      </c>
      <c r="EM25" s="185">
        <f t="shared" si="63"/>
        <v>0</v>
      </c>
      <c r="EN25" s="185">
        <f t="shared" si="63"/>
        <v>0</v>
      </c>
      <c r="EO25" s="186">
        <f>EN25</f>
        <v>0</v>
      </c>
    </row>
    <row r="26" spans="1:145" ht="12.75">
      <c r="A26" s="171" t="s">
        <v>73</v>
      </c>
      <c r="B26" s="250">
        <f>B13</f>
        <v>48</v>
      </c>
      <c r="CP26" s="174"/>
      <c r="DB26" s="171"/>
      <c r="DO26" s="171"/>
      <c r="EB26" s="171"/>
      <c r="EO26" s="171"/>
    </row>
    <row r="27" spans="1:145" ht="12.75">
      <c r="A27" s="268" t="s">
        <v>232</v>
      </c>
      <c r="B27" s="269">
        <f>$AA$25*$B18/12/((1-(1+$B18/12)^-$B26))</f>
        <v>38043.875152120934</v>
      </c>
      <c r="DB27" s="171"/>
      <c r="DO27" s="171"/>
      <c r="EB27" s="171"/>
      <c r="EO27" s="171"/>
    </row>
    <row r="29" ht="12.75" hidden="1" outlineLevel="1">
      <c r="A29" s="192">
        <f>B22-B21-B24</f>
        <v>0</v>
      </c>
    </row>
    <row r="30" ht="12.75" hidden="1" outlineLevel="1">
      <c r="A30" s="192">
        <f>B20+B21-B23-B25</f>
        <v>0</v>
      </c>
    </row>
    <row r="31" ht="12.75" collapsed="1"/>
    <row r="32" spans="1:145" ht="12.75" hidden="1">
      <c r="A32" s="267" t="s">
        <v>233</v>
      </c>
      <c r="B32" s="265"/>
      <c r="DB32" s="171"/>
      <c r="DO32" s="171"/>
      <c r="EB32" s="171"/>
      <c r="EO32" s="171"/>
    </row>
    <row r="33" spans="1:145" ht="15.75" customHeight="1" hidden="1">
      <c r="A33" s="178" t="s">
        <v>10</v>
      </c>
      <c r="B33" s="266">
        <f>'[71]Исх'!$C$30</f>
        <v>0.14</v>
      </c>
      <c r="C33" s="370">
        <f>C5</f>
        <v>2019</v>
      </c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>
        <f>P5</f>
        <v>2020</v>
      </c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>
        <f>AC5</f>
        <v>2021</v>
      </c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>
        <f>AP5</f>
        <v>2022</v>
      </c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0"/>
      <c r="BC33" s="370">
        <f>BC5</f>
        <v>2023</v>
      </c>
      <c r="BD33" s="370"/>
      <c r="BE33" s="370"/>
      <c r="BF33" s="370"/>
      <c r="BG33" s="370"/>
      <c r="BH33" s="370"/>
      <c r="BI33" s="370"/>
      <c r="BJ33" s="370"/>
      <c r="BK33" s="370"/>
      <c r="BL33" s="370"/>
      <c r="BM33" s="370"/>
      <c r="BN33" s="370"/>
      <c r="BO33" s="370"/>
      <c r="BP33" s="370">
        <f>BP5</f>
        <v>2024</v>
      </c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>
        <f>CC5</f>
        <v>2021</v>
      </c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>
        <f>CP5</f>
        <v>2022</v>
      </c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>
        <f>DC5</f>
        <v>2023</v>
      </c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>
        <f>DP5</f>
        <v>2024</v>
      </c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>
        <f>EC5</f>
        <v>2025</v>
      </c>
      <c r="ED33" s="370"/>
      <c r="EE33" s="370"/>
      <c r="EF33" s="370"/>
      <c r="EG33" s="370"/>
      <c r="EH33" s="370"/>
      <c r="EI33" s="370"/>
      <c r="EJ33" s="370"/>
      <c r="EK33" s="370"/>
      <c r="EL33" s="370"/>
      <c r="EM33" s="370"/>
      <c r="EN33" s="370"/>
      <c r="EO33" s="370"/>
    </row>
    <row r="34" spans="1:145" s="183" customFormat="1" ht="15" customHeight="1" hidden="1">
      <c r="A34" s="179" t="s">
        <v>8</v>
      </c>
      <c r="B34" s="180" t="s">
        <v>84</v>
      </c>
      <c r="C34" s="181">
        <v>1</v>
      </c>
      <c r="D34" s="181">
        <v>2</v>
      </c>
      <c r="E34" s="181">
        <f aca="true" t="shared" si="64" ref="E34:N34">D34+1</f>
        <v>3</v>
      </c>
      <c r="F34" s="181">
        <f t="shared" si="64"/>
        <v>4</v>
      </c>
      <c r="G34" s="181">
        <f t="shared" si="64"/>
        <v>5</v>
      </c>
      <c r="H34" s="181">
        <f t="shared" si="64"/>
        <v>6</v>
      </c>
      <c r="I34" s="181">
        <f t="shared" si="64"/>
        <v>7</v>
      </c>
      <c r="J34" s="181">
        <f t="shared" si="64"/>
        <v>8</v>
      </c>
      <c r="K34" s="181">
        <f t="shared" si="64"/>
        <v>9</v>
      </c>
      <c r="L34" s="181">
        <f t="shared" si="64"/>
        <v>10</v>
      </c>
      <c r="M34" s="181">
        <f t="shared" si="64"/>
        <v>11</v>
      </c>
      <c r="N34" s="181">
        <f t="shared" si="64"/>
        <v>12</v>
      </c>
      <c r="O34" s="182" t="str">
        <f>O6</f>
        <v>Итого</v>
      </c>
      <c r="P34" s="181">
        <v>1</v>
      </c>
      <c r="Q34" s="181">
        <v>2</v>
      </c>
      <c r="R34" s="181">
        <f aca="true" t="shared" si="65" ref="R34:AA34">Q34+1</f>
        <v>3</v>
      </c>
      <c r="S34" s="181">
        <f t="shared" si="65"/>
        <v>4</v>
      </c>
      <c r="T34" s="181">
        <f t="shared" si="65"/>
        <v>5</v>
      </c>
      <c r="U34" s="181">
        <f t="shared" si="65"/>
        <v>6</v>
      </c>
      <c r="V34" s="181">
        <f t="shared" si="65"/>
        <v>7</v>
      </c>
      <c r="W34" s="181">
        <f t="shared" si="65"/>
        <v>8</v>
      </c>
      <c r="X34" s="181">
        <f t="shared" si="65"/>
        <v>9</v>
      </c>
      <c r="Y34" s="181">
        <f t="shared" si="65"/>
        <v>10</v>
      </c>
      <c r="Z34" s="181">
        <f t="shared" si="65"/>
        <v>11</v>
      </c>
      <c r="AA34" s="181">
        <f t="shared" si="65"/>
        <v>12</v>
      </c>
      <c r="AB34" s="182" t="str">
        <f>AB6</f>
        <v>Итого</v>
      </c>
      <c r="AC34" s="181">
        <v>1</v>
      </c>
      <c r="AD34" s="181">
        <v>2</v>
      </c>
      <c r="AE34" s="181">
        <f aca="true" t="shared" si="66" ref="AE34:AN34">AD34+1</f>
        <v>3</v>
      </c>
      <c r="AF34" s="181">
        <f t="shared" si="66"/>
        <v>4</v>
      </c>
      <c r="AG34" s="181">
        <f t="shared" si="66"/>
        <v>5</v>
      </c>
      <c r="AH34" s="181">
        <f t="shared" si="66"/>
        <v>6</v>
      </c>
      <c r="AI34" s="181">
        <f t="shared" si="66"/>
        <v>7</v>
      </c>
      <c r="AJ34" s="181">
        <f t="shared" si="66"/>
        <v>8</v>
      </c>
      <c r="AK34" s="181">
        <f t="shared" si="66"/>
        <v>9</v>
      </c>
      <c r="AL34" s="181">
        <f t="shared" si="66"/>
        <v>10</v>
      </c>
      <c r="AM34" s="181">
        <f t="shared" si="66"/>
        <v>11</v>
      </c>
      <c r="AN34" s="181">
        <f t="shared" si="66"/>
        <v>12</v>
      </c>
      <c r="AO34" s="182" t="str">
        <f>AO6</f>
        <v>Итого</v>
      </c>
      <c r="AP34" s="181">
        <v>1</v>
      </c>
      <c r="AQ34" s="181">
        <v>2</v>
      </c>
      <c r="AR34" s="181">
        <f aca="true" t="shared" si="67" ref="AR34:BA34">AQ34+1</f>
        <v>3</v>
      </c>
      <c r="AS34" s="181">
        <f t="shared" si="67"/>
        <v>4</v>
      </c>
      <c r="AT34" s="181">
        <f t="shared" si="67"/>
        <v>5</v>
      </c>
      <c r="AU34" s="181">
        <f t="shared" si="67"/>
        <v>6</v>
      </c>
      <c r="AV34" s="181">
        <f t="shared" si="67"/>
        <v>7</v>
      </c>
      <c r="AW34" s="181">
        <f t="shared" si="67"/>
        <v>8</v>
      </c>
      <c r="AX34" s="181">
        <f t="shared" si="67"/>
        <v>9</v>
      </c>
      <c r="AY34" s="181">
        <f t="shared" si="67"/>
        <v>10</v>
      </c>
      <c r="AZ34" s="181">
        <f t="shared" si="67"/>
        <v>11</v>
      </c>
      <c r="BA34" s="181">
        <f t="shared" si="67"/>
        <v>12</v>
      </c>
      <c r="BB34" s="182" t="str">
        <f>BB6</f>
        <v>Итого</v>
      </c>
      <c r="BC34" s="181">
        <v>1</v>
      </c>
      <c r="BD34" s="181">
        <v>2</v>
      </c>
      <c r="BE34" s="181">
        <f aca="true" t="shared" si="68" ref="BE34:BN34">BD34+1</f>
        <v>3</v>
      </c>
      <c r="BF34" s="181">
        <f t="shared" si="68"/>
        <v>4</v>
      </c>
      <c r="BG34" s="181">
        <f t="shared" si="68"/>
        <v>5</v>
      </c>
      <c r="BH34" s="181">
        <f t="shared" si="68"/>
        <v>6</v>
      </c>
      <c r="BI34" s="181">
        <f t="shared" si="68"/>
        <v>7</v>
      </c>
      <c r="BJ34" s="181">
        <f t="shared" si="68"/>
        <v>8</v>
      </c>
      <c r="BK34" s="181">
        <f t="shared" si="68"/>
        <v>9</v>
      </c>
      <c r="BL34" s="181">
        <f t="shared" si="68"/>
        <v>10</v>
      </c>
      <c r="BM34" s="181">
        <f t="shared" si="68"/>
        <v>11</v>
      </c>
      <c r="BN34" s="181">
        <f t="shared" si="68"/>
        <v>12</v>
      </c>
      <c r="BO34" s="182" t="str">
        <f>BO6</f>
        <v>Итого</v>
      </c>
      <c r="BP34" s="181">
        <v>1</v>
      </c>
      <c r="BQ34" s="181">
        <v>2</v>
      </c>
      <c r="BR34" s="181">
        <f aca="true" t="shared" si="69" ref="BR34:CA34">BQ34+1</f>
        <v>3</v>
      </c>
      <c r="BS34" s="181">
        <f t="shared" si="69"/>
        <v>4</v>
      </c>
      <c r="BT34" s="181">
        <f t="shared" si="69"/>
        <v>5</v>
      </c>
      <c r="BU34" s="181">
        <f t="shared" si="69"/>
        <v>6</v>
      </c>
      <c r="BV34" s="181">
        <f t="shared" si="69"/>
        <v>7</v>
      </c>
      <c r="BW34" s="181">
        <f t="shared" si="69"/>
        <v>8</v>
      </c>
      <c r="BX34" s="181">
        <f t="shared" si="69"/>
        <v>9</v>
      </c>
      <c r="BY34" s="181">
        <f t="shared" si="69"/>
        <v>10</v>
      </c>
      <c r="BZ34" s="181">
        <f t="shared" si="69"/>
        <v>11</v>
      </c>
      <c r="CA34" s="181">
        <f t="shared" si="69"/>
        <v>12</v>
      </c>
      <c r="CB34" s="182" t="str">
        <f>CB6</f>
        <v>Итого</v>
      </c>
      <c r="CC34" s="181">
        <v>1</v>
      </c>
      <c r="CD34" s="181">
        <v>2</v>
      </c>
      <c r="CE34" s="181">
        <f aca="true" t="shared" si="70" ref="CE34:CN34">CD34+1</f>
        <v>3</v>
      </c>
      <c r="CF34" s="181">
        <f t="shared" si="70"/>
        <v>4</v>
      </c>
      <c r="CG34" s="181">
        <f t="shared" si="70"/>
        <v>5</v>
      </c>
      <c r="CH34" s="181">
        <f t="shared" si="70"/>
        <v>6</v>
      </c>
      <c r="CI34" s="181">
        <f t="shared" si="70"/>
        <v>7</v>
      </c>
      <c r="CJ34" s="181">
        <f t="shared" si="70"/>
        <v>8</v>
      </c>
      <c r="CK34" s="181">
        <f t="shared" si="70"/>
        <v>9</v>
      </c>
      <c r="CL34" s="181">
        <f t="shared" si="70"/>
        <v>10</v>
      </c>
      <c r="CM34" s="181">
        <f t="shared" si="70"/>
        <v>11</v>
      </c>
      <c r="CN34" s="181">
        <f t="shared" si="70"/>
        <v>12</v>
      </c>
      <c r="CO34" s="182" t="str">
        <f>CO6</f>
        <v>Итого</v>
      </c>
      <c r="CP34" s="181">
        <v>1</v>
      </c>
      <c r="CQ34" s="181">
        <v>2</v>
      </c>
      <c r="CR34" s="181">
        <f aca="true" t="shared" si="71" ref="CR34:DA34">CQ34+1</f>
        <v>3</v>
      </c>
      <c r="CS34" s="181">
        <f t="shared" si="71"/>
        <v>4</v>
      </c>
      <c r="CT34" s="181">
        <f t="shared" si="71"/>
        <v>5</v>
      </c>
      <c r="CU34" s="181">
        <f t="shared" si="71"/>
        <v>6</v>
      </c>
      <c r="CV34" s="181">
        <f t="shared" si="71"/>
        <v>7</v>
      </c>
      <c r="CW34" s="181">
        <f t="shared" si="71"/>
        <v>8</v>
      </c>
      <c r="CX34" s="181">
        <f t="shared" si="71"/>
        <v>9</v>
      </c>
      <c r="CY34" s="181">
        <f t="shared" si="71"/>
        <v>10</v>
      </c>
      <c r="CZ34" s="181">
        <f t="shared" si="71"/>
        <v>11</v>
      </c>
      <c r="DA34" s="181">
        <f t="shared" si="71"/>
        <v>12</v>
      </c>
      <c r="DB34" s="182" t="str">
        <f>DB6</f>
        <v>Итого</v>
      </c>
      <c r="DC34" s="181">
        <v>1</v>
      </c>
      <c r="DD34" s="181">
        <v>2</v>
      </c>
      <c r="DE34" s="181">
        <f aca="true" t="shared" si="72" ref="DE34:DN34">DD34+1</f>
        <v>3</v>
      </c>
      <c r="DF34" s="181">
        <f t="shared" si="72"/>
        <v>4</v>
      </c>
      <c r="DG34" s="181">
        <f t="shared" si="72"/>
        <v>5</v>
      </c>
      <c r="DH34" s="181">
        <f t="shared" si="72"/>
        <v>6</v>
      </c>
      <c r="DI34" s="181">
        <f t="shared" si="72"/>
        <v>7</v>
      </c>
      <c r="DJ34" s="181">
        <f t="shared" si="72"/>
        <v>8</v>
      </c>
      <c r="DK34" s="181">
        <f t="shared" si="72"/>
        <v>9</v>
      </c>
      <c r="DL34" s="181">
        <f t="shared" si="72"/>
        <v>10</v>
      </c>
      <c r="DM34" s="181">
        <f t="shared" si="72"/>
        <v>11</v>
      </c>
      <c r="DN34" s="181">
        <f t="shared" si="72"/>
        <v>12</v>
      </c>
      <c r="DO34" s="182" t="str">
        <f>DO6</f>
        <v>Итого</v>
      </c>
      <c r="DP34" s="181">
        <v>1</v>
      </c>
      <c r="DQ34" s="181">
        <v>2</v>
      </c>
      <c r="DR34" s="181">
        <f aca="true" t="shared" si="73" ref="DR34:EA34">DQ34+1</f>
        <v>3</v>
      </c>
      <c r="DS34" s="181">
        <f t="shared" si="73"/>
        <v>4</v>
      </c>
      <c r="DT34" s="181">
        <f t="shared" si="73"/>
        <v>5</v>
      </c>
      <c r="DU34" s="181">
        <f t="shared" si="73"/>
        <v>6</v>
      </c>
      <c r="DV34" s="181">
        <f t="shared" si="73"/>
        <v>7</v>
      </c>
      <c r="DW34" s="181">
        <f t="shared" si="73"/>
        <v>8</v>
      </c>
      <c r="DX34" s="181">
        <f t="shared" si="73"/>
        <v>9</v>
      </c>
      <c r="DY34" s="181">
        <f t="shared" si="73"/>
        <v>10</v>
      </c>
      <c r="DZ34" s="181">
        <f t="shared" si="73"/>
        <v>11</v>
      </c>
      <c r="EA34" s="181">
        <f t="shared" si="73"/>
        <v>12</v>
      </c>
      <c r="EB34" s="182" t="str">
        <f>EB6</f>
        <v>Итого</v>
      </c>
      <c r="EC34" s="181">
        <v>1</v>
      </c>
      <c r="ED34" s="181">
        <v>2</v>
      </c>
      <c r="EE34" s="181">
        <f aca="true" t="shared" si="74" ref="EE34:EN34">ED34+1</f>
        <v>3</v>
      </c>
      <c r="EF34" s="181">
        <f t="shared" si="74"/>
        <v>4</v>
      </c>
      <c r="EG34" s="181">
        <f t="shared" si="74"/>
        <v>5</v>
      </c>
      <c r="EH34" s="181">
        <f t="shared" si="74"/>
        <v>6</v>
      </c>
      <c r="EI34" s="181">
        <f t="shared" si="74"/>
        <v>7</v>
      </c>
      <c r="EJ34" s="181">
        <f t="shared" si="74"/>
        <v>8</v>
      </c>
      <c r="EK34" s="181">
        <f t="shared" si="74"/>
        <v>9</v>
      </c>
      <c r="EL34" s="181">
        <f t="shared" si="74"/>
        <v>10</v>
      </c>
      <c r="EM34" s="181">
        <f t="shared" si="74"/>
        <v>11</v>
      </c>
      <c r="EN34" s="181">
        <f t="shared" si="74"/>
        <v>12</v>
      </c>
      <c r="EO34" s="182" t="str">
        <f>EO6</f>
        <v>Итого</v>
      </c>
    </row>
    <row r="35" spans="1:145" ht="12.75" hidden="1">
      <c r="A35" s="179" t="s">
        <v>102</v>
      </c>
      <c r="B35" s="184">
        <f>O35+AB35+AO35+BB35+BO35+CB35+CO35+DB35+DO35</f>
        <v>0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>
        <f>SUM(C35:N35)</f>
        <v>0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>
        <f>SUM(P35:AA35)</f>
        <v>0</v>
      </c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>
        <f>SUM(AC35:AN35)</f>
        <v>0</v>
      </c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</row>
    <row r="36" spans="1:145" s="188" customFormat="1" ht="20.25" customHeight="1" hidden="1">
      <c r="A36" s="179" t="s">
        <v>27</v>
      </c>
      <c r="B36" s="184">
        <f>O36+AB36+AO36+BB36+BO36+CB36+CO36+DB36+DO36</f>
        <v>0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>
        <f>SUM(C36:N36)</f>
        <v>0</v>
      </c>
      <c r="P36" s="185">
        <f>SUM(O37:P37)</f>
        <v>0</v>
      </c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6">
        <f>SUM(P36:AA36)</f>
        <v>0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6">
        <f>SUM(AC36:AN36)</f>
        <v>0</v>
      </c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6">
        <f>SUM(AP36:BA36)</f>
        <v>0</v>
      </c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6">
        <f>SUM(BC36:BN36)</f>
        <v>0</v>
      </c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6">
        <f>SUM(BP36:CA36)</f>
        <v>0</v>
      </c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6">
        <f>SUM(CC36:CN36)</f>
        <v>0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6">
        <f>SUM(CP36:DA36)</f>
        <v>0</v>
      </c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6">
        <f>SUM(DC36:DN36)</f>
        <v>0</v>
      </c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6">
        <f>SUM(DP36:EA36)</f>
        <v>0</v>
      </c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6">
        <f>SUM(EC36:EN36)</f>
        <v>0</v>
      </c>
    </row>
    <row r="37" spans="1:145" s="188" customFormat="1" ht="12.75" hidden="1">
      <c r="A37" s="189" t="s">
        <v>11</v>
      </c>
      <c r="B37" s="184">
        <f>O37+AB37+AO37+BB37+BO37+CB37+CO37+DB37+DO37</f>
        <v>0</v>
      </c>
      <c r="C37" s="185"/>
      <c r="D37" s="185">
        <f aca="true" t="shared" si="75" ref="D37:N37">C40*$B33/12</f>
        <v>0</v>
      </c>
      <c r="E37" s="185">
        <f t="shared" si="75"/>
        <v>0</v>
      </c>
      <c r="F37" s="185">
        <f t="shared" si="75"/>
        <v>0</v>
      </c>
      <c r="G37" s="185">
        <f t="shared" si="75"/>
        <v>0</v>
      </c>
      <c r="H37" s="185">
        <f t="shared" si="75"/>
        <v>0</v>
      </c>
      <c r="I37" s="185">
        <f t="shared" si="75"/>
        <v>0</v>
      </c>
      <c r="J37" s="185">
        <f t="shared" si="75"/>
        <v>0</v>
      </c>
      <c r="K37" s="185">
        <f t="shared" si="75"/>
        <v>0</v>
      </c>
      <c r="L37" s="185">
        <f t="shared" si="75"/>
        <v>0</v>
      </c>
      <c r="M37" s="185">
        <f t="shared" si="75"/>
        <v>0</v>
      </c>
      <c r="N37" s="185">
        <f t="shared" si="75"/>
        <v>0</v>
      </c>
      <c r="O37" s="186">
        <f>SUM(C37:N37)</f>
        <v>0</v>
      </c>
      <c r="P37" s="185">
        <f aca="true" t="shared" si="76" ref="P37:AA37">O40*$B33/12</f>
        <v>0</v>
      </c>
      <c r="Q37" s="185">
        <f t="shared" si="76"/>
        <v>0</v>
      </c>
      <c r="R37" s="185">
        <f t="shared" si="76"/>
        <v>0</v>
      </c>
      <c r="S37" s="185">
        <f t="shared" si="76"/>
        <v>0</v>
      </c>
      <c r="T37" s="185">
        <f t="shared" si="76"/>
        <v>0</v>
      </c>
      <c r="U37" s="185">
        <f t="shared" si="76"/>
        <v>0</v>
      </c>
      <c r="V37" s="185">
        <f t="shared" si="76"/>
        <v>0</v>
      </c>
      <c r="W37" s="185">
        <f t="shared" si="76"/>
        <v>0</v>
      </c>
      <c r="X37" s="185">
        <f t="shared" si="76"/>
        <v>0</v>
      </c>
      <c r="Y37" s="185">
        <f t="shared" si="76"/>
        <v>0</v>
      </c>
      <c r="Z37" s="185">
        <f t="shared" si="76"/>
        <v>0</v>
      </c>
      <c r="AA37" s="185">
        <f t="shared" si="76"/>
        <v>0</v>
      </c>
      <c r="AB37" s="186">
        <f>SUM(P37:AA37)</f>
        <v>0</v>
      </c>
      <c r="AC37" s="185">
        <f aca="true" t="shared" si="77" ref="AC37:AN37">AB40*$B33/12</f>
        <v>0</v>
      </c>
      <c r="AD37" s="185">
        <f t="shared" si="77"/>
        <v>0</v>
      </c>
      <c r="AE37" s="185">
        <f t="shared" si="77"/>
        <v>0</v>
      </c>
      <c r="AF37" s="185">
        <f t="shared" si="77"/>
        <v>0</v>
      </c>
      <c r="AG37" s="185">
        <f t="shared" si="77"/>
        <v>0</v>
      </c>
      <c r="AH37" s="185">
        <f t="shared" si="77"/>
        <v>0</v>
      </c>
      <c r="AI37" s="185">
        <f t="shared" si="77"/>
        <v>0</v>
      </c>
      <c r="AJ37" s="185">
        <f t="shared" si="77"/>
        <v>0</v>
      </c>
      <c r="AK37" s="185">
        <f t="shared" si="77"/>
        <v>0</v>
      </c>
      <c r="AL37" s="185">
        <f t="shared" si="77"/>
        <v>0</v>
      </c>
      <c r="AM37" s="185">
        <f t="shared" si="77"/>
        <v>0</v>
      </c>
      <c r="AN37" s="185">
        <f t="shared" si="77"/>
        <v>0</v>
      </c>
      <c r="AO37" s="186">
        <f>SUM(AC37:AN37)</f>
        <v>0</v>
      </c>
      <c r="AP37" s="185">
        <f aca="true" t="shared" si="78" ref="AP37:BA37">AO40*$B33/12</f>
        <v>0</v>
      </c>
      <c r="AQ37" s="185">
        <f t="shared" si="78"/>
        <v>0</v>
      </c>
      <c r="AR37" s="185">
        <f t="shared" si="78"/>
        <v>0</v>
      </c>
      <c r="AS37" s="185">
        <f t="shared" si="78"/>
        <v>0</v>
      </c>
      <c r="AT37" s="185">
        <f t="shared" si="78"/>
        <v>0</v>
      </c>
      <c r="AU37" s="185">
        <f t="shared" si="78"/>
        <v>0</v>
      </c>
      <c r="AV37" s="185">
        <f t="shared" si="78"/>
        <v>0</v>
      </c>
      <c r="AW37" s="185">
        <f t="shared" si="78"/>
        <v>0</v>
      </c>
      <c r="AX37" s="185">
        <f t="shared" si="78"/>
        <v>0</v>
      </c>
      <c r="AY37" s="185">
        <f t="shared" si="78"/>
        <v>0</v>
      </c>
      <c r="AZ37" s="185">
        <f t="shared" si="78"/>
        <v>0</v>
      </c>
      <c r="BA37" s="185">
        <f t="shared" si="78"/>
        <v>0</v>
      </c>
      <c r="BB37" s="186">
        <f>SUM(AP37:BA37)</f>
        <v>0</v>
      </c>
      <c r="BC37" s="185">
        <f aca="true" t="shared" si="79" ref="BC37:BN37">BB40*$B33/12</f>
        <v>0</v>
      </c>
      <c r="BD37" s="185">
        <f t="shared" si="79"/>
        <v>0</v>
      </c>
      <c r="BE37" s="185">
        <f t="shared" si="79"/>
        <v>0</v>
      </c>
      <c r="BF37" s="185">
        <f t="shared" si="79"/>
        <v>0</v>
      </c>
      <c r="BG37" s="185">
        <f t="shared" si="79"/>
        <v>0</v>
      </c>
      <c r="BH37" s="185">
        <f t="shared" si="79"/>
        <v>0</v>
      </c>
      <c r="BI37" s="185">
        <f t="shared" si="79"/>
        <v>0</v>
      </c>
      <c r="BJ37" s="185">
        <f t="shared" si="79"/>
        <v>0</v>
      </c>
      <c r="BK37" s="185">
        <f t="shared" si="79"/>
        <v>0</v>
      </c>
      <c r="BL37" s="185">
        <f t="shared" si="79"/>
        <v>0</v>
      </c>
      <c r="BM37" s="185">
        <f t="shared" si="79"/>
        <v>0</v>
      </c>
      <c r="BN37" s="185">
        <f t="shared" si="79"/>
        <v>0</v>
      </c>
      <c r="BO37" s="186">
        <f>SUM(BC37:BN37)</f>
        <v>0</v>
      </c>
      <c r="BP37" s="185">
        <f aca="true" t="shared" si="80" ref="BP37:CA37">BO40*$B33/12</f>
        <v>0</v>
      </c>
      <c r="BQ37" s="185">
        <f t="shared" si="80"/>
        <v>0</v>
      </c>
      <c r="BR37" s="185">
        <f t="shared" si="80"/>
        <v>0</v>
      </c>
      <c r="BS37" s="185">
        <f t="shared" si="80"/>
        <v>0</v>
      </c>
      <c r="BT37" s="185">
        <f t="shared" si="80"/>
        <v>0</v>
      </c>
      <c r="BU37" s="185">
        <f t="shared" si="80"/>
        <v>0</v>
      </c>
      <c r="BV37" s="185">
        <f t="shared" si="80"/>
        <v>0</v>
      </c>
      <c r="BW37" s="185">
        <f t="shared" si="80"/>
        <v>0</v>
      </c>
      <c r="BX37" s="185">
        <f t="shared" si="80"/>
        <v>0</v>
      </c>
      <c r="BY37" s="185">
        <f t="shared" si="80"/>
        <v>0</v>
      </c>
      <c r="BZ37" s="185">
        <f t="shared" si="80"/>
        <v>0</v>
      </c>
      <c r="CA37" s="185">
        <f t="shared" si="80"/>
        <v>0</v>
      </c>
      <c r="CB37" s="186">
        <f>SUM(BP37:CA37)</f>
        <v>0</v>
      </c>
      <c r="CC37" s="185">
        <f aca="true" t="shared" si="81" ref="CC37:CN37">CB40*$B33/12</f>
        <v>0</v>
      </c>
      <c r="CD37" s="185">
        <f t="shared" si="81"/>
        <v>0</v>
      </c>
      <c r="CE37" s="185">
        <f t="shared" si="81"/>
        <v>0</v>
      </c>
      <c r="CF37" s="185">
        <f t="shared" si="81"/>
        <v>0</v>
      </c>
      <c r="CG37" s="185">
        <f t="shared" si="81"/>
        <v>0</v>
      </c>
      <c r="CH37" s="185">
        <f t="shared" si="81"/>
        <v>0</v>
      </c>
      <c r="CI37" s="185">
        <f t="shared" si="81"/>
        <v>0</v>
      </c>
      <c r="CJ37" s="185">
        <f t="shared" si="81"/>
        <v>0</v>
      </c>
      <c r="CK37" s="185">
        <f t="shared" si="81"/>
        <v>0</v>
      </c>
      <c r="CL37" s="185">
        <f t="shared" si="81"/>
        <v>0</v>
      </c>
      <c r="CM37" s="185">
        <f t="shared" si="81"/>
        <v>0</v>
      </c>
      <c r="CN37" s="185">
        <f t="shared" si="81"/>
        <v>0</v>
      </c>
      <c r="CO37" s="186">
        <f>SUM(CC37:CN37)</f>
        <v>0</v>
      </c>
      <c r="CP37" s="185">
        <f aca="true" t="shared" si="82" ref="CP37:DA37">CO40*$B33/12</f>
        <v>0</v>
      </c>
      <c r="CQ37" s="185">
        <f t="shared" si="82"/>
        <v>0</v>
      </c>
      <c r="CR37" s="185">
        <f t="shared" si="82"/>
        <v>0</v>
      </c>
      <c r="CS37" s="185">
        <f t="shared" si="82"/>
        <v>0</v>
      </c>
      <c r="CT37" s="185">
        <f t="shared" si="82"/>
        <v>0</v>
      </c>
      <c r="CU37" s="185">
        <f t="shared" si="82"/>
        <v>0</v>
      </c>
      <c r="CV37" s="185">
        <f t="shared" si="82"/>
        <v>0</v>
      </c>
      <c r="CW37" s="185">
        <f t="shared" si="82"/>
        <v>0</v>
      </c>
      <c r="CX37" s="185">
        <f t="shared" si="82"/>
        <v>0</v>
      </c>
      <c r="CY37" s="185">
        <f t="shared" si="82"/>
        <v>0</v>
      </c>
      <c r="CZ37" s="185">
        <f t="shared" si="82"/>
        <v>0</v>
      </c>
      <c r="DA37" s="185">
        <f t="shared" si="82"/>
        <v>0</v>
      </c>
      <c r="DB37" s="186">
        <f>SUM(CP37:DA37)</f>
        <v>0</v>
      </c>
      <c r="DC37" s="185">
        <f aca="true" t="shared" si="83" ref="DC37:DN37">DB40*$B33/12</f>
        <v>0</v>
      </c>
      <c r="DD37" s="185">
        <f t="shared" si="83"/>
        <v>0</v>
      </c>
      <c r="DE37" s="185">
        <f t="shared" si="83"/>
        <v>0</v>
      </c>
      <c r="DF37" s="185">
        <f t="shared" si="83"/>
        <v>0</v>
      </c>
      <c r="DG37" s="185">
        <f t="shared" si="83"/>
        <v>0</v>
      </c>
      <c r="DH37" s="185">
        <f t="shared" si="83"/>
        <v>0</v>
      </c>
      <c r="DI37" s="185">
        <f t="shared" si="83"/>
        <v>0</v>
      </c>
      <c r="DJ37" s="185">
        <f t="shared" si="83"/>
        <v>0</v>
      </c>
      <c r="DK37" s="185">
        <f t="shared" si="83"/>
        <v>0</v>
      </c>
      <c r="DL37" s="185">
        <f t="shared" si="83"/>
        <v>0</v>
      </c>
      <c r="DM37" s="185">
        <f t="shared" si="83"/>
        <v>0</v>
      </c>
      <c r="DN37" s="185">
        <f t="shared" si="83"/>
        <v>0</v>
      </c>
      <c r="DO37" s="186">
        <f>SUM(DC37:DN37)</f>
        <v>0</v>
      </c>
      <c r="DP37" s="185">
        <f aca="true" t="shared" si="84" ref="DP37:EA37">DO40*$B33/12</f>
        <v>0</v>
      </c>
      <c r="DQ37" s="185">
        <f t="shared" si="84"/>
        <v>0</v>
      </c>
      <c r="DR37" s="185">
        <f t="shared" si="84"/>
        <v>0</v>
      </c>
      <c r="DS37" s="185">
        <f t="shared" si="84"/>
        <v>0</v>
      </c>
      <c r="DT37" s="185">
        <f t="shared" si="84"/>
        <v>0</v>
      </c>
      <c r="DU37" s="185">
        <f t="shared" si="84"/>
        <v>0</v>
      </c>
      <c r="DV37" s="185">
        <f t="shared" si="84"/>
        <v>0</v>
      </c>
      <c r="DW37" s="185">
        <f t="shared" si="84"/>
        <v>0</v>
      </c>
      <c r="DX37" s="185">
        <f t="shared" si="84"/>
        <v>0</v>
      </c>
      <c r="DY37" s="185">
        <f t="shared" si="84"/>
        <v>0</v>
      </c>
      <c r="DZ37" s="185">
        <f t="shared" si="84"/>
        <v>0</v>
      </c>
      <c r="EA37" s="185">
        <f t="shared" si="84"/>
        <v>0</v>
      </c>
      <c r="EB37" s="186">
        <f>SUM(DP37:EA37)</f>
        <v>0</v>
      </c>
      <c r="EC37" s="185">
        <f aca="true" t="shared" si="85" ref="EC37:EN37">EB40*$B33/12</f>
        <v>0</v>
      </c>
      <c r="ED37" s="185">
        <f t="shared" si="85"/>
        <v>0</v>
      </c>
      <c r="EE37" s="185">
        <f t="shared" si="85"/>
        <v>0</v>
      </c>
      <c r="EF37" s="185">
        <f t="shared" si="85"/>
        <v>0</v>
      </c>
      <c r="EG37" s="185">
        <f t="shared" si="85"/>
        <v>0</v>
      </c>
      <c r="EH37" s="185">
        <f t="shared" si="85"/>
        <v>0</v>
      </c>
      <c r="EI37" s="185">
        <f t="shared" si="85"/>
        <v>0</v>
      </c>
      <c r="EJ37" s="185">
        <f t="shared" si="85"/>
        <v>0</v>
      </c>
      <c r="EK37" s="185">
        <f t="shared" si="85"/>
        <v>0</v>
      </c>
      <c r="EL37" s="185">
        <f t="shared" si="85"/>
        <v>0</v>
      </c>
      <c r="EM37" s="185">
        <f t="shared" si="85"/>
        <v>0</v>
      </c>
      <c r="EN37" s="185">
        <f t="shared" si="85"/>
        <v>0</v>
      </c>
      <c r="EO37" s="186">
        <f>SUM(EC37:EN37)</f>
        <v>0</v>
      </c>
    </row>
    <row r="38" spans="1:145" ht="12.75" hidden="1">
      <c r="A38" s="179" t="s">
        <v>12</v>
      </c>
      <c r="B38" s="184">
        <f>O38+AB38+AO38+BB38+BO38+CB38+CO38+DB38+DO38</f>
        <v>0</v>
      </c>
      <c r="C38" s="185"/>
      <c r="D38" s="185"/>
      <c r="E38" s="185"/>
      <c r="F38" s="185"/>
      <c r="G38" s="185"/>
      <c r="H38" s="185"/>
      <c r="I38" s="185"/>
      <c r="J38" s="190"/>
      <c r="K38" s="190"/>
      <c r="L38" s="190"/>
      <c r="M38" s="190"/>
      <c r="N38" s="190"/>
      <c r="O38" s="186">
        <f>SUM(C38:N38)</f>
        <v>0</v>
      </c>
      <c r="P38" s="190"/>
      <c r="Q38" s="185">
        <f aca="true" t="shared" si="86" ref="Q38:X38">$B42-Q37</f>
        <v>0</v>
      </c>
      <c r="R38" s="185">
        <f t="shared" si="86"/>
        <v>0</v>
      </c>
      <c r="S38" s="185">
        <f t="shared" si="86"/>
        <v>0</v>
      </c>
      <c r="T38" s="185">
        <f t="shared" si="86"/>
        <v>0</v>
      </c>
      <c r="U38" s="185">
        <f t="shared" si="86"/>
        <v>0</v>
      </c>
      <c r="V38" s="185">
        <f t="shared" si="86"/>
        <v>0</v>
      </c>
      <c r="W38" s="185">
        <f t="shared" si="86"/>
        <v>0</v>
      </c>
      <c r="X38" s="185">
        <f t="shared" si="86"/>
        <v>0</v>
      </c>
      <c r="Y38" s="185">
        <f>$B42-Y37</f>
        <v>0</v>
      </c>
      <c r="Z38" s="185">
        <f>$B42-Z37</f>
        <v>0</v>
      </c>
      <c r="AA38" s="185">
        <f>$B42-AA37</f>
        <v>0</v>
      </c>
      <c r="AB38" s="186">
        <f>SUM(P38:AA38)</f>
        <v>0</v>
      </c>
      <c r="AC38" s="185">
        <f>$B42-AC37</f>
        <v>0</v>
      </c>
      <c r="AD38" s="185">
        <f>$B42-AD37</f>
        <v>0</v>
      </c>
      <c r="AE38" s="185">
        <f>$B42-AE37</f>
        <v>0</v>
      </c>
      <c r="AF38" s="185">
        <f>$B42-AF37</f>
        <v>0</v>
      </c>
      <c r="AG38" s="185">
        <f aca="true" t="shared" si="87" ref="AG38:AN38">$B42-AG37</f>
        <v>0</v>
      </c>
      <c r="AH38" s="185">
        <f t="shared" si="87"/>
        <v>0</v>
      </c>
      <c r="AI38" s="185">
        <f t="shared" si="87"/>
        <v>0</v>
      </c>
      <c r="AJ38" s="185">
        <f t="shared" si="87"/>
        <v>0</v>
      </c>
      <c r="AK38" s="185">
        <f t="shared" si="87"/>
        <v>0</v>
      </c>
      <c r="AL38" s="185">
        <f t="shared" si="87"/>
        <v>0</v>
      </c>
      <c r="AM38" s="185">
        <f t="shared" si="87"/>
        <v>0</v>
      </c>
      <c r="AN38" s="185">
        <f t="shared" si="87"/>
        <v>0</v>
      </c>
      <c r="AO38" s="186">
        <f>SUM(AC38:AN38)</f>
        <v>0</v>
      </c>
      <c r="AP38" s="185">
        <f aca="true" t="shared" si="88" ref="AP38:BA38">$B42-AP37</f>
        <v>0</v>
      </c>
      <c r="AQ38" s="185">
        <f t="shared" si="88"/>
        <v>0</v>
      </c>
      <c r="AR38" s="185">
        <f t="shared" si="88"/>
        <v>0</v>
      </c>
      <c r="AS38" s="185">
        <f t="shared" si="88"/>
        <v>0</v>
      </c>
      <c r="AT38" s="185">
        <f t="shared" si="88"/>
        <v>0</v>
      </c>
      <c r="AU38" s="185">
        <f t="shared" si="88"/>
        <v>0</v>
      </c>
      <c r="AV38" s="185">
        <f t="shared" si="88"/>
        <v>0</v>
      </c>
      <c r="AW38" s="185">
        <f t="shared" si="88"/>
        <v>0</v>
      </c>
      <c r="AX38" s="185">
        <f t="shared" si="88"/>
        <v>0</v>
      </c>
      <c r="AY38" s="185">
        <f t="shared" si="88"/>
        <v>0</v>
      </c>
      <c r="AZ38" s="185">
        <f t="shared" si="88"/>
        <v>0</v>
      </c>
      <c r="BA38" s="185">
        <f t="shared" si="88"/>
        <v>0</v>
      </c>
      <c r="BB38" s="186">
        <f>SUM(AP38:BA38)</f>
        <v>0</v>
      </c>
      <c r="BC38" s="185">
        <f aca="true" t="shared" si="89" ref="BC38:BN38">$B42-BC37</f>
        <v>0</v>
      </c>
      <c r="BD38" s="185">
        <f t="shared" si="89"/>
        <v>0</v>
      </c>
      <c r="BE38" s="185">
        <f t="shared" si="89"/>
        <v>0</v>
      </c>
      <c r="BF38" s="185">
        <f t="shared" si="89"/>
        <v>0</v>
      </c>
      <c r="BG38" s="185">
        <f t="shared" si="89"/>
        <v>0</v>
      </c>
      <c r="BH38" s="185">
        <f t="shared" si="89"/>
        <v>0</v>
      </c>
      <c r="BI38" s="185">
        <f t="shared" si="89"/>
        <v>0</v>
      </c>
      <c r="BJ38" s="185">
        <f t="shared" si="89"/>
        <v>0</v>
      </c>
      <c r="BK38" s="185">
        <f t="shared" si="89"/>
        <v>0</v>
      </c>
      <c r="BL38" s="185">
        <f t="shared" si="89"/>
        <v>0</v>
      </c>
      <c r="BM38" s="185">
        <f t="shared" si="89"/>
        <v>0</v>
      </c>
      <c r="BN38" s="185">
        <f t="shared" si="89"/>
        <v>0</v>
      </c>
      <c r="BO38" s="186">
        <f>SUM(BC38:BN38)</f>
        <v>0</v>
      </c>
      <c r="BP38" s="185">
        <f aca="true" t="shared" si="90" ref="BP38:CA38">$B42-BP37</f>
        <v>0</v>
      </c>
      <c r="BQ38" s="185">
        <f t="shared" si="90"/>
        <v>0</v>
      </c>
      <c r="BR38" s="185">
        <f t="shared" si="90"/>
        <v>0</v>
      </c>
      <c r="BS38" s="185">
        <f t="shared" si="90"/>
        <v>0</v>
      </c>
      <c r="BT38" s="185">
        <f t="shared" si="90"/>
        <v>0</v>
      </c>
      <c r="BU38" s="185">
        <f t="shared" si="90"/>
        <v>0</v>
      </c>
      <c r="BV38" s="185">
        <f t="shared" si="90"/>
        <v>0</v>
      </c>
      <c r="BW38" s="185">
        <f t="shared" si="90"/>
        <v>0</v>
      </c>
      <c r="BX38" s="185">
        <f t="shared" si="90"/>
        <v>0</v>
      </c>
      <c r="BY38" s="185">
        <f t="shared" si="90"/>
        <v>0</v>
      </c>
      <c r="BZ38" s="185">
        <f t="shared" si="90"/>
        <v>0</v>
      </c>
      <c r="CA38" s="185">
        <f t="shared" si="90"/>
        <v>0</v>
      </c>
      <c r="CB38" s="186">
        <f>SUM(BP38:CA38)</f>
        <v>0</v>
      </c>
      <c r="CC38" s="185">
        <f aca="true" t="shared" si="91" ref="CC38:CN38">$B42-CC37</f>
        <v>0</v>
      </c>
      <c r="CD38" s="185">
        <f t="shared" si="91"/>
        <v>0</v>
      </c>
      <c r="CE38" s="185">
        <f t="shared" si="91"/>
        <v>0</v>
      </c>
      <c r="CF38" s="185">
        <f t="shared" si="91"/>
        <v>0</v>
      </c>
      <c r="CG38" s="185">
        <f t="shared" si="91"/>
        <v>0</v>
      </c>
      <c r="CH38" s="185">
        <f t="shared" si="91"/>
        <v>0</v>
      </c>
      <c r="CI38" s="185">
        <f t="shared" si="91"/>
        <v>0</v>
      </c>
      <c r="CJ38" s="185">
        <f t="shared" si="91"/>
        <v>0</v>
      </c>
      <c r="CK38" s="185">
        <f t="shared" si="91"/>
        <v>0</v>
      </c>
      <c r="CL38" s="185">
        <f t="shared" si="91"/>
        <v>0</v>
      </c>
      <c r="CM38" s="185">
        <f t="shared" si="91"/>
        <v>0</v>
      </c>
      <c r="CN38" s="185">
        <f t="shared" si="91"/>
        <v>0</v>
      </c>
      <c r="CO38" s="186">
        <f>SUM(CC38:CN38)</f>
        <v>0</v>
      </c>
      <c r="CP38" s="185">
        <f aca="true" t="shared" si="92" ref="CP38:EI38">$B42-CP37</f>
        <v>0</v>
      </c>
      <c r="CQ38" s="185">
        <f t="shared" si="92"/>
        <v>0</v>
      </c>
      <c r="CR38" s="185">
        <f t="shared" si="92"/>
        <v>0</v>
      </c>
      <c r="CS38" s="185">
        <f t="shared" si="92"/>
        <v>0</v>
      </c>
      <c r="CT38" s="185">
        <f t="shared" si="92"/>
        <v>0</v>
      </c>
      <c r="CU38" s="185">
        <f t="shared" si="92"/>
        <v>0</v>
      </c>
      <c r="CV38" s="185">
        <f t="shared" si="92"/>
        <v>0</v>
      </c>
      <c r="CW38" s="185">
        <f t="shared" si="92"/>
        <v>0</v>
      </c>
      <c r="CX38" s="185">
        <f t="shared" si="92"/>
        <v>0</v>
      </c>
      <c r="CY38" s="185">
        <f t="shared" si="92"/>
        <v>0</v>
      </c>
      <c r="CZ38" s="185">
        <f t="shared" si="92"/>
        <v>0</v>
      </c>
      <c r="DA38" s="185">
        <f t="shared" si="92"/>
        <v>0</v>
      </c>
      <c r="DB38" s="186">
        <f>SUM(CP38:DA38)</f>
        <v>0</v>
      </c>
      <c r="DC38" s="185">
        <f t="shared" si="92"/>
        <v>0</v>
      </c>
      <c r="DD38" s="185">
        <f t="shared" si="92"/>
        <v>0</v>
      </c>
      <c r="DE38" s="185">
        <f t="shared" si="92"/>
        <v>0</v>
      </c>
      <c r="DF38" s="185">
        <f t="shared" si="92"/>
        <v>0</v>
      </c>
      <c r="DG38" s="185">
        <f t="shared" si="92"/>
        <v>0</v>
      </c>
      <c r="DH38" s="185">
        <f t="shared" si="92"/>
        <v>0</v>
      </c>
      <c r="DI38" s="185">
        <f t="shared" si="92"/>
        <v>0</v>
      </c>
      <c r="DJ38" s="185">
        <f t="shared" si="92"/>
        <v>0</v>
      </c>
      <c r="DK38" s="185">
        <f t="shared" si="92"/>
        <v>0</v>
      </c>
      <c r="DL38" s="185">
        <f t="shared" si="92"/>
        <v>0</v>
      </c>
      <c r="DM38" s="185">
        <f t="shared" si="92"/>
        <v>0</v>
      </c>
      <c r="DN38" s="185">
        <f t="shared" si="92"/>
        <v>0</v>
      </c>
      <c r="DO38" s="186">
        <f>SUM(DC38:DN38)</f>
        <v>0</v>
      </c>
      <c r="DP38" s="185">
        <f t="shared" si="92"/>
        <v>0</v>
      </c>
      <c r="DQ38" s="185">
        <f t="shared" si="92"/>
        <v>0</v>
      </c>
      <c r="DR38" s="185">
        <f t="shared" si="92"/>
        <v>0</v>
      </c>
      <c r="DS38" s="185">
        <f t="shared" si="92"/>
        <v>0</v>
      </c>
      <c r="DT38" s="185">
        <f t="shared" si="92"/>
        <v>0</v>
      </c>
      <c r="DU38" s="185">
        <f t="shared" si="92"/>
        <v>0</v>
      </c>
      <c r="DV38" s="185">
        <f t="shared" si="92"/>
        <v>0</v>
      </c>
      <c r="DW38" s="185">
        <f t="shared" si="92"/>
        <v>0</v>
      </c>
      <c r="DX38" s="185">
        <f t="shared" si="92"/>
        <v>0</v>
      </c>
      <c r="DY38" s="185">
        <f t="shared" si="92"/>
        <v>0</v>
      </c>
      <c r="DZ38" s="185">
        <f t="shared" si="92"/>
        <v>0</v>
      </c>
      <c r="EA38" s="185">
        <f t="shared" si="92"/>
        <v>0</v>
      </c>
      <c r="EB38" s="186">
        <f>SUM(DP38:EA38)</f>
        <v>0</v>
      </c>
      <c r="EC38" s="185">
        <f t="shared" si="92"/>
        <v>0</v>
      </c>
      <c r="ED38" s="185">
        <f t="shared" si="92"/>
        <v>0</v>
      </c>
      <c r="EE38" s="185">
        <f t="shared" si="92"/>
        <v>0</v>
      </c>
      <c r="EF38" s="185">
        <f t="shared" si="92"/>
        <v>0</v>
      </c>
      <c r="EG38" s="185">
        <f t="shared" si="92"/>
        <v>0</v>
      </c>
      <c r="EH38" s="185">
        <f t="shared" si="92"/>
        <v>0</v>
      </c>
      <c r="EI38" s="185">
        <f t="shared" si="92"/>
        <v>0</v>
      </c>
      <c r="EJ38" s="185"/>
      <c r="EK38" s="185"/>
      <c r="EL38" s="185"/>
      <c r="EM38" s="185"/>
      <c r="EN38" s="185"/>
      <c r="EO38" s="186">
        <f>SUM(EC38:EN38)</f>
        <v>0</v>
      </c>
    </row>
    <row r="39" spans="1:145" ht="12.75" hidden="1">
      <c r="A39" s="179" t="s">
        <v>13</v>
      </c>
      <c r="B39" s="184">
        <f>O39+AB39+AO39+BB39+BO39+CB39+CO39+DB39+DO39</f>
        <v>0</v>
      </c>
      <c r="C39" s="185"/>
      <c r="D39" s="185"/>
      <c r="E39" s="185"/>
      <c r="F39" s="185"/>
      <c r="G39" s="185"/>
      <c r="H39" s="185"/>
      <c r="I39" s="185"/>
      <c r="J39" s="190"/>
      <c r="K39" s="190"/>
      <c r="L39" s="190"/>
      <c r="M39" s="190"/>
      <c r="N39" s="190"/>
      <c r="O39" s="186">
        <f>SUM(C39:N39)</f>
        <v>0</v>
      </c>
      <c r="P39" s="190"/>
      <c r="Q39" s="185">
        <f aca="true" t="shared" si="93" ref="Q39:AA39">Q37</f>
        <v>0</v>
      </c>
      <c r="R39" s="185">
        <f t="shared" si="93"/>
        <v>0</v>
      </c>
      <c r="S39" s="185">
        <f t="shared" si="93"/>
        <v>0</v>
      </c>
      <c r="T39" s="185">
        <f t="shared" si="93"/>
        <v>0</v>
      </c>
      <c r="U39" s="185">
        <f t="shared" si="93"/>
        <v>0</v>
      </c>
      <c r="V39" s="185">
        <f t="shared" si="93"/>
        <v>0</v>
      </c>
      <c r="W39" s="185">
        <f t="shared" si="93"/>
        <v>0</v>
      </c>
      <c r="X39" s="185">
        <f t="shared" si="93"/>
        <v>0</v>
      </c>
      <c r="Y39" s="185">
        <f t="shared" si="93"/>
        <v>0</v>
      </c>
      <c r="Z39" s="185">
        <f t="shared" si="93"/>
        <v>0</v>
      </c>
      <c r="AA39" s="185">
        <f t="shared" si="93"/>
        <v>0</v>
      </c>
      <c r="AB39" s="186">
        <f>SUM(P39:AA39)</f>
        <v>0</v>
      </c>
      <c r="AC39" s="185">
        <f aca="true" t="shared" si="94" ref="AC39:AK39">AC37</f>
        <v>0</v>
      </c>
      <c r="AD39" s="185">
        <f t="shared" si="94"/>
        <v>0</v>
      </c>
      <c r="AE39" s="185">
        <f t="shared" si="94"/>
        <v>0</v>
      </c>
      <c r="AF39" s="185">
        <f t="shared" si="94"/>
        <v>0</v>
      </c>
      <c r="AG39" s="185">
        <f t="shared" si="94"/>
        <v>0</v>
      </c>
      <c r="AH39" s="185">
        <f t="shared" si="94"/>
        <v>0</v>
      </c>
      <c r="AI39" s="185">
        <f t="shared" si="94"/>
        <v>0</v>
      </c>
      <c r="AJ39" s="185">
        <f t="shared" si="94"/>
        <v>0</v>
      </c>
      <c r="AK39" s="185">
        <f t="shared" si="94"/>
        <v>0</v>
      </c>
      <c r="AL39" s="185">
        <f>AL37</f>
        <v>0</v>
      </c>
      <c r="AM39" s="185">
        <f>AM37</f>
        <v>0</v>
      </c>
      <c r="AN39" s="185">
        <f>AN37</f>
        <v>0</v>
      </c>
      <c r="AO39" s="186">
        <f>SUM(AC39:AN39)</f>
        <v>0</v>
      </c>
      <c r="AP39" s="185">
        <f aca="true" t="shared" si="95" ref="AP39:BA39">AP37</f>
        <v>0</v>
      </c>
      <c r="AQ39" s="185">
        <f t="shared" si="95"/>
        <v>0</v>
      </c>
      <c r="AR39" s="185">
        <f t="shared" si="95"/>
        <v>0</v>
      </c>
      <c r="AS39" s="185">
        <f t="shared" si="95"/>
        <v>0</v>
      </c>
      <c r="AT39" s="185">
        <f t="shared" si="95"/>
        <v>0</v>
      </c>
      <c r="AU39" s="185">
        <f t="shared" si="95"/>
        <v>0</v>
      </c>
      <c r="AV39" s="185">
        <f t="shared" si="95"/>
        <v>0</v>
      </c>
      <c r="AW39" s="185">
        <f t="shared" si="95"/>
        <v>0</v>
      </c>
      <c r="AX39" s="185">
        <f t="shared" si="95"/>
        <v>0</v>
      </c>
      <c r="AY39" s="185">
        <f t="shared" si="95"/>
        <v>0</v>
      </c>
      <c r="AZ39" s="185">
        <f t="shared" si="95"/>
        <v>0</v>
      </c>
      <c r="BA39" s="185">
        <f t="shared" si="95"/>
        <v>0</v>
      </c>
      <c r="BB39" s="186">
        <f>SUM(AP39:BA39)</f>
        <v>0</v>
      </c>
      <c r="BC39" s="185">
        <f aca="true" t="shared" si="96" ref="BC39:BN39">BC37</f>
        <v>0</v>
      </c>
      <c r="BD39" s="185">
        <f t="shared" si="96"/>
        <v>0</v>
      </c>
      <c r="BE39" s="185">
        <f t="shared" si="96"/>
        <v>0</v>
      </c>
      <c r="BF39" s="185">
        <f t="shared" si="96"/>
        <v>0</v>
      </c>
      <c r="BG39" s="185">
        <f t="shared" si="96"/>
        <v>0</v>
      </c>
      <c r="BH39" s="185">
        <f t="shared" si="96"/>
        <v>0</v>
      </c>
      <c r="BI39" s="185">
        <f t="shared" si="96"/>
        <v>0</v>
      </c>
      <c r="BJ39" s="185">
        <f t="shared" si="96"/>
        <v>0</v>
      </c>
      <c r="BK39" s="185">
        <f t="shared" si="96"/>
        <v>0</v>
      </c>
      <c r="BL39" s="185">
        <f t="shared" si="96"/>
        <v>0</v>
      </c>
      <c r="BM39" s="185">
        <f t="shared" si="96"/>
        <v>0</v>
      </c>
      <c r="BN39" s="185">
        <f t="shared" si="96"/>
        <v>0</v>
      </c>
      <c r="BO39" s="186">
        <f>SUM(BC39:BN39)</f>
        <v>0</v>
      </c>
      <c r="BP39" s="185">
        <f aca="true" t="shared" si="97" ref="BP39:CA39">BP37</f>
        <v>0</v>
      </c>
      <c r="BQ39" s="185">
        <f t="shared" si="97"/>
        <v>0</v>
      </c>
      <c r="BR39" s="185">
        <f t="shared" si="97"/>
        <v>0</v>
      </c>
      <c r="BS39" s="185">
        <f t="shared" si="97"/>
        <v>0</v>
      </c>
      <c r="BT39" s="185">
        <f t="shared" si="97"/>
        <v>0</v>
      </c>
      <c r="BU39" s="185">
        <f t="shared" si="97"/>
        <v>0</v>
      </c>
      <c r="BV39" s="185">
        <f t="shared" si="97"/>
        <v>0</v>
      </c>
      <c r="BW39" s="185">
        <f t="shared" si="97"/>
        <v>0</v>
      </c>
      <c r="BX39" s="185">
        <f t="shared" si="97"/>
        <v>0</v>
      </c>
      <c r="BY39" s="185">
        <f t="shared" si="97"/>
        <v>0</v>
      </c>
      <c r="BZ39" s="185">
        <f t="shared" si="97"/>
        <v>0</v>
      </c>
      <c r="CA39" s="185">
        <f t="shared" si="97"/>
        <v>0</v>
      </c>
      <c r="CB39" s="186">
        <f>SUM(BP39:CA39)</f>
        <v>0</v>
      </c>
      <c r="CC39" s="185">
        <f aca="true" t="shared" si="98" ref="CC39:CN39">CC37</f>
        <v>0</v>
      </c>
      <c r="CD39" s="185">
        <f t="shared" si="98"/>
        <v>0</v>
      </c>
      <c r="CE39" s="185">
        <f t="shared" si="98"/>
        <v>0</v>
      </c>
      <c r="CF39" s="185">
        <f t="shared" si="98"/>
        <v>0</v>
      </c>
      <c r="CG39" s="185">
        <f t="shared" si="98"/>
        <v>0</v>
      </c>
      <c r="CH39" s="185">
        <f t="shared" si="98"/>
        <v>0</v>
      </c>
      <c r="CI39" s="185">
        <f t="shared" si="98"/>
        <v>0</v>
      </c>
      <c r="CJ39" s="185">
        <f t="shared" si="98"/>
        <v>0</v>
      </c>
      <c r="CK39" s="185">
        <f t="shared" si="98"/>
        <v>0</v>
      </c>
      <c r="CL39" s="185">
        <f t="shared" si="98"/>
        <v>0</v>
      </c>
      <c r="CM39" s="185">
        <f t="shared" si="98"/>
        <v>0</v>
      </c>
      <c r="CN39" s="185">
        <f t="shared" si="98"/>
        <v>0</v>
      </c>
      <c r="CO39" s="186">
        <f>SUM(CC39:CN39)</f>
        <v>0</v>
      </c>
      <c r="CP39" s="185">
        <f aca="true" t="shared" si="99" ref="CP39:DA39">CP37</f>
        <v>0</v>
      </c>
      <c r="CQ39" s="185">
        <f t="shared" si="99"/>
        <v>0</v>
      </c>
      <c r="CR39" s="185">
        <f t="shared" si="99"/>
        <v>0</v>
      </c>
      <c r="CS39" s="185">
        <f t="shared" si="99"/>
        <v>0</v>
      </c>
      <c r="CT39" s="185">
        <f t="shared" si="99"/>
        <v>0</v>
      </c>
      <c r="CU39" s="185">
        <f t="shared" si="99"/>
        <v>0</v>
      </c>
      <c r="CV39" s="185">
        <f t="shared" si="99"/>
        <v>0</v>
      </c>
      <c r="CW39" s="185">
        <f t="shared" si="99"/>
        <v>0</v>
      </c>
      <c r="CX39" s="185">
        <f t="shared" si="99"/>
        <v>0</v>
      </c>
      <c r="CY39" s="185">
        <f t="shared" si="99"/>
        <v>0</v>
      </c>
      <c r="CZ39" s="185">
        <f t="shared" si="99"/>
        <v>0</v>
      </c>
      <c r="DA39" s="185">
        <f t="shared" si="99"/>
        <v>0</v>
      </c>
      <c r="DB39" s="186">
        <f>SUM(CP39:DA39)</f>
        <v>0</v>
      </c>
      <c r="DC39" s="185">
        <f aca="true" t="shared" si="100" ref="DC39:DN39">DC37</f>
        <v>0</v>
      </c>
      <c r="DD39" s="185">
        <f t="shared" si="100"/>
        <v>0</v>
      </c>
      <c r="DE39" s="185">
        <f t="shared" si="100"/>
        <v>0</v>
      </c>
      <c r="DF39" s="185">
        <f t="shared" si="100"/>
        <v>0</v>
      </c>
      <c r="DG39" s="185">
        <f t="shared" si="100"/>
        <v>0</v>
      </c>
      <c r="DH39" s="185">
        <f t="shared" si="100"/>
        <v>0</v>
      </c>
      <c r="DI39" s="185">
        <f t="shared" si="100"/>
        <v>0</v>
      </c>
      <c r="DJ39" s="185">
        <f t="shared" si="100"/>
        <v>0</v>
      </c>
      <c r="DK39" s="185">
        <f t="shared" si="100"/>
        <v>0</v>
      </c>
      <c r="DL39" s="185">
        <f t="shared" si="100"/>
        <v>0</v>
      </c>
      <c r="DM39" s="185">
        <f t="shared" si="100"/>
        <v>0</v>
      </c>
      <c r="DN39" s="185">
        <f t="shared" si="100"/>
        <v>0</v>
      </c>
      <c r="DO39" s="186">
        <f>SUM(DC39:DN39)</f>
        <v>0</v>
      </c>
      <c r="DP39" s="185">
        <f aca="true" t="shared" si="101" ref="DP39:EA39">DP37</f>
        <v>0</v>
      </c>
      <c r="DQ39" s="185">
        <f t="shared" si="101"/>
        <v>0</v>
      </c>
      <c r="DR39" s="185">
        <f t="shared" si="101"/>
        <v>0</v>
      </c>
      <c r="DS39" s="185">
        <f t="shared" si="101"/>
        <v>0</v>
      </c>
      <c r="DT39" s="185">
        <f t="shared" si="101"/>
        <v>0</v>
      </c>
      <c r="DU39" s="185">
        <f t="shared" si="101"/>
        <v>0</v>
      </c>
      <c r="DV39" s="185">
        <f t="shared" si="101"/>
        <v>0</v>
      </c>
      <c r="DW39" s="185">
        <f t="shared" si="101"/>
        <v>0</v>
      </c>
      <c r="DX39" s="185">
        <f t="shared" si="101"/>
        <v>0</v>
      </c>
      <c r="DY39" s="185">
        <f t="shared" si="101"/>
        <v>0</v>
      </c>
      <c r="DZ39" s="185">
        <f t="shared" si="101"/>
        <v>0</v>
      </c>
      <c r="EA39" s="185">
        <f t="shared" si="101"/>
        <v>0</v>
      </c>
      <c r="EB39" s="186">
        <f>SUM(DP39:EA39)</f>
        <v>0</v>
      </c>
      <c r="EC39" s="185">
        <f aca="true" t="shared" si="102" ref="EC39:EN39">EC37</f>
        <v>0</v>
      </c>
      <c r="ED39" s="185">
        <f t="shared" si="102"/>
        <v>0</v>
      </c>
      <c r="EE39" s="185">
        <f t="shared" si="102"/>
        <v>0</v>
      </c>
      <c r="EF39" s="185">
        <f t="shared" si="102"/>
        <v>0</v>
      </c>
      <c r="EG39" s="185">
        <f t="shared" si="102"/>
        <v>0</v>
      </c>
      <c r="EH39" s="185">
        <f t="shared" si="102"/>
        <v>0</v>
      </c>
      <c r="EI39" s="185">
        <f t="shared" si="102"/>
        <v>0</v>
      </c>
      <c r="EJ39" s="185">
        <f t="shared" si="102"/>
        <v>0</v>
      </c>
      <c r="EK39" s="185">
        <f t="shared" si="102"/>
        <v>0</v>
      </c>
      <c r="EL39" s="185">
        <f t="shared" si="102"/>
        <v>0</v>
      </c>
      <c r="EM39" s="185">
        <f t="shared" si="102"/>
        <v>0</v>
      </c>
      <c r="EN39" s="185">
        <f t="shared" si="102"/>
        <v>0</v>
      </c>
      <c r="EO39" s="186">
        <f>SUM(EC39:EN39)</f>
        <v>0</v>
      </c>
    </row>
    <row r="40" spans="1:145" ht="12.75" hidden="1">
      <c r="A40" s="179" t="s">
        <v>14</v>
      </c>
      <c r="B40" s="184">
        <f>DO40</f>
        <v>0</v>
      </c>
      <c r="C40" s="185">
        <f>C35</f>
        <v>0</v>
      </c>
      <c r="D40" s="185">
        <f aca="true" t="shared" si="103" ref="D40:N40">C40+D35-D38+D36</f>
        <v>0</v>
      </c>
      <c r="E40" s="185">
        <f t="shared" si="103"/>
        <v>0</v>
      </c>
      <c r="F40" s="185">
        <f t="shared" si="103"/>
        <v>0</v>
      </c>
      <c r="G40" s="185">
        <f t="shared" si="103"/>
        <v>0</v>
      </c>
      <c r="H40" s="185">
        <f t="shared" si="103"/>
        <v>0</v>
      </c>
      <c r="I40" s="185">
        <f t="shared" si="103"/>
        <v>0</v>
      </c>
      <c r="J40" s="185">
        <f t="shared" si="103"/>
        <v>0</v>
      </c>
      <c r="K40" s="185">
        <f t="shared" si="103"/>
        <v>0</v>
      </c>
      <c r="L40" s="185">
        <f t="shared" si="103"/>
        <v>0</v>
      </c>
      <c r="M40" s="185">
        <f t="shared" si="103"/>
        <v>0</v>
      </c>
      <c r="N40" s="185">
        <f t="shared" si="103"/>
        <v>0</v>
      </c>
      <c r="O40" s="186">
        <f>N40</f>
        <v>0</v>
      </c>
      <c r="P40" s="185">
        <f aca="true" t="shared" si="104" ref="P40:AA40">O40+P35-P38+P36</f>
        <v>0</v>
      </c>
      <c r="Q40" s="185">
        <f t="shared" si="104"/>
        <v>0</v>
      </c>
      <c r="R40" s="185">
        <f t="shared" si="104"/>
        <v>0</v>
      </c>
      <c r="S40" s="185">
        <f t="shared" si="104"/>
        <v>0</v>
      </c>
      <c r="T40" s="185">
        <f t="shared" si="104"/>
        <v>0</v>
      </c>
      <c r="U40" s="185">
        <f t="shared" si="104"/>
        <v>0</v>
      </c>
      <c r="V40" s="185">
        <f t="shared" si="104"/>
        <v>0</v>
      </c>
      <c r="W40" s="185">
        <f t="shared" si="104"/>
        <v>0</v>
      </c>
      <c r="X40" s="185">
        <f t="shared" si="104"/>
        <v>0</v>
      </c>
      <c r="Y40" s="185">
        <f t="shared" si="104"/>
        <v>0</v>
      </c>
      <c r="Z40" s="185">
        <f t="shared" si="104"/>
        <v>0</v>
      </c>
      <c r="AA40" s="185">
        <f t="shared" si="104"/>
        <v>0</v>
      </c>
      <c r="AB40" s="186">
        <f>AA40</f>
        <v>0</v>
      </c>
      <c r="AC40" s="185">
        <f aca="true" t="shared" si="105" ref="AC40:AN40">AB40+AC35-AC38+AC36</f>
        <v>0</v>
      </c>
      <c r="AD40" s="185">
        <f t="shared" si="105"/>
        <v>0</v>
      </c>
      <c r="AE40" s="185">
        <f t="shared" si="105"/>
        <v>0</v>
      </c>
      <c r="AF40" s="185">
        <f t="shared" si="105"/>
        <v>0</v>
      </c>
      <c r="AG40" s="185">
        <f t="shared" si="105"/>
        <v>0</v>
      </c>
      <c r="AH40" s="185">
        <f t="shared" si="105"/>
        <v>0</v>
      </c>
      <c r="AI40" s="185">
        <f t="shared" si="105"/>
        <v>0</v>
      </c>
      <c r="AJ40" s="185">
        <f t="shared" si="105"/>
        <v>0</v>
      </c>
      <c r="AK40" s="185">
        <f t="shared" si="105"/>
        <v>0</v>
      </c>
      <c r="AL40" s="185">
        <f t="shared" si="105"/>
        <v>0</v>
      </c>
      <c r="AM40" s="185">
        <f t="shared" si="105"/>
        <v>0</v>
      </c>
      <c r="AN40" s="185">
        <f t="shared" si="105"/>
        <v>0</v>
      </c>
      <c r="AO40" s="186">
        <f>AN40</f>
        <v>0</v>
      </c>
      <c r="AP40" s="185">
        <f aca="true" t="shared" si="106" ref="AP40:BA40">AO40+AP35-AP38+AP36</f>
        <v>0</v>
      </c>
      <c r="AQ40" s="185">
        <f t="shared" si="106"/>
        <v>0</v>
      </c>
      <c r="AR40" s="185">
        <f t="shared" si="106"/>
        <v>0</v>
      </c>
      <c r="AS40" s="185">
        <f t="shared" si="106"/>
        <v>0</v>
      </c>
      <c r="AT40" s="185">
        <f t="shared" si="106"/>
        <v>0</v>
      </c>
      <c r="AU40" s="185">
        <f t="shared" si="106"/>
        <v>0</v>
      </c>
      <c r="AV40" s="185">
        <f t="shared" si="106"/>
        <v>0</v>
      </c>
      <c r="AW40" s="185">
        <f t="shared" si="106"/>
        <v>0</v>
      </c>
      <c r="AX40" s="185">
        <f t="shared" si="106"/>
        <v>0</v>
      </c>
      <c r="AY40" s="185">
        <f t="shared" si="106"/>
        <v>0</v>
      </c>
      <c r="AZ40" s="185">
        <f t="shared" si="106"/>
        <v>0</v>
      </c>
      <c r="BA40" s="185">
        <f t="shared" si="106"/>
        <v>0</v>
      </c>
      <c r="BB40" s="186">
        <f>BA40</f>
        <v>0</v>
      </c>
      <c r="BC40" s="185">
        <f aca="true" t="shared" si="107" ref="BC40:BN40">BB40+BC35-BC38+BC36</f>
        <v>0</v>
      </c>
      <c r="BD40" s="185">
        <f t="shared" si="107"/>
        <v>0</v>
      </c>
      <c r="BE40" s="185">
        <f t="shared" si="107"/>
        <v>0</v>
      </c>
      <c r="BF40" s="185">
        <f t="shared" si="107"/>
        <v>0</v>
      </c>
      <c r="BG40" s="185">
        <f t="shared" si="107"/>
        <v>0</v>
      </c>
      <c r="BH40" s="185">
        <f t="shared" si="107"/>
        <v>0</v>
      </c>
      <c r="BI40" s="185">
        <f t="shared" si="107"/>
        <v>0</v>
      </c>
      <c r="BJ40" s="185">
        <f t="shared" si="107"/>
        <v>0</v>
      </c>
      <c r="BK40" s="185">
        <f t="shared" si="107"/>
        <v>0</v>
      </c>
      <c r="BL40" s="185">
        <f t="shared" si="107"/>
        <v>0</v>
      </c>
      <c r="BM40" s="185">
        <f t="shared" si="107"/>
        <v>0</v>
      </c>
      <c r="BN40" s="185">
        <f t="shared" si="107"/>
        <v>0</v>
      </c>
      <c r="BO40" s="186">
        <f>BN40</f>
        <v>0</v>
      </c>
      <c r="BP40" s="185">
        <f aca="true" t="shared" si="108" ref="BP40:CA40">BO40+BP35-BP38+BP36</f>
        <v>0</v>
      </c>
      <c r="BQ40" s="185">
        <f t="shared" si="108"/>
        <v>0</v>
      </c>
      <c r="BR40" s="185">
        <f t="shared" si="108"/>
        <v>0</v>
      </c>
      <c r="BS40" s="185">
        <f t="shared" si="108"/>
        <v>0</v>
      </c>
      <c r="BT40" s="185">
        <f t="shared" si="108"/>
        <v>0</v>
      </c>
      <c r="BU40" s="185">
        <f t="shared" si="108"/>
        <v>0</v>
      </c>
      <c r="BV40" s="185">
        <f t="shared" si="108"/>
        <v>0</v>
      </c>
      <c r="BW40" s="185">
        <f t="shared" si="108"/>
        <v>0</v>
      </c>
      <c r="BX40" s="185">
        <f t="shared" si="108"/>
        <v>0</v>
      </c>
      <c r="BY40" s="185">
        <f t="shared" si="108"/>
        <v>0</v>
      </c>
      <c r="BZ40" s="185">
        <f t="shared" si="108"/>
        <v>0</v>
      </c>
      <c r="CA40" s="185">
        <f t="shared" si="108"/>
        <v>0</v>
      </c>
      <c r="CB40" s="186">
        <f>CA40</f>
        <v>0</v>
      </c>
      <c r="CC40" s="185">
        <f aca="true" t="shared" si="109" ref="CC40:CN40">CB40+CC35-CC38+CC36</f>
        <v>0</v>
      </c>
      <c r="CD40" s="185">
        <f t="shared" si="109"/>
        <v>0</v>
      </c>
      <c r="CE40" s="185">
        <f t="shared" si="109"/>
        <v>0</v>
      </c>
      <c r="CF40" s="185">
        <f t="shared" si="109"/>
        <v>0</v>
      </c>
      <c r="CG40" s="185">
        <f t="shared" si="109"/>
        <v>0</v>
      </c>
      <c r="CH40" s="185">
        <f t="shared" si="109"/>
        <v>0</v>
      </c>
      <c r="CI40" s="185">
        <f t="shared" si="109"/>
        <v>0</v>
      </c>
      <c r="CJ40" s="185">
        <f t="shared" si="109"/>
        <v>0</v>
      </c>
      <c r="CK40" s="185">
        <f t="shared" si="109"/>
        <v>0</v>
      </c>
      <c r="CL40" s="185">
        <f t="shared" si="109"/>
        <v>0</v>
      </c>
      <c r="CM40" s="185">
        <f t="shared" si="109"/>
        <v>0</v>
      </c>
      <c r="CN40" s="185">
        <f t="shared" si="109"/>
        <v>0</v>
      </c>
      <c r="CO40" s="186">
        <f>CN40</f>
        <v>0</v>
      </c>
      <c r="CP40" s="185">
        <f aca="true" t="shared" si="110" ref="CP40:DA40">CO40+CP35-CP38+CP36</f>
        <v>0</v>
      </c>
      <c r="CQ40" s="185">
        <f t="shared" si="110"/>
        <v>0</v>
      </c>
      <c r="CR40" s="185">
        <f t="shared" si="110"/>
        <v>0</v>
      </c>
      <c r="CS40" s="185">
        <f t="shared" si="110"/>
        <v>0</v>
      </c>
      <c r="CT40" s="185">
        <f t="shared" si="110"/>
        <v>0</v>
      </c>
      <c r="CU40" s="185">
        <f t="shared" si="110"/>
        <v>0</v>
      </c>
      <c r="CV40" s="185">
        <f t="shared" si="110"/>
        <v>0</v>
      </c>
      <c r="CW40" s="185">
        <f t="shared" si="110"/>
        <v>0</v>
      </c>
      <c r="CX40" s="185">
        <f t="shared" si="110"/>
        <v>0</v>
      </c>
      <c r="CY40" s="185">
        <f t="shared" si="110"/>
        <v>0</v>
      </c>
      <c r="CZ40" s="185">
        <f t="shared" si="110"/>
        <v>0</v>
      </c>
      <c r="DA40" s="185">
        <f t="shared" si="110"/>
        <v>0</v>
      </c>
      <c r="DB40" s="186">
        <f>DA40</f>
        <v>0</v>
      </c>
      <c r="DC40" s="185">
        <f aca="true" t="shared" si="111" ref="DC40:DN40">DB40+DC35-DC38+DC36</f>
        <v>0</v>
      </c>
      <c r="DD40" s="185">
        <f t="shared" si="111"/>
        <v>0</v>
      </c>
      <c r="DE40" s="185">
        <f t="shared" si="111"/>
        <v>0</v>
      </c>
      <c r="DF40" s="185">
        <f t="shared" si="111"/>
        <v>0</v>
      </c>
      <c r="DG40" s="185">
        <f t="shared" si="111"/>
        <v>0</v>
      </c>
      <c r="DH40" s="185">
        <f t="shared" si="111"/>
        <v>0</v>
      </c>
      <c r="DI40" s="185">
        <f t="shared" si="111"/>
        <v>0</v>
      </c>
      <c r="DJ40" s="185">
        <f t="shared" si="111"/>
        <v>0</v>
      </c>
      <c r="DK40" s="185">
        <f t="shared" si="111"/>
        <v>0</v>
      </c>
      <c r="DL40" s="185">
        <f t="shared" si="111"/>
        <v>0</v>
      </c>
      <c r="DM40" s="185">
        <f t="shared" si="111"/>
        <v>0</v>
      </c>
      <c r="DN40" s="185">
        <f t="shared" si="111"/>
        <v>0</v>
      </c>
      <c r="DO40" s="186">
        <f>DN40</f>
        <v>0</v>
      </c>
      <c r="DP40" s="185">
        <f aca="true" t="shared" si="112" ref="DP40:EA40">DO40+DP35-DP38+DP36</f>
        <v>0</v>
      </c>
      <c r="DQ40" s="185">
        <f t="shared" si="112"/>
        <v>0</v>
      </c>
      <c r="DR40" s="185">
        <f t="shared" si="112"/>
        <v>0</v>
      </c>
      <c r="DS40" s="185">
        <f t="shared" si="112"/>
        <v>0</v>
      </c>
      <c r="DT40" s="185">
        <f t="shared" si="112"/>
        <v>0</v>
      </c>
      <c r="DU40" s="185">
        <f t="shared" si="112"/>
        <v>0</v>
      </c>
      <c r="DV40" s="185">
        <f t="shared" si="112"/>
        <v>0</v>
      </c>
      <c r="DW40" s="185">
        <f t="shared" si="112"/>
        <v>0</v>
      </c>
      <c r="DX40" s="185">
        <f t="shared" si="112"/>
        <v>0</v>
      </c>
      <c r="DY40" s="185">
        <f t="shared" si="112"/>
        <v>0</v>
      </c>
      <c r="DZ40" s="185">
        <f t="shared" si="112"/>
        <v>0</v>
      </c>
      <c r="EA40" s="185">
        <f t="shared" si="112"/>
        <v>0</v>
      </c>
      <c r="EB40" s="186">
        <f>EA40</f>
        <v>0</v>
      </c>
      <c r="EC40" s="185">
        <f aca="true" t="shared" si="113" ref="EC40:EN40">EB40+EC35-EC38+EC36</f>
        <v>0</v>
      </c>
      <c r="ED40" s="185">
        <f t="shared" si="113"/>
        <v>0</v>
      </c>
      <c r="EE40" s="185">
        <f t="shared" si="113"/>
        <v>0</v>
      </c>
      <c r="EF40" s="185">
        <f t="shared" si="113"/>
        <v>0</v>
      </c>
      <c r="EG40" s="185">
        <f t="shared" si="113"/>
        <v>0</v>
      </c>
      <c r="EH40" s="185">
        <f t="shared" si="113"/>
        <v>0</v>
      </c>
      <c r="EI40" s="185">
        <f t="shared" si="113"/>
        <v>0</v>
      </c>
      <c r="EJ40" s="185">
        <f t="shared" si="113"/>
        <v>0</v>
      </c>
      <c r="EK40" s="185">
        <f t="shared" si="113"/>
        <v>0</v>
      </c>
      <c r="EL40" s="185">
        <f t="shared" si="113"/>
        <v>0</v>
      </c>
      <c r="EM40" s="185">
        <f t="shared" si="113"/>
        <v>0</v>
      </c>
      <c r="EN40" s="185">
        <f t="shared" si="113"/>
        <v>0</v>
      </c>
      <c r="EO40" s="186">
        <f>EN40</f>
        <v>0</v>
      </c>
    </row>
    <row r="41" spans="1:145" ht="12.75" hidden="1">
      <c r="A41" s="171" t="s">
        <v>73</v>
      </c>
      <c r="B41" s="250">
        <f>B26</f>
        <v>48</v>
      </c>
      <c r="CP41" s="174"/>
      <c r="DB41" s="171"/>
      <c r="DO41" s="171"/>
      <c r="EB41" s="171"/>
      <c r="EO41" s="171"/>
    </row>
    <row r="42" spans="1:145" ht="12.75" hidden="1">
      <c r="A42" s="268" t="s">
        <v>232</v>
      </c>
      <c r="B42" s="269">
        <f>$P$40*$B33/12/((1-(1+$B33/12)^-$B41))</f>
        <v>0</v>
      </c>
      <c r="DB42" s="171"/>
      <c r="DO42" s="171"/>
      <c r="EB42" s="171"/>
      <c r="EO42" s="171"/>
    </row>
    <row r="43" ht="12.75" hidden="1"/>
    <row r="44" ht="12.75" hidden="1">
      <c r="A44" s="192">
        <f>B37-B36-B39</f>
        <v>0</v>
      </c>
    </row>
    <row r="45" ht="12.75" hidden="1">
      <c r="A45" s="192">
        <f>B35+B36-B38-B40</f>
        <v>0</v>
      </c>
    </row>
    <row r="47" spans="1:145" ht="12.75" hidden="1">
      <c r="A47" s="267" t="s">
        <v>234</v>
      </c>
      <c r="B47" s="265"/>
      <c r="DB47" s="171"/>
      <c r="DO47" s="171"/>
      <c r="EB47" s="171"/>
      <c r="EO47" s="171"/>
    </row>
    <row r="48" spans="1:145" ht="15.75" customHeight="1" hidden="1">
      <c r="A48" s="178" t="s">
        <v>10</v>
      </c>
      <c r="B48" s="266">
        <f>'[71]Исх'!$C$30</f>
        <v>0.14</v>
      </c>
      <c r="C48" s="370">
        <v>2013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>
        <v>2014</v>
      </c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>
        <v>2015</v>
      </c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>
        <v>2016</v>
      </c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>
        <v>2017</v>
      </c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>
        <v>2018</v>
      </c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>
        <v>2019</v>
      </c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>
        <v>2020</v>
      </c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>
        <v>2021</v>
      </c>
      <c r="DD48" s="370"/>
      <c r="DE48" s="370"/>
      <c r="DF48" s="370"/>
      <c r="DG48" s="370"/>
      <c r="DH48" s="370"/>
      <c r="DI48" s="370"/>
      <c r="DJ48" s="370"/>
      <c r="DK48" s="370"/>
      <c r="DL48" s="370"/>
      <c r="DM48" s="370"/>
      <c r="DN48" s="370"/>
      <c r="DO48" s="370"/>
      <c r="DP48" s="370">
        <v>2021</v>
      </c>
      <c r="DQ48" s="370"/>
      <c r="DR48" s="370"/>
      <c r="DS48" s="370"/>
      <c r="DT48" s="370"/>
      <c r="DU48" s="370"/>
      <c r="DV48" s="370"/>
      <c r="DW48" s="370"/>
      <c r="DX48" s="370"/>
      <c r="DY48" s="370"/>
      <c r="DZ48" s="370"/>
      <c r="EA48" s="370"/>
      <c r="EB48" s="370"/>
      <c r="EC48" s="370">
        <v>2021</v>
      </c>
      <c r="ED48" s="370"/>
      <c r="EE48" s="370"/>
      <c r="EF48" s="370"/>
      <c r="EG48" s="370"/>
      <c r="EH48" s="370"/>
      <c r="EI48" s="370"/>
      <c r="EJ48" s="370"/>
      <c r="EK48" s="370"/>
      <c r="EL48" s="370"/>
      <c r="EM48" s="370"/>
      <c r="EN48" s="370"/>
      <c r="EO48" s="370"/>
    </row>
    <row r="49" spans="1:145" s="183" customFormat="1" ht="15" customHeight="1" hidden="1">
      <c r="A49" s="179" t="s">
        <v>8</v>
      </c>
      <c r="B49" s="180" t="s">
        <v>84</v>
      </c>
      <c r="C49" s="181">
        <v>1</v>
      </c>
      <c r="D49" s="181">
        <v>2</v>
      </c>
      <c r="E49" s="181">
        <f aca="true" t="shared" si="114" ref="E49:N49">D49+1</f>
        <v>3</v>
      </c>
      <c r="F49" s="181">
        <f t="shared" si="114"/>
        <v>4</v>
      </c>
      <c r="G49" s="181">
        <f t="shared" si="114"/>
        <v>5</v>
      </c>
      <c r="H49" s="181">
        <f t="shared" si="114"/>
        <v>6</v>
      </c>
      <c r="I49" s="181">
        <f t="shared" si="114"/>
        <v>7</v>
      </c>
      <c r="J49" s="181">
        <f t="shared" si="114"/>
        <v>8</v>
      </c>
      <c r="K49" s="181">
        <f t="shared" si="114"/>
        <v>9</v>
      </c>
      <c r="L49" s="181">
        <f t="shared" si="114"/>
        <v>10</v>
      </c>
      <c r="M49" s="181">
        <f t="shared" si="114"/>
        <v>11</v>
      </c>
      <c r="N49" s="181">
        <f t="shared" si="114"/>
        <v>12</v>
      </c>
      <c r="O49" s="182">
        <f>O33</f>
        <v>0</v>
      </c>
      <c r="P49" s="181">
        <v>1</v>
      </c>
      <c r="Q49" s="181">
        <v>2</v>
      </c>
      <c r="R49" s="181">
        <f aca="true" t="shared" si="115" ref="R49:AA49">Q49+1</f>
        <v>3</v>
      </c>
      <c r="S49" s="181">
        <f t="shared" si="115"/>
        <v>4</v>
      </c>
      <c r="T49" s="181">
        <f t="shared" si="115"/>
        <v>5</v>
      </c>
      <c r="U49" s="181">
        <f t="shared" si="115"/>
        <v>6</v>
      </c>
      <c r="V49" s="181">
        <f t="shared" si="115"/>
        <v>7</v>
      </c>
      <c r="W49" s="181">
        <f t="shared" si="115"/>
        <v>8</v>
      </c>
      <c r="X49" s="181">
        <f t="shared" si="115"/>
        <v>9</v>
      </c>
      <c r="Y49" s="181">
        <f t="shared" si="115"/>
        <v>10</v>
      </c>
      <c r="Z49" s="181">
        <f t="shared" si="115"/>
        <v>11</v>
      </c>
      <c r="AA49" s="181">
        <f t="shared" si="115"/>
        <v>12</v>
      </c>
      <c r="AB49" s="182">
        <f>AB33</f>
        <v>0</v>
      </c>
      <c r="AC49" s="181">
        <v>1</v>
      </c>
      <c r="AD49" s="181">
        <v>2</v>
      </c>
      <c r="AE49" s="181">
        <f aca="true" t="shared" si="116" ref="AE49:AN49">AD49+1</f>
        <v>3</v>
      </c>
      <c r="AF49" s="181">
        <f t="shared" si="116"/>
        <v>4</v>
      </c>
      <c r="AG49" s="181">
        <f t="shared" si="116"/>
        <v>5</v>
      </c>
      <c r="AH49" s="181">
        <f t="shared" si="116"/>
        <v>6</v>
      </c>
      <c r="AI49" s="181">
        <f t="shared" si="116"/>
        <v>7</v>
      </c>
      <c r="AJ49" s="181">
        <f t="shared" si="116"/>
        <v>8</v>
      </c>
      <c r="AK49" s="181">
        <f t="shared" si="116"/>
        <v>9</v>
      </c>
      <c r="AL49" s="181">
        <f t="shared" si="116"/>
        <v>10</v>
      </c>
      <c r="AM49" s="181">
        <f t="shared" si="116"/>
        <v>11</v>
      </c>
      <c r="AN49" s="181">
        <f t="shared" si="116"/>
        <v>12</v>
      </c>
      <c r="AO49" s="182">
        <f>AO33</f>
        <v>0</v>
      </c>
      <c r="AP49" s="181">
        <v>1</v>
      </c>
      <c r="AQ49" s="181">
        <v>2</v>
      </c>
      <c r="AR49" s="181">
        <f aca="true" t="shared" si="117" ref="AR49:BA49">AQ49+1</f>
        <v>3</v>
      </c>
      <c r="AS49" s="181">
        <f t="shared" si="117"/>
        <v>4</v>
      </c>
      <c r="AT49" s="181">
        <f t="shared" si="117"/>
        <v>5</v>
      </c>
      <c r="AU49" s="181">
        <f t="shared" si="117"/>
        <v>6</v>
      </c>
      <c r="AV49" s="181">
        <f t="shared" si="117"/>
        <v>7</v>
      </c>
      <c r="AW49" s="181">
        <f t="shared" si="117"/>
        <v>8</v>
      </c>
      <c r="AX49" s="181">
        <f t="shared" si="117"/>
        <v>9</v>
      </c>
      <c r="AY49" s="181">
        <f t="shared" si="117"/>
        <v>10</v>
      </c>
      <c r="AZ49" s="181">
        <f t="shared" si="117"/>
        <v>11</v>
      </c>
      <c r="BA49" s="181">
        <f t="shared" si="117"/>
        <v>12</v>
      </c>
      <c r="BB49" s="182">
        <f>BB33</f>
        <v>0</v>
      </c>
      <c r="BC49" s="181">
        <v>1</v>
      </c>
      <c r="BD49" s="181">
        <v>2</v>
      </c>
      <c r="BE49" s="181">
        <f aca="true" t="shared" si="118" ref="BE49:BN49">BD49+1</f>
        <v>3</v>
      </c>
      <c r="BF49" s="181">
        <f t="shared" si="118"/>
        <v>4</v>
      </c>
      <c r="BG49" s="181">
        <f t="shared" si="118"/>
        <v>5</v>
      </c>
      <c r="BH49" s="181">
        <f t="shared" si="118"/>
        <v>6</v>
      </c>
      <c r="BI49" s="181">
        <f t="shared" si="118"/>
        <v>7</v>
      </c>
      <c r="BJ49" s="181">
        <f t="shared" si="118"/>
        <v>8</v>
      </c>
      <c r="BK49" s="181">
        <f t="shared" si="118"/>
        <v>9</v>
      </c>
      <c r="BL49" s="181">
        <f t="shared" si="118"/>
        <v>10</v>
      </c>
      <c r="BM49" s="181">
        <f t="shared" si="118"/>
        <v>11</v>
      </c>
      <c r="BN49" s="181">
        <f t="shared" si="118"/>
        <v>12</v>
      </c>
      <c r="BO49" s="182">
        <f>BO33</f>
        <v>0</v>
      </c>
      <c r="BP49" s="181">
        <v>1</v>
      </c>
      <c r="BQ49" s="181">
        <v>2</v>
      </c>
      <c r="BR49" s="181">
        <f aca="true" t="shared" si="119" ref="BR49:CA49">BQ49+1</f>
        <v>3</v>
      </c>
      <c r="BS49" s="181">
        <f t="shared" si="119"/>
        <v>4</v>
      </c>
      <c r="BT49" s="181">
        <f t="shared" si="119"/>
        <v>5</v>
      </c>
      <c r="BU49" s="181">
        <f t="shared" si="119"/>
        <v>6</v>
      </c>
      <c r="BV49" s="181">
        <f t="shared" si="119"/>
        <v>7</v>
      </c>
      <c r="BW49" s="181">
        <f t="shared" si="119"/>
        <v>8</v>
      </c>
      <c r="BX49" s="181">
        <f t="shared" si="119"/>
        <v>9</v>
      </c>
      <c r="BY49" s="181">
        <f t="shared" si="119"/>
        <v>10</v>
      </c>
      <c r="BZ49" s="181">
        <f t="shared" si="119"/>
        <v>11</v>
      </c>
      <c r="CA49" s="181">
        <f t="shared" si="119"/>
        <v>12</v>
      </c>
      <c r="CB49" s="182">
        <f>CB33</f>
        <v>0</v>
      </c>
      <c r="CC49" s="181">
        <v>1</v>
      </c>
      <c r="CD49" s="181">
        <v>2</v>
      </c>
      <c r="CE49" s="181">
        <f aca="true" t="shared" si="120" ref="CE49:CN49">CD49+1</f>
        <v>3</v>
      </c>
      <c r="CF49" s="181">
        <f t="shared" si="120"/>
        <v>4</v>
      </c>
      <c r="CG49" s="181">
        <f t="shared" si="120"/>
        <v>5</v>
      </c>
      <c r="CH49" s="181">
        <f t="shared" si="120"/>
        <v>6</v>
      </c>
      <c r="CI49" s="181">
        <f t="shared" si="120"/>
        <v>7</v>
      </c>
      <c r="CJ49" s="181">
        <f t="shared" si="120"/>
        <v>8</v>
      </c>
      <c r="CK49" s="181">
        <f t="shared" si="120"/>
        <v>9</v>
      </c>
      <c r="CL49" s="181">
        <f t="shared" si="120"/>
        <v>10</v>
      </c>
      <c r="CM49" s="181">
        <f t="shared" si="120"/>
        <v>11</v>
      </c>
      <c r="CN49" s="181">
        <f t="shared" si="120"/>
        <v>12</v>
      </c>
      <c r="CO49" s="182">
        <f>CO33</f>
        <v>0</v>
      </c>
      <c r="CP49" s="181">
        <v>1</v>
      </c>
      <c r="CQ49" s="181">
        <f aca="true" t="shared" si="121" ref="CQ49:DA49">CP49+1</f>
        <v>2</v>
      </c>
      <c r="CR49" s="181">
        <f t="shared" si="121"/>
        <v>3</v>
      </c>
      <c r="CS49" s="181">
        <f t="shared" si="121"/>
        <v>4</v>
      </c>
      <c r="CT49" s="181">
        <f t="shared" si="121"/>
        <v>5</v>
      </c>
      <c r="CU49" s="181">
        <f t="shared" si="121"/>
        <v>6</v>
      </c>
      <c r="CV49" s="181">
        <f t="shared" si="121"/>
        <v>7</v>
      </c>
      <c r="CW49" s="181">
        <f t="shared" si="121"/>
        <v>8</v>
      </c>
      <c r="CX49" s="181">
        <f t="shared" si="121"/>
        <v>9</v>
      </c>
      <c r="CY49" s="181">
        <f t="shared" si="121"/>
        <v>10</v>
      </c>
      <c r="CZ49" s="181">
        <f t="shared" si="121"/>
        <v>11</v>
      </c>
      <c r="DA49" s="181">
        <f t="shared" si="121"/>
        <v>12</v>
      </c>
      <c r="DB49" s="182">
        <f>DB33</f>
        <v>0</v>
      </c>
      <c r="DC49" s="181">
        <v>1</v>
      </c>
      <c r="DD49" s="181">
        <f aca="true" t="shared" si="122" ref="DD49:DN49">DC49+1</f>
        <v>2</v>
      </c>
      <c r="DE49" s="181">
        <f t="shared" si="122"/>
        <v>3</v>
      </c>
      <c r="DF49" s="181">
        <f t="shared" si="122"/>
        <v>4</v>
      </c>
      <c r="DG49" s="181">
        <f t="shared" si="122"/>
        <v>5</v>
      </c>
      <c r="DH49" s="181">
        <f t="shared" si="122"/>
        <v>6</v>
      </c>
      <c r="DI49" s="181">
        <f t="shared" si="122"/>
        <v>7</v>
      </c>
      <c r="DJ49" s="181">
        <f t="shared" si="122"/>
        <v>8</v>
      </c>
      <c r="DK49" s="181">
        <f t="shared" si="122"/>
        <v>9</v>
      </c>
      <c r="DL49" s="181">
        <f t="shared" si="122"/>
        <v>10</v>
      </c>
      <c r="DM49" s="181">
        <f t="shared" si="122"/>
        <v>11</v>
      </c>
      <c r="DN49" s="181">
        <f t="shared" si="122"/>
        <v>12</v>
      </c>
      <c r="DO49" s="182" t="s">
        <v>0</v>
      </c>
      <c r="DP49" s="181">
        <v>1</v>
      </c>
      <c r="DQ49" s="181">
        <f aca="true" t="shared" si="123" ref="DQ49:EA49">DP49+1</f>
        <v>2</v>
      </c>
      <c r="DR49" s="181">
        <f t="shared" si="123"/>
        <v>3</v>
      </c>
      <c r="DS49" s="181">
        <f t="shared" si="123"/>
        <v>4</v>
      </c>
      <c r="DT49" s="181">
        <f t="shared" si="123"/>
        <v>5</v>
      </c>
      <c r="DU49" s="181">
        <f t="shared" si="123"/>
        <v>6</v>
      </c>
      <c r="DV49" s="181">
        <f t="shared" si="123"/>
        <v>7</v>
      </c>
      <c r="DW49" s="181">
        <f t="shared" si="123"/>
        <v>8</v>
      </c>
      <c r="DX49" s="181">
        <f t="shared" si="123"/>
        <v>9</v>
      </c>
      <c r="DY49" s="181">
        <f t="shared" si="123"/>
        <v>10</v>
      </c>
      <c r="DZ49" s="181">
        <f t="shared" si="123"/>
        <v>11</v>
      </c>
      <c r="EA49" s="181">
        <f t="shared" si="123"/>
        <v>12</v>
      </c>
      <c r="EB49" s="182" t="s">
        <v>0</v>
      </c>
      <c r="EC49" s="181">
        <v>1</v>
      </c>
      <c r="ED49" s="181">
        <f aca="true" t="shared" si="124" ref="ED49:EN49">EC49+1</f>
        <v>2</v>
      </c>
      <c r="EE49" s="181">
        <f t="shared" si="124"/>
        <v>3</v>
      </c>
      <c r="EF49" s="181">
        <f t="shared" si="124"/>
        <v>4</v>
      </c>
      <c r="EG49" s="181">
        <f t="shared" si="124"/>
        <v>5</v>
      </c>
      <c r="EH49" s="181">
        <f t="shared" si="124"/>
        <v>6</v>
      </c>
      <c r="EI49" s="181">
        <f t="shared" si="124"/>
        <v>7</v>
      </c>
      <c r="EJ49" s="181">
        <f t="shared" si="124"/>
        <v>8</v>
      </c>
      <c r="EK49" s="181">
        <f t="shared" si="124"/>
        <v>9</v>
      </c>
      <c r="EL49" s="181">
        <f t="shared" si="124"/>
        <v>10</v>
      </c>
      <c r="EM49" s="181">
        <f t="shared" si="124"/>
        <v>11</v>
      </c>
      <c r="EN49" s="181">
        <f t="shared" si="124"/>
        <v>12</v>
      </c>
      <c r="EO49" s="182" t="s">
        <v>0</v>
      </c>
    </row>
    <row r="50" spans="1:145" ht="12.75" hidden="1">
      <c r="A50" s="179" t="s">
        <v>102</v>
      </c>
      <c r="B50" s="184">
        <f>O50+AB50+AO50+BB50+BO50+CB50+CO50+DB50+DO50</f>
        <v>0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6">
        <f>SUM(C50:N50)</f>
        <v>0</v>
      </c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>
        <f>SUM(P50:AA50)</f>
        <v>0</v>
      </c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>
        <f>SUM(AC50:AN50)</f>
        <v>0</v>
      </c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</row>
    <row r="51" spans="1:145" s="188" customFormat="1" ht="20.25" customHeight="1" hidden="1">
      <c r="A51" s="179" t="s">
        <v>27</v>
      </c>
      <c r="B51" s="184">
        <f>O51+AB51+AO51+BB51+BO51+CB51+CO51+DB51+DO51</f>
        <v>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6">
        <f>SUM(C51:N51)</f>
        <v>0</v>
      </c>
      <c r="P51" s="185"/>
      <c r="Q51" s="185"/>
      <c r="R51" s="185"/>
      <c r="S51" s="185">
        <f>SUM(O52:S52)</f>
        <v>0</v>
      </c>
      <c r="T51" s="185"/>
      <c r="U51" s="185"/>
      <c r="V51" s="185"/>
      <c r="W51" s="185"/>
      <c r="X51" s="185"/>
      <c r="Y51" s="185"/>
      <c r="Z51" s="185"/>
      <c r="AA51" s="185"/>
      <c r="AB51" s="186">
        <f>SUM(P51:AA51)</f>
        <v>0</v>
      </c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6">
        <f>SUM(AC51:AN51)</f>
        <v>0</v>
      </c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6">
        <f>SUM(AP51:BA51)</f>
        <v>0</v>
      </c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6">
        <f>SUM(BC51:BN51)</f>
        <v>0</v>
      </c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6">
        <f>SUM(BP51:CA51)</f>
        <v>0</v>
      </c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6">
        <f>SUM(CC51:CN51)</f>
        <v>0</v>
      </c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6">
        <f>SUM(CP51:DA51)</f>
        <v>0</v>
      </c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6">
        <f>SUM(DC51:DN51)</f>
        <v>0</v>
      </c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6">
        <f>SUM(DP51:EA51)</f>
        <v>0</v>
      </c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6">
        <f>SUM(EC51:EN51)</f>
        <v>0</v>
      </c>
    </row>
    <row r="52" spans="1:145" s="188" customFormat="1" ht="12.75" hidden="1">
      <c r="A52" s="189" t="s">
        <v>11</v>
      </c>
      <c r="B52" s="184">
        <f>O52+AB52+AO52+BB52+BO52+CB52+CO52+DB52+DO52</f>
        <v>0</v>
      </c>
      <c r="C52" s="185"/>
      <c r="D52" s="185">
        <f aca="true" t="shared" si="125" ref="D52:N52">C55*$B48/12</f>
        <v>0</v>
      </c>
      <c r="E52" s="185">
        <f t="shared" si="125"/>
        <v>0</v>
      </c>
      <c r="F52" s="185">
        <f t="shared" si="125"/>
        <v>0</v>
      </c>
      <c r="G52" s="185">
        <f t="shared" si="125"/>
        <v>0</v>
      </c>
      <c r="H52" s="185">
        <f t="shared" si="125"/>
        <v>0</v>
      </c>
      <c r="I52" s="185">
        <f t="shared" si="125"/>
        <v>0</v>
      </c>
      <c r="J52" s="185">
        <f t="shared" si="125"/>
        <v>0</v>
      </c>
      <c r="K52" s="185">
        <f t="shared" si="125"/>
        <v>0</v>
      </c>
      <c r="L52" s="185">
        <f t="shared" si="125"/>
        <v>0</v>
      </c>
      <c r="M52" s="185">
        <f t="shared" si="125"/>
        <v>0</v>
      </c>
      <c r="N52" s="185">
        <f t="shared" si="125"/>
        <v>0</v>
      </c>
      <c r="O52" s="186">
        <f>SUM(C52:N52)</f>
        <v>0</v>
      </c>
      <c r="P52" s="185">
        <f aca="true" t="shared" si="126" ref="P52:AA52">O55*$B48/12</f>
        <v>0</v>
      </c>
      <c r="Q52" s="185">
        <f t="shared" si="126"/>
        <v>0</v>
      </c>
      <c r="R52" s="185">
        <f t="shared" si="126"/>
        <v>0</v>
      </c>
      <c r="S52" s="185">
        <f t="shared" si="126"/>
        <v>0</v>
      </c>
      <c r="T52" s="185">
        <f t="shared" si="126"/>
        <v>0</v>
      </c>
      <c r="U52" s="185">
        <f t="shared" si="126"/>
        <v>0</v>
      </c>
      <c r="V52" s="185">
        <f t="shared" si="126"/>
        <v>0</v>
      </c>
      <c r="W52" s="185">
        <f t="shared" si="126"/>
        <v>0</v>
      </c>
      <c r="X52" s="185">
        <f t="shared" si="126"/>
        <v>0</v>
      </c>
      <c r="Y52" s="185">
        <f t="shared" si="126"/>
        <v>0</v>
      </c>
      <c r="Z52" s="185">
        <f t="shared" si="126"/>
        <v>0</v>
      </c>
      <c r="AA52" s="185">
        <f t="shared" si="126"/>
        <v>0</v>
      </c>
      <c r="AB52" s="186">
        <f>SUM(P52:AA52)</f>
        <v>0</v>
      </c>
      <c r="AC52" s="185">
        <f aca="true" t="shared" si="127" ref="AC52:AN52">AB55*$B48/12</f>
        <v>0</v>
      </c>
      <c r="AD52" s="185">
        <f t="shared" si="127"/>
        <v>0</v>
      </c>
      <c r="AE52" s="185">
        <f t="shared" si="127"/>
        <v>0</v>
      </c>
      <c r="AF52" s="185">
        <f t="shared" si="127"/>
        <v>0</v>
      </c>
      <c r="AG52" s="185">
        <f t="shared" si="127"/>
        <v>0</v>
      </c>
      <c r="AH52" s="185">
        <f t="shared" si="127"/>
        <v>0</v>
      </c>
      <c r="AI52" s="185">
        <f t="shared" si="127"/>
        <v>0</v>
      </c>
      <c r="AJ52" s="185">
        <f t="shared" si="127"/>
        <v>0</v>
      </c>
      <c r="AK52" s="185">
        <f t="shared" si="127"/>
        <v>0</v>
      </c>
      <c r="AL52" s="185">
        <f t="shared" si="127"/>
        <v>0</v>
      </c>
      <c r="AM52" s="185">
        <f t="shared" si="127"/>
        <v>0</v>
      </c>
      <c r="AN52" s="185">
        <f t="shared" si="127"/>
        <v>0</v>
      </c>
      <c r="AO52" s="186">
        <f>SUM(AC52:AN52)</f>
        <v>0</v>
      </c>
      <c r="AP52" s="185">
        <f aca="true" t="shared" si="128" ref="AP52:BA52">AO55*$B48/12</f>
        <v>0</v>
      </c>
      <c r="AQ52" s="185">
        <f t="shared" si="128"/>
        <v>0</v>
      </c>
      <c r="AR52" s="185">
        <f t="shared" si="128"/>
        <v>0</v>
      </c>
      <c r="AS52" s="185">
        <f t="shared" si="128"/>
        <v>0</v>
      </c>
      <c r="AT52" s="185">
        <f t="shared" si="128"/>
        <v>0</v>
      </c>
      <c r="AU52" s="185">
        <f t="shared" si="128"/>
        <v>0</v>
      </c>
      <c r="AV52" s="185">
        <f t="shared" si="128"/>
        <v>0</v>
      </c>
      <c r="AW52" s="185">
        <f t="shared" si="128"/>
        <v>0</v>
      </c>
      <c r="AX52" s="185">
        <f t="shared" si="128"/>
        <v>0</v>
      </c>
      <c r="AY52" s="185">
        <f t="shared" si="128"/>
        <v>0</v>
      </c>
      <c r="AZ52" s="185">
        <f t="shared" si="128"/>
        <v>0</v>
      </c>
      <c r="BA52" s="185">
        <f t="shared" si="128"/>
        <v>0</v>
      </c>
      <c r="BB52" s="186">
        <f>SUM(AP52:BA52)</f>
        <v>0</v>
      </c>
      <c r="BC52" s="185">
        <f aca="true" t="shared" si="129" ref="BC52:BN52">BB55*$B48/12</f>
        <v>0</v>
      </c>
      <c r="BD52" s="185">
        <f t="shared" si="129"/>
        <v>0</v>
      </c>
      <c r="BE52" s="185">
        <f t="shared" si="129"/>
        <v>0</v>
      </c>
      <c r="BF52" s="185">
        <f t="shared" si="129"/>
        <v>0</v>
      </c>
      <c r="BG52" s="185">
        <f t="shared" si="129"/>
        <v>0</v>
      </c>
      <c r="BH52" s="185">
        <f t="shared" si="129"/>
        <v>0</v>
      </c>
      <c r="BI52" s="185">
        <f t="shared" si="129"/>
        <v>0</v>
      </c>
      <c r="BJ52" s="185">
        <f t="shared" si="129"/>
        <v>0</v>
      </c>
      <c r="BK52" s="185">
        <f t="shared" si="129"/>
        <v>0</v>
      </c>
      <c r="BL52" s="185">
        <f t="shared" si="129"/>
        <v>0</v>
      </c>
      <c r="BM52" s="185">
        <f t="shared" si="129"/>
        <v>0</v>
      </c>
      <c r="BN52" s="185">
        <f t="shared" si="129"/>
        <v>0</v>
      </c>
      <c r="BO52" s="186">
        <f>SUM(BC52:BN52)</f>
        <v>0</v>
      </c>
      <c r="BP52" s="185">
        <f aca="true" t="shared" si="130" ref="BP52:CA52">BO55*$B48/12</f>
        <v>0</v>
      </c>
      <c r="BQ52" s="185">
        <f t="shared" si="130"/>
        <v>0</v>
      </c>
      <c r="BR52" s="185">
        <f t="shared" si="130"/>
        <v>0</v>
      </c>
      <c r="BS52" s="185">
        <f t="shared" si="130"/>
        <v>0</v>
      </c>
      <c r="BT52" s="185">
        <f t="shared" si="130"/>
        <v>0</v>
      </c>
      <c r="BU52" s="185">
        <f t="shared" si="130"/>
        <v>0</v>
      </c>
      <c r="BV52" s="185">
        <f t="shared" si="130"/>
        <v>0</v>
      </c>
      <c r="BW52" s="185">
        <f t="shared" si="130"/>
        <v>0</v>
      </c>
      <c r="BX52" s="185">
        <f t="shared" si="130"/>
        <v>0</v>
      </c>
      <c r="BY52" s="185">
        <f t="shared" si="130"/>
        <v>0</v>
      </c>
      <c r="BZ52" s="185">
        <f t="shared" si="130"/>
        <v>0</v>
      </c>
      <c r="CA52" s="185">
        <f t="shared" si="130"/>
        <v>0</v>
      </c>
      <c r="CB52" s="186">
        <f>SUM(BP52:CA52)</f>
        <v>0</v>
      </c>
      <c r="CC52" s="185">
        <f aca="true" t="shared" si="131" ref="CC52:CN52">CB55*$B48/12</f>
        <v>0</v>
      </c>
      <c r="CD52" s="185">
        <f t="shared" si="131"/>
        <v>0</v>
      </c>
      <c r="CE52" s="185">
        <f t="shared" si="131"/>
        <v>0</v>
      </c>
      <c r="CF52" s="185">
        <f t="shared" si="131"/>
        <v>0</v>
      </c>
      <c r="CG52" s="185">
        <f t="shared" si="131"/>
        <v>0</v>
      </c>
      <c r="CH52" s="185">
        <f t="shared" si="131"/>
        <v>0</v>
      </c>
      <c r="CI52" s="185">
        <f t="shared" si="131"/>
        <v>0</v>
      </c>
      <c r="CJ52" s="185">
        <f t="shared" si="131"/>
        <v>0</v>
      </c>
      <c r="CK52" s="185">
        <f t="shared" si="131"/>
        <v>0</v>
      </c>
      <c r="CL52" s="185">
        <f t="shared" si="131"/>
        <v>0</v>
      </c>
      <c r="CM52" s="185">
        <f t="shared" si="131"/>
        <v>0</v>
      </c>
      <c r="CN52" s="185">
        <f t="shared" si="131"/>
        <v>0</v>
      </c>
      <c r="CO52" s="186">
        <f>SUM(CC52:CN52)</f>
        <v>0</v>
      </c>
      <c r="CP52" s="185">
        <f aca="true" t="shared" si="132" ref="CP52:DA52">CO55*$B48/12</f>
        <v>0</v>
      </c>
      <c r="CQ52" s="185">
        <f t="shared" si="132"/>
        <v>0</v>
      </c>
      <c r="CR52" s="185">
        <f t="shared" si="132"/>
        <v>0</v>
      </c>
      <c r="CS52" s="185">
        <f t="shared" si="132"/>
        <v>0</v>
      </c>
      <c r="CT52" s="185">
        <f t="shared" si="132"/>
        <v>0</v>
      </c>
      <c r="CU52" s="185">
        <f t="shared" si="132"/>
        <v>0</v>
      </c>
      <c r="CV52" s="185">
        <f t="shared" si="132"/>
        <v>0</v>
      </c>
      <c r="CW52" s="185">
        <f t="shared" si="132"/>
        <v>0</v>
      </c>
      <c r="CX52" s="185">
        <f t="shared" si="132"/>
        <v>0</v>
      </c>
      <c r="CY52" s="185">
        <f t="shared" si="132"/>
        <v>0</v>
      </c>
      <c r="CZ52" s="185">
        <f t="shared" si="132"/>
        <v>0</v>
      </c>
      <c r="DA52" s="185">
        <f t="shared" si="132"/>
        <v>0</v>
      </c>
      <c r="DB52" s="186">
        <f>SUM(CP52:DA52)</f>
        <v>0</v>
      </c>
      <c r="DC52" s="185">
        <f aca="true" t="shared" si="133" ref="DC52:DN52">DB55*$B48/12</f>
        <v>0</v>
      </c>
      <c r="DD52" s="185">
        <f t="shared" si="133"/>
        <v>0</v>
      </c>
      <c r="DE52" s="185">
        <f t="shared" si="133"/>
        <v>0</v>
      </c>
      <c r="DF52" s="185">
        <f t="shared" si="133"/>
        <v>0</v>
      </c>
      <c r="DG52" s="185">
        <f t="shared" si="133"/>
        <v>0</v>
      </c>
      <c r="DH52" s="185">
        <f t="shared" si="133"/>
        <v>0</v>
      </c>
      <c r="DI52" s="185">
        <f t="shared" si="133"/>
        <v>0</v>
      </c>
      <c r="DJ52" s="185">
        <f t="shared" si="133"/>
        <v>0</v>
      </c>
      <c r="DK52" s="185">
        <f t="shared" si="133"/>
        <v>0</v>
      </c>
      <c r="DL52" s="185">
        <f t="shared" si="133"/>
        <v>0</v>
      </c>
      <c r="DM52" s="185">
        <f t="shared" si="133"/>
        <v>0</v>
      </c>
      <c r="DN52" s="185">
        <f t="shared" si="133"/>
        <v>0</v>
      </c>
      <c r="DO52" s="186">
        <f>SUM(DC52:DN52)</f>
        <v>0</v>
      </c>
      <c r="DP52" s="185">
        <f aca="true" t="shared" si="134" ref="DP52:EA52">DO55*$B48/12</f>
        <v>0</v>
      </c>
      <c r="DQ52" s="185">
        <f t="shared" si="134"/>
        <v>0</v>
      </c>
      <c r="DR52" s="185">
        <f t="shared" si="134"/>
        <v>0</v>
      </c>
      <c r="DS52" s="185">
        <f t="shared" si="134"/>
        <v>0</v>
      </c>
      <c r="DT52" s="185">
        <f t="shared" si="134"/>
        <v>0</v>
      </c>
      <c r="DU52" s="185">
        <f t="shared" si="134"/>
        <v>0</v>
      </c>
      <c r="DV52" s="185">
        <f t="shared" si="134"/>
        <v>0</v>
      </c>
      <c r="DW52" s="185">
        <f t="shared" si="134"/>
        <v>0</v>
      </c>
      <c r="DX52" s="185">
        <f t="shared" si="134"/>
        <v>0</v>
      </c>
      <c r="DY52" s="185">
        <f t="shared" si="134"/>
        <v>0</v>
      </c>
      <c r="DZ52" s="185">
        <f t="shared" si="134"/>
        <v>0</v>
      </c>
      <c r="EA52" s="185">
        <f t="shared" si="134"/>
        <v>0</v>
      </c>
      <c r="EB52" s="186">
        <f>SUM(DP52:EA52)</f>
        <v>0</v>
      </c>
      <c r="EC52" s="185">
        <f aca="true" t="shared" si="135" ref="EC52:EN52">EB55*$B48/12</f>
        <v>0</v>
      </c>
      <c r="ED52" s="185">
        <f t="shared" si="135"/>
        <v>0</v>
      </c>
      <c r="EE52" s="185">
        <f t="shared" si="135"/>
        <v>0</v>
      </c>
      <c r="EF52" s="185">
        <f t="shared" si="135"/>
        <v>0</v>
      </c>
      <c r="EG52" s="185">
        <f t="shared" si="135"/>
        <v>0</v>
      </c>
      <c r="EH52" s="185">
        <f t="shared" si="135"/>
        <v>0</v>
      </c>
      <c r="EI52" s="185">
        <f t="shared" si="135"/>
        <v>0</v>
      </c>
      <c r="EJ52" s="185">
        <f t="shared" si="135"/>
        <v>0</v>
      </c>
      <c r="EK52" s="185">
        <f t="shared" si="135"/>
        <v>0</v>
      </c>
      <c r="EL52" s="185">
        <f t="shared" si="135"/>
        <v>0</v>
      </c>
      <c r="EM52" s="185">
        <f t="shared" si="135"/>
        <v>0</v>
      </c>
      <c r="EN52" s="185">
        <f t="shared" si="135"/>
        <v>0</v>
      </c>
      <c r="EO52" s="186">
        <f>SUM(EC52:EN52)</f>
        <v>0</v>
      </c>
    </row>
    <row r="53" spans="1:145" ht="12.75" hidden="1">
      <c r="A53" s="179" t="s">
        <v>12</v>
      </c>
      <c r="B53" s="184">
        <f>O53+AB53+AO53+BB53+BO53+CB53+CO53+DB53+DO53</f>
        <v>0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90"/>
      <c r="N53" s="190"/>
      <c r="O53" s="186">
        <f>SUM(C53:N53)</f>
        <v>0</v>
      </c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85">
        <f>$B57-Z52</f>
        <v>0</v>
      </c>
      <c r="AA53" s="185">
        <f>$B57-AA52</f>
        <v>0</v>
      </c>
      <c r="AB53" s="186">
        <f>SUM(P53:AA53)</f>
        <v>0</v>
      </c>
      <c r="AC53" s="185">
        <f aca="true" t="shared" si="136" ref="AC53:AN53">$B57-AC52</f>
        <v>0</v>
      </c>
      <c r="AD53" s="185">
        <f t="shared" si="136"/>
        <v>0</v>
      </c>
      <c r="AE53" s="185">
        <f t="shared" si="136"/>
        <v>0</v>
      </c>
      <c r="AF53" s="185">
        <f t="shared" si="136"/>
        <v>0</v>
      </c>
      <c r="AG53" s="185">
        <f t="shared" si="136"/>
        <v>0</v>
      </c>
      <c r="AH53" s="185">
        <f t="shared" si="136"/>
        <v>0</v>
      </c>
      <c r="AI53" s="185">
        <f t="shared" si="136"/>
        <v>0</v>
      </c>
      <c r="AJ53" s="185">
        <f t="shared" si="136"/>
        <v>0</v>
      </c>
      <c r="AK53" s="185">
        <f t="shared" si="136"/>
        <v>0</v>
      </c>
      <c r="AL53" s="185">
        <f t="shared" si="136"/>
        <v>0</v>
      </c>
      <c r="AM53" s="185">
        <f t="shared" si="136"/>
        <v>0</v>
      </c>
      <c r="AN53" s="185">
        <f t="shared" si="136"/>
        <v>0</v>
      </c>
      <c r="AO53" s="186">
        <f>SUM(AC53:AN53)</f>
        <v>0</v>
      </c>
      <c r="AP53" s="185">
        <f aca="true" t="shared" si="137" ref="AP53:BA53">$B57-AP52</f>
        <v>0</v>
      </c>
      <c r="AQ53" s="185">
        <f t="shared" si="137"/>
        <v>0</v>
      </c>
      <c r="AR53" s="185">
        <f t="shared" si="137"/>
        <v>0</v>
      </c>
      <c r="AS53" s="185">
        <f t="shared" si="137"/>
        <v>0</v>
      </c>
      <c r="AT53" s="185">
        <f t="shared" si="137"/>
        <v>0</v>
      </c>
      <c r="AU53" s="185">
        <f t="shared" si="137"/>
        <v>0</v>
      </c>
      <c r="AV53" s="185">
        <f t="shared" si="137"/>
        <v>0</v>
      </c>
      <c r="AW53" s="185">
        <f t="shared" si="137"/>
        <v>0</v>
      </c>
      <c r="AX53" s="185">
        <f t="shared" si="137"/>
        <v>0</v>
      </c>
      <c r="AY53" s="185">
        <f t="shared" si="137"/>
        <v>0</v>
      </c>
      <c r="AZ53" s="185">
        <f t="shared" si="137"/>
        <v>0</v>
      </c>
      <c r="BA53" s="185">
        <f t="shared" si="137"/>
        <v>0</v>
      </c>
      <c r="BB53" s="186">
        <f>SUM(AP53:BA53)</f>
        <v>0</v>
      </c>
      <c r="BC53" s="185">
        <f aca="true" t="shared" si="138" ref="BC53:BN53">$B57-BC52</f>
        <v>0</v>
      </c>
      <c r="BD53" s="185">
        <f t="shared" si="138"/>
        <v>0</v>
      </c>
      <c r="BE53" s="185">
        <f t="shared" si="138"/>
        <v>0</v>
      </c>
      <c r="BF53" s="185">
        <f t="shared" si="138"/>
        <v>0</v>
      </c>
      <c r="BG53" s="185">
        <f t="shared" si="138"/>
        <v>0</v>
      </c>
      <c r="BH53" s="185">
        <f t="shared" si="138"/>
        <v>0</v>
      </c>
      <c r="BI53" s="185">
        <f t="shared" si="138"/>
        <v>0</v>
      </c>
      <c r="BJ53" s="185">
        <f t="shared" si="138"/>
        <v>0</v>
      </c>
      <c r="BK53" s="185">
        <f t="shared" si="138"/>
        <v>0</v>
      </c>
      <c r="BL53" s="185">
        <f t="shared" si="138"/>
        <v>0</v>
      </c>
      <c r="BM53" s="185">
        <f t="shared" si="138"/>
        <v>0</v>
      </c>
      <c r="BN53" s="185">
        <f t="shared" si="138"/>
        <v>0</v>
      </c>
      <c r="BO53" s="186">
        <f>SUM(BC53:BN53)</f>
        <v>0</v>
      </c>
      <c r="BP53" s="185">
        <f aca="true" t="shared" si="139" ref="BP53:CA53">$B57-BP52</f>
        <v>0</v>
      </c>
      <c r="BQ53" s="185">
        <f t="shared" si="139"/>
        <v>0</v>
      </c>
      <c r="BR53" s="185">
        <f t="shared" si="139"/>
        <v>0</v>
      </c>
      <c r="BS53" s="185">
        <f t="shared" si="139"/>
        <v>0</v>
      </c>
      <c r="BT53" s="185">
        <f t="shared" si="139"/>
        <v>0</v>
      </c>
      <c r="BU53" s="185">
        <f t="shared" si="139"/>
        <v>0</v>
      </c>
      <c r="BV53" s="185">
        <f t="shared" si="139"/>
        <v>0</v>
      </c>
      <c r="BW53" s="185">
        <f t="shared" si="139"/>
        <v>0</v>
      </c>
      <c r="BX53" s="185">
        <f t="shared" si="139"/>
        <v>0</v>
      </c>
      <c r="BY53" s="185">
        <f t="shared" si="139"/>
        <v>0</v>
      </c>
      <c r="BZ53" s="185">
        <f t="shared" si="139"/>
        <v>0</v>
      </c>
      <c r="CA53" s="185">
        <f t="shared" si="139"/>
        <v>0</v>
      </c>
      <c r="CB53" s="186">
        <f>SUM(BP53:CA53)</f>
        <v>0</v>
      </c>
      <c r="CC53" s="185">
        <f aca="true" t="shared" si="140" ref="CC53:CN53">$B57-CC52</f>
        <v>0</v>
      </c>
      <c r="CD53" s="185">
        <f t="shared" si="140"/>
        <v>0</v>
      </c>
      <c r="CE53" s="185">
        <f t="shared" si="140"/>
        <v>0</v>
      </c>
      <c r="CF53" s="185">
        <f t="shared" si="140"/>
        <v>0</v>
      </c>
      <c r="CG53" s="185">
        <f t="shared" si="140"/>
        <v>0</v>
      </c>
      <c r="CH53" s="185">
        <f t="shared" si="140"/>
        <v>0</v>
      </c>
      <c r="CI53" s="185">
        <f t="shared" si="140"/>
        <v>0</v>
      </c>
      <c r="CJ53" s="185">
        <f t="shared" si="140"/>
        <v>0</v>
      </c>
      <c r="CK53" s="185">
        <f t="shared" si="140"/>
        <v>0</v>
      </c>
      <c r="CL53" s="185">
        <f t="shared" si="140"/>
        <v>0</v>
      </c>
      <c r="CM53" s="185">
        <f t="shared" si="140"/>
        <v>0</v>
      </c>
      <c r="CN53" s="185">
        <f t="shared" si="140"/>
        <v>0</v>
      </c>
      <c r="CO53" s="186">
        <f>SUM(CC53:CN53)</f>
        <v>0</v>
      </c>
      <c r="CP53" s="185">
        <f aca="true" t="shared" si="141" ref="CP53:CY53">$B57-CP52</f>
        <v>0</v>
      </c>
      <c r="CQ53" s="185">
        <f t="shared" si="141"/>
        <v>0</v>
      </c>
      <c r="CR53" s="185">
        <f t="shared" si="141"/>
        <v>0</v>
      </c>
      <c r="CS53" s="185">
        <f t="shared" si="141"/>
        <v>0</v>
      </c>
      <c r="CT53" s="185">
        <f t="shared" si="141"/>
        <v>0</v>
      </c>
      <c r="CU53" s="185">
        <f t="shared" si="141"/>
        <v>0</v>
      </c>
      <c r="CV53" s="185">
        <f t="shared" si="141"/>
        <v>0</v>
      </c>
      <c r="CW53" s="185">
        <f t="shared" si="141"/>
        <v>0</v>
      </c>
      <c r="CX53" s="185">
        <f t="shared" si="141"/>
        <v>0</v>
      </c>
      <c r="CY53" s="185">
        <f t="shared" si="141"/>
        <v>0</v>
      </c>
      <c r="CZ53" s="185"/>
      <c r="DA53" s="185"/>
      <c r="DB53" s="186">
        <f>SUM(CP53:DA53)</f>
        <v>0</v>
      </c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6">
        <f>SUM(DC53:DN53)</f>
        <v>0</v>
      </c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6">
        <f>SUM(DP53:EA53)</f>
        <v>0</v>
      </c>
      <c r="EC53" s="185"/>
      <c r="ED53" s="185"/>
      <c r="EE53" s="185"/>
      <c r="EF53" s="185"/>
      <c r="EG53" s="185"/>
      <c r="EH53" s="185"/>
      <c r="EI53" s="185"/>
      <c r="EJ53" s="185"/>
      <c r="EK53" s="185"/>
      <c r="EL53" s="185"/>
      <c r="EM53" s="185"/>
      <c r="EN53" s="185"/>
      <c r="EO53" s="186">
        <f>SUM(EC53:EN53)</f>
        <v>0</v>
      </c>
    </row>
    <row r="54" spans="1:145" ht="12.75" hidden="1">
      <c r="A54" s="179" t="s">
        <v>13</v>
      </c>
      <c r="B54" s="184">
        <f>O54+AB54+AO54+BB54+BO54+CB54+CO54+DB54+DO54</f>
        <v>0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90"/>
      <c r="N54" s="190"/>
      <c r="O54" s="186">
        <f>SUM(C54:N54)</f>
        <v>0</v>
      </c>
      <c r="P54" s="190"/>
      <c r="Q54" s="190"/>
      <c r="R54" s="190"/>
      <c r="S54" s="190"/>
      <c r="T54" s="185">
        <f aca="true" t="shared" si="142" ref="T54:AA54">T52</f>
        <v>0</v>
      </c>
      <c r="U54" s="185">
        <f t="shared" si="142"/>
        <v>0</v>
      </c>
      <c r="V54" s="185">
        <f t="shared" si="142"/>
        <v>0</v>
      </c>
      <c r="W54" s="185">
        <f t="shared" si="142"/>
        <v>0</v>
      </c>
      <c r="X54" s="185">
        <f t="shared" si="142"/>
        <v>0</v>
      </c>
      <c r="Y54" s="185">
        <f t="shared" si="142"/>
        <v>0</v>
      </c>
      <c r="Z54" s="185">
        <f t="shared" si="142"/>
        <v>0</v>
      </c>
      <c r="AA54" s="185">
        <f t="shared" si="142"/>
        <v>0</v>
      </c>
      <c r="AB54" s="186">
        <f>SUM(P54:AA54)</f>
        <v>0</v>
      </c>
      <c r="AC54" s="185">
        <f aca="true" t="shared" si="143" ref="AC54:AK54">AC52</f>
        <v>0</v>
      </c>
      <c r="AD54" s="185">
        <f t="shared" si="143"/>
        <v>0</v>
      </c>
      <c r="AE54" s="185">
        <f t="shared" si="143"/>
        <v>0</v>
      </c>
      <c r="AF54" s="185">
        <f t="shared" si="143"/>
        <v>0</v>
      </c>
      <c r="AG54" s="185">
        <f t="shared" si="143"/>
        <v>0</v>
      </c>
      <c r="AH54" s="185">
        <f t="shared" si="143"/>
        <v>0</v>
      </c>
      <c r="AI54" s="185">
        <f t="shared" si="143"/>
        <v>0</v>
      </c>
      <c r="AJ54" s="185">
        <f t="shared" si="143"/>
        <v>0</v>
      </c>
      <c r="AK54" s="185">
        <f t="shared" si="143"/>
        <v>0</v>
      </c>
      <c r="AL54" s="185">
        <f>AL52</f>
        <v>0</v>
      </c>
      <c r="AM54" s="185">
        <f>AM52</f>
        <v>0</v>
      </c>
      <c r="AN54" s="185">
        <f>AN52</f>
        <v>0</v>
      </c>
      <c r="AO54" s="186">
        <f>SUM(AC54:AN54)</f>
        <v>0</v>
      </c>
      <c r="AP54" s="185">
        <f aca="true" t="shared" si="144" ref="AP54:BA54">AP52</f>
        <v>0</v>
      </c>
      <c r="AQ54" s="185">
        <f t="shared" si="144"/>
        <v>0</v>
      </c>
      <c r="AR54" s="185">
        <f t="shared" si="144"/>
        <v>0</v>
      </c>
      <c r="AS54" s="185">
        <f t="shared" si="144"/>
        <v>0</v>
      </c>
      <c r="AT54" s="185">
        <f t="shared" si="144"/>
        <v>0</v>
      </c>
      <c r="AU54" s="185">
        <f t="shared" si="144"/>
        <v>0</v>
      </c>
      <c r="AV54" s="185">
        <f t="shared" si="144"/>
        <v>0</v>
      </c>
      <c r="AW54" s="185">
        <f t="shared" si="144"/>
        <v>0</v>
      </c>
      <c r="AX54" s="185">
        <f t="shared" si="144"/>
        <v>0</v>
      </c>
      <c r="AY54" s="185">
        <f t="shared" si="144"/>
        <v>0</v>
      </c>
      <c r="AZ54" s="185">
        <f t="shared" si="144"/>
        <v>0</v>
      </c>
      <c r="BA54" s="185">
        <f t="shared" si="144"/>
        <v>0</v>
      </c>
      <c r="BB54" s="186">
        <f>SUM(AP54:BA54)</f>
        <v>0</v>
      </c>
      <c r="BC54" s="185">
        <f aca="true" t="shared" si="145" ref="BC54:BN54">BC52</f>
        <v>0</v>
      </c>
      <c r="BD54" s="185">
        <f t="shared" si="145"/>
        <v>0</v>
      </c>
      <c r="BE54" s="185">
        <f t="shared" si="145"/>
        <v>0</v>
      </c>
      <c r="BF54" s="185">
        <f t="shared" si="145"/>
        <v>0</v>
      </c>
      <c r="BG54" s="185">
        <f t="shared" si="145"/>
        <v>0</v>
      </c>
      <c r="BH54" s="185">
        <f t="shared" si="145"/>
        <v>0</v>
      </c>
      <c r="BI54" s="185">
        <f t="shared" si="145"/>
        <v>0</v>
      </c>
      <c r="BJ54" s="185">
        <f t="shared" si="145"/>
        <v>0</v>
      </c>
      <c r="BK54" s="185">
        <f t="shared" si="145"/>
        <v>0</v>
      </c>
      <c r="BL54" s="185">
        <f t="shared" si="145"/>
        <v>0</v>
      </c>
      <c r="BM54" s="185">
        <f t="shared" si="145"/>
        <v>0</v>
      </c>
      <c r="BN54" s="185">
        <f t="shared" si="145"/>
        <v>0</v>
      </c>
      <c r="BO54" s="186">
        <f>SUM(BC54:BN54)</f>
        <v>0</v>
      </c>
      <c r="BP54" s="185">
        <f aca="true" t="shared" si="146" ref="BP54:CA54">BP52</f>
        <v>0</v>
      </c>
      <c r="BQ54" s="185">
        <f t="shared" si="146"/>
        <v>0</v>
      </c>
      <c r="BR54" s="185">
        <f t="shared" si="146"/>
        <v>0</v>
      </c>
      <c r="BS54" s="185">
        <f t="shared" si="146"/>
        <v>0</v>
      </c>
      <c r="BT54" s="185">
        <f t="shared" si="146"/>
        <v>0</v>
      </c>
      <c r="BU54" s="185">
        <f t="shared" si="146"/>
        <v>0</v>
      </c>
      <c r="BV54" s="185">
        <f t="shared" si="146"/>
        <v>0</v>
      </c>
      <c r="BW54" s="185">
        <f t="shared" si="146"/>
        <v>0</v>
      </c>
      <c r="BX54" s="185">
        <f t="shared" si="146"/>
        <v>0</v>
      </c>
      <c r="BY54" s="185">
        <f t="shared" si="146"/>
        <v>0</v>
      </c>
      <c r="BZ54" s="185">
        <f t="shared" si="146"/>
        <v>0</v>
      </c>
      <c r="CA54" s="185">
        <f t="shared" si="146"/>
        <v>0</v>
      </c>
      <c r="CB54" s="186">
        <f>SUM(BP54:CA54)</f>
        <v>0</v>
      </c>
      <c r="CC54" s="185">
        <f aca="true" t="shared" si="147" ref="CC54:CN54">CC52</f>
        <v>0</v>
      </c>
      <c r="CD54" s="185">
        <f t="shared" si="147"/>
        <v>0</v>
      </c>
      <c r="CE54" s="185">
        <f t="shared" si="147"/>
        <v>0</v>
      </c>
      <c r="CF54" s="185">
        <f t="shared" si="147"/>
        <v>0</v>
      </c>
      <c r="CG54" s="185">
        <f t="shared" si="147"/>
        <v>0</v>
      </c>
      <c r="CH54" s="185">
        <f t="shared" si="147"/>
        <v>0</v>
      </c>
      <c r="CI54" s="185">
        <f t="shared" si="147"/>
        <v>0</v>
      </c>
      <c r="CJ54" s="185">
        <f t="shared" si="147"/>
        <v>0</v>
      </c>
      <c r="CK54" s="185">
        <f t="shared" si="147"/>
        <v>0</v>
      </c>
      <c r="CL54" s="185">
        <f t="shared" si="147"/>
        <v>0</v>
      </c>
      <c r="CM54" s="185">
        <f t="shared" si="147"/>
        <v>0</v>
      </c>
      <c r="CN54" s="185">
        <f t="shared" si="147"/>
        <v>0</v>
      </c>
      <c r="CO54" s="186">
        <f>SUM(CC54:CN54)</f>
        <v>0</v>
      </c>
      <c r="CP54" s="185">
        <f aca="true" t="shared" si="148" ref="CP54:DA54">CP52</f>
        <v>0</v>
      </c>
      <c r="CQ54" s="185">
        <f t="shared" si="148"/>
        <v>0</v>
      </c>
      <c r="CR54" s="185">
        <f t="shared" si="148"/>
        <v>0</v>
      </c>
      <c r="CS54" s="185">
        <f t="shared" si="148"/>
        <v>0</v>
      </c>
      <c r="CT54" s="185">
        <f t="shared" si="148"/>
        <v>0</v>
      </c>
      <c r="CU54" s="185">
        <f t="shared" si="148"/>
        <v>0</v>
      </c>
      <c r="CV54" s="185">
        <f t="shared" si="148"/>
        <v>0</v>
      </c>
      <c r="CW54" s="185">
        <f t="shared" si="148"/>
        <v>0</v>
      </c>
      <c r="CX54" s="185">
        <f t="shared" si="148"/>
        <v>0</v>
      </c>
      <c r="CY54" s="185">
        <f t="shared" si="148"/>
        <v>0</v>
      </c>
      <c r="CZ54" s="185">
        <f t="shared" si="148"/>
        <v>0</v>
      </c>
      <c r="DA54" s="185">
        <f t="shared" si="148"/>
        <v>0</v>
      </c>
      <c r="DB54" s="186">
        <f>SUM(CP54:DA54)</f>
        <v>0</v>
      </c>
      <c r="DC54" s="185">
        <f aca="true" t="shared" si="149" ref="DC54:DN54">DC52</f>
        <v>0</v>
      </c>
      <c r="DD54" s="185">
        <f t="shared" si="149"/>
        <v>0</v>
      </c>
      <c r="DE54" s="185">
        <f t="shared" si="149"/>
        <v>0</v>
      </c>
      <c r="DF54" s="185">
        <f t="shared" si="149"/>
        <v>0</v>
      </c>
      <c r="DG54" s="185">
        <f t="shared" si="149"/>
        <v>0</v>
      </c>
      <c r="DH54" s="185">
        <f t="shared" si="149"/>
        <v>0</v>
      </c>
      <c r="DI54" s="185">
        <f t="shared" si="149"/>
        <v>0</v>
      </c>
      <c r="DJ54" s="185">
        <f t="shared" si="149"/>
        <v>0</v>
      </c>
      <c r="DK54" s="185">
        <f t="shared" si="149"/>
        <v>0</v>
      </c>
      <c r="DL54" s="185">
        <f t="shared" si="149"/>
        <v>0</v>
      </c>
      <c r="DM54" s="185">
        <f t="shared" si="149"/>
        <v>0</v>
      </c>
      <c r="DN54" s="185">
        <f t="shared" si="149"/>
        <v>0</v>
      </c>
      <c r="DO54" s="186">
        <f>SUM(DC54:DN54)</f>
        <v>0</v>
      </c>
      <c r="DP54" s="185">
        <f aca="true" t="shared" si="150" ref="DP54:EA54">DP52</f>
        <v>0</v>
      </c>
      <c r="DQ54" s="185">
        <f t="shared" si="150"/>
        <v>0</v>
      </c>
      <c r="DR54" s="185">
        <f t="shared" si="150"/>
        <v>0</v>
      </c>
      <c r="DS54" s="185">
        <f t="shared" si="150"/>
        <v>0</v>
      </c>
      <c r="DT54" s="185">
        <f t="shared" si="150"/>
        <v>0</v>
      </c>
      <c r="DU54" s="185">
        <f t="shared" si="150"/>
        <v>0</v>
      </c>
      <c r="DV54" s="185">
        <f t="shared" si="150"/>
        <v>0</v>
      </c>
      <c r="DW54" s="185">
        <f t="shared" si="150"/>
        <v>0</v>
      </c>
      <c r="DX54" s="185">
        <f t="shared" si="150"/>
        <v>0</v>
      </c>
      <c r="DY54" s="185">
        <f t="shared" si="150"/>
        <v>0</v>
      </c>
      <c r="DZ54" s="185">
        <f t="shared" si="150"/>
        <v>0</v>
      </c>
      <c r="EA54" s="185">
        <f t="shared" si="150"/>
        <v>0</v>
      </c>
      <c r="EB54" s="186">
        <f>SUM(DP54:EA54)</f>
        <v>0</v>
      </c>
      <c r="EC54" s="185">
        <f aca="true" t="shared" si="151" ref="EC54:EN54">EC52</f>
        <v>0</v>
      </c>
      <c r="ED54" s="185">
        <f t="shared" si="151"/>
        <v>0</v>
      </c>
      <c r="EE54" s="185">
        <f t="shared" si="151"/>
        <v>0</v>
      </c>
      <c r="EF54" s="185">
        <f t="shared" si="151"/>
        <v>0</v>
      </c>
      <c r="EG54" s="185">
        <f t="shared" si="151"/>
        <v>0</v>
      </c>
      <c r="EH54" s="185">
        <f t="shared" si="151"/>
        <v>0</v>
      </c>
      <c r="EI54" s="185">
        <f t="shared" si="151"/>
        <v>0</v>
      </c>
      <c r="EJ54" s="185">
        <f t="shared" si="151"/>
        <v>0</v>
      </c>
      <c r="EK54" s="185">
        <f t="shared" si="151"/>
        <v>0</v>
      </c>
      <c r="EL54" s="185">
        <f t="shared" si="151"/>
        <v>0</v>
      </c>
      <c r="EM54" s="185">
        <f t="shared" si="151"/>
        <v>0</v>
      </c>
      <c r="EN54" s="185">
        <f t="shared" si="151"/>
        <v>0</v>
      </c>
      <c r="EO54" s="186">
        <f>SUM(EC54:EN54)</f>
        <v>0</v>
      </c>
    </row>
    <row r="55" spans="1:145" ht="12.75" hidden="1">
      <c r="A55" s="179" t="s">
        <v>14</v>
      </c>
      <c r="B55" s="184">
        <f>DO55</f>
        <v>0</v>
      </c>
      <c r="C55" s="185">
        <f>C50</f>
        <v>0</v>
      </c>
      <c r="D55" s="185">
        <f aca="true" t="shared" si="152" ref="D55:N55">C55+D50-D53+D51</f>
        <v>0</v>
      </c>
      <c r="E55" s="185">
        <f t="shared" si="152"/>
        <v>0</v>
      </c>
      <c r="F55" s="185">
        <f t="shared" si="152"/>
        <v>0</v>
      </c>
      <c r="G55" s="185">
        <f t="shared" si="152"/>
        <v>0</v>
      </c>
      <c r="H55" s="185">
        <f t="shared" si="152"/>
        <v>0</v>
      </c>
      <c r="I55" s="185">
        <f t="shared" si="152"/>
        <v>0</v>
      </c>
      <c r="J55" s="185">
        <f t="shared" si="152"/>
        <v>0</v>
      </c>
      <c r="K55" s="185">
        <f t="shared" si="152"/>
        <v>0</v>
      </c>
      <c r="L55" s="185">
        <f t="shared" si="152"/>
        <v>0</v>
      </c>
      <c r="M55" s="185">
        <f t="shared" si="152"/>
        <v>0</v>
      </c>
      <c r="N55" s="185">
        <f t="shared" si="152"/>
        <v>0</v>
      </c>
      <c r="O55" s="186">
        <f>N55</f>
        <v>0</v>
      </c>
      <c r="P55" s="185">
        <f aca="true" t="shared" si="153" ref="P55:AA55">O55+P50-P53+P51</f>
        <v>0</v>
      </c>
      <c r="Q55" s="185">
        <f t="shared" si="153"/>
        <v>0</v>
      </c>
      <c r="R55" s="185">
        <f t="shared" si="153"/>
        <v>0</v>
      </c>
      <c r="S55" s="185">
        <f t="shared" si="153"/>
        <v>0</v>
      </c>
      <c r="T55" s="185">
        <f t="shared" si="153"/>
        <v>0</v>
      </c>
      <c r="U55" s="185">
        <f t="shared" si="153"/>
        <v>0</v>
      </c>
      <c r="V55" s="185">
        <f t="shared" si="153"/>
        <v>0</v>
      </c>
      <c r="W55" s="185">
        <f t="shared" si="153"/>
        <v>0</v>
      </c>
      <c r="X55" s="185">
        <f t="shared" si="153"/>
        <v>0</v>
      </c>
      <c r="Y55" s="185">
        <f t="shared" si="153"/>
        <v>0</v>
      </c>
      <c r="Z55" s="185">
        <f t="shared" si="153"/>
        <v>0</v>
      </c>
      <c r="AA55" s="185">
        <f t="shared" si="153"/>
        <v>0</v>
      </c>
      <c r="AB55" s="186">
        <f>AA55</f>
        <v>0</v>
      </c>
      <c r="AC55" s="185">
        <f aca="true" t="shared" si="154" ref="AC55:AN55">AB55+AC50-AC53+AC51</f>
        <v>0</v>
      </c>
      <c r="AD55" s="185">
        <f t="shared" si="154"/>
        <v>0</v>
      </c>
      <c r="AE55" s="185">
        <f t="shared" si="154"/>
        <v>0</v>
      </c>
      <c r="AF55" s="185">
        <f t="shared" si="154"/>
        <v>0</v>
      </c>
      <c r="AG55" s="185">
        <f t="shared" si="154"/>
        <v>0</v>
      </c>
      <c r="AH55" s="185">
        <f t="shared" si="154"/>
        <v>0</v>
      </c>
      <c r="AI55" s="185">
        <f t="shared" si="154"/>
        <v>0</v>
      </c>
      <c r="AJ55" s="185">
        <f t="shared" si="154"/>
        <v>0</v>
      </c>
      <c r="AK55" s="185">
        <f t="shared" si="154"/>
        <v>0</v>
      </c>
      <c r="AL55" s="185">
        <f t="shared" si="154"/>
        <v>0</v>
      </c>
      <c r="AM55" s="185">
        <f t="shared" si="154"/>
        <v>0</v>
      </c>
      <c r="AN55" s="185">
        <f t="shared" si="154"/>
        <v>0</v>
      </c>
      <c r="AO55" s="186">
        <f>AN55</f>
        <v>0</v>
      </c>
      <c r="AP55" s="185">
        <f aca="true" t="shared" si="155" ref="AP55:BA55">AO55+AP50-AP53+AP51</f>
        <v>0</v>
      </c>
      <c r="AQ55" s="185">
        <f t="shared" si="155"/>
        <v>0</v>
      </c>
      <c r="AR55" s="185">
        <f t="shared" si="155"/>
        <v>0</v>
      </c>
      <c r="AS55" s="185">
        <f t="shared" si="155"/>
        <v>0</v>
      </c>
      <c r="AT55" s="185">
        <f t="shared" si="155"/>
        <v>0</v>
      </c>
      <c r="AU55" s="185">
        <f t="shared" si="155"/>
        <v>0</v>
      </c>
      <c r="AV55" s="185">
        <f t="shared" si="155"/>
        <v>0</v>
      </c>
      <c r="AW55" s="185">
        <f t="shared" si="155"/>
        <v>0</v>
      </c>
      <c r="AX55" s="185">
        <f t="shared" si="155"/>
        <v>0</v>
      </c>
      <c r="AY55" s="185">
        <f t="shared" si="155"/>
        <v>0</v>
      </c>
      <c r="AZ55" s="185">
        <f t="shared" si="155"/>
        <v>0</v>
      </c>
      <c r="BA55" s="185">
        <f t="shared" si="155"/>
        <v>0</v>
      </c>
      <c r="BB55" s="186">
        <f>BA55</f>
        <v>0</v>
      </c>
      <c r="BC55" s="185">
        <f aca="true" t="shared" si="156" ref="BC55:BN55">BB55+BC50-BC53+BC51</f>
        <v>0</v>
      </c>
      <c r="BD55" s="185">
        <f t="shared" si="156"/>
        <v>0</v>
      </c>
      <c r="BE55" s="185">
        <f t="shared" si="156"/>
        <v>0</v>
      </c>
      <c r="BF55" s="185">
        <f t="shared" si="156"/>
        <v>0</v>
      </c>
      <c r="BG55" s="185">
        <f t="shared" si="156"/>
        <v>0</v>
      </c>
      <c r="BH55" s="185">
        <f t="shared" si="156"/>
        <v>0</v>
      </c>
      <c r="BI55" s="185">
        <f t="shared" si="156"/>
        <v>0</v>
      </c>
      <c r="BJ55" s="185">
        <f t="shared" si="156"/>
        <v>0</v>
      </c>
      <c r="BK55" s="185">
        <f t="shared" si="156"/>
        <v>0</v>
      </c>
      <c r="BL55" s="185">
        <f t="shared" si="156"/>
        <v>0</v>
      </c>
      <c r="BM55" s="185">
        <f t="shared" si="156"/>
        <v>0</v>
      </c>
      <c r="BN55" s="185">
        <f t="shared" si="156"/>
        <v>0</v>
      </c>
      <c r="BO55" s="186">
        <f>BN55</f>
        <v>0</v>
      </c>
      <c r="BP55" s="185">
        <f aca="true" t="shared" si="157" ref="BP55:CA55">BO55+BP50-BP53+BP51</f>
        <v>0</v>
      </c>
      <c r="BQ55" s="185">
        <f t="shared" si="157"/>
        <v>0</v>
      </c>
      <c r="BR55" s="185">
        <f t="shared" si="157"/>
        <v>0</v>
      </c>
      <c r="BS55" s="185">
        <f t="shared" si="157"/>
        <v>0</v>
      </c>
      <c r="BT55" s="185">
        <f t="shared" si="157"/>
        <v>0</v>
      </c>
      <c r="BU55" s="185">
        <f t="shared" si="157"/>
        <v>0</v>
      </c>
      <c r="BV55" s="185">
        <f t="shared" si="157"/>
        <v>0</v>
      </c>
      <c r="BW55" s="185">
        <f t="shared" si="157"/>
        <v>0</v>
      </c>
      <c r="BX55" s="185">
        <f t="shared" si="157"/>
        <v>0</v>
      </c>
      <c r="BY55" s="185">
        <f t="shared" si="157"/>
        <v>0</v>
      </c>
      <c r="BZ55" s="185">
        <f t="shared" si="157"/>
        <v>0</v>
      </c>
      <c r="CA55" s="185">
        <f t="shared" si="157"/>
        <v>0</v>
      </c>
      <c r="CB55" s="186">
        <f>CA55</f>
        <v>0</v>
      </c>
      <c r="CC55" s="185">
        <f aca="true" t="shared" si="158" ref="CC55:CN55">CB55+CC50-CC53+CC51</f>
        <v>0</v>
      </c>
      <c r="CD55" s="185">
        <f t="shared" si="158"/>
        <v>0</v>
      </c>
      <c r="CE55" s="185">
        <f t="shared" si="158"/>
        <v>0</v>
      </c>
      <c r="CF55" s="185">
        <f t="shared" si="158"/>
        <v>0</v>
      </c>
      <c r="CG55" s="185">
        <f t="shared" si="158"/>
        <v>0</v>
      </c>
      <c r="CH55" s="185">
        <f t="shared" si="158"/>
        <v>0</v>
      </c>
      <c r="CI55" s="185">
        <f t="shared" si="158"/>
        <v>0</v>
      </c>
      <c r="CJ55" s="185">
        <f t="shared" si="158"/>
        <v>0</v>
      </c>
      <c r="CK55" s="185">
        <f t="shared" si="158"/>
        <v>0</v>
      </c>
      <c r="CL55" s="185">
        <f t="shared" si="158"/>
        <v>0</v>
      </c>
      <c r="CM55" s="185">
        <f t="shared" si="158"/>
        <v>0</v>
      </c>
      <c r="CN55" s="185">
        <f t="shared" si="158"/>
        <v>0</v>
      </c>
      <c r="CO55" s="186">
        <f>CN55</f>
        <v>0</v>
      </c>
      <c r="CP55" s="185">
        <f aca="true" t="shared" si="159" ref="CP55:DA55">CO55+CP50-CP53+CP51</f>
        <v>0</v>
      </c>
      <c r="CQ55" s="185">
        <f t="shared" si="159"/>
        <v>0</v>
      </c>
      <c r="CR55" s="185">
        <f t="shared" si="159"/>
        <v>0</v>
      </c>
      <c r="CS55" s="185">
        <f t="shared" si="159"/>
        <v>0</v>
      </c>
      <c r="CT55" s="185">
        <f t="shared" si="159"/>
        <v>0</v>
      </c>
      <c r="CU55" s="185">
        <f t="shared" si="159"/>
        <v>0</v>
      </c>
      <c r="CV55" s="185">
        <f t="shared" si="159"/>
        <v>0</v>
      </c>
      <c r="CW55" s="185">
        <f t="shared" si="159"/>
        <v>0</v>
      </c>
      <c r="CX55" s="185">
        <f t="shared" si="159"/>
        <v>0</v>
      </c>
      <c r="CY55" s="185">
        <f t="shared" si="159"/>
        <v>0</v>
      </c>
      <c r="CZ55" s="185">
        <f t="shared" si="159"/>
        <v>0</v>
      </c>
      <c r="DA55" s="185">
        <f t="shared" si="159"/>
        <v>0</v>
      </c>
      <c r="DB55" s="186">
        <f>DA55</f>
        <v>0</v>
      </c>
      <c r="DC55" s="185">
        <f aca="true" t="shared" si="160" ref="DC55:DN55">DB55+DC50-DC53+DC51</f>
        <v>0</v>
      </c>
      <c r="DD55" s="185">
        <f t="shared" si="160"/>
        <v>0</v>
      </c>
      <c r="DE55" s="185">
        <f t="shared" si="160"/>
        <v>0</v>
      </c>
      <c r="DF55" s="185">
        <f t="shared" si="160"/>
        <v>0</v>
      </c>
      <c r="DG55" s="185">
        <f t="shared" si="160"/>
        <v>0</v>
      </c>
      <c r="DH55" s="185">
        <f t="shared" si="160"/>
        <v>0</v>
      </c>
      <c r="DI55" s="185">
        <f t="shared" si="160"/>
        <v>0</v>
      </c>
      <c r="DJ55" s="185">
        <f t="shared" si="160"/>
        <v>0</v>
      </c>
      <c r="DK55" s="185">
        <f t="shared" si="160"/>
        <v>0</v>
      </c>
      <c r="DL55" s="185">
        <f t="shared" si="160"/>
        <v>0</v>
      </c>
      <c r="DM55" s="185">
        <f t="shared" si="160"/>
        <v>0</v>
      </c>
      <c r="DN55" s="185">
        <f t="shared" si="160"/>
        <v>0</v>
      </c>
      <c r="DO55" s="186">
        <f>DN55</f>
        <v>0</v>
      </c>
      <c r="DP55" s="185">
        <f aca="true" t="shared" si="161" ref="DP55:EA55">DO55+DP50-DP53+DP51</f>
        <v>0</v>
      </c>
      <c r="DQ55" s="185">
        <f t="shared" si="161"/>
        <v>0</v>
      </c>
      <c r="DR55" s="185">
        <f t="shared" si="161"/>
        <v>0</v>
      </c>
      <c r="DS55" s="185">
        <f t="shared" si="161"/>
        <v>0</v>
      </c>
      <c r="DT55" s="185">
        <f t="shared" si="161"/>
        <v>0</v>
      </c>
      <c r="DU55" s="185">
        <f t="shared" si="161"/>
        <v>0</v>
      </c>
      <c r="DV55" s="185">
        <f t="shared" si="161"/>
        <v>0</v>
      </c>
      <c r="DW55" s="185">
        <f t="shared" si="161"/>
        <v>0</v>
      </c>
      <c r="DX55" s="185">
        <f t="shared" si="161"/>
        <v>0</v>
      </c>
      <c r="DY55" s="185">
        <f t="shared" si="161"/>
        <v>0</v>
      </c>
      <c r="DZ55" s="185">
        <f t="shared" si="161"/>
        <v>0</v>
      </c>
      <c r="EA55" s="185">
        <f t="shared" si="161"/>
        <v>0</v>
      </c>
      <c r="EB55" s="186">
        <f>EA55</f>
        <v>0</v>
      </c>
      <c r="EC55" s="185">
        <f aca="true" t="shared" si="162" ref="EC55:EN55">EB55+EC50-EC53+EC51</f>
        <v>0</v>
      </c>
      <c r="ED55" s="185">
        <f t="shared" si="162"/>
        <v>0</v>
      </c>
      <c r="EE55" s="185">
        <f t="shared" si="162"/>
        <v>0</v>
      </c>
      <c r="EF55" s="185">
        <f t="shared" si="162"/>
        <v>0</v>
      </c>
      <c r="EG55" s="185">
        <f t="shared" si="162"/>
        <v>0</v>
      </c>
      <c r="EH55" s="185">
        <f t="shared" si="162"/>
        <v>0</v>
      </c>
      <c r="EI55" s="185">
        <f t="shared" si="162"/>
        <v>0</v>
      </c>
      <c r="EJ55" s="185">
        <f t="shared" si="162"/>
        <v>0</v>
      </c>
      <c r="EK55" s="185">
        <f t="shared" si="162"/>
        <v>0</v>
      </c>
      <c r="EL55" s="185">
        <f t="shared" si="162"/>
        <v>0</v>
      </c>
      <c r="EM55" s="185">
        <f t="shared" si="162"/>
        <v>0</v>
      </c>
      <c r="EN55" s="185">
        <f t="shared" si="162"/>
        <v>0</v>
      </c>
      <c r="EO55" s="186">
        <f>EN55</f>
        <v>0</v>
      </c>
    </row>
    <row r="56" spans="1:145" ht="12.75" hidden="1">
      <c r="A56" s="171" t="s">
        <v>73</v>
      </c>
      <c r="B56" s="250">
        <f>B41</f>
        <v>48</v>
      </c>
      <c r="CP56" s="174"/>
      <c r="DB56" s="171"/>
      <c r="DO56" s="171"/>
      <c r="EB56" s="171"/>
      <c r="EO56" s="171"/>
    </row>
    <row r="57" spans="1:145" ht="12.75" hidden="1">
      <c r="A57" s="268" t="s">
        <v>232</v>
      </c>
      <c r="B57" s="269">
        <f>$S$55*$B48/12/((1-(1+$B48/12)^-$B56))</f>
        <v>0</v>
      </c>
      <c r="DB57" s="171"/>
      <c r="DO57" s="171"/>
      <c r="EB57" s="171"/>
      <c r="EO57" s="171"/>
    </row>
    <row r="58" ht="12.75" hidden="1"/>
    <row r="59" ht="12.75" hidden="1">
      <c r="A59" s="192">
        <f>B52-B51-B54</f>
        <v>0</v>
      </c>
    </row>
    <row r="60" ht="12.75" hidden="1">
      <c r="A60" s="192">
        <f>B50+B51-B53-B55</f>
        <v>0</v>
      </c>
    </row>
  </sheetData>
  <sheetProtection/>
  <mergeCells count="44">
    <mergeCell ref="BP48:CB48"/>
    <mergeCell ref="CC48:CO48"/>
    <mergeCell ref="CP48:DB48"/>
    <mergeCell ref="DC48:DO48"/>
    <mergeCell ref="DP48:EB48"/>
    <mergeCell ref="EC48:EO48"/>
    <mergeCell ref="CC33:CO33"/>
    <mergeCell ref="CP33:DB33"/>
    <mergeCell ref="DC33:DO33"/>
    <mergeCell ref="DP33:EB33"/>
    <mergeCell ref="EC33:EO33"/>
    <mergeCell ref="C48:O48"/>
    <mergeCell ref="P48:AB48"/>
    <mergeCell ref="AC48:AO48"/>
    <mergeCell ref="AP48:BB48"/>
    <mergeCell ref="BC48:BO48"/>
    <mergeCell ref="C33:O33"/>
    <mergeCell ref="P33:AB33"/>
    <mergeCell ref="AC33:AO33"/>
    <mergeCell ref="AP33:BB33"/>
    <mergeCell ref="BC33:BO33"/>
    <mergeCell ref="BP33:CB33"/>
    <mergeCell ref="BP18:CB18"/>
    <mergeCell ref="CC18:CO18"/>
    <mergeCell ref="CP18:DB18"/>
    <mergeCell ref="DC18:DO18"/>
    <mergeCell ref="DP18:EB18"/>
    <mergeCell ref="EC18:EO18"/>
    <mergeCell ref="CC5:CO5"/>
    <mergeCell ref="CP5:DB5"/>
    <mergeCell ref="DC5:DO5"/>
    <mergeCell ref="DP5:EB5"/>
    <mergeCell ref="EC5:EO5"/>
    <mergeCell ref="C18:O18"/>
    <mergeCell ref="P18:AB18"/>
    <mergeCell ref="AC18:AO18"/>
    <mergeCell ref="AP18:BB18"/>
    <mergeCell ref="BC18:BO18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511811023622047" bottom="0.31496062992125984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showGridLines="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22" sqref="J22"/>
    </sheetView>
  </sheetViews>
  <sheetFormatPr defaultColWidth="9.00390625" defaultRowHeight="12.75" outlineLevelRow="1" outlineLevelCol="1"/>
  <cols>
    <col min="1" max="1" width="30.75390625" style="73" customWidth="1"/>
    <col min="2" max="3" width="7.875" style="73" customWidth="1"/>
    <col min="4" max="4" width="8.25390625" style="73" customWidth="1"/>
    <col min="5" max="6" width="6.75390625" style="73" customWidth="1" outlineLevel="1"/>
    <col min="7" max="15" width="5.375" style="73" customWidth="1" outlineLevel="1"/>
    <col min="16" max="16" width="8.875" style="73" customWidth="1" outlineLevel="1"/>
    <col min="17" max="17" width="9.125" style="73" customWidth="1"/>
    <col min="18" max="18" width="8.875" style="73" customWidth="1"/>
    <col min="19" max="19" width="16.00390625" style="73" customWidth="1"/>
    <col min="20" max="20" width="12.875" style="73" bestFit="1" customWidth="1"/>
    <col min="21" max="16384" width="9.125" style="73" customWidth="1"/>
  </cols>
  <sheetData>
    <row r="1" spans="1:19" ht="12.75">
      <c r="A1" s="59" t="s">
        <v>247</v>
      </c>
      <c r="B1" s="167"/>
      <c r="Q1" s="142"/>
      <c r="R1" s="193"/>
      <c r="S1" s="165"/>
    </row>
    <row r="2" spans="1:19" ht="17.25" customHeight="1">
      <c r="A2"/>
      <c r="B2" s="167"/>
      <c r="C2"/>
      <c r="D2"/>
      <c r="E2"/>
      <c r="F2"/>
      <c r="G2"/>
      <c r="H2"/>
      <c r="I2"/>
      <c r="J2"/>
      <c r="K2"/>
      <c r="L2"/>
      <c r="M2"/>
      <c r="N2"/>
      <c r="O2"/>
      <c r="P2"/>
      <c r="Q2" s="142" t="s">
        <v>54</v>
      </c>
      <c r="R2" s="193"/>
      <c r="S2" s="194"/>
    </row>
    <row r="3" spans="1:17" ht="12.75">
      <c r="A3" s="374" t="s">
        <v>172</v>
      </c>
      <c r="B3" s="375" t="s">
        <v>154</v>
      </c>
      <c r="C3" s="375" t="s">
        <v>155</v>
      </c>
      <c r="D3" s="376" t="s">
        <v>153</v>
      </c>
      <c r="E3" s="371">
        <v>2019</v>
      </c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/>
      <c r="Q3" s="253" t="s">
        <v>0</v>
      </c>
    </row>
    <row r="4" spans="1:17" ht="12.75">
      <c r="A4" s="374"/>
      <c r="B4" s="375"/>
      <c r="C4" s="375"/>
      <c r="D4" s="376"/>
      <c r="E4" s="255">
        <v>1</v>
      </c>
      <c r="F4" s="255">
        <v>2</v>
      </c>
      <c r="G4" s="255">
        <v>3</v>
      </c>
      <c r="H4" s="255">
        <v>4</v>
      </c>
      <c r="I4" s="255">
        <v>5</v>
      </c>
      <c r="J4" s="255">
        <v>6</v>
      </c>
      <c r="K4" s="255">
        <v>7</v>
      </c>
      <c r="L4" s="255">
        <v>8</v>
      </c>
      <c r="M4" s="255">
        <v>9</v>
      </c>
      <c r="N4" s="255">
        <v>10</v>
      </c>
      <c r="O4" s="255">
        <v>11</v>
      </c>
      <c r="P4" s="255">
        <v>12</v>
      </c>
      <c r="Q4" s="254">
        <v>2015</v>
      </c>
    </row>
    <row r="5" spans="1:19" s="59" customFormat="1" ht="12.75">
      <c r="A5" s="195" t="s">
        <v>299</v>
      </c>
      <c r="B5" s="196"/>
      <c r="C5" s="196"/>
      <c r="D5" s="139">
        <f aca="true" t="shared" si="0" ref="D5:Q5">SUM(D6:D6)</f>
        <v>64000</v>
      </c>
      <c r="E5" s="139">
        <f t="shared" si="0"/>
        <v>0</v>
      </c>
      <c r="F5" s="139">
        <f t="shared" si="0"/>
        <v>0</v>
      </c>
      <c r="G5" s="139">
        <f t="shared" si="0"/>
        <v>0</v>
      </c>
      <c r="H5" s="139">
        <f t="shared" si="0"/>
        <v>0</v>
      </c>
      <c r="I5" s="139">
        <f t="shared" si="0"/>
        <v>0</v>
      </c>
      <c r="J5" s="139">
        <f t="shared" si="0"/>
        <v>0</v>
      </c>
      <c r="K5" s="139">
        <f t="shared" si="0"/>
        <v>0</v>
      </c>
      <c r="L5" s="139">
        <f t="shared" si="0"/>
        <v>0</v>
      </c>
      <c r="M5" s="139">
        <f t="shared" si="0"/>
        <v>0</v>
      </c>
      <c r="N5" s="139">
        <f t="shared" si="0"/>
        <v>0</v>
      </c>
      <c r="O5" s="139">
        <f t="shared" si="0"/>
        <v>0</v>
      </c>
      <c r="P5" s="139">
        <f t="shared" si="0"/>
        <v>64000</v>
      </c>
      <c r="Q5" s="139">
        <f t="shared" si="0"/>
        <v>64000</v>
      </c>
      <c r="R5" s="293"/>
      <c r="S5" s="73"/>
    </row>
    <row r="6" spans="1:17" ht="12.75" outlineLevel="1">
      <c r="A6" s="223" t="s">
        <v>292</v>
      </c>
      <c r="B6" s="281">
        <v>20</v>
      </c>
      <c r="C6" s="281">
        <v>3200</v>
      </c>
      <c r="D6" s="149">
        <f>B6*C6</f>
        <v>64000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>
        <f>D6</f>
        <v>64000</v>
      </c>
      <c r="Q6" s="150">
        <f>SUM(E6:P6)</f>
        <v>64000</v>
      </c>
    </row>
    <row r="7" spans="1:17" ht="12.75">
      <c r="A7" s="195" t="s">
        <v>216</v>
      </c>
      <c r="B7" s="196"/>
      <c r="C7" s="196"/>
      <c r="D7" s="139">
        <f>SUM(D8:D15)</f>
        <v>84800</v>
      </c>
      <c r="E7" s="139">
        <f aca="true" t="shared" si="1" ref="E7:Q7">SUM(E8:E15)</f>
        <v>0</v>
      </c>
      <c r="F7" s="139">
        <f t="shared" si="1"/>
        <v>0</v>
      </c>
      <c r="G7" s="139">
        <f t="shared" si="1"/>
        <v>0</v>
      </c>
      <c r="H7" s="139">
        <f t="shared" si="1"/>
        <v>0</v>
      </c>
      <c r="I7" s="139">
        <f t="shared" si="1"/>
        <v>0</v>
      </c>
      <c r="J7" s="139">
        <f t="shared" si="1"/>
        <v>0</v>
      </c>
      <c r="K7" s="139">
        <f t="shared" si="1"/>
        <v>0</v>
      </c>
      <c r="L7" s="139">
        <f t="shared" si="1"/>
        <v>0</v>
      </c>
      <c r="M7" s="139">
        <f t="shared" si="1"/>
        <v>0</v>
      </c>
      <c r="N7" s="139">
        <f t="shared" si="1"/>
        <v>0</v>
      </c>
      <c r="O7" s="139">
        <f t="shared" si="1"/>
        <v>0</v>
      </c>
      <c r="P7" s="139">
        <f t="shared" si="1"/>
        <v>84800</v>
      </c>
      <c r="Q7" s="139">
        <f t="shared" si="1"/>
        <v>84800</v>
      </c>
    </row>
    <row r="8" spans="1:18" ht="12.75" outlineLevel="1">
      <c r="A8" s="223" t="s">
        <v>295</v>
      </c>
      <c r="B8" s="281">
        <v>20</v>
      </c>
      <c r="C8" s="281">
        <v>500</v>
      </c>
      <c r="D8" s="149">
        <f>B8*C8</f>
        <v>10000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>
        <f>D8</f>
        <v>10000</v>
      </c>
      <c r="Q8" s="150">
        <f aca="true" t="shared" si="2" ref="Q8:Q15">SUM(E8:P8)</f>
        <v>10000</v>
      </c>
      <c r="R8" s="328" t="s">
        <v>297</v>
      </c>
    </row>
    <row r="9" spans="1:18" ht="12.75" outlineLevel="1">
      <c r="A9" s="223" t="s">
        <v>303</v>
      </c>
      <c r="B9" s="281">
        <v>20</v>
      </c>
      <c r="C9" s="281">
        <v>1000</v>
      </c>
      <c r="D9" s="149">
        <f>B9*C9</f>
        <v>20000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>
        <f aca="true" t="shared" si="3" ref="P9:P14">D9</f>
        <v>20000</v>
      </c>
      <c r="Q9" s="150">
        <f t="shared" si="2"/>
        <v>20000</v>
      </c>
      <c r="R9" s="328"/>
    </row>
    <row r="10" spans="1:17" ht="12.75" outlineLevel="1">
      <c r="A10" s="223" t="s">
        <v>304</v>
      </c>
      <c r="B10" s="281">
        <v>20</v>
      </c>
      <c r="C10" s="281">
        <v>300</v>
      </c>
      <c r="D10" s="149">
        <f aca="true" t="shared" si="4" ref="D10:D17">B10*C10</f>
        <v>6000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>
        <f t="shared" si="3"/>
        <v>6000</v>
      </c>
      <c r="Q10" s="150">
        <f t="shared" si="2"/>
        <v>6000</v>
      </c>
    </row>
    <row r="11" spans="1:18" ht="12.75" outlineLevel="1">
      <c r="A11" s="223" t="s">
        <v>308</v>
      </c>
      <c r="B11" s="281">
        <v>20</v>
      </c>
      <c r="C11" s="281">
        <v>340</v>
      </c>
      <c r="D11" s="149">
        <f t="shared" si="4"/>
        <v>6800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>
        <f t="shared" si="3"/>
        <v>6800</v>
      </c>
      <c r="Q11" s="150">
        <f t="shared" si="2"/>
        <v>6800</v>
      </c>
      <c r="R11" s="328" t="s">
        <v>307</v>
      </c>
    </row>
    <row r="12" spans="1:17" ht="12.75" outlineLevel="1">
      <c r="A12" s="223" t="s">
        <v>305</v>
      </c>
      <c r="B12" s="281">
        <v>20</v>
      </c>
      <c r="C12" s="281">
        <v>800</v>
      </c>
      <c r="D12" s="149">
        <f t="shared" si="4"/>
        <v>16000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f t="shared" si="3"/>
        <v>16000</v>
      </c>
      <c r="Q12" s="150">
        <f t="shared" si="2"/>
        <v>16000</v>
      </c>
    </row>
    <row r="13" spans="1:17" ht="12.75" outlineLevel="1">
      <c r="A13" s="223" t="s">
        <v>293</v>
      </c>
      <c r="B13" s="281">
        <v>20</v>
      </c>
      <c r="C13" s="281">
        <v>400</v>
      </c>
      <c r="D13" s="149">
        <f t="shared" si="4"/>
        <v>8000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>
        <f t="shared" si="3"/>
        <v>8000</v>
      </c>
      <c r="Q13" s="150">
        <f t="shared" si="2"/>
        <v>8000</v>
      </c>
    </row>
    <row r="14" spans="1:17" ht="12.75" outlineLevel="1">
      <c r="A14" s="223" t="s">
        <v>298</v>
      </c>
      <c r="B14" s="281">
        <v>20</v>
      </c>
      <c r="C14" s="281">
        <v>300</v>
      </c>
      <c r="D14" s="149">
        <f t="shared" si="4"/>
        <v>6000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>
        <f t="shared" si="3"/>
        <v>6000</v>
      </c>
      <c r="Q14" s="150">
        <f t="shared" si="2"/>
        <v>6000</v>
      </c>
    </row>
    <row r="15" spans="1:17" ht="12.75" outlineLevel="1">
      <c r="A15" s="223" t="s">
        <v>306</v>
      </c>
      <c r="B15" s="281">
        <v>20</v>
      </c>
      <c r="C15" s="281">
        <v>600</v>
      </c>
      <c r="D15" s="149">
        <f>B15*C15</f>
        <v>12000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>
        <f>D15</f>
        <v>12000</v>
      </c>
      <c r="Q15" s="150">
        <f t="shared" si="2"/>
        <v>12000</v>
      </c>
    </row>
    <row r="16" spans="1:17" ht="12.75" hidden="1">
      <c r="A16" s="195" t="s">
        <v>215</v>
      </c>
      <c r="B16" s="196"/>
      <c r="C16" s="196"/>
      <c r="D16" s="139">
        <f aca="true" t="shared" si="5" ref="D16:Q16">SUM(D17:D17)</f>
        <v>0</v>
      </c>
      <c r="E16" s="139">
        <f t="shared" si="5"/>
        <v>0</v>
      </c>
      <c r="F16" s="139">
        <f t="shared" si="5"/>
        <v>0</v>
      </c>
      <c r="G16" s="139">
        <f t="shared" si="5"/>
        <v>0</v>
      </c>
      <c r="H16" s="139">
        <f t="shared" si="5"/>
        <v>0</v>
      </c>
      <c r="I16" s="139">
        <f t="shared" si="5"/>
        <v>0</v>
      </c>
      <c r="J16" s="139">
        <f t="shared" si="5"/>
        <v>0</v>
      </c>
      <c r="K16" s="139">
        <f t="shared" si="5"/>
        <v>0</v>
      </c>
      <c r="L16" s="139">
        <f t="shared" si="5"/>
        <v>0</v>
      </c>
      <c r="M16" s="139">
        <f t="shared" si="5"/>
        <v>0</v>
      </c>
      <c r="N16" s="139">
        <f t="shared" si="5"/>
        <v>0</v>
      </c>
      <c r="O16" s="139">
        <f t="shared" si="5"/>
        <v>0</v>
      </c>
      <c r="P16" s="139">
        <f t="shared" si="5"/>
        <v>0</v>
      </c>
      <c r="Q16" s="139">
        <f t="shared" si="5"/>
        <v>0</v>
      </c>
    </row>
    <row r="17" spans="1:17" s="143" customFormat="1" ht="12.75" hidden="1" outlineLevel="1">
      <c r="A17" s="234"/>
      <c r="B17" s="242"/>
      <c r="C17" s="242"/>
      <c r="D17" s="149">
        <f t="shared" si="4"/>
        <v>0</v>
      </c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</row>
    <row r="18" spans="1:17" ht="12.75" collapsed="1">
      <c r="A18" s="136" t="s">
        <v>0</v>
      </c>
      <c r="B18" s="163"/>
      <c r="C18" s="163"/>
      <c r="D18" s="163">
        <f aca="true" t="shared" si="6" ref="D18:Q18">D7+D5</f>
        <v>148800</v>
      </c>
      <c r="E18" s="163">
        <f t="shared" si="6"/>
        <v>0</v>
      </c>
      <c r="F18" s="163">
        <f t="shared" si="6"/>
        <v>0</v>
      </c>
      <c r="G18" s="163">
        <f t="shared" si="6"/>
        <v>0</v>
      </c>
      <c r="H18" s="163">
        <f t="shared" si="6"/>
        <v>0</v>
      </c>
      <c r="I18" s="163">
        <f t="shared" si="6"/>
        <v>0</v>
      </c>
      <c r="J18" s="163">
        <f t="shared" si="6"/>
        <v>0</v>
      </c>
      <c r="K18" s="163">
        <f t="shared" si="6"/>
        <v>0</v>
      </c>
      <c r="L18" s="163">
        <f t="shared" si="6"/>
        <v>0</v>
      </c>
      <c r="M18" s="163">
        <f t="shared" si="6"/>
        <v>0</v>
      </c>
      <c r="N18" s="163">
        <f t="shared" si="6"/>
        <v>0</v>
      </c>
      <c r="O18" s="163">
        <f t="shared" si="6"/>
        <v>0</v>
      </c>
      <c r="P18" s="163">
        <f t="shared" si="6"/>
        <v>148800</v>
      </c>
      <c r="Q18" s="163">
        <f t="shared" si="6"/>
        <v>148800</v>
      </c>
    </row>
    <row r="19" ht="12.75">
      <c r="D19" s="193"/>
    </row>
    <row r="20" spans="2:4" ht="12.75">
      <c r="B20" s="142" t="s">
        <v>93</v>
      </c>
      <c r="C20" s="193" t="s">
        <v>39</v>
      </c>
      <c r="D20" s="197" t="s">
        <v>93</v>
      </c>
    </row>
    <row r="21" spans="1:12" ht="12.75">
      <c r="A21" s="73" t="str">
        <f>A5</f>
        <v>Здания и сооружения</v>
      </c>
      <c r="B21" s="193">
        <f>Q5</f>
        <v>64000</v>
      </c>
      <c r="C21" s="193">
        <f>B21/Исх!$C$21</f>
        <v>64000</v>
      </c>
      <c r="D21" s="164">
        <f>B21/Исх!$C$5</f>
        <v>164.94845360824743</v>
      </c>
      <c r="L21" s="167"/>
    </row>
    <row r="22" spans="1:12" ht="12.75">
      <c r="A22" s="73" t="str">
        <f>A7</f>
        <v>Прочие ОС</v>
      </c>
      <c r="B22" s="193">
        <f>D7</f>
        <v>84800</v>
      </c>
      <c r="C22" s="193">
        <f>B22/Исх!$C$21</f>
        <v>84800</v>
      </c>
      <c r="D22" s="164">
        <f>B22/Исх!$C$5</f>
        <v>218.55670103092783</v>
      </c>
      <c r="L22" s="167"/>
    </row>
    <row r="23" spans="1:12" ht="12.75" hidden="1">
      <c r="A23" s="73" t="s">
        <v>176</v>
      </c>
      <c r="B23" s="193"/>
      <c r="C23" s="193">
        <f>B23/Исх!$C$21</f>
        <v>0</v>
      </c>
      <c r="D23" s="164">
        <f>B23/Исх!$C$5</f>
        <v>0</v>
      </c>
      <c r="L23" s="167"/>
    </row>
    <row r="24" spans="1:4" ht="12.75">
      <c r="A24" s="59" t="s">
        <v>0</v>
      </c>
      <c r="B24" s="198">
        <f>SUM(B22:B23)</f>
        <v>84800</v>
      </c>
      <c r="C24" s="198">
        <f>SUM(C22:C23)</f>
        <v>84800</v>
      </c>
      <c r="D24" s="198">
        <f>SUM(D22:D23)</f>
        <v>218.55670103092783</v>
      </c>
    </row>
    <row r="25" ht="7.5" customHeight="1"/>
  </sheetData>
  <sheetProtection/>
  <mergeCells count="5">
    <mergeCell ref="E3:P3"/>
    <mergeCell ref="A3:A4"/>
    <mergeCell ref="B3:B4"/>
    <mergeCell ref="C3:C4"/>
    <mergeCell ref="D3:D4"/>
  </mergeCells>
  <hyperlinks>
    <hyperlink ref="R8" r:id="rId1" display="http://www.mechta.kz/catalog/111/"/>
    <hyperlink ref="R11" r:id="rId2" display="http://www.mechta.kz/catalog/264/20376/"/>
  </hyperlinks>
  <printOptions/>
  <pageMargins left="0.48" right="0.2362204724409449" top="0.69" bottom="0.2755905511811024" header="0.52" footer="0.1968503937007874"/>
  <pageSetup horizontalDpi="600" verticalDpi="600" orientation="landscape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tabSelected="1" zoomScalePageLayoutView="0" workbookViewId="0" topLeftCell="A1">
      <pane ySplit="3" topLeftCell="A4" activePane="bottomLeft" state="frozen"/>
      <selection pane="topLeft" activeCell="A34" sqref="A34"/>
      <selection pane="bottomLeft" activeCell="D3" sqref="D3"/>
    </sheetView>
  </sheetViews>
  <sheetFormatPr defaultColWidth="9.00390625" defaultRowHeight="12.75"/>
  <cols>
    <col min="1" max="1" width="38.625" style="73" customWidth="1"/>
    <col min="2" max="2" width="10.00390625" style="73" hidden="1" customWidth="1"/>
    <col min="3" max="16384" width="9.125" style="73" customWidth="1"/>
  </cols>
  <sheetData>
    <row r="1" spans="1:5" ht="12.75">
      <c r="A1" s="59" t="s">
        <v>69</v>
      </c>
      <c r="B1" s="59"/>
      <c r="C1" s="59"/>
      <c r="D1" s="59"/>
      <c r="E1" s="59"/>
    </row>
    <row r="2" spans="1:7" ht="12.75">
      <c r="A2" s="199"/>
      <c r="B2" s="199"/>
      <c r="C2" s="199"/>
      <c r="D2" s="199"/>
      <c r="G2" s="142" t="str">
        <f>Исх!C12</f>
        <v>$ USD</v>
      </c>
    </row>
    <row r="3" spans="1:7" ht="12.75">
      <c r="A3" s="208" t="s">
        <v>8</v>
      </c>
      <c r="B3" s="221">
        <v>2015</v>
      </c>
      <c r="C3" s="221">
        <v>2019</v>
      </c>
      <c r="D3" s="221">
        <f>C3+1</f>
        <v>2020</v>
      </c>
      <c r="E3" s="221">
        <f>D3+1</f>
        <v>2021</v>
      </c>
      <c r="F3" s="221">
        <f>E3+1</f>
        <v>2022</v>
      </c>
      <c r="G3" s="221">
        <f>F3+1</f>
        <v>2023</v>
      </c>
    </row>
    <row r="4" spans="1:7" ht="12.75">
      <c r="A4" s="200" t="s">
        <v>107</v>
      </c>
      <c r="B4" s="201">
        <f>'2-ф2'!P5</f>
        <v>0</v>
      </c>
      <c r="C4" s="201">
        <f>'2-ф2'!AC5</f>
        <v>128871</v>
      </c>
      <c r="D4" s="201">
        <f>'2-ф2'!AD5</f>
        <v>1468296</v>
      </c>
      <c r="E4" s="201">
        <f>'2-ф2'!AE5</f>
        <v>1486296</v>
      </c>
      <c r="F4" s="201">
        <f>'2-ф2'!AF5</f>
        <v>1522296</v>
      </c>
      <c r="G4" s="201">
        <f>'2-ф2'!AG5</f>
        <v>1567296</v>
      </c>
    </row>
    <row r="5" spans="1:7" ht="12.75">
      <c r="A5" s="200" t="s">
        <v>85</v>
      </c>
      <c r="B5" s="202">
        <f aca="true" t="shared" si="0" ref="B5:G5">B4-B6</f>
        <v>0</v>
      </c>
      <c r="C5" s="202">
        <f t="shared" si="0"/>
        <v>-281038.13600000006</v>
      </c>
      <c r="D5" s="202">
        <f t="shared" si="0"/>
        <v>1039264.3640000001</v>
      </c>
      <c r="E5" s="202">
        <f t="shared" si="0"/>
        <v>1094764.364</v>
      </c>
      <c r="F5" s="202">
        <f t="shared" si="0"/>
        <v>1168264.364</v>
      </c>
      <c r="G5" s="202">
        <f t="shared" si="0"/>
        <v>1250764.364</v>
      </c>
    </row>
    <row r="6" spans="1:7" ht="12.75">
      <c r="A6" s="200" t="s">
        <v>109</v>
      </c>
      <c r="B6" s="203">
        <f aca="true" t="shared" si="1" ref="B6:G6">SUM(B7:B8)</f>
        <v>0</v>
      </c>
      <c r="C6" s="203">
        <f t="shared" si="1"/>
        <v>409909.13600000006</v>
      </c>
      <c r="D6" s="203">
        <f t="shared" si="1"/>
        <v>429031.636</v>
      </c>
      <c r="E6" s="203">
        <f t="shared" si="1"/>
        <v>391531.636</v>
      </c>
      <c r="F6" s="203">
        <f t="shared" si="1"/>
        <v>354031.636</v>
      </c>
      <c r="G6" s="203">
        <f t="shared" si="1"/>
        <v>316531.636</v>
      </c>
    </row>
    <row r="7" spans="1:7" ht="12.75">
      <c r="A7" s="200" t="s">
        <v>86</v>
      </c>
      <c r="B7" s="201">
        <f>'2-ф2'!P15+'2-ф2'!P14+'2-ф2'!P13</f>
        <v>0</v>
      </c>
      <c r="C7" s="201">
        <f>'2-ф2'!AC15+'2-ф2'!AC14+'2-ф2'!AC13</f>
        <v>409909.13600000006</v>
      </c>
      <c r="D7" s="201">
        <f>'2-ф2'!AD15+'2-ф2'!AD14+'2-ф2'!AD13</f>
        <v>429031.636</v>
      </c>
      <c r="E7" s="201">
        <f>'2-ф2'!AE15+'2-ф2'!AE14+'2-ф2'!AE13</f>
        <v>391531.636</v>
      </c>
      <c r="F7" s="201">
        <f>'2-ф2'!AF15+'2-ф2'!AF14+'2-ф2'!AF13</f>
        <v>354031.636</v>
      </c>
      <c r="G7" s="201">
        <f>'2-ф2'!AG15+'2-ф2'!AG14+'2-ф2'!AG13</f>
        <v>316531.636</v>
      </c>
    </row>
    <row r="8" spans="1:7" ht="12.75">
      <c r="A8" s="200" t="s">
        <v>87</v>
      </c>
      <c r="B8" s="201">
        <f>'2-ф2'!P8</f>
        <v>0</v>
      </c>
      <c r="C8" s="201">
        <f>'2-ф2'!AC8</f>
        <v>0</v>
      </c>
      <c r="D8" s="201">
        <f>'2-ф2'!AD8</f>
        <v>0</v>
      </c>
      <c r="E8" s="201">
        <f>'2-ф2'!AE8</f>
        <v>0</v>
      </c>
      <c r="F8" s="201">
        <f>'2-ф2'!AF8</f>
        <v>0</v>
      </c>
      <c r="G8" s="201">
        <f>'2-ф2'!AG8</f>
        <v>0</v>
      </c>
    </row>
    <row r="9" spans="1:7" ht="12.75">
      <c r="A9" s="200" t="s">
        <v>88</v>
      </c>
      <c r="B9" s="203">
        <f aca="true" t="shared" si="2" ref="B9:G9">B4-B8</f>
        <v>0</v>
      </c>
      <c r="C9" s="203">
        <f t="shared" si="2"/>
        <v>128871</v>
      </c>
      <c r="D9" s="203">
        <f t="shared" si="2"/>
        <v>1468296</v>
      </c>
      <c r="E9" s="203">
        <f t="shared" si="2"/>
        <v>1486296</v>
      </c>
      <c r="F9" s="203">
        <f t="shared" si="2"/>
        <v>1522296</v>
      </c>
      <c r="G9" s="203">
        <f t="shared" si="2"/>
        <v>1567296</v>
      </c>
    </row>
    <row r="10" spans="1:7" ht="12.75">
      <c r="A10" s="200" t="s">
        <v>70</v>
      </c>
      <c r="B10" s="204" t="e">
        <f aca="true" t="shared" si="3" ref="B10:G10">B9/B4</f>
        <v>#DIV/0!</v>
      </c>
      <c r="C10" s="204">
        <f t="shared" si="3"/>
        <v>1</v>
      </c>
      <c r="D10" s="204">
        <f t="shared" si="3"/>
        <v>1</v>
      </c>
      <c r="E10" s="204">
        <f t="shared" si="3"/>
        <v>1</v>
      </c>
      <c r="F10" s="204">
        <f t="shared" si="3"/>
        <v>1</v>
      </c>
      <c r="G10" s="204">
        <f t="shared" si="3"/>
        <v>1</v>
      </c>
    </row>
    <row r="11" spans="1:7" ht="12.75">
      <c r="A11" s="200" t="s">
        <v>89</v>
      </c>
      <c r="B11" s="203" t="e">
        <f aca="true" t="shared" si="4" ref="B11:G11">B7/B10</f>
        <v>#DIV/0!</v>
      </c>
      <c r="C11" s="203">
        <f t="shared" si="4"/>
        <v>409909.13600000006</v>
      </c>
      <c r="D11" s="203">
        <f t="shared" si="4"/>
        <v>429031.636</v>
      </c>
      <c r="E11" s="203">
        <f t="shared" si="4"/>
        <v>391531.636</v>
      </c>
      <c r="F11" s="203">
        <f t="shared" si="4"/>
        <v>354031.636</v>
      </c>
      <c r="G11" s="203">
        <f t="shared" si="4"/>
        <v>316531.636</v>
      </c>
    </row>
    <row r="12" spans="1:7" ht="25.5">
      <c r="A12" s="205" t="s">
        <v>71</v>
      </c>
      <c r="B12" s="206" t="e">
        <f aca="true" t="shared" si="5" ref="B12:G12">(B4-B11)/B4</f>
        <v>#DIV/0!</v>
      </c>
      <c r="C12" s="206">
        <f t="shared" si="5"/>
        <v>-2.180770972522911</v>
      </c>
      <c r="D12" s="206">
        <f t="shared" si="5"/>
        <v>0.7078030342655705</v>
      </c>
      <c r="E12" s="206">
        <f t="shared" si="5"/>
        <v>0.7365722332563636</v>
      </c>
      <c r="F12" s="206">
        <f t="shared" si="5"/>
        <v>0.7674357444281533</v>
      </c>
      <c r="G12" s="206">
        <f t="shared" si="5"/>
        <v>0.7980396581118053</v>
      </c>
    </row>
    <row r="13" spans="1:7" ht="12.75">
      <c r="A13" s="200" t="s">
        <v>99</v>
      </c>
      <c r="B13" s="207" t="e">
        <f aca="true" t="shared" si="6" ref="B13:G13">100%-B12</f>
        <v>#DIV/0!</v>
      </c>
      <c r="C13" s="207">
        <f t="shared" si="6"/>
        <v>3.180770972522911</v>
      </c>
      <c r="D13" s="207">
        <f t="shared" si="6"/>
        <v>0.29219696573442955</v>
      </c>
      <c r="E13" s="207">
        <f t="shared" si="6"/>
        <v>0.26342776674363644</v>
      </c>
      <c r="F13" s="207">
        <f t="shared" si="6"/>
        <v>0.23256425557184668</v>
      </c>
      <c r="G13" s="207">
        <f t="shared" si="6"/>
        <v>0.20196034188819467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60"/>
  <sheetViews>
    <sheetView showGridLines="0" zoomScalePageLayoutView="0" workbookViewId="0" topLeftCell="A1">
      <pane ySplit="3" topLeftCell="A45" activePane="bottomLeft" state="frozen"/>
      <selection pane="topLeft" activeCell="A34" sqref="A34"/>
      <selection pane="bottomLeft" activeCell="L46" sqref="K46:L46"/>
    </sheetView>
  </sheetViews>
  <sheetFormatPr defaultColWidth="9.00390625" defaultRowHeight="12.75"/>
  <cols>
    <col min="1" max="1" width="47.00390625" style="69" customWidth="1"/>
    <col min="2" max="2" width="16.875" style="70" customWidth="1"/>
    <col min="3" max="3" width="12.75390625" style="68" customWidth="1"/>
    <col min="4" max="4" width="11.00390625" style="68" customWidth="1"/>
    <col min="5" max="7" width="9.125" style="68" customWidth="1"/>
    <col min="8" max="16384" width="9.125" style="68" customWidth="1"/>
  </cols>
  <sheetData>
    <row r="1" ht="13.5" customHeight="1">
      <c r="A1" s="219" t="s">
        <v>235</v>
      </c>
    </row>
    <row r="2" spans="1:8" ht="12.75">
      <c r="A2" s="219" t="s">
        <v>314</v>
      </c>
      <c r="B2" s="297"/>
      <c r="D2" s="296"/>
      <c r="H2" s="296"/>
    </row>
    <row r="3" ht="13.5" customHeight="1"/>
    <row r="4" spans="1:2" ht="13.5" customHeight="1">
      <c r="A4" s="215" t="s">
        <v>315</v>
      </c>
      <c r="B4" s="321" t="s">
        <v>316</v>
      </c>
    </row>
    <row r="5" spans="1:2" ht="12.75">
      <c r="A5" s="211" t="s">
        <v>167</v>
      </c>
      <c r="B5" s="216">
        <f>'1-Ф3'!AM47</f>
        <v>0.12182713329265844</v>
      </c>
    </row>
    <row r="6" spans="1:2" ht="12.75">
      <c r="A6" s="211" t="s">
        <v>329</v>
      </c>
      <c r="B6" s="212">
        <f>'1-Ф3'!AM45</f>
        <v>74114.05843007425</v>
      </c>
    </row>
    <row r="7" spans="1:2" ht="12.75">
      <c r="A7" s="211" t="s">
        <v>236</v>
      </c>
      <c r="B7" s="218">
        <f>'1-Ф3'!AM46</f>
        <v>1.0581838101567678</v>
      </c>
    </row>
    <row r="8" spans="1:2" ht="12.75">
      <c r="A8" s="211" t="s">
        <v>168</v>
      </c>
      <c r="B8" s="218">
        <f>'1-Ф3'!B48</f>
        <v>2.605439364827893</v>
      </c>
    </row>
    <row r="9" spans="1:8" ht="12.75">
      <c r="A9" s="211" t="s">
        <v>169</v>
      </c>
      <c r="B9" s="218">
        <f>'1-Ф3'!B49</f>
        <v>4.115272430050522</v>
      </c>
      <c r="C9" s="299"/>
      <c r="H9" s="296"/>
    </row>
    <row r="11" spans="1:3" ht="13.5" customHeight="1">
      <c r="A11" s="215" t="s">
        <v>237</v>
      </c>
      <c r="B11" s="335" t="s">
        <v>330</v>
      </c>
      <c r="C11" s="252" t="s">
        <v>166</v>
      </c>
    </row>
    <row r="12" spans="1:3" ht="13.5" customHeight="1">
      <c r="A12" s="211" t="s">
        <v>165</v>
      </c>
      <c r="B12" s="212">
        <f>SUM(B13:B14)</f>
        <v>148800</v>
      </c>
      <c r="C12" s="216">
        <f>B12/$B$16</f>
        <v>0.0992</v>
      </c>
    </row>
    <row r="13" spans="1:3" s="325" customFormat="1" ht="13.5" customHeight="1">
      <c r="A13" s="322" t="s">
        <v>322</v>
      </c>
      <c r="B13" s="323">
        <f>Инв!B22</f>
        <v>84800</v>
      </c>
      <c r="C13" s="324">
        <f>B13/B16</f>
        <v>0.05653333333333333</v>
      </c>
    </row>
    <row r="14" spans="1:3" s="325" customFormat="1" ht="13.5" customHeight="1">
      <c r="A14" s="326" t="s">
        <v>294</v>
      </c>
      <c r="B14" s="323">
        <f>Инв!B21</f>
        <v>64000</v>
      </c>
      <c r="C14" s="324">
        <f>B14/B16</f>
        <v>0.042666666666666665</v>
      </c>
    </row>
    <row r="15" spans="1:3" ht="12.75">
      <c r="A15" s="211" t="s">
        <v>164</v>
      </c>
      <c r="B15" s="212">
        <f>'1-Ф3'!B27-'Осн.пок-ли'!B12</f>
        <v>1351200</v>
      </c>
      <c r="C15" s="216">
        <f>B15/$B$16</f>
        <v>0.9008</v>
      </c>
    </row>
    <row r="16" spans="1:3" ht="13.5" customHeight="1">
      <c r="A16" s="213" t="s">
        <v>84</v>
      </c>
      <c r="B16" s="214">
        <f>B12+B15</f>
        <v>1500000</v>
      </c>
      <c r="C16" s="217">
        <f>C12+C15</f>
        <v>1</v>
      </c>
    </row>
    <row r="17" spans="1:2" ht="13.5" customHeight="1">
      <c r="A17" s="71"/>
      <c r="B17" s="72"/>
    </row>
    <row r="18" spans="1:3" ht="13.5" customHeight="1">
      <c r="A18" s="215" t="s">
        <v>238</v>
      </c>
      <c r="B18" s="252" t="str">
        <f>B11</f>
        <v>Сумма, $ USD</v>
      </c>
      <c r="C18" s="252" t="str">
        <f>C11</f>
        <v>Доля</v>
      </c>
    </row>
    <row r="19" spans="1:4" ht="13.5" customHeight="1">
      <c r="A19" s="211" t="s">
        <v>321</v>
      </c>
      <c r="B19" s="212">
        <f>Исх!C25</f>
        <v>1500000</v>
      </c>
      <c r="C19" s="216">
        <f>B19/B25</f>
        <v>1</v>
      </c>
      <c r="D19" s="296"/>
    </row>
    <row r="20" spans="1:3" s="325" customFormat="1" ht="13.5" customHeight="1">
      <c r="A20" s="322" t="s">
        <v>317</v>
      </c>
      <c r="B20" s="323">
        <f>B15</f>
        <v>1351200</v>
      </c>
      <c r="C20" s="324">
        <f>B20/$B$25</f>
        <v>0.9008</v>
      </c>
    </row>
    <row r="21" spans="1:3" s="325" customFormat="1" ht="13.5" customHeight="1">
      <c r="A21" s="326" t="s">
        <v>323</v>
      </c>
      <c r="B21" s="323">
        <f>B13</f>
        <v>84800</v>
      </c>
      <c r="C21" s="324">
        <f>B21/$B$25</f>
        <v>0.05653333333333333</v>
      </c>
    </row>
    <row r="22" spans="1:3" s="325" customFormat="1" ht="13.5" customHeight="1">
      <c r="A22" s="326" t="s">
        <v>294</v>
      </c>
      <c r="B22" s="323">
        <f>B14</f>
        <v>64000</v>
      </c>
      <c r="C22" s="324">
        <f>B22/$B$25</f>
        <v>0.042666666666666665</v>
      </c>
    </row>
    <row r="23" spans="1:3" ht="13.5" customHeight="1" hidden="1">
      <c r="A23" s="211" t="s">
        <v>217</v>
      </c>
      <c r="B23" s="212">
        <f>'1-Ф3'!B26</f>
        <v>0</v>
      </c>
      <c r="C23" s="216">
        <f>B23/$B$25</f>
        <v>0</v>
      </c>
    </row>
    <row r="24" spans="1:3" s="325" customFormat="1" ht="13.5" customHeight="1" hidden="1">
      <c r="A24" s="322" t="s">
        <v>296</v>
      </c>
      <c r="B24" s="323"/>
      <c r="C24" s="324">
        <f>B24/$B$25</f>
        <v>0</v>
      </c>
    </row>
    <row r="25" spans="1:3" ht="12.75">
      <c r="A25" s="213" t="s">
        <v>84</v>
      </c>
      <c r="B25" s="214">
        <f>B19+B23</f>
        <v>1500000</v>
      </c>
      <c r="C25" s="217">
        <f>C19+C23</f>
        <v>1</v>
      </c>
    </row>
    <row r="27" ht="12.75">
      <c r="A27" s="219" t="s">
        <v>283</v>
      </c>
    </row>
    <row r="28" spans="1:7" ht="12.75">
      <c r="A28" s="215" t="s">
        <v>279</v>
      </c>
      <c r="B28" s="307" t="s">
        <v>221</v>
      </c>
      <c r="C28" s="307">
        <v>2019</v>
      </c>
      <c r="D28" s="307">
        <v>2020</v>
      </c>
      <c r="E28" s="307">
        <v>2021</v>
      </c>
      <c r="F28" s="307">
        <v>2022</v>
      </c>
      <c r="G28" s="307">
        <v>2023</v>
      </c>
    </row>
    <row r="29" spans="1:7" ht="12.75">
      <c r="A29" s="211" t="s">
        <v>280</v>
      </c>
      <c r="B29" s="270" t="s">
        <v>324</v>
      </c>
      <c r="C29" s="212">
        <f>'1-Ф3'!AC30</f>
        <v>1351200</v>
      </c>
      <c r="D29" s="212">
        <f>'1-Ф3'!AD30</f>
        <v>100000</v>
      </c>
      <c r="E29" s="212">
        <f>'1-Ф3'!AE30</f>
        <v>200000</v>
      </c>
      <c r="F29" s="212">
        <f>'1-Ф3'!AF30</f>
        <v>400000</v>
      </c>
      <c r="G29" s="212">
        <f>'1-Ф3'!AG30</f>
        <v>500000</v>
      </c>
    </row>
    <row r="30" spans="1:7" s="275" customFormat="1" ht="12.75">
      <c r="A30" s="272" t="s">
        <v>289</v>
      </c>
      <c r="B30" s="273" t="s">
        <v>324</v>
      </c>
      <c r="C30" s="274">
        <f>'Оборотный капитал'!AC21</f>
        <v>0</v>
      </c>
      <c r="D30" s="274">
        <f>'Оборотный капитал'!AD21</f>
        <v>100000</v>
      </c>
      <c r="E30" s="274">
        <f>'Оборотный капитал'!AE21</f>
        <v>200000</v>
      </c>
      <c r="F30" s="274">
        <f>'Оборотный капитал'!AF21</f>
        <v>400000</v>
      </c>
      <c r="G30" s="274">
        <f>'Оборотный капитал'!AG21</f>
        <v>500000</v>
      </c>
    </row>
    <row r="31" spans="1:7" ht="12.75">
      <c r="A31" s="316" t="s">
        <v>290</v>
      </c>
      <c r="B31" s="327" t="str">
        <f>B30</f>
        <v>$ USD</v>
      </c>
      <c r="C31" s="317">
        <f>'3-Баланс'!AC8</f>
        <v>1351200</v>
      </c>
      <c r="D31" s="317">
        <f>'3-Баланс'!AD8</f>
        <v>1451200</v>
      </c>
      <c r="E31" s="317">
        <f>'3-Баланс'!AE8</f>
        <v>1651200</v>
      </c>
      <c r="F31" s="317">
        <f>'3-Баланс'!AF8</f>
        <v>2051200</v>
      </c>
      <c r="G31" s="317">
        <f>'3-Баланс'!AG8</f>
        <v>2551200</v>
      </c>
    </row>
    <row r="32" spans="1:7" ht="12.75">
      <c r="A32" s="318" t="s">
        <v>291</v>
      </c>
      <c r="B32" s="319" t="s">
        <v>38</v>
      </c>
      <c r="C32" s="320"/>
      <c r="D32" s="320">
        <f>D31-C31</f>
        <v>100000</v>
      </c>
      <c r="E32" s="320">
        <f>E31-D31</f>
        <v>200000</v>
      </c>
      <c r="F32" s="320">
        <f>F31-E31</f>
        <v>400000</v>
      </c>
      <c r="G32" s="320">
        <f>G31-F31</f>
        <v>500000</v>
      </c>
    </row>
    <row r="33" ht="12.75">
      <c r="B33" s="69"/>
    </row>
    <row r="34" spans="1:7" ht="13.5" customHeight="1">
      <c r="A34" s="215" t="s">
        <v>240</v>
      </c>
      <c r="B34" s="252" t="s">
        <v>221</v>
      </c>
      <c r="C34" s="307">
        <f>C28</f>
        <v>2019</v>
      </c>
      <c r="D34" s="307">
        <f>D28</f>
        <v>2020</v>
      </c>
      <c r="E34" s="307">
        <f>E28</f>
        <v>2021</v>
      </c>
      <c r="F34" s="307">
        <f>F28</f>
        <v>2022</v>
      </c>
      <c r="G34" s="307">
        <f>G28</f>
        <v>2023</v>
      </c>
    </row>
    <row r="35" spans="1:7" ht="12.75">
      <c r="A35" s="211" t="s">
        <v>241</v>
      </c>
      <c r="B35" s="270" t="s">
        <v>324</v>
      </c>
      <c r="C35" s="212">
        <f>'2-ф2'!AC5</f>
        <v>128871</v>
      </c>
      <c r="D35" s="212">
        <f>'2-ф2'!AD5</f>
        <v>1468296</v>
      </c>
      <c r="E35" s="212">
        <f>'2-ф2'!AE5</f>
        <v>1486296</v>
      </c>
      <c r="F35" s="212">
        <f>'2-ф2'!AF5</f>
        <v>1522296</v>
      </c>
      <c r="G35" s="212">
        <f>'2-ф2'!AG5</f>
        <v>1567296</v>
      </c>
    </row>
    <row r="36" spans="1:7" ht="12.75" hidden="1">
      <c r="A36" s="211" t="s">
        <v>15</v>
      </c>
      <c r="B36" s="270" t="s">
        <v>54</v>
      </c>
      <c r="C36" s="212">
        <f>'2-ф2'!AC12</f>
        <v>128871</v>
      </c>
      <c r="D36" s="212">
        <f>'2-ф2'!AD12</f>
        <v>1468296</v>
      </c>
      <c r="E36" s="212">
        <f>'2-ф2'!AE12</f>
        <v>1486296</v>
      </c>
      <c r="F36" s="212">
        <f>'2-ф2'!AF12</f>
        <v>1522296</v>
      </c>
      <c r="G36" s="212">
        <f>'2-ф2'!AG12</f>
        <v>1567296</v>
      </c>
    </row>
    <row r="37" spans="1:7" ht="12.75">
      <c r="A37" s="211" t="s">
        <v>242</v>
      </c>
      <c r="B37" s="270" t="s">
        <v>324</v>
      </c>
      <c r="C37" s="212">
        <f>'2-ф2'!AC18</f>
        <v>-281038.13599999994</v>
      </c>
      <c r="D37" s="212">
        <f>'2-ф2'!AD18</f>
        <v>887619.1184</v>
      </c>
      <c r="E37" s="212">
        <f>'2-ф2'!AE18</f>
        <v>875811.4912</v>
      </c>
      <c r="F37" s="212">
        <f>'2-ф2'!AF18</f>
        <v>934611.4912</v>
      </c>
      <c r="G37" s="212">
        <f>'2-ф2'!AG18</f>
        <v>1000611.4912</v>
      </c>
    </row>
    <row r="38" spans="1:7" ht="12.75" hidden="1">
      <c r="A38" s="211" t="s">
        <v>281</v>
      </c>
      <c r="B38" s="271" t="s">
        <v>38</v>
      </c>
      <c r="C38" s="216">
        <f>C36/C35</f>
        <v>1</v>
      </c>
      <c r="D38" s="216">
        <f>D36/D35</f>
        <v>1</v>
      </c>
      <c r="E38" s="216">
        <f>E36/E35</f>
        <v>1</v>
      </c>
      <c r="F38" s="216">
        <f>F36/F35</f>
        <v>1</v>
      </c>
      <c r="G38" s="216">
        <f>G36/G35</f>
        <v>1</v>
      </c>
    </row>
    <row r="39" spans="1:7" ht="12.75">
      <c r="A39" s="211" t="s">
        <v>243</v>
      </c>
      <c r="B39" s="271" t="s">
        <v>38</v>
      </c>
      <c r="C39" s="216">
        <f>C37/C35</f>
        <v>-2.18077097252291</v>
      </c>
      <c r="D39" s="216">
        <f>D37/D35</f>
        <v>0.6045232830437459</v>
      </c>
      <c r="E39" s="216">
        <f>E37/E35</f>
        <v>0.5892577866050908</v>
      </c>
      <c r="F39" s="216">
        <f>F37/F35</f>
        <v>0.6139485955425227</v>
      </c>
      <c r="G39" s="216">
        <f>G37/G35</f>
        <v>0.6384317264894442</v>
      </c>
    </row>
    <row r="40" spans="1:8" s="275" customFormat="1" ht="12.75" hidden="1">
      <c r="A40" s="272" t="s">
        <v>244</v>
      </c>
      <c r="B40" s="273" t="s">
        <v>54</v>
      </c>
      <c r="C40" s="274">
        <f>'1-Ф3'!P33</f>
        <v>0</v>
      </c>
      <c r="D40" s="274">
        <f>'1-Ф3'!AC33</f>
        <v>-266158.13600000006</v>
      </c>
      <c r="E40" s="274">
        <f>'1-Ф3'!AD33</f>
        <v>427499.11840000004</v>
      </c>
      <c r="F40" s="274">
        <f>'1-Ф3'!AE33</f>
        <v>315691.49120000005</v>
      </c>
      <c r="G40" s="274">
        <f>'1-Ф3'!AF33</f>
        <v>174491.49120000005</v>
      </c>
      <c r="H40" s="274">
        <f>'1-Ф3'!AG33</f>
        <v>140491.49120000005</v>
      </c>
    </row>
    <row r="41" spans="1:8" s="275" customFormat="1" ht="12.75" hidden="1">
      <c r="A41" s="276" t="s">
        <v>239</v>
      </c>
      <c r="B41" s="273" t="s">
        <v>54</v>
      </c>
      <c r="C41" s="274">
        <f>C40/10</f>
        <v>0</v>
      </c>
      <c r="D41" s="274">
        <f>D40/12</f>
        <v>-22179.84466666667</v>
      </c>
      <c r="E41" s="274">
        <f>E40/12</f>
        <v>35624.92653333334</v>
      </c>
      <c r="F41" s="274">
        <f>F40/12</f>
        <v>26307.62426666667</v>
      </c>
      <c r="G41" s="274">
        <f>G40/12</f>
        <v>14540.957600000003</v>
      </c>
      <c r="H41" s="274">
        <f>H40/12</f>
        <v>11707.624266666671</v>
      </c>
    </row>
    <row r="43" ht="12.75">
      <c r="A43" s="219" t="s">
        <v>170</v>
      </c>
    </row>
    <row r="44" spans="1:7" ht="12.75">
      <c r="A44" s="377" t="s">
        <v>245</v>
      </c>
      <c r="B44" s="379" t="s">
        <v>325</v>
      </c>
      <c r="C44" s="380"/>
      <c r="D44" s="380"/>
      <c r="E44" s="380"/>
      <c r="F44" s="380"/>
      <c r="G44" s="381"/>
    </row>
    <row r="45" spans="1:7" ht="12.75">
      <c r="A45" s="378"/>
      <c r="B45" s="336" t="s">
        <v>326</v>
      </c>
      <c r="C45" s="336" t="s">
        <v>327</v>
      </c>
      <c r="D45" s="336" t="s">
        <v>331</v>
      </c>
      <c r="E45" s="337" t="s">
        <v>332</v>
      </c>
      <c r="F45" s="337" t="s">
        <v>333</v>
      </c>
      <c r="G45" s="337" t="s">
        <v>334</v>
      </c>
    </row>
    <row r="46" spans="1:7" ht="12.75">
      <c r="A46" s="211" t="s">
        <v>246</v>
      </c>
      <c r="B46" s="283"/>
      <c r="C46" s="212"/>
      <c r="D46" s="216"/>
      <c r="E46" s="337"/>
      <c r="F46" s="337"/>
      <c r="G46" s="337"/>
    </row>
    <row r="47" spans="1:7" ht="12.75">
      <c r="A47" s="211" t="s">
        <v>171</v>
      </c>
      <c r="B47" s="283"/>
      <c r="C47" s="283"/>
      <c r="D47" s="216"/>
      <c r="E47" s="337"/>
      <c r="F47" s="337"/>
      <c r="G47" s="337"/>
    </row>
    <row r="48" spans="1:7" ht="12.75">
      <c r="A48" s="211" t="s">
        <v>318</v>
      </c>
      <c r="B48" s="283"/>
      <c r="C48" s="283"/>
      <c r="D48" s="216"/>
      <c r="E48" s="337"/>
      <c r="F48" s="337"/>
      <c r="G48" s="337"/>
    </row>
    <row r="49" spans="1:7" ht="12.75">
      <c r="A49" s="211" t="s">
        <v>319</v>
      </c>
      <c r="B49" s="212"/>
      <c r="C49" s="283"/>
      <c r="D49" s="216"/>
      <c r="E49" s="337"/>
      <c r="F49" s="337"/>
      <c r="G49" s="337"/>
    </row>
    <row r="50" spans="1:7" ht="12.75">
      <c r="A50" s="277" t="s">
        <v>253</v>
      </c>
      <c r="B50" s="212"/>
      <c r="C50" s="283"/>
      <c r="D50" s="216"/>
      <c r="E50" s="337"/>
      <c r="F50" s="337"/>
      <c r="G50" s="337"/>
    </row>
    <row r="51" spans="1:7" ht="12.75">
      <c r="A51" s="211" t="s">
        <v>320</v>
      </c>
      <c r="B51" s="216"/>
      <c r="C51" s="216"/>
      <c r="D51" s="283"/>
      <c r="E51" s="337"/>
      <c r="F51" s="337"/>
      <c r="G51" s="337"/>
    </row>
    <row r="53" ht="12.75">
      <c r="A53" s="219" t="s">
        <v>282</v>
      </c>
    </row>
    <row r="55" spans="1:2" ht="12.75">
      <c r="A55" s="246" t="s">
        <v>174</v>
      </c>
      <c r="B55" s="247" t="s">
        <v>330</v>
      </c>
    </row>
    <row r="56" spans="1:2" ht="12.75" hidden="1">
      <c r="A56" s="211" t="s">
        <v>37</v>
      </c>
      <c r="B56" s="212">
        <f>'1-Ф3'!B15</f>
        <v>0</v>
      </c>
    </row>
    <row r="57" spans="1:2" ht="12.75">
      <c r="A57" s="211" t="str">
        <f>'2-ф2'!A17</f>
        <v>Корпоративный подоходный налог</v>
      </c>
      <c r="B57" s="212">
        <f>'2-ф2'!B17</f>
        <v>854403.8640000001</v>
      </c>
    </row>
    <row r="58" spans="1:3" ht="12.75">
      <c r="A58" s="220" t="s">
        <v>173</v>
      </c>
      <c r="B58" s="212">
        <f>(ФОТ!K25-ФОТ!J25)*12*5</f>
        <v>117504.00000000003</v>
      </c>
      <c r="C58" s="296"/>
    </row>
    <row r="59" spans="1:2" ht="12.75">
      <c r="A59" s="211" t="s">
        <v>227</v>
      </c>
      <c r="B59" s="212">
        <f>SUM(Пост!C20:H20)*12</f>
        <v>420</v>
      </c>
    </row>
    <row r="60" spans="1:2" ht="12.75">
      <c r="A60" s="213" t="s">
        <v>0</v>
      </c>
      <c r="B60" s="214">
        <f>SUM(B56:B59)</f>
        <v>972327.8640000001</v>
      </c>
    </row>
  </sheetData>
  <sheetProtection/>
  <mergeCells count="2">
    <mergeCell ref="A44:A45"/>
    <mergeCell ref="B44:G44"/>
  </mergeCells>
  <conditionalFormatting sqref="D45:G4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{4cbf6042-88e0-437f-8e78-dc8c6144f09d}</x14:id>
        </ext>
      </extLst>
    </cfRule>
  </conditionalFormatting>
  <printOptions/>
  <pageMargins left="0.5118110236220472" right="0.7874015748031497" top="0.7874015748031497" bottom="0.35433070866141736" header="0.7480314960629921" footer="0.2362204724409449"/>
  <pageSetup horizontalDpi="600" verticalDpi="600" orientation="landscape" paperSize="9" r:id="rId1"/>
  <rowBreaks count="1" manualBreakCount="1">
    <brk id="42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bf6042-88e0-437f-8e78-dc8c6144f0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D45:G45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Q36"/>
  <sheetViews>
    <sheetView showGridLines="0" showZeros="0" zoomScalePageLayoutView="0" workbookViewId="0" topLeftCell="A1">
      <pane xSplit="3" ySplit="4" topLeftCell="M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D38" sqref="AD38"/>
    </sheetView>
  </sheetViews>
  <sheetFormatPr defaultColWidth="10.125" defaultRowHeight="12.75" outlineLevelCol="1"/>
  <cols>
    <col min="1" max="1" width="38.125" style="82" customWidth="1"/>
    <col min="2" max="2" width="11.375" style="82" customWidth="1"/>
    <col min="3" max="3" width="3.875" style="82" customWidth="1"/>
    <col min="4" max="4" width="7.125" style="82" hidden="1" customWidth="1" outlineLevel="1"/>
    <col min="5" max="5" width="8.25390625" style="82" hidden="1" customWidth="1" outlineLevel="1"/>
    <col min="6" max="9" width="7.00390625" style="82" hidden="1" customWidth="1" outlineLevel="1"/>
    <col min="10" max="10" width="8.375" style="82" hidden="1" customWidth="1" outlineLevel="1"/>
    <col min="11" max="11" width="7.25390625" style="82" hidden="1" customWidth="1" outlineLevel="1"/>
    <col min="12" max="12" width="8.75390625" style="82" hidden="1" customWidth="1" outlineLevel="1"/>
    <col min="13" max="13" width="7.875" style="82" hidden="1" customWidth="1" outlineLevel="1"/>
    <col min="14" max="15" width="8.625" style="82" hidden="1" customWidth="1" outlineLevel="1"/>
    <col min="16" max="16" width="9.125" style="82" customWidth="1" collapsed="1"/>
    <col min="17" max="28" width="8.375" style="82" hidden="1" customWidth="1" outlineLevel="1"/>
    <col min="29" max="29" width="9.125" style="82" customWidth="1" collapsed="1"/>
    <col min="30" max="30" width="9.125" style="82" customWidth="1"/>
    <col min="31" max="31" width="8.875" style="82" customWidth="1"/>
    <col min="32" max="32" width="10.125" style="82" customWidth="1"/>
    <col min="33" max="33" width="9.875" style="82" customWidth="1"/>
    <col min="34" max="16384" width="10.125" style="82" customWidth="1"/>
  </cols>
  <sheetData>
    <row r="1" spans="1:3" ht="21" customHeight="1">
      <c r="A1" s="59" t="s">
        <v>105</v>
      </c>
      <c r="B1" s="81"/>
      <c r="C1" s="81"/>
    </row>
    <row r="2" spans="1:3" ht="17.25" customHeight="1">
      <c r="A2" s="59"/>
      <c r="B2" s="12" t="str">
        <f>Исх!$C$12</f>
        <v>$ USD</v>
      </c>
      <c r="C2" s="83"/>
    </row>
    <row r="3" spans="1:33" ht="12.75" customHeight="1">
      <c r="A3" s="346" t="s">
        <v>2</v>
      </c>
      <c r="B3" s="350" t="s">
        <v>84</v>
      </c>
      <c r="C3" s="85"/>
      <c r="D3" s="345">
        <v>2019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>
        <v>2020</v>
      </c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86">
        <v>2021</v>
      </c>
      <c r="AE3" s="86">
        <f>AD3+1</f>
        <v>2022</v>
      </c>
      <c r="AF3" s="86">
        <f>AE3+1</f>
        <v>2023</v>
      </c>
      <c r="AG3" s="86">
        <f>AF3+1</f>
        <v>2024</v>
      </c>
    </row>
    <row r="4" spans="1:33" ht="12.75">
      <c r="A4" s="347"/>
      <c r="B4" s="350"/>
      <c r="C4" s="87"/>
      <c r="D4" s="88">
        <v>1</v>
      </c>
      <c r="E4" s="88">
        <f aca="true" t="shared" si="0" ref="E4:O4">D4+1</f>
        <v>2</v>
      </c>
      <c r="F4" s="88">
        <f t="shared" si="0"/>
        <v>3</v>
      </c>
      <c r="G4" s="88">
        <f t="shared" si="0"/>
        <v>4</v>
      </c>
      <c r="H4" s="88">
        <f t="shared" si="0"/>
        <v>5</v>
      </c>
      <c r="I4" s="88">
        <f t="shared" si="0"/>
        <v>6</v>
      </c>
      <c r="J4" s="88">
        <f t="shared" si="0"/>
        <v>7</v>
      </c>
      <c r="K4" s="88">
        <f t="shared" si="0"/>
        <v>8</v>
      </c>
      <c r="L4" s="88">
        <f t="shared" si="0"/>
        <v>9</v>
      </c>
      <c r="M4" s="88">
        <f t="shared" si="0"/>
        <v>10</v>
      </c>
      <c r="N4" s="88">
        <f t="shared" si="0"/>
        <v>11</v>
      </c>
      <c r="O4" s="88">
        <f t="shared" si="0"/>
        <v>12</v>
      </c>
      <c r="P4" s="84" t="s">
        <v>0</v>
      </c>
      <c r="Q4" s="88">
        <v>1</v>
      </c>
      <c r="R4" s="88">
        <f aca="true" t="shared" si="1" ref="R4:AB4">Q4+1</f>
        <v>2</v>
      </c>
      <c r="S4" s="88">
        <f t="shared" si="1"/>
        <v>3</v>
      </c>
      <c r="T4" s="88">
        <f t="shared" si="1"/>
        <v>4</v>
      </c>
      <c r="U4" s="88">
        <f t="shared" si="1"/>
        <v>5</v>
      </c>
      <c r="V4" s="88">
        <f t="shared" si="1"/>
        <v>6</v>
      </c>
      <c r="W4" s="88">
        <f t="shared" si="1"/>
        <v>7</v>
      </c>
      <c r="X4" s="88">
        <f t="shared" si="1"/>
        <v>8</v>
      </c>
      <c r="Y4" s="88">
        <f t="shared" si="1"/>
        <v>9</v>
      </c>
      <c r="Z4" s="88">
        <f t="shared" si="1"/>
        <v>10</v>
      </c>
      <c r="AA4" s="88">
        <f t="shared" si="1"/>
        <v>11</v>
      </c>
      <c r="AB4" s="88">
        <f t="shared" si="1"/>
        <v>12</v>
      </c>
      <c r="AC4" s="84" t="s">
        <v>0</v>
      </c>
      <c r="AD4" s="84" t="s">
        <v>106</v>
      </c>
      <c r="AE4" s="84" t="s">
        <v>106</v>
      </c>
      <c r="AF4" s="84" t="s">
        <v>106</v>
      </c>
      <c r="AG4" s="84" t="s">
        <v>106</v>
      </c>
    </row>
    <row r="5" spans="1:33" s="83" customFormat="1" ht="15" customHeight="1">
      <c r="A5" s="89" t="s">
        <v>107</v>
      </c>
      <c r="B5" s="90">
        <f>P5+AC5+AD5+AE5+AF5+AG5</f>
        <v>6173055</v>
      </c>
      <c r="C5" s="91"/>
      <c r="D5" s="91">
        <f aca="true" t="shared" si="2" ref="D5:AG5">SUM(D6:D7)</f>
        <v>0</v>
      </c>
      <c r="E5" s="91">
        <f t="shared" si="2"/>
        <v>0</v>
      </c>
      <c r="F5" s="91">
        <f t="shared" si="2"/>
        <v>0</v>
      </c>
      <c r="G5" s="91">
        <f t="shared" si="2"/>
        <v>0</v>
      </c>
      <c r="H5" s="91">
        <f t="shared" si="2"/>
        <v>0</v>
      </c>
      <c r="I5" s="91">
        <f t="shared" si="2"/>
        <v>0</v>
      </c>
      <c r="J5" s="91">
        <f t="shared" si="2"/>
        <v>0</v>
      </c>
      <c r="K5" s="91">
        <f t="shared" si="2"/>
        <v>0</v>
      </c>
      <c r="L5" s="91">
        <f t="shared" si="2"/>
        <v>0</v>
      </c>
      <c r="M5" s="91">
        <f t="shared" si="2"/>
        <v>0</v>
      </c>
      <c r="N5" s="91">
        <f t="shared" si="2"/>
        <v>0</v>
      </c>
      <c r="O5" s="91">
        <f t="shared" si="2"/>
        <v>0</v>
      </c>
      <c r="P5" s="91">
        <f t="shared" si="2"/>
        <v>0</v>
      </c>
      <c r="Q5" s="91">
        <f t="shared" si="2"/>
        <v>63</v>
      </c>
      <c r="R5" s="91">
        <f t="shared" si="2"/>
        <v>72.89999999999999</v>
      </c>
      <c r="S5" s="91">
        <f t="shared" si="2"/>
        <v>180.9</v>
      </c>
      <c r="T5" s="91">
        <f t="shared" si="2"/>
        <v>297.9</v>
      </c>
      <c r="U5" s="91">
        <f t="shared" si="2"/>
        <v>477.9</v>
      </c>
      <c r="V5" s="91">
        <f t="shared" si="2"/>
        <v>639.9</v>
      </c>
      <c r="W5" s="91">
        <f t="shared" si="2"/>
        <v>810.9</v>
      </c>
      <c r="X5" s="91">
        <f t="shared" si="2"/>
        <v>945.9</v>
      </c>
      <c r="Y5" s="91">
        <f t="shared" si="2"/>
        <v>1098.8999999999999</v>
      </c>
      <c r="Z5" s="91">
        <f t="shared" si="2"/>
        <v>1269.8999999999999</v>
      </c>
      <c r="AA5" s="91">
        <f t="shared" si="2"/>
        <v>1404.8999999999999</v>
      </c>
      <c r="AB5" s="91">
        <f t="shared" si="2"/>
        <v>121608</v>
      </c>
      <c r="AC5" s="91">
        <f t="shared" si="2"/>
        <v>128871</v>
      </c>
      <c r="AD5" s="91">
        <f t="shared" si="2"/>
        <v>1468296</v>
      </c>
      <c r="AE5" s="91">
        <f t="shared" si="2"/>
        <v>1486296</v>
      </c>
      <c r="AF5" s="91">
        <f t="shared" si="2"/>
        <v>1522296</v>
      </c>
      <c r="AG5" s="91">
        <f t="shared" si="2"/>
        <v>1567296</v>
      </c>
    </row>
    <row r="6" spans="1:33" s="83" customFormat="1" ht="12.75">
      <c r="A6" s="92" t="s">
        <v>274</v>
      </c>
      <c r="B6" s="90">
        <f aca="true" t="shared" si="3" ref="B6:B18">P6+AC6+AD6+AE6+AF6+AG6</f>
        <v>6173055</v>
      </c>
      <c r="C6" s="91"/>
      <c r="D6" s="93">
        <f>'Оборотный капитал'!D5/Исх!$C$21</f>
        <v>0</v>
      </c>
      <c r="E6" s="93">
        <f>'Оборотный капитал'!E5*Исх!$C27/1000/Исх!$C$21</f>
        <v>0</v>
      </c>
      <c r="F6" s="93">
        <f>'Оборотный капитал'!F26</f>
        <v>0</v>
      </c>
      <c r="G6" s="93">
        <f>'Оборотный капитал'!G26</f>
        <v>0</v>
      </c>
      <c r="H6" s="93">
        <f>'Оборотный капитал'!H26</f>
        <v>0</v>
      </c>
      <c r="I6" s="93">
        <f>'Оборотный капитал'!I26</f>
        <v>0</v>
      </c>
      <c r="J6" s="93">
        <f>'Оборотный капитал'!J26</f>
        <v>0</v>
      </c>
      <c r="K6" s="93">
        <f>'Оборотный капитал'!K26</f>
        <v>0</v>
      </c>
      <c r="L6" s="93">
        <f>'Оборотный капитал'!L26</f>
        <v>0</v>
      </c>
      <c r="M6" s="93">
        <f>'Оборотный капитал'!M26</f>
        <v>0</v>
      </c>
      <c r="N6" s="93">
        <f>'Оборотный капитал'!N26</f>
        <v>0</v>
      </c>
      <c r="O6" s="93">
        <f>'Оборотный капитал'!O26</f>
        <v>0</v>
      </c>
      <c r="P6" s="91">
        <f>SUM(D6:O6)</f>
        <v>0</v>
      </c>
      <c r="Q6" s="93">
        <f>'Оборотный капитал'!Q26</f>
        <v>63</v>
      </c>
      <c r="R6" s="93">
        <f>'Оборотный капитал'!R26</f>
        <v>72.89999999999999</v>
      </c>
      <c r="S6" s="93">
        <f>'Оборотный капитал'!S26</f>
        <v>180.9</v>
      </c>
      <c r="T6" s="93">
        <f>'Оборотный капитал'!T26</f>
        <v>297.9</v>
      </c>
      <c r="U6" s="93">
        <f>'Оборотный капитал'!U26</f>
        <v>477.9</v>
      </c>
      <c r="V6" s="93">
        <f>'Оборотный капитал'!V26</f>
        <v>639.9</v>
      </c>
      <c r="W6" s="93">
        <f>'Оборотный капитал'!W26</f>
        <v>810.9</v>
      </c>
      <c r="X6" s="93">
        <f>'Оборотный капитал'!X26</f>
        <v>945.9</v>
      </c>
      <c r="Y6" s="93">
        <f>'Оборотный капитал'!Y26</f>
        <v>1098.8999999999999</v>
      </c>
      <c r="Z6" s="93">
        <f>'Оборотный капитал'!Z26</f>
        <v>1269.8999999999999</v>
      </c>
      <c r="AA6" s="93">
        <f>'Оборотный капитал'!AA26</f>
        <v>1404.8999999999999</v>
      </c>
      <c r="AB6" s="93">
        <f>'Оборотный капитал'!AB26</f>
        <v>121608</v>
      </c>
      <c r="AC6" s="91">
        <f>SUM(Q6:AB6)</f>
        <v>128871</v>
      </c>
      <c r="AD6" s="93">
        <f>'Оборотный капитал'!AD26</f>
        <v>1468296</v>
      </c>
      <c r="AE6" s="93">
        <f>'Оборотный капитал'!AE26</f>
        <v>1486296</v>
      </c>
      <c r="AF6" s="93">
        <f>'Оборотный капитал'!AF26</f>
        <v>1522296</v>
      </c>
      <c r="AG6" s="93">
        <f>'Оборотный капитал'!AG26</f>
        <v>1567296</v>
      </c>
    </row>
    <row r="7" spans="1:33" s="83" customFormat="1" ht="3.75" customHeight="1">
      <c r="A7" s="92"/>
      <c r="B7" s="90">
        <f t="shared" si="3"/>
        <v>0</v>
      </c>
      <c r="C7" s="91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1">
        <f>SUM(D7:O7)</f>
        <v>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>
        <f>SUM(Q7:AB7)</f>
        <v>0</v>
      </c>
      <c r="AD7" s="93"/>
      <c r="AE7" s="93"/>
      <c r="AF7" s="93"/>
      <c r="AG7" s="93"/>
    </row>
    <row r="8" spans="1:33" ht="15" customHeight="1" hidden="1">
      <c r="A8" s="89" t="s">
        <v>256</v>
      </c>
      <c r="B8" s="90">
        <f t="shared" si="3"/>
        <v>0</v>
      </c>
      <c r="C8" s="91"/>
      <c r="D8" s="91">
        <f>SUM(D9:D11)</f>
        <v>0</v>
      </c>
      <c r="E8" s="91">
        <f>SUM(E9:E11)</f>
        <v>0</v>
      </c>
      <c r="F8" s="91">
        <f aca="true" t="shared" si="4" ref="F8:AE8">SUM(F9:F11)</f>
        <v>0</v>
      </c>
      <c r="G8" s="91">
        <f t="shared" si="4"/>
        <v>0</v>
      </c>
      <c r="H8" s="91">
        <f t="shared" si="4"/>
        <v>0</v>
      </c>
      <c r="I8" s="91">
        <f t="shared" si="4"/>
        <v>0</v>
      </c>
      <c r="J8" s="91">
        <f t="shared" si="4"/>
        <v>0</v>
      </c>
      <c r="K8" s="91">
        <f t="shared" si="4"/>
        <v>0</v>
      </c>
      <c r="L8" s="91">
        <f t="shared" si="4"/>
        <v>0</v>
      </c>
      <c r="M8" s="91">
        <f t="shared" si="4"/>
        <v>0</v>
      </c>
      <c r="N8" s="91">
        <f t="shared" si="4"/>
        <v>0</v>
      </c>
      <c r="O8" s="91">
        <f t="shared" si="4"/>
        <v>0</v>
      </c>
      <c r="P8" s="91">
        <f t="shared" si="4"/>
        <v>0</v>
      </c>
      <c r="Q8" s="91">
        <f t="shared" si="4"/>
        <v>0</v>
      </c>
      <c r="R8" s="91">
        <f t="shared" si="4"/>
        <v>0</v>
      </c>
      <c r="S8" s="91">
        <f t="shared" si="4"/>
        <v>0</v>
      </c>
      <c r="T8" s="91">
        <f t="shared" si="4"/>
        <v>0</v>
      </c>
      <c r="U8" s="91">
        <f t="shared" si="4"/>
        <v>0</v>
      </c>
      <c r="V8" s="91">
        <f t="shared" si="4"/>
        <v>0</v>
      </c>
      <c r="W8" s="91">
        <f t="shared" si="4"/>
        <v>0</v>
      </c>
      <c r="X8" s="91">
        <f t="shared" si="4"/>
        <v>0</v>
      </c>
      <c r="Y8" s="91">
        <f t="shared" si="4"/>
        <v>0</v>
      </c>
      <c r="Z8" s="91">
        <f t="shared" si="4"/>
        <v>0</v>
      </c>
      <c r="AA8" s="91">
        <f t="shared" si="4"/>
        <v>0</v>
      </c>
      <c r="AB8" s="91">
        <f t="shared" si="4"/>
        <v>0</v>
      </c>
      <c r="AC8" s="91">
        <f t="shared" si="4"/>
        <v>0</v>
      </c>
      <c r="AD8" s="91">
        <f t="shared" si="4"/>
        <v>0</v>
      </c>
      <c r="AE8" s="91">
        <f t="shared" si="4"/>
        <v>0</v>
      </c>
      <c r="AF8" s="91">
        <f>SUM(AF9:AF11)</f>
        <v>0</v>
      </c>
      <c r="AG8" s="91">
        <f>SUM(AG9:AG11)</f>
        <v>0</v>
      </c>
    </row>
    <row r="9" spans="1:33" ht="12.75" hidden="1">
      <c r="A9" s="92"/>
      <c r="B9" s="90">
        <f t="shared" si="3"/>
        <v>0</v>
      </c>
      <c r="C9" s="91"/>
      <c r="D9" s="93">
        <f>D6*'Расх перем'!$G$31</f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1">
        <f>SUM(D9:O9)</f>
        <v>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1">
        <f>SUM(Q9:AB9)</f>
        <v>0</v>
      </c>
      <c r="AD9" s="93"/>
      <c r="AE9" s="93"/>
      <c r="AF9" s="93"/>
      <c r="AG9" s="93"/>
    </row>
    <row r="10" spans="1:33" ht="12.75" hidden="1">
      <c r="A10" s="92"/>
      <c r="B10" s="90">
        <f t="shared" si="3"/>
        <v>0</v>
      </c>
      <c r="C10" s="91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1">
        <f>SUM(D10:O10)</f>
        <v>0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1">
        <f>SUM(Q10:AB10)</f>
        <v>0</v>
      </c>
      <c r="AD10" s="93"/>
      <c r="AE10" s="93"/>
      <c r="AF10" s="93"/>
      <c r="AG10" s="93"/>
    </row>
    <row r="11" spans="1:33" ht="4.5" customHeight="1" hidden="1">
      <c r="A11" s="92"/>
      <c r="B11" s="90">
        <f t="shared" si="3"/>
        <v>0</v>
      </c>
      <c r="C11" s="91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1">
        <f>SUM(D11:O11)</f>
        <v>0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1">
        <f>SUM(Q11:AB11)</f>
        <v>0</v>
      </c>
      <c r="AD11" s="93"/>
      <c r="AE11" s="93"/>
      <c r="AF11" s="93"/>
      <c r="AG11" s="93"/>
    </row>
    <row r="12" spans="1:33" s="83" customFormat="1" ht="15" customHeight="1">
      <c r="A12" s="89" t="s">
        <v>15</v>
      </c>
      <c r="B12" s="90">
        <f t="shared" si="3"/>
        <v>6173055</v>
      </c>
      <c r="C12" s="94"/>
      <c r="D12" s="91">
        <f aca="true" t="shared" si="5" ref="D12:AG12">D5-D8</f>
        <v>0</v>
      </c>
      <c r="E12" s="91">
        <f t="shared" si="5"/>
        <v>0</v>
      </c>
      <c r="F12" s="91">
        <f t="shared" si="5"/>
        <v>0</v>
      </c>
      <c r="G12" s="91">
        <f t="shared" si="5"/>
        <v>0</v>
      </c>
      <c r="H12" s="91">
        <f t="shared" si="5"/>
        <v>0</v>
      </c>
      <c r="I12" s="91">
        <f t="shared" si="5"/>
        <v>0</v>
      </c>
      <c r="J12" s="91">
        <f t="shared" si="5"/>
        <v>0</v>
      </c>
      <c r="K12" s="91">
        <f t="shared" si="5"/>
        <v>0</v>
      </c>
      <c r="L12" s="91">
        <f t="shared" si="5"/>
        <v>0</v>
      </c>
      <c r="M12" s="91">
        <f t="shared" si="5"/>
        <v>0</v>
      </c>
      <c r="N12" s="91">
        <f t="shared" si="5"/>
        <v>0</v>
      </c>
      <c r="O12" s="91">
        <f t="shared" si="5"/>
        <v>0</v>
      </c>
      <c r="P12" s="91">
        <f t="shared" si="5"/>
        <v>0</v>
      </c>
      <c r="Q12" s="91">
        <f t="shared" si="5"/>
        <v>63</v>
      </c>
      <c r="R12" s="91">
        <f t="shared" si="5"/>
        <v>72.89999999999999</v>
      </c>
      <c r="S12" s="91">
        <f t="shared" si="5"/>
        <v>180.9</v>
      </c>
      <c r="T12" s="91">
        <f t="shared" si="5"/>
        <v>297.9</v>
      </c>
      <c r="U12" s="91">
        <f t="shared" si="5"/>
        <v>477.9</v>
      </c>
      <c r="V12" s="91">
        <f t="shared" si="5"/>
        <v>639.9</v>
      </c>
      <c r="W12" s="91">
        <f t="shared" si="5"/>
        <v>810.9</v>
      </c>
      <c r="X12" s="91">
        <f t="shared" si="5"/>
        <v>945.9</v>
      </c>
      <c r="Y12" s="91">
        <f t="shared" si="5"/>
        <v>1098.8999999999999</v>
      </c>
      <c r="Z12" s="91">
        <f t="shared" si="5"/>
        <v>1269.8999999999999</v>
      </c>
      <c r="AA12" s="91">
        <f t="shared" si="5"/>
        <v>1404.8999999999999</v>
      </c>
      <c r="AB12" s="91">
        <f t="shared" si="5"/>
        <v>121608</v>
      </c>
      <c r="AC12" s="91">
        <f t="shared" si="5"/>
        <v>128871</v>
      </c>
      <c r="AD12" s="91">
        <f t="shared" si="5"/>
        <v>1468296</v>
      </c>
      <c r="AE12" s="91">
        <f t="shared" si="5"/>
        <v>1486296</v>
      </c>
      <c r="AF12" s="91">
        <f t="shared" si="5"/>
        <v>1522296</v>
      </c>
      <c r="AG12" s="91">
        <f t="shared" si="5"/>
        <v>1567296</v>
      </c>
    </row>
    <row r="13" spans="1:33" ht="15" customHeight="1">
      <c r="A13" s="95" t="s">
        <v>142</v>
      </c>
      <c r="B13" s="90">
        <f t="shared" si="3"/>
        <v>1406695.68</v>
      </c>
      <c r="C13" s="91"/>
      <c r="D13" s="93"/>
      <c r="E13" s="93"/>
      <c r="F13" s="93">
        <f>Пост!$C$14+Пост!$C$16+Пост!$C$20</f>
        <v>0</v>
      </c>
      <c r="G13" s="93">
        <f>Пост!$C$14+Пост!$C$16+Пост!$C$20</f>
        <v>0</v>
      </c>
      <c r="H13" s="93">
        <f>Пост!$C$14+Пост!$C$16+Пост!$C$20</f>
        <v>0</v>
      </c>
      <c r="I13" s="93">
        <f>Пост!$C$14+Пост!$C$16+Пост!$C$20</f>
        <v>0</v>
      </c>
      <c r="J13" s="93">
        <f>Пост!$C$14+Пост!$C$16+Пост!$C$20</f>
        <v>0</v>
      </c>
      <c r="K13" s="93">
        <f>Пост!$C$14+Пост!$C$16+Пост!$C$20</f>
        <v>0</v>
      </c>
      <c r="L13" s="93">
        <f>Пост!$C$14+Пост!$C$16+Пост!$C$20</f>
        <v>0</v>
      </c>
      <c r="M13" s="93">
        <f>Пост!$C$14+Пост!$C$16+Пост!$C$20</f>
        <v>0</v>
      </c>
      <c r="N13" s="93">
        <f>Пост!$C$14+Пост!$C$16+Пост!$C$20</f>
        <v>0</v>
      </c>
      <c r="O13" s="93">
        <f>Пост!$C$14+Пост!$C$16+Пост!$C$20</f>
        <v>0</v>
      </c>
      <c r="P13" s="91">
        <f aca="true" t="shared" si="6" ref="P13:P18">SUM(D13:O13)</f>
        <v>0</v>
      </c>
      <c r="Q13" s="93">
        <f>Пост!$D$14+Пост!$D$16+Пост!$D$20</f>
        <v>23444.928</v>
      </c>
      <c r="R13" s="93">
        <f>Пост!$D$14+Пост!$D$16+Пост!$D$20</f>
        <v>23444.928</v>
      </c>
      <c r="S13" s="93">
        <f>Пост!$D$14+Пост!$D$16+Пост!$D$20</f>
        <v>23444.928</v>
      </c>
      <c r="T13" s="93">
        <f>Пост!$D$14+Пост!$D$16+Пост!$D$20</f>
        <v>23444.928</v>
      </c>
      <c r="U13" s="93">
        <f>Пост!$D$14+Пост!$D$16+Пост!$D$20</f>
        <v>23444.928</v>
      </c>
      <c r="V13" s="93">
        <f>Пост!$D$14+Пост!$D$16+Пост!$D$20</f>
        <v>23444.928</v>
      </c>
      <c r="W13" s="93">
        <f>Пост!$D$14+Пост!$D$16+Пост!$D$20</f>
        <v>23444.928</v>
      </c>
      <c r="X13" s="93">
        <f>Пост!$D$14+Пост!$D$16+Пост!$D$20</f>
        <v>23444.928</v>
      </c>
      <c r="Y13" s="93">
        <f>Пост!$D$14+Пост!$D$16+Пост!$D$20</f>
        <v>23444.928</v>
      </c>
      <c r="Z13" s="93">
        <f>Пост!$D$14+Пост!$D$16+Пост!$D$20</f>
        <v>23444.928</v>
      </c>
      <c r="AA13" s="93">
        <f>Пост!$D$14+Пост!$D$16+Пост!$D$20</f>
        <v>23444.928</v>
      </c>
      <c r="AB13" s="93">
        <f>Пост!$D$14+Пост!$D$16+Пост!$D$20</f>
        <v>23444.928</v>
      </c>
      <c r="AC13" s="91">
        <f aca="true" t="shared" si="7" ref="AC13:AC18">SUM(Q13:AB13)</f>
        <v>281339.13600000006</v>
      </c>
      <c r="AD13" s="93">
        <f>(Пост!E14+Пост!E16+Пост!E20)*12</f>
        <v>281339.136</v>
      </c>
      <c r="AE13" s="93">
        <f>(Пост!F14+Пост!F16+Пост!F20)*12</f>
        <v>281339.136</v>
      </c>
      <c r="AF13" s="93">
        <f>(Пост!G14+Пост!G16+Пост!G20)*12</f>
        <v>281339.136</v>
      </c>
      <c r="AG13" s="93">
        <f>(Пост!H14+Пост!H16+Пост!H20)*12</f>
        <v>281339.136</v>
      </c>
    </row>
    <row r="14" spans="1:33" ht="15" customHeight="1">
      <c r="A14" s="95" t="s">
        <v>72</v>
      </c>
      <c r="B14" s="90">
        <f t="shared" si="3"/>
        <v>74400</v>
      </c>
      <c r="C14" s="91"/>
      <c r="D14" s="93"/>
      <c r="E14" s="93"/>
      <c r="F14" s="93">
        <f>Пост!$C$30/10</f>
        <v>0</v>
      </c>
      <c r="G14" s="93">
        <f>Пост!$C$30/10</f>
        <v>0</v>
      </c>
      <c r="H14" s="93">
        <f>Пост!$C$30/10</f>
        <v>0</v>
      </c>
      <c r="I14" s="93">
        <f>Пост!$C$30/10</f>
        <v>0</v>
      </c>
      <c r="J14" s="93">
        <f>Пост!$C$30/10</f>
        <v>0</v>
      </c>
      <c r="K14" s="93">
        <f>Пост!$C$30/10</f>
        <v>0</v>
      </c>
      <c r="L14" s="93">
        <f>Пост!$C$30/10</f>
        <v>0</v>
      </c>
      <c r="M14" s="93">
        <f>Пост!$C$30/10</f>
        <v>0</v>
      </c>
      <c r="N14" s="93">
        <f>Пост!$C$30/10</f>
        <v>0</v>
      </c>
      <c r="O14" s="93">
        <f>Пост!$C$30/10</f>
        <v>0</v>
      </c>
      <c r="P14" s="91">
        <f>SUM(D14:O14)</f>
        <v>0</v>
      </c>
      <c r="Q14" s="93">
        <f>Пост!$D$30/12</f>
        <v>1240</v>
      </c>
      <c r="R14" s="93">
        <f>Пост!$D$30/12</f>
        <v>1240</v>
      </c>
      <c r="S14" s="93">
        <f>Пост!$D$30/12</f>
        <v>1240</v>
      </c>
      <c r="T14" s="93">
        <f>Пост!$D$30/12</f>
        <v>1240</v>
      </c>
      <c r="U14" s="93">
        <f>Пост!$D$30/12</f>
        <v>1240</v>
      </c>
      <c r="V14" s="93">
        <f>Пост!$D$30/12</f>
        <v>1240</v>
      </c>
      <c r="W14" s="93">
        <f>Пост!$D$30/12</f>
        <v>1240</v>
      </c>
      <c r="X14" s="93">
        <f>Пост!$D$30/12</f>
        <v>1240</v>
      </c>
      <c r="Y14" s="93">
        <f>Пост!$D$30/12</f>
        <v>1240</v>
      </c>
      <c r="Z14" s="93">
        <f>Пост!$D$30/12</f>
        <v>1240</v>
      </c>
      <c r="AA14" s="93">
        <f>Пост!$D$30/12</f>
        <v>1240</v>
      </c>
      <c r="AB14" s="93">
        <f>Пост!$D$30/12</f>
        <v>1240</v>
      </c>
      <c r="AC14" s="91">
        <f t="shared" si="7"/>
        <v>14880</v>
      </c>
      <c r="AD14" s="93">
        <f>Пост!E30</f>
        <v>14880</v>
      </c>
      <c r="AE14" s="93">
        <f>Пост!F30</f>
        <v>14880</v>
      </c>
      <c r="AF14" s="93">
        <f>Пост!G30</f>
        <v>14880</v>
      </c>
      <c r="AG14" s="93">
        <f>Пост!H30</f>
        <v>14880</v>
      </c>
    </row>
    <row r="15" spans="1:33" ht="15" customHeight="1">
      <c r="A15" s="95" t="s">
        <v>23</v>
      </c>
      <c r="B15" s="90">
        <f t="shared" si="3"/>
        <v>419940</v>
      </c>
      <c r="C15" s="91"/>
      <c r="D15" s="93"/>
      <c r="E15" s="93">
        <f>кр!D9</f>
        <v>0</v>
      </c>
      <c r="F15" s="93">
        <f>'Оборотный капитал'!F14</f>
        <v>0</v>
      </c>
      <c r="G15" s="93">
        <f>'Оборотный капитал'!G14</f>
        <v>0</v>
      </c>
      <c r="H15" s="93">
        <f>'Оборотный капитал'!H14</f>
        <v>0</v>
      </c>
      <c r="I15" s="93">
        <f>'Оборотный капитал'!I14</f>
        <v>0</v>
      </c>
      <c r="J15" s="93">
        <f>'Оборотный капитал'!J14</f>
        <v>0</v>
      </c>
      <c r="K15" s="93">
        <f>'Оборотный капитал'!K14</f>
        <v>0</v>
      </c>
      <c r="L15" s="93">
        <f>'Оборотный капитал'!L14</f>
        <v>0</v>
      </c>
      <c r="M15" s="93">
        <f>'Оборотный капитал'!M14</f>
        <v>0</v>
      </c>
      <c r="N15" s="93">
        <f>'Оборотный капитал'!N14</f>
        <v>0</v>
      </c>
      <c r="O15" s="93">
        <f>'Оборотный капитал'!O14</f>
        <v>0</v>
      </c>
      <c r="P15" s="91">
        <f t="shared" si="6"/>
        <v>0</v>
      </c>
      <c r="Q15" s="93">
        <f>кр!P9</f>
        <v>1240</v>
      </c>
      <c r="R15" s="93">
        <f>кр!Q9</f>
        <v>4365</v>
      </c>
      <c r="S15" s="93">
        <f>кр!R9</f>
        <v>7490</v>
      </c>
      <c r="T15" s="93">
        <f>кр!S9</f>
        <v>7490</v>
      </c>
      <c r="U15" s="93">
        <f>кр!T9</f>
        <v>7490</v>
      </c>
      <c r="V15" s="93">
        <f>кр!U9</f>
        <v>10615</v>
      </c>
      <c r="W15" s="93">
        <f>кр!V9</f>
        <v>12500</v>
      </c>
      <c r="X15" s="93">
        <f>кр!W9</f>
        <v>12500</v>
      </c>
      <c r="Y15" s="93">
        <f>кр!X9</f>
        <v>12500</v>
      </c>
      <c r="Z15" s="93">
        <f>кр!Y9</f>
        <v>12500</v>
      </c>
      <c r="AA15" s="93">
        <f>кр!Z9</f>
        <v>12500</v>
      </c>
      <c r="AB15" s="93">
        <f>кр!AA9</f>
        <v>12500</v>
      </c>
      <c r="AC15" s="91">
        <f>SUM(Q15:AB15)</f>
        <v>113690</v>
      </c>
      <c r="AD15" s="93">
        <f>кр!AO9</f>
        <v>132812.5</v>
      </c>
      <c r="AE15" s="93">
        <f>кр!BB9</f>
        <v>95312.5</v>
      </c>
      <c r="AF15" s="93">
        <f>кр!BO9</f>
        <v>57812.5</v>
      </c>
      <c r="AG15" s="93">
        <f>кр!CB9</f>
        <v>20312.5</v>
      </c>
    </row>
    <row r="16" spans="1:33" ht="15" customHeight="1">
      <c r="A16" s="263" t="s">
        <v>229</v>
      </c>
      <c r="B16" s="90">
        <f t="shared" si="3"/>
        <v>4272019.32</v>
      </c>
      <c r="C16" s="94"/>
      <c r="D16" s="93"/>
      <c r="E16" s="93">
        <f>E12-E13-E15-E14</f>
        <v>0</v>
      </c>
      <c r="F16" s="93">
        <f>F12-F13-F15-F14</f>
        <v>0</v>
      </c>
      <c r="G16" s="93">
        <f aca="true" t="shared" si="8" ref="G16:N16">G12-G13-G15-G14</f>
        <v>0</v>
      </c>
      <c r="H16" s="93">
        <f t="shared" si="8"/>
        <v>0</v>
      </c>
      <c r="I16" s="93">
        <f t="shared" si="8"/>
        <v>0</v>
      </c>
      <c r="J16" s="93">
        <f t="shared" si="8"/>
        <v>0</v>
      </c>
      <c r="K16" s="93">
        <f t="shared" si="8"/>
        <v>0</v>
      </c>
      <c r="L16" s="93">
        <f t="shared" si="8"/>
        <v>0</v>
      </c>
      <c r="M16" s="93">
        <f t="shared" si="8"/>
        <v>0</v>
      </c>
      <c r="N16" s="93">
        <f t="shared" si="8"/>
        <v>0</v>
      </c>
      <c r="O16" s="93">
        <f>O12-O13-O15-O14</f>
        <v>0</v>
      </c>
      <c r="P16" s="91">
        <f t="shared" si="6"/>
        <v>0</v>
      </c>
      <c r="Q16" s="93">
        <f aca="true" t="shared" si="9" ref="Q16:AB16">Q12-Q13-Q15-Q14</f>
        <v>-25861.928</v>
      </c>
      <c r="R16" s="93">
        <f t="shared" si="9"/>
        <v>-28977.028</v>
      </c>
      <c r="S16" s="93">
        <f t="shared" si="9"/>
        <v>-31994.028</v>
      </c>
      <c r="T16" s="93">
        <f t="shared" si="9"/>
        <v>-31877.028</v>
      </c>
      <c r="U16" s="93">
        <f t="shared" si="9"/>
        <v>-31697.028</v>
      </c>
      <c r="V16" s="93">
        <f t="shared" si="9"/>
        <v>-34660.028</v>
      </c>
      <c r="W16" s="93">
        <f t="shared" si="9"/>
        <v>-36374.028</v>
      </c>
      <c r="X16" s="93">
        <f t="shared" si="9"/>
        <v>-36239.028</v>
      </c>
      <c r="Y16" s="93">
        <f t="shared" si="9"/>
        <v>-36086.028</v>
      </c>
      <c r="Z16" s="93">
        <f t="shared" si="9"/>
        <v>-35915.028</v>
      </c>
      <c r="AA16" s="93">
        <f t="shared" si="9"/>
        <v>-35780.028</v>
      </c>
      <c r="AB16" s="93">
        <f t="shared" si="9"/>
        <v>84423.072</v>
      </c>
      <c r="AC16" s="91">
        <f t="shared" si="7"/>
        <v>-281038.13599999994</v>
      </c>
      <c r="AD16" s="93">
        <f>AD12-AD13-AD15-AD14</f>
        <v>1039264.3640000001</v>
      </c>
      <c r="AE16" s="93">
        <f>AE12-AE13-AE15-AE14</f>
        <v>1094764.364</v>
      </c>
      <c r="AF16" s="93">
        <f>AF12-AF13-AF15-AF14</f>
        <v>1168264.364</v>
      </c>
      <c r="AG16" s="93">
        <f>AG12-AG13-AG15-AG14</f>
        <v>1250764.364</v>
      </c>
    </row>
    <row r="17" spans="1:33" ht="15" customHeight="1">
      <c r="A17" s="95" t="str">
        <f>Исх!A22</f>
        <v>Корпоративный подоходный налог</v>
      </c>
      <c r="B17" s="90">
        <f t="shared" si="3"/>
        <v>854403.8640000001</v>
      </c>
      <c r="C17" s="91"/>
      <c r="D17" s="93">
        <f>D5*Исх!$C$22</f>
        <v>0</v>
      </c>
      <c r="E17" s="93"/>
      <c r="F17" s="93"/>
      <c r="G17" s="93"/>
      <c r="H17" s="93"/>
      <c r="I17" s="93">
        <f>SUM(D16:I16)*Исх!$C$22</f>
        <v>0</v>
      </c>
      <c r="J17" s="93"/>
      <c r="K17" s="93"/>
      <c r="L17" s="93"/>
      <c r="M17" s="93"/>
      <c r="N17" s="93"/>
      <c r="O17" s="93">
        <f>SUM(J16:O16)*Исх!$C$22</f>
        <v>0</v>
      </c>
      <c r="P17" s="91">
        <f>SUM(D17:O17)</f>
        <v>0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1">
        <f t="shared" si="7"/>
        <v>0</v>
      </c>
      <c r="AD17" s="93">
        <f>IF(AD16+AC19&lt;0,0,IF(AC19&lt;0,(AC19+AD16)*Исх!$C$22,AD16*Исх!$C$22))</f>
        <v>151645.24560000002</v>
      </c>
      <c r="AE17" s="93">
        <f>IF(AE16+AD19&lt;0,0,IF(AD19&lt;0,(AD19+AE16)*Исх!$C$22,AE16*Исх!$C$22))</f>
        <v>218952.8728</v>
      </c>
      <c r="AF17" s="93">
        <f>IF(AF16+AE19&lt;0,0,IF(AE19&lt;0,(AE19+AF16)*Исх!$C$22,AF16*Исх!$C$22))</f>
        <v>233652.8728</v>
      </c>
      <c r="AG17" s="93">
        <f>IF(AG16+AF19&lt;0,0,IF(AF19&lt;0,(AF19+AG16)*Исх!$C$22,AG16*Исх!$C$22))</f>
        <v>250152.8728</v>
      </c>
    </row>
    <row r="18" spans="1:33" ht="15" customHeight="1">
      <c r="A18" s="95" t="s">
        <v>3</v>
      </c>
      <c r="B18" s="90">
        <f t="shared" si="3"/>
        <v>3417615.4560000002</v>
      </c>
      <c r="C18" s="94"/>
      <c r="D18" s="93">
        <f aca="true" t="shared" si="10" ref="D18:Q18">D16-D17</f>
        <v>0</v>
      </c>
      <c r="E18" s="93">
        <f>E16-E17</f>
        <v>0</v>
      </c>
      <c r="F18" s="93">
        <f t="shared" si="10"/>
        <v>0</v>
      </c>
      <c r="G18" s="93">
        <f t="shared" si="10"/>
        <v>0</v>
      </c>
      <c r="H18" s="93">
        <f t="shared" si="10"/>
        <v>0</v>
      </c>
      <c r="I18" s="93">
        <f>I16-I17</f>
        <v>0</v>
      </c>
      <c r="J18" s="93">
        <f>J16-J17</f>
        <v>0</v>
      </c>
      <c r="K18" s="93">
        <f>K16-K17</f>
        <v>0</v>
      </c>
      <c r="L18" s="93">
        <f>L16-L17</f>
        <v>0</v>
      </c>
      <c r="M18" s="93">
        <f>M16-M17</f>
        <v>0</v>
      </c>
      <c r="N18" s="93">
        <f t="shared" si="10"/>
        <v>0</v>
      </c>
      <c r="O18" s="93">
        <f t="shared" si="10"/>
        <v>0</v>
      </c>
      <c r="P18" s="91">
        <f t="shared" si="6"/>
        <v>0</v>
      </c>
      <c r="Q18" s="93">
        <f t="shared" si="10"/>
        <v>-25861.928</v>
      </c>
      <c r="R18" s="93">
        <f aca="true" t="shared" si="11" ref="R18:AE18">R16-R17</f>
        <v>-28977.028</v>
      </c>
      <c r="S18" s="93">
        <f t="shared" si="11"/>
        <v>-31994.028</v>
      </c>
      <c r="T18" s="93">
        <f>T16-T17</f>
        <v>-31877.028</v>
      </c>
      <c r="U18" s="93">
        <f t="shared" si="11"/>
        <v>-31697.028</v>
      </c>
      <c r="V18" s="93">
        <f t="shared" si="11"/>
        <v>-34660.028</v>
      </c>
      <c r="W18" s="93">
        <f t="shared" si="11"/>
        <v>-36374.028</v>
      </c>
      <c r="X18" s="93">
        <f t="shared" si="11"/>
        <v>-36239.028</v>
      </c>
      <c r="Y18" s="93">
        <f t="shared" si="11"/>
        <v>-36086.028</v>
      </c>
      <c r="Z18" s="93">
        <f t="shared" si="11"/>
        <v>-35915.028</v>
      </c>
      <c r="AA18" s="93">
        <f t="shared" si="11"/>
        <v>-35780.028</v>
      </c>
      <c r="AB18" s="93">
        <f t="shared" si="11"/>
        <v>84423.072</v>
      </c>
      <c r="AC18" s="91">
        <f t="shared" si="7"/>
        <v>-281038.13599999994</v>
      </c>
      <c r="AD18" s="93">
        <f t="shared" si="11"/>
        <v>887619.1184</v>
      </c>
      <c r="AE18" s="93">
        <f t="shared" si="11"/>
        <v>875811.4912</v>
      </c>
      <c r="AF18" s="93">
        <f>AF16-AF17</f>
        <v>934611.4912</v>
      </c>
      <c r="AG18" s="93">
        <f>AG16-AG17</f>
        <v>1000611.4912</v>
      </c>
    </row>
    <row r="19" spans="1:33" ht="15" customHeight="1">
      <c r="A19" s="95" t="s">
        <v>28</v>
      </c>
      <c r="B19" s="96">
        <f>AG19</f>
        <v>3417615.4560000002</v>
      </c>
      <c r="C19" s="97"/>
      <c r="D19" s="93">
        <f>C19+D18</f>
        <v>0</v>
      </c>
      <c r="E19" s="93">
        <f aca="true" t="shared" si="12" ref="E19:O19">D19+E18</f>
        <v>0</v>
      </c>
      <c r="F19" s="93">
        <f t="shared" si="12"/>
        <v>0</v>
      </c>
      <c r="G19" s="93">
        <f t="shared" si="12"/>
        <v>0</v>
      </c>
      <c r="H19" s="93">
        <f t="shared" si="12"/>
        <v>0</v>
      </c>
      <c r="I19" s="93">
        <f t="shared" si="12"/>
        <v>0</v>
      </c>
      <c r="J19" s="93">
        <f>I19+J18</f>
        <v>0</v>
      </c>
      <c r="K19" s="93">
        <f>J19+K18</f>
        <v>0</v>
      </c>
      <c r="L19" s="93">
        <f>K19+L18</f>
        <v>0</v>
      </c>
      <c r="M19" s="93">
        <f>L19+M18</f>
        <v>0</v>
      </c>
      <c r="N19" s="93">
        <f t="shared" si="12"/>
        <v>0</v>
      </c>
      <c r="O19" s="93">
        <f t="shared" si="12"/>
        <v>0</v>
      </c>
      <c r="P19" s="91">
        <f>O19</f>
        <v>0</v>
      </c>
      <c r="Q19" s="93">
        <f>P19+Q18</f>
        <v>-25861.928</v>
      </c>
      <c r="R19" s="93">
        <f aca="true" t="shared" si="13" ref="R19:AA19">Q19+R18</f>
        <v>-54838.956</v>
      </c>
      <c r="S19" s="93">
        <f t="shared" si="13"/>
        <v>-86832.984</v>
      </c>
      <c r="T19" s="93">
        <f t="shared" si="13"/>
        <v>-118710.01199999999</v>
      </c>
      <c r="U19" s="93">
        <f t="shared" si="13"/>
        <v>-150407.03999999998</v>
      </c>
      <c r="V19" s="93">
        <f t="shared" si="13"/>
        <v>-185067.06799999997</v>
      </c>
      <c r="W19" s="93">
        <f t="shared" si="13"/>
        <v>-221441.09599999996</v>
      </c>
      <c r="X19" s="93">
        <f t="shared" si="13"/>
        <v>-257680.12399999995</v>
      </c>
      <c r="Y19" s="93">
        <f t="shared" si="13"/>
        <v>-293766.15199999994</v>
      </c>
      <c r="Z19" s="93">
        <f t="shared" si="13"/>
        <v>-329681.17999999993</v>
      </c>
      <c r="AA19" s="93">
        <f t="shared" si="13"/>
        <v>-365461.2079999999</v>
      </c>
      <c r="AB19" s="93">
        <f>AA19+AB18</f>
        <v>-281038.13599999994</v>
      </c>
      <c r="AC19" s="91">
        <f>AB19</f>
        <v>-281038.13599999994</v>
      </c>
      <c r="AD19" s="93">
        <f>AC19+AD18</f>
        <v>606580.9824000001</v>
      </c>
      <c r="AE19" s="93">
        <f>AD19+AE18</f>
        <v>1482392.4736000001</v>
      </c>
      <c r="AF19" s="93">
        <f>AE19+AF18</f>
        <v>2417003.9648</v>
      </c>
      <c r="AG19" s="93">
        <f>AF19+AG18</f>
        <v>3417615.4560000002</v>
      </c>
    </row>
    <row r="20" spans="1:173" ht="15" customHeight="1">
      <c r="A20" s="98"/>
      <c r="B20" s="30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</row>
    <row r="21" spans="1:31" ht="12.75" hidden="1">
      <c r="A21" s="100" t="s">
        <v>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43" s="104" customFormat="1" ht="12.75" hidden="1">
      <c r="A22" s="348" t="s">
        <v>2</v>
      </c>
      <c r="B22" s="351" t="s">
        <v>0</v>
      </c>
      <c r="C22" s="101"/>
      <c r="D22" s="342">
        <f>D3</f>
        <v>2019</v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4"/>
      <c r="Q22" s="342">
        <f>Q3</f>
        <v>2020</v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4"/>
      <c r="AD22" s="102">
        <f>AD3</f>
        <v>2021</v>
      </c>
      <c r="AE22" s="102">
        <f>AE3</f>
        <v>2022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</row>
    <row r="23" spans="1:43" s="104" customFormat="1" ht="12.75" hidden="1">
      <c r="A23" s="349"/>
      <c r="B23" s="352"/>
      <c r="C23" s="105"/>
      <c r="D23" s="106">
        <f>D4</f>
        <v>1</v>
      </c>
      <c r="E23" s="106">
        <f aca="true" t="shared" si="14" ref="E23:O23">E4</f>
        <v>2</v>
      </c>
      <c r="F23" s="106">
        <f t="shared" si="14"/>
        <v>3</v>
      </c>
      <c r="G23" s="106">
        <f t="shared" si="14"/>
        <v>4</v>
      </c>
      <c r="H23" s="106">
        <f t="shared" si="14"/>
        <v>5</v>
      </c>
      <c r="I23" s="106">
        <f t="shared" si="14"/>
        <v>6</v>
      </c>
      <c r="J23" s="106">
        <f t="shared" si="14"/>
        <v>7</v>
      </c>
      <c r="K23" s="106">
        <f t="shared" si="14"/>
        <v>8</v>
      </c>
      <c r="L23" s="106">
        <f t="shared" si="14"/>
        <v>9</v>
      </c>
      <c r="M23" s="106">
        <f t="shared" si="14"/>
        <v>10</v>
      </c>
      <c r="N23" s="106">
        <f t="shared" si="14"/>
        <v>11</v>
      </c>
      <c r="O23" s="106">
        <f t="shared" si="14"/>
        <v>12</v>
      </c>
      <c r="P23" s="107" t="s">
        <v>0</v>
      </c>
      <c r="Q23" s="106">
        <f>Q4</f>
        <v>1</v>
      </c>
      <c r="R23" s="106">
        <f aca="true" t="shared" si="15" ref="R23:AB23">R4</f>
        <v>2</v>
      </c>
      <c r="S23" s="106">
        <f t="shared" si="15"/>
        <v>3</v>
      </c>
      <c r="T23" s="106">
        <f t="shared" si="15"/>
        <v>4</v>
      </c>
      <c r="U23" s="106">
        <f t="shared" si="15"/>
        <v>5</v>
      </c>
      <c r="V23" s="106">
        <f t="shared" si="15"/>
        <v>6</v>
      </c>
      <c r="W23" s="106">
        <f t="shared" si="15"/>
        <v>7</v>
      </c>
      <c r="X23" s="106">
        <f t="shared" si="15"/>
        <v>8</v>
      </c>
      <c r="Y23" s="106">
        <f t="shared" si="15"/>
        <v>9</v>
      </c>
      <c r="Z23" s="106">
        <f t="shared" si="15"/>
        <v>10</v>
      </c>
      <c r="AA23" s="106">
        <f t="shared" si="15"/>
        <v>11</v>
      </c>
      <c r="AB23" s="106">
        <f t="shared" si="15"/>
        <v>12</v>
      </c>
      <c r="AC23" s="107" t="s">
        <v>0</v>
      </c>
      <c r="AD23" s="107" t="s">
        <v>0</v>
      </c>
      <c r="AE23" s="107" t="s">
        <v>0</v>
      </c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</row>
    <row r="24" spans="1:43" s="104" customFormat="1" ht="12.75" hidden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</row>
    <row r="25" spans="1:43" s="104" customFormat="1" ht="12.75" hidden="1">
      <c r="A25" s="108" t="s">
        <v>159</v>
      </c>
      <c r="B25" s="90">
        <f aca="true" t="shared" si="16" ref="B25:B30">P25+AC25+AD25+AE25</f>
        <v>0</v>
      </c>
      <c r="C25" s="110"/>
      <c r="D25" s="110">
        <f>D5*ндс</f>
        <v>0</v>
      </c>
      <c r="E25" s="110">
        <f>E5*ндс</f>
        <v>0</v>
      </c>
      <c r="F25" s="110">
        <f>F5*ндс</f>
        <v>0</v>
      </c>
      <c r="G25" s="110">
        <f aca="true" t="shared" si="17" ref="G25:O25">G5*ндс</f>
        <v>0</v>
      </c>
      <c r="H25" s="110">
        <f t="shared" si="17"/>
        <v>0</v>
      </c>
      <c r="I25" s="110">
        <f t="shared" si="17"/>
        <v>0</v>
      </c>
      <c r="J25" s="110">
        <f t="shared" si="17"/>
        <v>0</v>
      </c>
      <c r="K25" s="110">
        <f t="shared" si="17"/>
        <v>0</v>
      </c>
      <c r="L25" s="110">
        <f t="shared" si="17"/>
        <v>0</v>
      </c>
      <c r="M25" s="110">
        <f>M5*ндс</f>
        <v>0</v>
      </c>
      <c r="N25" s="110">
        <f t="shared" si="17"/>
        <v>0</v>
      </c>
      <c r="O25" s="110">
        <f t="shared" si="17"/>
        <v>0</v>
      </c>
      <c r="P25" s="111">
        <f>SUM(D25:O25)</f>
        <v>0</v>
      </c>
      <c r="Q25" s="110">
        <f aca="true" t="shared" si="18" ref="Q25:AB25">Q5*ндс</f>
        <v>0</v>
      </c>
      <c r="R25" s="110">
        <f t="shared" si="18"/>
        <v>0</v>
      </c>
      <c r="S25" s="110">
        <f t="shared" si="18"/>
        <v>0</v>
      </c>
      <c r="T25" s="110">
        <f t="shared" si="18"/>
        <v>0</v>
      </c>
      <c r="U25" s="110">
        <f t="shared" si="18"/>
        <v>0</v>
      </c>
      <c r="V25" s="110">
        <f t="shared" si="18"/>
        <v>0</v>
      </c>
      <c r="W25" s="110">
        <f t="shared" si="18"/>
        <v>0</v>
      </c>
      <c r="X25" s="110">
        <f t="shared" si="18"/>
        <v>0</v>
      </c>
      <c r="Y25" s="110">
        <f t="shared" si="18"/>
        <v>0</v>
      </c>
      <c r="Z25" s="110">
        <f t="shared" si="18"/>
        <v>0</v>
      </c>
      <c r="AA25" s="110">
        <f t="shared" si="18"/>
        <v>0</v>
      </c>
      <c r="AB25" s="110">
        <f t="shared" si="18"/>
        <v>0</v>
      </c>
      <c r="AC25" s="111">
        <f>SUM(Q25:AB25)</f>
        <v>0</v>
      </c>
      <c r="AD25" s="110">
        <f>AD5*ндс</f>
        <v>0</v>
      </c>
      <c r="AE25" s="110">
        <f>AE5*ндс</f>
        <v>0</v>
      </c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</row>
    <row r="26" spans="1:43" s="104" customFormat="1" ht="12.75" hidden="1">
      <c r="A26" s="108" t="s">
        <v>160</v>
      </c>
      <c r="B26" s="90">
        <f t="shared" si="16"/>
        <v>0</v>
      </c>
      <c r="C26" s="110"/>
      <c r="D26" s="110"/>
      <c r="E26" s="110"/>
      <c r="F26" s="110">
        <f>(F9+F13-Пост!$C$6-Пост!$C$16-Пост!$C$20)*ндс</f>
        <v>0</v>
      </c>
      <c r="G26" s="110">
        <f>(G9+G13-Пост!$C$6-Пост!$C$16-Пост!$C$20)*ндс</f>
        <v>0</v>
      </c>
      <c r="H26" s="110">
        <f>(H9+H13-Пост!$C$6-Пост!$C$16-Пост!$C$20)*ндс</f>
        <v>0</v>
      </c>
      <c r="I26" s="110">
        <f>(I9+I13-Пост!$C$6-Пост!$C$16-Пост!$C$20)*ндс</f>
        <v>0</v>
      </c>
      <c r="J26" s="110">
        <f>(J9+J13-Пост!$C$6-Пост!$C$16-Пост!$C$20)*ндс</f>
        <v>0</v>
      </c>
      <c r="K26" s="110">
        <f>(K9+K13-Пост!$C$6-Пост!$C$16-Пост!$C$20)*ндс</f>
        <v>0</v>
      </c>
      <c r="L26" s="110">
        <f>(L9+L13-Пост!$C$6-Пост!$C$16-Пост!$C$20)*ндс</f>
        <v>0</v>
      </c>
      <c r="M26" s="110">
        <f>(M9+M13-Пост!$C$6-Пост!$C$16-Пост!$C$20)*ндс</f>
        <v>0</v>
      </c>
      <c r="N26" s="110">
        <f>(N9+N13-Пост!$C$6-Пост!$C$16-Пост!$C$20)*ндс</f>
        <v>0</v>
      </c>
      <c r="O26" s="110">
        <f>(O9+O13-Пост!$C$6-Пост!$C$16-Пост!$C$20)*ндс</f>
        <v>0</v>
      </c>
      <c r="P26" s="111">
        <f>SUM(D26:O26)</f>
        <v>0</v>
      </c>
      <c r="Q26" s="110">
        <f>(Q9+Q13-Пост!$D$6-Пост!$D$16-Пост!$D$20)*ндс</f>
        <v>0</v>
      </c>
      <c r="R26" s="110">
        <f>(R9+R13-Пост!$D$6-Пост!$D$16-Пост!$D$20)*ндс</f>
        <v>0</v>
      </c>
      <c r="S26" s="110">
        <f>(S9+S13-Пост!$D$6-Пост!$D$16-Пост!$D$20)*ндс</f>
        <v>0</v>
      </c>
      <c r="T26" s="110">
        <f>(T9+T13-Пост!$D$6-Пост!$D$16-Пост!$D$20)*ндс</f>
        <v>0</v>
      </c>
      <c r="U26" s="110">
        <f>(U9+U13-Пост!$D$6-Пост!$D$16-Пост!$D$20)*ндс</f>
        <v>0</v>
      </c>
      <c r="V26" s="110">
        <f>(V9+V13-Пост!$D$6-Пост!$D$16-Пост!$D$20)*ндс</f>
        <v>0</v>
      </c>
      <c r="W26" s="110">
        <f>(W9+W13-Пост!$D$6-Пост!$D$16-Пост!$D$20)*ндс</f>
        <v>0</v>
      </c>
      <c r="X26" s="110">
        <f>(X9+X13-Пост!$D$6-Пост!$D$16-Пост!$D$20)*ндс</f>
        <v>0</v>
      </c>
      <c r="Y26" s="110">
        <f>(Y9+Y13-Пост!$D$6-Пост!$D$16-Пост!$D$20)*ндс</f>
        <v>0</v>
      </c>
      <c r="Z26" s="110">
        <f>(Z9+Z13-Пост!$D$6-Пост!$D$16-Пост!$D$20)*ндс</f>
        <v>0</v>
      </c>
      <c r="AA26" s="110">
        <f>(AA9+AA13-Пост!$D$6-Пост!$D$16-Пост!$D$20)*ндс</f>
        <v>0</v>
      </c>
      <c r="AB26" s="110">
        <f>(AB9+AB13-Пост!$D$6-Пост!$D$16-Пост!$D$20)*ндс</f>
        <v>0</v>
      </c>
      <c r="AC26" s="111">
        <f>SUM(Q26:AB26)</f>
        <v>0</v>
      </c>
      <c r="AD26" s="110">
        <f>(AD9+AD13-(Пост!E6+Пост!E16+Пост!E20)*12)*ндс</f>
        <v>0</v>
      </c>
      <c r="AE26" s="110">
        <f>(AE9+AE13-(Пост!F6+Пост!F16+Пост!F20)*12)*ндс</f>
        <v>0</v>
      </c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</row>
    <row r="27" spans="1:43" s="104" customFormat="1" ht="12.75" hidden="1">
      <c r="A27" s="108" t="s">
        <v>161</v>
      </c>
      <c r="B27" s="90">
        <f t="shared" si="16"/>
        <v>0</v>
      </c>
      <c r="C27" s="110"/>
      <c r="D27" s="110">
        <f>Инв!E18/Исх!$C$21*ндс</f>
        <v>0</v>
      </c>
      <c r="E27" s="110">
        <f>Инв!F18/Исх!$C$21*ндс</f>
        <v>0</v>
      </c>
      <c r="F27" s="110">
        <f>Инв!G18/Исх!$C$21*ндс</f>
        <v>0</v>
      </c>
      <c r="G27" s="110">
        <f>Инв!H18/Исх!$C$21*ндс</f>
        <v>0</v>
      </c>
      <c r="H27" s="110">
        <f>Инв!I18/Исх!$C$21*ндс</f>
        <v>0</v>
      </c>
      <c r="I27" s="110">
        <f>Инв!J18/Исх!$C$21*ндс</f>
        <v>0</v>
      </c>
      <c r="J27" s="110">
        <f>Инв!K18/Исх!$C$21*ндс</f>
        <v>0</v>
      </c>
      <c r="K27" s="110">
        <f>Инв!L18/Исх!$C$21*ндс</f>
        <v>0</v>
      </c>
      <c r="L27" s="110">
        <f>Инв!M18/Исх!$C$21*ндс</f>
        <v>0</v>
      </c>
      <c r="M27" s="110">
        <f>Инв!N18/Исх!$C$21*ндс</f>
        <v>0</v>
      </c>
      <c r="N27" s="110">
        <f>Инв!O18/Исх!$C$21*ндс</f>
        <v>0</v>
      </c>
      <c r="O27" s="110">
        <f>Инв!P18/Исх!$C$21*ндс</f>
        <v>0</v>
      </c>
      <c r="P27" s="111">
        <f>SUM(D27:O27)</f>
        <v>0</v>
      </c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111"/>
      <c r="AE27" s="111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</row>
    <row r="28" spans="1:43" s="104" customFormat="1" ht="12.75" hidden="1">
      <c r="A28" s="108" t="s">
        <v>26</v>
      </c>
      <c r="B28" s="90">
        <f t="shared" si="16"/>
        <v>0</v>
      </c>
      <c r="C28" s="110"/>
      <c r="D28" s="110">
        <f>D25-D26-D27</f>
        <v>0</v>
      </c>
      <c r="E28" s="110">
        <f aca="true" t="shared" si="19" ref="E28:O28">E25-E26-E27</f>
        <v>0</v>
      </c>
      <c r="F28" s="110">
        <f t="shared" si="19"/>
        <v>0</v>
      </c>
      <c r="G28" s="110">
        <f t="shared" si="19"/>
        <v>0</v>
      </c>
      <c r="H28" s="110">
        <f t="shared" si="19"/>
        <v>0</v>
      </c>
      <c r="I28" s="110">
        <f t="shared" si="19"/>
        <v>0</v>
      </c>
      <c r="J28" s="110">
        <f t="shared" si="19"/>
        <v>0</v>
      </c>
      <c r="K28" s="110">
        <f t="shared" si="19"/>
        <v>0</v>
      </c>
      <c r="L28" s="110">
        <f t="shared" si="19"/>
        <v>0</v>
      </c>
      <c r="M28" s="110">
        <f t="shared" si="19"/>
        <v>0</v>
      </c>
      <c r="N28" s="110">
        <f t="shared" si="19"/>
        <v>0</v>
      </c>
      <c r="O28" s="110">
        <f t="shared" si="19"/>
        <v>0</v>
      </c>
      <c r="P28" s="111">
        <f>SUM(D28:O28)</f>
        <v>0</v>
      </c>
      <c r="Q28" s="110">
        <f aca="true" t="shared" si="20" ref="Q28:AB28">Q25-Q26-Q27</f>
        <v>0</v>
      </c>
      <c r="R28" s="110">
        <f t="shared" si="20"/>
        <v>0</v>
      </c>
      <c r="S28" s="110">
        <f t="shared" si="20"/>
        <v>0</v>
      </c>
      <c r="T28" s="110">
        <f t="shared" si="20"/>
        <v>0</v>
      </c>
      <c r="U28" s="110">
        <f t="shared" si="20"/>
        <v>0</v>
      </c>
      <c r="V28" s="110">
        <f t="shared" si="20"/>
        <v>0</v>
      </c>
      <c r="W28" s="110">
        <f t="shared" si="20"/>
        <v>0</v>
      </c>
      <c r="X28" s="110">
        <f t="shared" si="20"/>
        <v>0</v>
      </c>
      <c r="Y28" s="110">
        <f t="shared" si="20"/>
        <v>0</v>
      </c>
      <c r="Z28" s="110">
        <f t="shared" si="20"/>
        <v>0</v>
      </c>
      <c r="AA28" s="110">
        <f t="shared" si="20"/>
        <v>0</v>
      </c>
      <c r="AB28" s="110">
        <f t="shared" si="20"/>
        <v>0</v>
      </c>
      <c r="AC28" s="111">
        <f>SUM(Q28:AB28)</f>
        <v>0</v>
      </c>
      <c r="AD28" s="110">
        <f>AD25-AD26-AD27</f>
        <v>0</v>
      </c>
      <c r="AE28" s="110">
        <f>AE25-AE26-AE27</f>
        <v>0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</row>
    <row r="29" spans="1:43" s="104" customFormat="1" ht="12.75" hidden="1">
      <c r="A29" s="108" t="s">
        <v>162</v>
      </c>
      <c r="B29" s="96">
        <f>AE29</f>
        <v>0</v>
      </c>
      <c r="C29" s="110"/>
      <c r="D29" s="110">
        <f>D28</f>
        <v>0</v>
      </c>
      <c r="E29" s="110">
        <f>D29+E28</f>
        <v>0</v>
      </c>
      <c r="F29" s="110">
        <f aca="true" t="shared" si="21" ref="F29:O29">E29+F28</f>
        <v>0</v>
      </c>
      <c r="G29" s="110">
        <f t="shared" si="21"/>
        <v>0</v>
      </c>
      <c r="H29" s="110">
        <f t="shared" si="21"/>
        <v>0</v>
      </c>
      <c r="I29" s="110">
        <f t="shared" si="21"/>
        <v>0</v>
      </c>
      <c r="J29" s="110">
        <f t="shared" si="21"/>
        <v>0</v>
      </c>
      <c r="K29" s="110">
        <f t="shared" si="21"/>
        <v>0</v>
      </c>
      <c r="L29" s="110">
        <f t="shared" si="21"/>
        <v>0</v>
      </c>
      <c r="M29" s="110">
        <f t="shared" si="21"/>
        <v>0</v>
      </c>
      <c r="N29" s="110">
        <f t="shared" si="21"/>
        <v>0</v>
      </c>
      <c r="O29" s="110">
        <f t="shared" si="21"/>
        <v>0</v>
      </c>
      <c r="P29" s="111">
        <f>O29</f>
        <v>0</v>
      </c>
      <c r="Q29" s="110">
        <f aca="true" t="shared" si="22" ref="Q29:AB29">P29+Q28</f>
        <v>0</v>
      </c>
      <c r="R29" s="110">
        <f t="shared" si="22"/>
        <v>0</v>
      </c>
      <c r="S29" s="110">
        <f t="shared" si="22"/>
        <v>0</v>
      </c>
      <c r="T29" s="110">
        <f t="shared" si="22"/>
        <v>0</v>
      </c>
      <c r="U29" s="110">
        <f t="shared" si="22"/>
        <v>0</v>
      </c>
      <c r="V29" s="110">
        <f t="shared" si="22"/>
        <v>0</v>
      </c>
      <c r="W29" s="110">
        <f t="shared" si="22"/>
        <v>0</v>
      </c>
      <c r="X29" s="110">
        <f t="shared" si="22"/>
        <v>0</v>
      </c>
      <c r="Y29" s="110">
        <f t="shared" si="22"/>
        <v>0</v>
      </c>
      <c r="Z29" s="110">
        <f t="shared" si="22"/>
        <v>0</v>
      </c>
      <c r="AA29" s="110">
        <f t="shared" si="22"/>
        <v>0</v>
      </c>
      <c r="AB29" s="110">
        <f t="shared" si="22"/>
        <v>0</v>
      </c>
      <c r="AC29" s="111">
        <f>AB29</f>
        <v>0</v>
      </c>
      <c r="AD29" s="110">
        <f>AC29+AD28</f>
        <v>0</v>
      </c>
      <c r="AE29" s="110">
        <f>AD29+AE28</f>
        <v>0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</row>
    <row r="30" spans="1:43" s="104" customFormat="1" ht="12.75" hidden="1">
      <c r="A30" s="108" t="s">
        <v>163</v>
      </c>
      <c r="B30" s="90">
        <f t="shared" si="16"/>
        <v>0</v>
      </c>
      <c r="C30" s="110"/>
      <c r="D30" s="110">
        <f>IF(C29+D28&gt;=0,IF(C29&lt;0,C29+D28,D28),0)</f>
        <v>0</v>
      </c>
      <c r="E30" s="110">
        <f aca="true" t="shared" si="23" ref="E30:AE30">IF(D29+E28&gt;=0,IF(D29&lt;0,D29+E28,E28),0)</f>
        <v>0</v>
      </c>
      <c r="F30" s="110">
        <f t="shared" si="23"/>
        <v>0</v>
      </c>
      <c r="G30" s="110">
        <f t="shared" si="23"/>
        <v>0</v>
      </c>
      <c r="H30" s="110">
        <f t="shared" si="23"/>
        <v>0</v>
      </c>
      <c r="I30" s="110">
        <f t="shared" si="23"/>
        <v>0</v>
      </c>
      <c r="J30" s="110">
        <f t="shared" si="23"/>
        <v>0</v>
      </c>
      <c r="K30" s="110">
        <f t="shared" si="23"/>
        <v>0</v>
      </c>
      <c r="L30" s="110">
        <f t="shared" si="23"/>
        <v>0</v>
      </c>
      <c r="M30" s="110">
        <f t="shared" si="23"/>
        <v>0</v>
      </c>
      <c r="N30" s="110">
        <f t="shared" si="23"/>
        <v>0</v>
      </c>
      <c r="O30" s="110">
        <f t="shared" si="23"/>
        <v>0</v>
      </c>
      <c r="P30" s="111">
        <f>SUM(D30:O30)</f>
        <v>0</v>
      </c>
      <c r="Q30" s="110">
        <f t="shared" si="23"/>
        <v>0</v>
      </c>
      <c r="R30" s="110">
        <f t="shared" si="23"/>
        <v>0</v>
      </c>
      <c r="S30" s="110">
        <f t="shared" si="23"/>
        <v>0</v>
      </c>
      <c r="T30" s="110">
        <f t="shared" si="23"/>
        <v>0</v>
      </c>
      <c r="U30" s="110">
        <f t="shared" si="23"/>
        <v>0</v>
      </c>
      <c r="V30" s="110">
        <f t="shared" si="23"/>
        <v>0</v>
      </c>
      <c r="W30" s="110">
        <f t="shared" si="23"/>
        <v>0</v>
      </c>
      <c r="X30" s="110">
        <f t="shared" si="23"/>
        <v>0</v>
      </c>
      <c r="Y30" s="110">
        <f t="shared" si="23"/>
        <v>0</v>
      </c>
      <c r="Z30" s="110">
        <f t="shared" si="23"/>
        <v>0</v>
      </c>
      <c r="AA30" s="110">
        <f t="shared" si="23"/>
        <v>0</v>
      </c>
      <c r="AB30" s="110">
        <f t="shared" si="23"/>
        <v>0</v>
      </c>
      <c r="AC30" s="111">
        <f>SUM(Q30:AB30)</f>
        <v>0</v>
      </c>
      <c r="AD30" s="110">
        <f t="shared" si="23"/>
        <v>0</v>
      </c>
      <c r="AE30" s="110">
        <f t="shared" si="23"/>
        <v>0</v>
      </c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</row>
    <row r="32" ht="12.75">
      <c r="B32" s="112">
        <f>B25-B26-B27</f>
        <v>0</v>
      </c>
    </row>
    <row r="33" spans="1:2" ht="12.75" hidden="1">
      <c r="A33" s="82" t="s">
        <v>218</v>
      </c>
      <c r="B33" s="248">
        <f>B18*20%</f>
        <v>683523.0912000001</v>
      </c>
    </row>
    <row r="34" spans="1:2" ht="12.75" hidden="1">
      <c r="A34" s="82" t="s">
        <v>219</v>
      </c>
      <c r="B34" s="248">
        <f>(ФОТ!K25-ФОТ!F25)*11%*12*6.5</f>
        <v>66285.64800000002</v>
      </c>
    </row>
    <row r="35" spans="1:2" ht="12.75" hidden="1">
      <c r="A35" s="83" t="s">
        <v>84</v>
      </c>
      <c r="B35" s="249">
        <f>SUM(B33:B34)</f>
        <v>749808.7392000002</v>
      </c>
    </row>
    <row r="36" spans="1:2" ht="12.75" hidden="1">
      <c r="A36" s="82" t="s">
        <v>220</v>
      </c>
      <c r="B36" s="248">
        <f>B35-B17</f>
        <v>-104595.12479999987</v>
      </c>
    </row>
    <row r="37" ht="12.75" hidden="1"/>
  </sheetData>
  <sheetProtection/>
  <mergeCells count="8">
    <mergeCell ref="Q22:AC22"/>
    <mergeCell ref="Q3:AC3"/>
    <mergeCell ref="A3:A4"/>
    <mergeCell ref="A22:A23"/>
    <mergeCell ref="B3:B4"/>
    <mergeCell ref="D22:P22"/>
    <mergeCell ref="B22:B23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X41"/>
  <sheetViews>
    <sheetView showGridLines="0" showZeros="0" zoomScalePageLayoutView="0" workbookViewId="0" topLeftCell="A1">
      <pane xSplit="3" ySplit="4" topLeftCell="V14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K16" sqref="AK16"/>
    </sheetView>
  </sheetViews>
  <sheetFormatPr defaultColWidth="10.125" defaultRowHeight="12.75" outlineLevelCol="1"/>
  <cols>
    <col min="1" max="1" width="38.125" style="114" customWidth="1"/>
    <col min="2" max="2" width="2.375" style="114" customWidth="1"/>
    <col min="3" max="3" width="7.125" style="114" customWidth="1"/>
    <col min="4" max="4" width="11.375" style="114" hidden="1" customWidth="1" outlineLevel="1"/>
    <col min="5" max="5" width="7.375" style="114" hidden="1" customWidth="1" outlineLevel="1"/>
    <col min="6" max="6" width="7.625" style="114" hidden="1" customWidth="1" outlineLevel="1"/>
    <col min="7" max="11" width="8.125" style="114" hidden="1" customWidth="1" outlineLevel="1"/>
    <col min="12" max="12" width="8.00390625" style="114" hidden="1" customWidth="1" outlineLevel="1"/>
    <col min="13" max="13" width="7.875" style="114" hidden="1" customWidth="1" outlineLevel="1"/>
    <col min="14" max="15" width="8.125" style="114" hidden="1" customWidth="1" outlineLevel="1"/>
    <col min="16" max="16" width="9.875" style="114" customWidth="1" collapsed="1"/>
    <col min="17" max="23" width="8.375" style="114" hidden="1" customWidth="1" outlineLevel="1"/>
    <col min="24" max="25" width="8.75390625" style="114" hidden="1" customWidth="1" outlineLevel="1"/>
    <col min="26" max="26" width="8.625" style="114" hidden="1" customWidth="1" outlineLevel="1"/>
    <col min="27" max="27" width="9.00390625" style="114" hidden="1" customWidth="1" outlineLevel="1"/>
    <col min="28" max="28" width="9.125" style="114" hidden="1" customWidth="1" outlineLevel="1"/>
    <col min="29" max="29" width="10.125" style="114" customWidth="1" collapsed="1"/>
    <col min="30" max="30" width="9.875" style="114" customWidth="1"/>
    <col min="31" max="31" width="9.75390625" style="114" customWidth="1"/>
    <col min="32" max="16384" width="10.125" style="114" customWidth="1"/>
  </cols>
  <sheetData>
    <row r="1" spans="1:3" ht="12.75">
      <c r="A1" s="59" t="s">
        <v>110</v>
      </c>
      <c r="B1" s="113"/>
      <c r="C1" s="113"/>
    </row>
    <row r="2" spans="1:31" ht="17.25" customHeight="1">
      <c r="A2" s="59"/>
      <c r="C2" s="12" t="str">
        <f>Исх!$C$12</f>
        <v>$ USD</v>
      </c>
      <c r="P2" s="115"/>
      <c r="AC2" s="115"/>
      <c r="AD2" s="115"/>
      <c r="AE2" s="115"/>
    </row>
    <row r="3" spans="1:33" ht="12.75" customHeight="1">
      <c r="A3" s="353" t="s">
        <v>2</v>
      </c>
      <c r="B3" s="355"/>
      <c r="C3" s="117"/>
      <c r="D3" s="356">
        <v>2015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>
        <v>2016</v>
      </c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118">
        <f>Q3+1</f>
        <v>2017</v>
      </c>
      <c r="AE3" s="118">
        <f>AD3+1</f>
        <v>2018</v>
      </c>
      <c r="AF3" s="118">
        <f>AE3+1</f>
        <v>2019</v>
      </c>
      <c r="AG3" s="118">
        <f>AF3+1</f>
        <v>2020</v>
      </c>
    </row>
    <row r="4" spans="1:33" ht="12.75">
      <c r="A4" s="354"/>
      <c r="B4" s="355"/>
      <c r="C4" s="119"/>
      <c r="D4" s="120">
        <v>1</v>
      </c>
      <c r="E4" s="120">
        <f>D4+1</f>
        <v>2</v>
      </c>
      <c r="F4" s="120">
        <f aca="true" t="shared" si="0" ref="F4:O4">E4+1</f>
        <v>3</v>
      </c>
      <c r="G4" s="120">
        <f t="shared" si="0"/>
        <v>4</v>
      </c>
      <c r="H4" s="120">
        <f t="shared" si="0"/>
        <v>5</v>
      </c>
      <c r="I4" s="120">
        <f t="shared" si="0"/>
        <v>6</v>
      </c>
      <c r="J4" s="120">
        <f t="shared" si="0"/>
        <v>7</v>
      </c>
      <c r="K4" s="120">
        <f t="shared" si="0"/>
        <v>8</v>
      </c>
      <c r="L4" s="120">
        <f t="shared" si="0"/>
        <v>9</v>
      </c>
      <c r="M4" s="120">
        <f t="shared" si="0"/>
        <v>10</v>
      </c>
      <c r="N4" s="120">
        <f t="shared" si="0"/>
        <v>11</v>
      </c>
      <c r="O4" s="120">
        <f t="shared" si="0"/>
        <v>12</v>
      </c>
      <c r="P4" s="116" t="s">
        <v>0</v>
      </c>
      <c r="Q4" s="120">
        <v>1</v>
      </c>
      <c r="R4" s="120">
        <f aca="true" t="shared" si="1" ref="R4:AB4">Q4+1</f>
        <v>2</v>
      </c>
      <c r="S4" s="120">
        <f t="shared" si="1"/>
        <v>3</v>
      </c>
      <c r="T4" s="120">
        <f t="shared" si="1"/>
        <v>4</v>
      </c>
      <c r="U4" s="120">
        <f t="shared" si="1"/>
        <v>5</v>
      </c>
      <c r="V4" s="120">
        <f t="shared" si="1"/>
        <v>6</v>
      </c>
      <c r="W4" s="120">
        <f t="shared" si="1"/>
        <v>7</v>
      </c>
      <c r="X4" s="120">
        <f t="shared" si="1"/>
        <v>8</v>
      </c>
      <c r="Y4" s="120">
        <f t="shared" si="1"/>
        <v>9</v>
      </c>
      <c r="Z4" s="120">
        <f t="shared" si="1"/>
        <v>10</v>
      </c>
      <c r="AA4" s="120">
        <f t="shared" si="1"/>
        <v>11</v>
      </c>
      <c r="AB4" s="120">
        <f t="shared" si="1"/>
        <v>12</v>
      </c>
      <c r="AC4" s="116" t="s">
        <v>0</v>
      </c>
      <c r="AD4" s="116" t="s">
        <v>106</v>
      </c>
      <c r="AE4" s="116" t="s">
        <v>106</v>
      </c>
      <c r="AF4" s="116" t="s">
        <v>106</v>
      </c>
      <c r="AG4" s="116" t="s">
        <v>106</v>
      </c>
    </row>
    <row r="5" spans="1:38" s="125" customFormat="1" ht="15" customHeight="1">
      <c r="A5" s="121" t="s">
        <v>111</v>
      </c>
      <c r="B5" s="122"/>
      <c r="C5" s="123">
        <f>C11+C6</f>
        <v>0</v>
      </c>
      <c r="D5" s="123">
        <f>D11+D6</f>
        <v>0</v>
      </c>
      <c r="E5" s="123">
        <f aca="true" t="shared" si="2" ref="E5:AE5">E11+E6</f>
        <v>0</v>
      </c>
      <c r="F5" s="123">
        <f t="shared" si="2"/>
        <v>0</v>
      </c>
      <c r="G5" s="123">
        <f t="shared" si="2"/>
        <v>0</v>
      </c>
      <c r="H5" s="123">
        <f t="shared" si="2"/>
        <v>0</v>
      </c>
      <c r="I5" s="123">
        <f t="shared" si="2"/>
        <v>0</v>
      </c>
      <c r="J5" s="123">
        <f t="shared" si="2"/>
        <v>0</v>
      </c>
      <c r="K5" s="123">
        <f t="shared" si="2"/>
        <v>0</v>
      </c>
      <c r="L5" s="123">
        <f>L11+L6</f>
        <v>0</v>
      </c>
      <c r="M5" s="123">
        <f t="shared" si="2"/>
        <v>0</v>
      </c>
      <c r="N5" s="123">
        <f t="shared" si="2"/>
        <v>0</v>
      </c>
      <c r="O5" s="123">
        <f t="shared" si="2"/>
        <v>148800</v>
      </c>
      <c r="P5" s="123">
        <f t="shared" si="2"/>
        <v>148800</v>
      </c>
      <c r="Q5" s="123">
        <f t="shared" si="2"/>
        <v>497938.072</v>
      </c>
      <c r="R5" s="123">
        <f t="shared" si="2"/>
        <v>843961.044</v>
      </c>
      <c r="S5" s="123">
        <f t="shared" si="2"/>
        <v>811967.016</v>
      </c>
      <c r="T5" s="123">
        <f t="shared" si="2"/>
        <v>780089.9879999999</v>
      </c>
      <c r="U5" s="123">
        <f t="shared" si="2"/>
        <v>1123392.96</v>
      </c>
      <c r="V5" s="123">
        <f t="shared" si="2"/>
        <v>1314932.9319999998</v>
      </c>
      <c r="W5" s="123">
        <f t="shared" si="2"/>
        <v>1278558.9039999999</v>
      </c>
      <c r="X5" s="123">
        <f t="shared" si="2"/>
        <v>1242319.876</v>
      </c>
      <c r="Y5" s="123">
        <f t="shared" si="2"/>
        <v>1206233.848</v>
      </c>
      <c r="Z5" s="123">
        <f t="shared" si="2"/>
        <v>1170318.8199999998</v>
      </c>
      <c r="AA5" s="123">
        <f t="shared" si="2"/>
        <v>1134538.792</v>
      </c>
      <c r="AB5" s="123">
        <f t="shared" si="2"/>
        <v>1218961.8639999998</v>
      </c>
      <c r="AC5" s="123">
        <f t="shared" si="2"/>
        <v>1218961.8639999998</v>
      </c>
      <c r="AD5" s="123">
        <f>AD11+AD6</f>
        <v>1731580.9823999999</v>
      </c>
      <c r="AE5" s="123">
        <f t="shared" si="2"/>
        <v>2232392.4736</v>
      </c>
      <c r="AF5" s="123">
        <f>AF11+AF6</f>
        <v>2792003.9648</v>
      </c>
      <c r="AG5" s="123">
        <f>AG11+AG6</f>
        <v>3417615.4560000002</v>
      </c>
      <c r="AH5" s="124"/>
      <c r="AI5" s="124"/>
      <c r="AJ5" s="124"/>
      <c r="AK5" s="124"/>
      <c r="AL5" s="124"/>
    </row>
    <row r="6" spans="1:33" s="125" customFormat="1" ht="15" customHeight="1">
      <c r="A6" s="121" t="s">
        <v>112</v>
      </c>
      <c r="B6" s="122"/>
      <c r="C6" s="123">
        <f>SUM(C7:C10)</f>
        <v>0</v>
      </c>
      <c r="D6" s="123">
        <f>SUM(D7:D10)</f>
        <v>0</v>
      </c>
      <c r="E6" s="123">
        <f aca="true" t="shared" si="3" ref="E6:AE6">SUM(E7:E10)</f>
        <v>0</v>
      </c>
      <c r="F6" s="123">
        <f t="shared" si="3"/>
        <v>0</v>
      </c>
      <c r="G6" s="123">
        <f t="shared" si="3"/>
        <v>0</v>
      </c>
      <c r="H6" s="123">
        <f t="shared" si="3"/>
        <v>0</v>
      </c>
      <c r="I6" s="123">
        <f t="shared" si="3"/>
        <v>0</v>
      </c>
      <c r="J6" s="123">
        <f t="shared" si="3"/>
        <v>0</v>
      </c>
      <c r="K6" s="123">
        <f t="shared" si="3"/>
        <v>0</v>
      </c>
      <c r="L6" s="123">
        <f t="shared" si="3"/>
        <v>0</v>
      </c>
      <c r="M6" s="123">
        <f t="shared" si="3"/>
        <v>0</v>
      </c>
      <c r="N6" s="123">
        <f t="shared" si="3"/>
        <v>0</v>
      </c>
      <c r="O6" s="123">
        <f t="shared" si="3"/>
        <v>0</v>
      </c>
      <c r="P6" s="123">
        <f t="shared" si="3"/>
        <v>0</v>
      </c>
      <c r="Q6" s="123">
        <f t="shared" si="3"/>
        <v>350378.072</v>
      </c>
      <c r="R6" s="123">
        <f t="shared" si="3"/>
        <v>697641.044</v>
      </c>
      <c r="S6" s="123">
        <f t="shared" si="3"/>
        <v>666887.016</v>
      </c>
      <c r="T6" s="123">
        <f t="shared" si="3"/>
        <v>636249.9879999999</v>
      </c>
      <c r="U6" s="123">
        <f t="shared" si="3"/>
        <v>980792.9599999998</v>
      </c>
      <c r="V6" s="123">
        <f t="shared" si="3"/>
        <v>1173572.9319999998</v>
      </c>
      <c r="W6" s="123">
        <f t="shared" si="3"/>
        <v>1138438.9039999999</v>
      </c>
      <c r="X6" s="123">
        <f t="shared" si="3"/>
        <v>1103439.876</v>
      </c>
      <c r="Y6" s="123">
        <f t="shared" si="3"/>
        <v>1068593.848</v>
      </c>
      <c r="Z6" s="123">
        <f t="shared" si="3"/>
        <v>1033918.82</v>
      </c>
      <c r="AA6" s="123">
        <f t="shared" si="3"/>
        <v>999378.7919999999</v>
      </c>
      <c r="AB6" s="123">
        <f t="shared" si="3"/>
        <v>1085041.8639999998</v>
      </c>
      <c r="AC6" s="123">
        <f t="shared" si="3"/>
        <v>1085041.8639999998</v>
      </c>
      <c r="AD6" s="123">
        <f t="shared" si="3"/>
        <v>1612540.9823999999</v>
      </c>
      <c r="AE6" s="123">
        <f t="shared" si="3"/>
        <v>2128232.4736</v>
      </c>
      <c r="AF6" s="123">
        <f>SUM(AF7:AF10)</f>
        <v>2702723.9648</v>
      </c>
      <c r="AG6" s="123">
        <f>SUM(AG7:AG10)</f>
        <v>3343215.4560000002</v>
      </c>
    </row>
    <row r="7" spans="1:33" ht="15" customHeight="1">
      <c r="A7" s="126" t="s">
        <v>113</v>
      </c>
      <c r="B7" s="122"/>
      <c r="C7" s="127"/>
      <c r="D7" s="127">
        <f>'1-Ф3'!D34</f>
        <v>0</v>
      </c>
      <c r="E7" s="127">
        <f>'1-Ф3'!E34</f>
        <v>0</v>
      </c>
      <c r="F7" s="127">
        <f>'1-Ф3'!F34</f>
        <v>0</v>
      </c>
      <c r="G7" s="127">
        <f>'1-Ф3'!G34</f>
        <v>0</v>
      </c>
      <c r="H7" s="127">
        <f>'1-Ф3'!H34</f>
        <v>0</v>
      </c>
      <c r="I7" s="127">
        <f>'1-Ф3'!I34</f>
        <v>0</v>
      </c>
      <c r="J7" s="127">
        <f>'1-Ф3'!J34</f>
        <v>0</v>
      </c>
      <c r="K7" s="127">
        <f>'1-Ф3'!K34</f>
        <v>0</v>
      </c>
      <c r="L7" s="127">
        <f>'1-Ф3'!L34</f>
        <v>0</v>
      </c>
      <c r="M7" s="127">
        <f>'1-Ф3'!M34</f>
        <v>0</v>
      </c>
      <c r="N7" s="127">
        <f>'1-Ф3'!N34</f>
        <v>0</v>
      </c>
      <c r="O7" s="127">
        <f>'1-Ф3'!O34</f>
        <v>0</v>
      </c>
      <c r="P7" s="127">
        <f>'1-Ф3'!P34</f>
        <v>0</v>
      </c>
      <c r="Q7" s="127">
        <f>'1-Ф3'!Q34</f>
        <v>349678.072</v>
      </c>
      <c r="R7" s="127">
        <f>'1-Ф3'!R34</f>
        <v>696831.044</v>
      </c>
      <c r="S7" s="127">
        <f>'1-Ф3'!S34</f>
        <v>664877.016</v>
      </c>
      <c r="T7" s="127">
        <f>'1-Ф3'!T34</f>
        <v>632939.9879999999</v>
      </c>
      <c r="U7" s="127">
        <f>'1-Ф3'!U34</f>
        <v>975482.9599999998</v>
      </c>
      <c r="V7" s="127">
        <f>'1-Ф3'!V34</f>
        <v>1166462.9319999998</v>
      </c>
      <c r="W7" s="127">
        <f>'1-Ф3'!W34</f>
        <v>1129428.9039999999</v>
      </c>
      <c r="X7" s="127">
        <f>'1-Ф3'!X34</f>
        <v>1092929.876</v>
      </c>
      <c r="Y7" s="127">
        <f>'1-Ф3'!Y34</f>
        <v>1056383.848</v>
      </c>
      <c r="Z7" s="127">
        <f>'1-Ф3'!Z34</f>
        <v>1019808.82</v>
      </c>
      <c r="AA7" s="127">
        <f>'1-Ф3'!AA34</f>
        <v>983768.7919999999</v>
      </c>
      <c r="AB7" s="127">
        <f>'1-Ф3'!AB34</f>
        <v>-266158.1360000002</v>
      </c>
      <c r="AC7" s="127">
        <f>'1-Ф3'!AC34</f>
        <v>-266158.1360000002</v>
      </c>
      <c r="AD7" s="127">
        <f>'1-Ф3'!AD34</f>
        <v>161340.98239999986</v>
      </c>
      <c r="AE7" s="127">
        <f>'1-Ф3'!AE34</f>
        <v>477032.4735999999</v>
      </c>
      <c r="AF7" s="127">
        <f>'1-Ф3'!AF34</f>
        <v>651523.9648</v>
      </c>
      <c r="AG7" s="127">
        <f>'1-Ф3'!AG34</f>
        <v>792015.456</v>
      </c>
    </row>
    <row r="8" spans="1:33" ht="15" customHeight="1">
      <c r="A8" s="126" t="s">
        <v>114</v>
      </c>
      <c r="B8" s="122"/>
      <c r="C8" s="127"/>
      <c r="D8" s="127">
        <f>C8+'2-ф2'!D5-'1-Ф3'!D9/Исх!$C$21</f>
        <v>0</v>
      </c>
      <c r="E8" s="127">
        <f>D8+'2-ф2'!E5-'1-Ф3'!E9/Исх!$C$21</f>
        <v>0</v>
      </c>
      <c r="F8" s="127">
        <f>'Оборотный капитал'!F7+'Оборотный капитал'!F22</f>
        <v>0</v>
      </c>
      <c r="G8" s="127">
        <f>'Оборотный капитал'!G7+'Оборотный капитал'!G22</f>
        <v>0</v>
      </c>
      <c r="H8" s="127">
        <f>'Оборотный капитал'!H7+'Оборотный капитал'!H22</f>
        <v>0</v>
      </c>
      <c r="I8" s="127">
        <f>'Оборотный капитал'!I7+'Оборотный капитал'!I22</f>
        <v>0</v>
      </c>
      <c r="J8" s="127">
        <f>'Оборотный капитал'!J7+'Оборотный капитал'!J22</f>
        <v>0</v>
      </c>
      <c r="K8" s="127">
        <f>'Оборотный капитал'!K7+'Оборотный капитал'!K22</f>
        <v>0</v>
      </c>
      <c r="L8" s="127">
        <f>'Оборотный капитал'!L7+'Оборотный капитал'!L22</f>
        <v>0</v>
      </c>
      <c r="M8" s="127">
        <f>'Оборотный капитал'!M7+'Оборотный капитал'!M22</f>
        <v>0</v>
      </c>
      <c r="N8" s="127">
        <f>'Оборотный капитал'!N7+'Оборотный капитал'!N22</f>
        <v>0</v>
      </c>
      <c r="O8" s="127">
        <f>'1-Ф3'!O30</f>
        <v>0</v>
      </c>
      <c r="P8" s="127">
        <f>O8</f>
        <v>0</v>
      </c>
      <c r="Q8" s="127">
        <f>'1-Ф3'!Q30</f>
        <v>700</v>
      </c>
      <c r="R8" s="127">
        <f>'1-Ф3'!R30+Q8</f>
        <v>810</v>
      </c>
      <c r="S8" s="127">
        <f>'1-Ф3'!S30+R8</f>
        <v>2010</v>
      </c>
      <c r="T8" s="127">
        <f>'1-Ф3'!T30+S8</f>
        <v>3310</v>
      </c>
      <c r="U8" s="127">
        <f>'1-Ф3'!U30+T8</f>
        <v>5310</v>
      </c>
      <c r="V8" s="127">
        <f>'1-Ф3'!V30+U8</f>
        <v>7110</v>
      </c>
      <c r="W8" s="127">
        <f>'1-Ф3'!W30+V8</f>
        <v>9010</v>
      </c>
      <c r="X8" s="127">
        <f>'1-Ф3'!X30+W8</f>
        <v>10510</v>
      </c>
      <c r="Y8" s="127">
        <f>'1-Ф3'!Y30+X8</f>
        <v>12210</v>
      </c>
      <c r="Z8" s="127">
        <f>'1-Ф3'!Z30+Y8</f>
        <v>14110</v>
      </c>
      <c r="AA8" s="127">
        <f>'1-Ф3'!AA30+Z8</f>
        <v>15610</v>
      </c>
      <c r="AB8" s="127">
        <f>'1-Ф3'!AB30+AA8</f>
        <v>1351200</v>
      </c>
      <c r="AC8" s="127">
        <f>AB8</f>
        <v>1351200</v>
      </c>
      <c r="AD8" s="127">
        <f>'1-Ф3'!AD30+AC8</f>
        <v>1451200</v>
      </c>
      <c r="AE8" s="127">
        <f>'1-Ф3'!AE30+AD8</f>
        <v>1651200</v>
      </c>
      <c r="AF8" s="127">
        <f>'1-Ф3'!AF30+AE8</f>
        <v>2051200</v>
      </c>
      <c r="AG8" s="127">
        <f>'1-Ф3'!AG30+AF8</f>
        <v>2551200</v>
      </c>
    </row>
    <row r="9" spans="1:33" ht="15" customHeight="1">
      <c r="A9" s="126" t="s">
        <v>115</v>
      </c>
      <c r="B9" s="12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>
        <f>O9</f>
        <v>0</v>
      </c>
      <c r="Q9" s="127">
        <f>O9</f>
        <v>0</v>
      </c>
      <c r="R9" s="127">
        <f aca="true" t="shared" si="4" ref="R9:AB9">P9</f>
        <v>0</v>
      </c>
      <c r="S9" s="127">
        <f t="shared" si="4"/>
        <v>0</v>
      </c>
      <c r="T9" s="127">
        <f t="shared" si="4"/>
        <v>0</v>
      </c>
      <c r="U9" s="127">
        <f t="shared" si="4"/>
        <v>0</v>
      </c>
      <c r="V9" s="127">
        <f t="shared" si="4"/>
        <v>0</v>
      </c>
      <c r="W9" s="127">
        <f t="shared" si="4"/>
        <v>0</v>
      </c>
      <c r="X9" s="127">
        <f t="shared" si="4"/>
        <v>0</v>
      </c>
      <c r="Y9" s="127">
        <f t="shared" si="4"/>
        <v>0</v>
      </c>
      <c r="Z9" s="127">
        <f t="shared" si="4"/>
        <v>0</v>
      </c>
      <c r="AA9" s="127">
        <f t="shared" si="4"/>
        <v>0</v>
      </c>
      <c r="AB9" s="127">
        <f t="shared" si="4"/>
        <v>0</v>
      </c>
      <c r="AC9" s="127">
        <f>AB9</f>
        <v>0</v>
      </c>
      <c r="AD9" s="127">
        <f>AB9</f>
        <v>0</v>
      </c>
      <c r="AE9" s="127">
        <f>AC9</f>
        <v>0</v>
      </c>
      <c r="AF9" s="127">
        <f>AD9</f>
        <v>0</v>
      </c>
      <c r="AG9" s="127">
        <f>AE9</f>
        <v>0</v>
      </c>
    </row>
    <row r="10" spans="1:33" ht="15" customHeight="1">
      <c r="A10" s="126" t="s">
        <v>116</v>
      </c>
      <c r="B10" s="12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>
        <f>O10</f>
        <v>0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>
        <f>AB10</f>
        <v>0</v>
      </c>
      <c r="AD10" s="127"/>
      <c r="AE10" s="127"/>
      <c r="AF10" s="127"/>
      <c r="AG10" s="127"/>
    </row>
    <row r="11" spans="1:33" ht="15" customHeight="1">
      <c r="A11" s="121" t="s">
        <v>117</v>
      </c>
      <c r="B11" s="122"/>
      <c r="C11" s="123">
        <f aca="true" t="shared" si="5" ref="C11:AE11">SUM(C12:C14)</f>
        <v>0</v>
      </c>
      <c r="D11" s="123">
        <f t="shared" si="5"/>
        <v>0</v>
      </c>
      <c r="E11" s="123">
        <f t="shared" si="5"/>
        <v>0</v>
      </c>
      <c r="F11" s="123">
        <f t="shared" si="5"/>
        <v>0</v>
      </c>
      <c r="G11" s="123">
        <f t="shared" si="5"/>
        <v>0</v>
      </c>
      <c r="H11" s="123">
        <f t="shared" si="5"/>
        <v>0</v>
      </c>
      <c r="I11" s="123">
        <f t="shared" si="5"/>
        <v>0</v>
      </c>
      <c r="J11" s="123">
        <f t="shared" si="5"/>
        <v>0</v>
      </c>
      <c r="K11" s="123">
        <f t="shared" si="5"/>
        <v>0</v>
      </c>
      <c r="L11" s="123">
        <f t="shared" si="5"/>
        <v>0</v>
      </c>
      <c r="M11" s="123">
        <f t="shared" si="5"/>
        <v>0</v>
      </c>
      <c r="N11" s="123">
        <f t="shared" si="5"/>
        <v>0</v>
      </c>
      <c r="O11" s="123">
        <f t="shared" si="5"/>
        <v>148800</v>
      </c>
      <c r="P11" s="123">
        <f t="shared" si="5"/>
        <v>148800</v>
      </c>
      <c r="Q11" s="123">
        <f t="shared" si="5"/>
        <v>147560</v>
      </c>
      <c r="R11" s="123">
        <f t="shared" si="5"/>
        <v>146320</v>
      </c>
      <c r="S11" s="123">
        <f t="shared" si="5"/>
        <v>145080</v>
      </c>
      <c r="T11" s="123">
        <f t="shared" si="5"/>
        <v>143840</v>
      </c>
      <c r="U11" s="123">
        <f t="shared" si="5"/>
        <v>142600</v>
      </c>
      <c r="V11" s="123">
        <f t="shared" si="5"/>
        <v>141360</v>
      </c>
      <c r="W11" s="123">
        <f t="shared" si="5"/>
        <v>140120</v>
      </c>
      <c r="X11" s="123">
        <f t="shared" si="5"/>
        <v>138880</v>
      </c>
      <c r="Y11" s="123">
        <f t="shared" si="5"/>
        <v>137640</v>
      </c>
      <c r="Z11" s="123">
        <f t="shared" si="5"/>
        <v>136400</v>
      </c>
      <c r="AA11" s="123">
        <f t="shared" si="5"/>
        <v>135160</v>
      </c>
      <c r="AB11" s="123">
        <f t="shared" si="5"/>
        <v>133920</v>
      </c>
      <c r="AC11" s="123">
        <f t="shared" si="5"/>
        <v>133920</v>
      </c>
      <c r="AD11" s="123">
        <f t="shared" si="5"/>
        <v>119040</v>
      </c>
      <c r="AE11" s="123">
        <f t="shared" si="5"/>
        <v>104160</v>
      </c>
      <c r="AF11" s="123">
        <f>SUM(AF12:AF14)</f>
        <v>89280</v>
      </c>
      <c r="AG11" s="123">
        <f>SUM(AG12:AG14)</f>
        <v>74400</v>
      </c>
    </row>
    <row r="12" spans="1:33" ht="12.75">
      <c r="A12" s="126" t="s">
        <v>118</v>
      </c>
      <c r="B12" s="128"/>
      <c r="C12" s="127"/>
      <c r="D12" s="127">
        <f>C12+'1-Ф3'!D19/Исх!$C$21-'2-ф2'!D14</f>
        <v>0</v>
      </c>
      <c r="E12" s="127">
        <f>D12+'1-Ф3'!E19/Исх!$C$21-'2-ф2'!E14</f>
        <v>0</v>
      </c>
      <c r="F12" s="127">
        <f>E12+'1-Ф3'!F19/Исх!$C$21-'2-ф2'!F14</f>
        <v>0</v>
      </c>
      <c r="G12" s="127">
        <f>F12+'1-Ф3'!G19/Исх!$C$21-'2-ф2'!G14</f>
        <v>0</v>
      </c>
      <c r="H12" s="127">
        <f>G12+'1-Ф3'!H19/Исх!$C$21-'2-ф2'!H14</f>
        <v>0</v>
      </c>
      <c r="I12" s="127">
        <f>H12+'1-Ф3'!I19/Исх!$C$21-'2-ф2'!I14</f>
        <v>0</v>
      </c>
      <c r="J12" s="127">
        <f>I12+'1-Ф3'!J19/Исх!$C$21-'2-ф2'!J14</f>
        <v>0</v>
      </c>
      <c r="K12" s="127">
        <f>J12+'1-Ф3'!K19/Исх!$C$21-'2-ф2'!K14</f>
        <v>0</v>
      </c>
      <c r="L12" s="127">
        <f>K12+'1-Ф3'!L19/Исх!$C$21-'2-ф2'!L14</f>
        <v>0</v>
      </c>
      <c r="M12" s="127">
        <f>L12+'1-Ф3'!M19/Исх!$C$21-'2-ф2'!M14</f>
        <v>0</v>
      </c>
      <c r="N12" s="127">
        <f>M12+'1-Ф3'!N19/Исх!$C$21-'2-ф2'!N14</f>
        <v>0</v>
      </c>
      <c r="O12" s="127">
        <f>N12+'1-Ф3'!O19/Исх!$C$21-'2-ф2'!O14</f>
        <v>148800</v>
      </c>
      <c r="P12" s="127">
        <f>O12</f>
        <v>148800</v>
      </c>
      <c r="Q12" s="127">
        <f>P12+'1-Ф3'!Q19/Исх!$C$21-'2-ф2'!Q14</f>
        <v>147560</v>
      </c>
      <c r="R12" s="127">
        <f>Q12+'1-Ф3'!R19/Исх!$C$21-'2-ф2'!R14</f>
        <v>146320</v>
      </c>
      <c r="S12" s="127">
        <f>R12+'1-Ф3'!S19/Исх!$C$21-'2-ф2'!S14</f>
        <v>145080</v>
      </c>
      <c r="T12" s="127">
        <f>S12+'1-Ф3'!T19/Исх!$C$21-'2-ф2'!T14</f>
        <v>143840</v>
      </c>
      <c r="U12" s="127">
        <f>T12+'1-Ф3'!U19/Исх!$C$21-'2-ф2'!U14</f>
        <v>142600</v>
      </c>
      <c r="V12" s="127">
        <f>U12+'1-Ф3'!V19/Исх!$C$21-'2-ф2'!V14</f>
        <v>141360</v>
      </c>
      <c r="W12" s="127">
        <f>V12+'1-Ф3'!W19/Исх!$C$21-'2-ф2'!W14</f>
        <v>140120</v>
      </c>
      <c r="X12" s="127">
        <f>W12+'1-Ф3'!X19/Исх!$C$21-'2-ф2'!X14</f>
        <v>138880</v>
      </c>
      <c r="Y12" s="127">
        <f>X12+'1-Ф3'!Y19/Исх!$C$21-'2-ф2'!Y14</f>
        <v>137640</v>
      </c>
      <c r="Z12" s="127">
        <f>Y12+'1-Ф3'!Z19/Исх!$C$21-'2-ф2'!Z14</f>
        <v>136400</v>
      </c>
      <c r="AA12" s="127">
        <f>Z12+'1-Ф3'!AA19/Исх!$C$21-'2-ф2'!AA14</f>
        <v>135160</v>
      </c>
      <c r="AB12" s="127">
        <f>AA12+'1-Ф3'!AB19/Исх!$C$21-'2-ф2'!AB14</f>
        <v>133920</v>
      </c>
      <c r="AC12" s="127">
        <f>AB12</f>
        <v>133920</v>
      </c>
      <c r="AD12" s="127">
        <f>AC12+'1-Ф3'!AD19/Исх!$C$21-'2-ф2'!AD14</f>
        <v>119040</v>
      </c>
      <c r="AE12" s="127">
        <f>AD12+'1-Ф3'!AE19/Исх!$C$21-'2-ф2'!AE14</f>
        <v>104160</v>
      </c>
      <c r="AF12" s="127">
        <f>AE12+'1-Ф3'!AF19/Исх!$C$21-'2-ф2'!AF14</f>
        <v>89280</v>
      </c>
      <c r="AG12" s="127">
        <f>AF12+'1-Ф3'!AG19/Исх!$C$21-'2-ф2'!AG14</f>
        <v>74400</v>
      </c>
    </row>
    <row r="13" spans="1:33" ht="15" customHeight="1" hidden="1">
      <c r="A13" s="126" t="s">
        <v>119</v>
      </c>
      <c r="B13" s="128"/>
      <c r="C13" s="127"/>
      <c r="D13" s="127">
        <f>C13</f>
        <v>0</v>
      </c>
      <c r="E13" s="127">
        <f>D13</f>
        <v>0</v>
      </c>
      <c r="F13" s="127">
        <f aca="true" t="shared" si="6" ref="F13:AG14">E13</f>
        <v>0</v>
      </c>
      <c r="G13" s="127">
        <f t="shared" si="6"/>
        <v>0</v>
      </c>
      <c r="H13" s="127">
        <f t="shared" si="6"/>
        <v>0</v>
      </c>
      <c r="I13" s="127">
        <f t="shared" si="6"/>
        <v>0</v>
      </c>
      <c r="J13" s="127">
        <f t="shared" si="6"/>
        <v>0</v>
      </c>
      <c r="K13" s="127">
        <f t="shared" si="6"/>
        <v>0</v>
      </c>
      <c r="L13" s="127">
        <f t="shared" si="6"/>
        <v>0</v>
      </c>
      <c r="M13" s="127">
        <f t="shared" si="6"/>
        <v>0</v>
      </c>
      <c r="N13" s="127">
        <f t="shared" si="6"/>
        <v>0</v>
      </c>
      <c r="O13" s="127">
        <f t="shared" si="6"/>
        <v>0</v>
      </c>
      <c r="P13" s="127">
        <f t="shared" si="6"/>
        <v>0</v>
      </c>
      <c r="Q13" s="127">
        <f t="shared" si="6"/>
        <v>0</v>
      </c>
      <c r="R13" s="127">
        <f t="shared" si="6"/>
        <v>0</v>
      </c>
      <c r="S13" s="127">
        <f t="shared" si="6"/>
        <v>0</v>
      </c>
      <c r="T13" s="127">
        <f t="shared" si="6"/>
        <v>0</v>
      </c>
      <c r="U13" s="127">
        <f t="shared" si="6"/>
        <v>0</v>
      </c>
      <c r="V13" s="127">
        <f t="shared" si="6"/>
        <v>0</v>
      </c>
      <c r="W13" s="127">
        <f t="shared" si="6"/>
        <v>0</v>
      </c>
      <c r="X13" s="127">
        <f t="shared" si="6"/>
        <v>0</v>
      </c>
      <c r="Y13" s="127">
        <f t="shared" si="6"/>
        <v>0</v>
      </c>
      <c r="Z13" s="127">
        <f t="shared" si="6"/>
        <v>0</v>
      </c>
      <c r="AA13" s="127">
        <f t="shared" si="6"/>
        <v>0</v>
      </c>
      <c r="AB13" s="127">
        <f t="shared" si="6"/>
        <v>0</v>
      </c>
      <c r="AC13" s="127">
        <f t="shared" si="6"/>
        <v>0</v>
      </c>
      <c r="AD13" s="127">
        <f t="shared" si="6"/>
        <v>0</v>
      </c>
      <c r="AE13" s="127">
        <f t="shared" si="6"/>
        <v>0</v>
      </c>
      <c r="AF13" s="127">
        <f t="shared" si="6"/>
        <v>0</v>
      </c>
      <c r="AG13" s="127">
        <f t="shared" si="6"/>
        <v>0</v>
      </c>
    </row>
    <row r="14" spans="1:33" ht="12.75">
      <c r="A14" s="126" t="s">
        <v>120</v>
      </c>
      <c r="B14" s="128"/>
      <c r="C14" s="127"/>
      <c r="D14" s="127">
        <f>IF('2-ф2'!D29&lt;0,-'2-ф2'!D29,0)</f>
        <v>0</v>
      </c>
      <c r="E14" s="127">
        <f>IF('2-ф2'!E29&lt;0,-'2-ф2'!E29,0)</f>
        <v>0</v>
      </c>
      <c r="F14" s="127">
        <f>IF('2-ф2'!F29&lt;0,-'2-ф2'!F29,0)</f>
        <v>0</v>
      </c>
      <c r="G14" s="127">
        <f>IF('2-ф2'!G29&lt;0,-'2-ф2'!G29,0)</f>
        <v>0</v>
      </c>
      <c r="H14" s="127">
        <f>IF('2-ф2'!H29&lt;0,-'2-ф2'!H29,0)</f>
        <v>0</v>
      </c>
      <c r="I14" s="127">
        <f>IF('2-ф2'!I29&lt;0,-'2-ф2'!I29,0)</f>
        <v>0</v>
      </c>
      <c r="J14" s="127">
        <f>IF('2-ф2'!J29&lt;0,-'2-ф2'!J29,0)</f>
        <v>0</v>
      </c>
      <c r="K14" s="127">
        <f>IF('2-ф2'!K29&lt;0,-'2-ф2'!K29,0)</f>
        <v>0</v>
      </c>
      <c r="L14" s="127">
        <f>IF('2-ф2'!L29&lt;0,-'2-ф2'!L29,0)</f>
        <v>0</v>
      </c>
      <c r="M14" s="127">
        <f>IF('2-ф2'!M29&lt;0,-'2-ф2'!M29,0)</f>
        <v>0</v>
      </c>
      <c r="N14" s="127">
        <f>IF('2-ф2'!N29&lt;0,-'2-ф2'!N29,0)</f>
        <v>0</v>
      </c>
      <c r="O14" s="127">
        <f>IF('2-ф2'!O29&lt;0,-'2-ф2'!O29,0)</f>
        <v>0</v>
      </c>
      <c r="P14" s="127">
        <f t="shared" si="6"/>
        <v>0</v>
      </c>
      <c r="Q14" s="127">
        <f>IF('2-ф2'!Q29&lt;0,-'2-ф2'!Q29,0)</f>
        <v>0</v>
      </c>
      <c r="R14" s="127">
        <f>IF('2-ф2'!R29&lt;0,-'2-ф2'!R29,0)</f>
        <v>0</v>
      </c>
      <c r="S14" s="127">
        <f>IF('2-ф2'!S29&lt;0,-'2-ф2'!S29,0)</f>
        <v>0</v>
      </c>
      <c r="T14" s="127">
        <f>IF('2-ф2'!T29&lt;0,-'2-ф2'!T29,0)</f>
        <v>0</v>
      </c>
      <c r="U14" s="127">
        <f>IF('2-ф2'!U29&lt;0,-'2-ф2'!U29,0)</f>
        <v>0</v>
      </c>
      <c r="V14" s="127">
        <f>IF('2-ф2'!V29&lt;0,-'2-ф2'!V29,0)</f>
        <v>0</v>
      </c>
      <c r="W14" s="127">
        <f>IF('2-ф2'!W29&lt;0,-'2-ф2'!W29,0)</f>
        <v>0</v>
      </c>
      <c r="X14" s="127">
        <f>IF('2-ф2'!X29&lt;0,-'2-ф2'!X29,0)</f>
        <v>0</v>
      </c>
      <c r="Y14" s="127">
        <f>IF('2-ф2'!Y29&lt;0,-'2-ф2'!Y29,0)</f>
        <v>0</v>
      </c>
      <c r="Z14" s="127">
        <f>IF('2-ф2'!Z29&lt;0,-'2-ф2'!Z29,0)</f>
        <v>0</v>
      </c>
      <c r="AA14" s="127">
        <f>IF('2-ф2'!AA29&lt;0,-'2-ф2'!AA29,0)</f>
        <v>0</v>
      </c>
      <c r="AB14" s="127">
        <f>IF('2-ф2'!AB29&lt;0,-'2-ф2'!AB29,0)</f>
        <v>0</v>
      </c>
      <c r="AC14" s="127">
        <f t="shared" si="6"/>
        <v>0</v>
      </c>
      <c r="AD14" s="127">
        <f>IF('2-ф2'!AD29&lt;0,-'2-ф2'!AD29,0)</f>
        <v>0</v>
      </c>
      <c r="AE14" s="127">
        <f>IF('2-ф2'!AE29&lt;0,-'2-ф2'!AE29,0)</f>
        <v>0</v>
      </c>
      <c r="AF14" s="127">
        <f>IF('2-ф2'!AF29&lt;0,-'2-ф2'!AF29,0)</f>
        <v>0</v>
      </c>
      <c r="AG14" s="127">
        <f>IF('2-ф2'!AG29&lt;0,-'2-ф2'!AG29,0)</f>
        <v>0</v>
      </c>
    </row>
    <row r="15" spans="1:180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</row>
    <row r="16" spans="1:38" s="125" customFormat="1" ht="15" customHeight="1">
      <c r="A16" s="121" t="s">
        <v>121</v>
      </c>
      <c r="B16" s="122"/>
      <c r="C16" s="122">
        <f aca="true" t="shared" si="7" ref="C16:AE16">C21+C24+C17</f>
        <v>0</v>
      </c>
      <c r="D16" s="122">
        <f t="shared" si="7"/>
        <v>0</v>
      </c>
      <c r="E16" s="122">
        <f t="shared" si="7"/>
        <v>0</v>
      </c>
      <c r="F16" s="122">
        <f t="shared" si="7"/>
        <v>0</v>
      </c>
      <c r="G16" s="122">
        <f t="shared" si="7"/>
        <v>0</v>
      </c>
      <c r="H16" s="122">
        <f t="shared" si="7"/>
        <v>0</v>
      </c>
      <c r="I16" s="122">
        <f t="shared" si="7"/>
        <v>0</v>
      </c>
      <c r="J16" s="122">
        <f t="shared" si="7"/>
        <v>0</v>
      </c>
      <c r="K16" s="122">
        <f t="shared" si="7"/>
        <v>0</v>
      </c>
      <c r="L16" s="122">
        <f t="shared" si="7"/>
        <v>0</v>
      </c>
      <c r="M16" s="122">
        <f t="shared" si="7"/>
        <v>0</v>
      </c>
      <c r="N16" s="122">
        <f t="shared" si="7"/>
        <v>0</v>
      </c>
      <c r="O16" s="122">
        <f t="shared" si="7"/>
        <v>148800</v>
      </c>
      <c r="P16" s="122">
        <f t="shared" si="7"/>
        <v>148800</v>
      </c>
      <c r="Q16" s="122">
        <f t="shared" si="7"/>
        <v>497938.072</v>
      </c>
      <c r="R16" s="122">
        <f t="shared" si="7"/>
        <v>843961.044</v>
      </c>
      <c r="S16" s="122">
        <f t="shared" si="7"/>
        <v>811967.0160000001</v>
      </c>
      <c r="T16" s="122">
        <f t="shared" si="7"/>
        <v>780089.988</v>
      </c>
      <c r="U16" s="122">
        <f t="shared" si="7"/>
        <v>1123392.96</v>
      </c>
      <c r="V16" s="122">
        <f t="shared" si="7"/>
        <v>1314932.932</v>
      </c>
      <c r="W16" s="122">
        <f t="shared" si="7"/>
        <v>1278558.904</v>
      </c>
      <c r="X16" s="122">
        <f t="shared" si="7"/>
        <v>1242319.8760000002</v>
      </c>
      <c r="Y16" s="122">
        <f t="shared" si="7"/>
        <v>1206233.848</v>
      </c>
      <c r="Z16" s="122">
        <f t="shared" si="7"/>
        <v>1170318.82</v>
      </c>
      <c r="AA16" s="122">
        <f t="shared" si="7"/>
        <v>1134538.7920000001</v>
      </c>
      <c r="AB16" s="122">
        <f t="shared" si="7"/>
        <v>1218961.864</v>
      </c>
      <c r="AC16" s="122">
        <f t="shared" si="7"/>
        <v>1218961.864</v>
      </c>
      <c r="AD16" s="122">
        <f t="shared" si="7"/>
        <v>1731580.9824</v>
      </c>
      <c r="AE16" s="122">
        <f t="shared" si="7"/>
        <v>2232392.4736</v>
      </c>
      <c r="AF16" s="122">
        <f>AF21+AF24+AF17</f>
        <v>2792003.9648</v>
      </c>
      <c r="AG16" s="122">
        <f>AG21+AG24+AG17</f>
        <v>3417615.4560000002</v>
      </c>
      <c r="AH16" s="124"/>
      <c r="AI16" s="124"/>
      <c r="AJ16" s="124"/>
      <c r="AK16" s="124"/>
      <c r="AL16" s="124"/>
    </row>
    <row r="17" spans="1:33" ht="15" customHeight="1">
      <c r="A17" s="121" t="s">
        <v>122</v>
      </c>
      <c r="B17" s="122"/>
      <c r="C17" s="122">
        <f aca="true" t="shared" si="8" ref="C17:AE17">SUM(C18:C20)</f>
        <v>0</v>
      </c>
      <c r="D17" s="122">
        <f t="shared" si="8"/>
        <v>0</v>
      </c>
      <c r="E17" s="122">
        <f t="shared" si="8"/>
        <v>0</v>
      </c>
      <c r="F17" s="122">
        <f t="shared" si="8"/>
        <v>0</v>
      </c>
      <c r="G17" s="122">
        <f t="shared" si="8"/>
        <v>0</v>
      </c>
      <c r="H17" s="122">
        <f t="shared" si="8"/>
        <v>0</v>
      </c>
      <c r="I17" s="122">
        <f t="shared" si="8"/>
        <v>0</v>
      </c>
      <c r="J17" s="122">
        <f t="shared" si="8"/>
        <v>0</v>
      </c>
      <c r="K17" s="122">
        <f t="shared" si="8"/>
        <v>0</v>
      </c>
      <c r="L17" s="122">
        <f t="shared" si="8"/>
        <v>0</v>
      </c>
      <c r="M17" s="122">
        <f t="shared" si="8"/>
        <v>0</v>
      </c>
      <c r="N17" s="122">
        <f t="shared" si="8"/>
        <v>0</v>
      </c>
      <c r="O17" s="122">
        <f t="shared" si="8"/>
        <v>0</v>
      </c>
      <c r="P17" s="122">
        <f t="shared" si="8"/>
        <v>0</v>
      </c>
      <c r="Q17" s="122">
        <f t="shared" si="8"/>
        <v>0</v>
      </c>
      <c r="R17" s="122">
        <f t="shared" si="8"/>
        <v>0</v>
      </c>
      <c r="S17" s="122">
        <f t="shared" si="8"/>
        <v>0</v>
      </c>
      <c r="T17" s="122">
        <f t="shared" si="8"/>
        <v>0</v>
      </c>
      <c r="U17" s="122">
        <f t="shared" si="8"/>
        <v>0</v>
      </c>
      <c r="V17" s="122">
        <f t="shared" si="8"/>
        <v>0</v>
      </c>
      <c r="W17" s="122">
        <f t="shared" si="8"/>
        <v>0</v>
      </c>
      <c r="X17" s="122">
        <f t="shared" si="8"/>
        <v>0</v>
      </c>
      <c r="Y17" s="122">
        <f t="shared" si="8"/>
        <v>0</v>
      </c>
      <c r="Z17" s="122">
        <f t="shared" si="8"/>
        <v>0</v>
      </c>
      <c r="AA17" s="122">
        <f t="shared" si="8"/>
        <v>0</v>
      </c>
      <c r="AB17" s="122">
        <f t="shared" si="8"/>
        <v>0</v>
      </c>
      <c r="AC17" s="122">
        <f t="shared" si="8"/>
        <v>0</v>
      </c>
      <c r="AD17" s="122">
        <f t="shared" si="8"/>
        <v>0</v>
      </c>
      <c r="AE17" s="122">
        <f t="shared" si="8"/>
        <v>0</v>
      </c>
      <c r="AF17" s="122">
        <f>SUM(AF18:AF20)</f>
        <v>0</v>
      </c>
      <c r="AG17" s="122">
        <f>SUM(AG18:AG20)</f>
        <v>0</v>
      </c>
    </row>
    <row r="18" spans="1:33" ht="12.75" hidden="1">
      <c r="A18" s="126" t="s">
        <v>123</v>
      </c>
      <c r="B18" s="128"/>
      <c r="C18" s="128"/>
      <c r="D18" s="128">
        <f>C18</f>
        <v>0</v>
      </c>
      <c r="E18" s="128">
        <f>D18</f>
        <v>0</v>
      </c>
      <c r="F18" s="128">
        <f aca="true" t="shared" si="9" ref="F18:O18">E18</f>
        <v>0</v>
      </c>
      <c r="G18" s="128">
        <f t="shared" si="9"/>
        <v>0</v>
      </c>
      <c r="H18" s="128">
        <f t="shared" si="9"/>
        <v>0</v>
      </c>
      <c r="I18" s="128">
        <f t="shared" si="9"/>
        <v>0</v>
      </c>
      <c r="J18" s="128">
        <f t="shared" si="9"/>
        <v>0</v>
      </c>
      <c r="K18" s="128">
        <f t="shared" si="9"/>
        <v>0</v>
      </c>
      <c r="L18" s="128">
        <f t="shared" si="9"/>
        <v>0</v>
      </c>
      <c r="M18" s="128">
        <f t="shared" si="9"/>
        <v>0</v>
      </c>
      <c r="N18" s="128">
        <f t="shared" si="9"/>
        <v>0</v>
      </c>
      <c r="O18" s="128">
        <f t="shared" si="9"/>
        <v>0</v>
      </c>
      <c r="P18" s="128">
        <f>O18</f>
        <v>0</v>
      </c>
      <c r="Q18" s="128">
        <f>P18</f>
        <v>0</v>
      </c>
      <c r="R18" s="128">
        <f>Q18</f>
        <v>0</v>
      </c>
      <c r="S18" s="128">
        <f>R18</f>
        <v>0</v>
      </c>
      <c r="T18" s="128">
        <f>S18</f>
        <v>0</v>
      </c>
      <c r="U18" s="128">
        <f aca="true" t="shared" si="10" ref="U18:AG18">T18</f>
        <v>0</v>
      </c>
      <c r="V18" s="128">
        <f t="shared" si="10"/>
        <v>0</v>
      </c>
      <c r="W18" s="128">
        <f t="shared" si="10"/>
        <v>0</v>
      </c>
      <c r="X18" s="128">
        <f t="shared" si="10"/>
        <v>0</v>
      </c>
      <c r="Y18" s="128">
        <f t="shared" si="10"/>
        <v>0</v>
      </c>
      <c r="Z18" s="128">
        <f t="shared" si="10"/>
        <v>0</v>
      </c>
      <c r="AA18" s="128">
        <f t="shared" si="10"/>
        <v>0</v>
      </c>
      <c r="AB18" s="128">
        <f t="shared" si="10"/>
        <v>0</v>
      </c>
      <c r="AC18" s="128">
        <f t="shared" si="10"/>
        <v>0</v>
      </c>
      <c r="AD18" s="128">
        <f t="shared" si="10"/>
        <v>0</v>
      </c>
      <c r="AE18" s="128">
        <f t="shared" si="10"/>
        <v>0</v>
      </c>
      <c r="AF18" s="128">
        <f t="shared" si="10"/>
        <v>0</v>
      </c>
      <c r="AG18" s="128">
        <f t="shared" si="10"/>
        <v>0</v>
      </c>
    </row>
    <row r="19" spans="1:33" ht="25.5">
      <c r="A19" s="126" t="s">
        <v>124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>
        <f>O19</f>
        <v>0</v>
      </c>
      <c r="Q19" s="128">
        <f>P19+'2-ф2'!Q15-'1-Ф3'!Q13</f>
        <v>0</v>
      </c>
      <c r="R19" s="128">
        <f>Q19+'2-ф2'!R15-'1-Ф3'!R13</f>
        <v>0</v>
      </c>
      <c r="S19" s="128">
        <f>R19+'2-ф2'!S15-'1-Ф3'!S13</f>
        <v>0</v>
      </c>
      <c r="T19" s="128">
        <f>S19+'2-ф2'!T15-'1-Ф3'!T13</f>
        <v>0</v>
      </c>
      <c r="U19" s="128">
        <f>T19+'2-ф2'!U15-'1-Ф3'!U13</f>
        <v>0</v>
      </c>
      <c r="V19" s="128">
        <f>U19+'2-ф2'!V15-'1-Ф3'!V13</f>
        <v>0</v>
      </c>
      <c r="W19" s="128">
        <f>V19+'2-ф2'!W15-'1-Ф3'!W13</f>
        <v>0</v>
      </c>
      <c r="X19" s="128">
        <f>W19+'2-ф2'!X15-'1-Ф3'!X13</f>
        <v>0</v>
      </c>
      <c r="Y19" s="128">
        <f>X19+'2-ф2'!Y15-'1-Ф3'!Y13</f>
        <v>0</v>
      </c>
      <c r="Z19" s="128">
        <f>Y19+'2-ф2'!Z15-'1-Ф3'!Z13</f>
        <v>0</v>
      </c>
      <c r="AA19" s="128">
        <f>Z19+'2-ф2'!AA15-'1-Ф3'!AA13</f>
        <v>0</v>
      </c>
      <c r="AB19" s="128">
        <f>AA19+'2-ф2'!AB15-'1-Ф3'!AB13</f>
        <v>0</v>
      </c>
      <c r="AC19" s="128">
        <f>AB19</f>
        <v>0</v>
      </c>
      <c r="AD19" s="128">
        <f>AC19+'2-ф2'!AD15-'1-Ф3'!AD13</f>
        <v>0</v>
      </c>
      <c r="AE19" s="128">
        <f>AD19+'2-ф2'!AE15-'1-Ф3'!AE13</f>
        <v>0</v>
      </c>
      <c r="AF19" s="128">
        <f>AE19+'2-ф2'!AF15-'1-Ф3'!AF13</f>
        <v>0</v>
      </c>
      <c r="AG19" s="128">
        <f>AF19+'2-ф2'!AG15-'1-Ф3'!AG13</f>
        <v>0</v>
      </c>
    </row>
    <row r="20" spans="1:33" ht="12.75">
      <c r="A20" s="126" t="s">
        <v>126</v>
      </c>
      <c r="B20" s="128"/>
      <c r="C20" s="128"/>
      <c r="D20" s="122">
        <f>'2-ф2'!D15-'1-Ф3'!D13</f>
        <v>0</v>
      </c>
      <c r="E20" s="128">
        <f>D20+'2-ф2'!E15-'1-Ф3'!E13</f>
        <v>0</v>
      </c>
      <c r="F20" s="128">
        <f>E20+'2-ф2'!F15-'1-Ф3'!F13</f>
        <v>0</v>
      </c>
      <c r="G20" s="122">
        <f>F20+'2-ф2'!G15-'1-Ф3'!G13-кр!F21</f>
        <v>0</v>
      </c>
      <c r="H20" s="122">
        <f>G20+'2-ф2'!H15-'1-Ф3'!H13-кр!G21</f>
        <v>0</v>
      </c>
      <c r="I20" s="122">
        <f>H20+'2-ф2'!I15-'1-Ф3'!I13-кр!H21</f>
        <v>0</v>
      </c>
      <c r="J20" s="122">
        <f>I20+'2-ф2'!J15-'1-Ф3'!J13-кр!I21</f>
        <v>0</v>
      </c>
      <c r="K20" s="122">
        <f>J20+'2-ф2'!K15-'1-Ф3'!K13-кр!J21</f>
        <v>0</v>
      </c>
      <c r="L20" s="122">
        <f>K20+'2-ф2'!L15-'1-Ф3'!L13-кр!K21</f>
        <v>0</v>
      </c>
      <c r="M20" s="122">
        <f>L20+'2-ф2'!M15-'1-Ф3'!M13-кр!L21</f>
        <v>0</v>
      </c>
      <c r="N20" s="122">
        <f>M20+'2-ф2'!N15-'1-Ф3'!N13-кр!M21</f>
        <v>0</v>
      </c>
      <c r="O20" s="122">
        <f>'2-ф2'!O15-'1-Ф3'!O13</f>
        <v>0</v>
      </c>
      <c r="P20" s="128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8">
        <f>AB20</f>
        <v>0</v>
      </c>
      <c r="AD20" s="128"/>
      <c r="AE20" s="128"/>
      <c r="AF20" s="128"/>
      <c r="AG20" s="128"/>
    </row>
    <row r="21" spans="1:33" ht="15" customHeight="1">
      <c r="A21" s="121" t="s">
        <v>127</v>
      </c>
      <c r="B21" s="122"/>
      <c r="C21" s="122">
        <f aca="true" t="shared" si="11" ref="C21:AE21">SUM(C22:C23)</f>
        <v>0</v>
      </c>
      <c r="D21" s="122">
        <f t="shared" si="11"/>
        <v>0</v>
      </c>
      <c r="E21" s="122">
        <f t="shared" si="11"/>
        <v>0</v>
      </c>
      <c r="F21" s="122">
        <f t="shared" si="11"/>
        <v>0</v>
      </c>
      <c r="G21" s="122">
        <f t="shared" si="11"/>
        <v>0</v>
      </c>
      <c r="H21" s="122">
        <f t="shared" si="11"/>
        <v>0</v>
      </c>
      <c r="I21" s="122">
        <f t="shared" si="11"/>
        <v>0</v>
      </c>
      <c r="J21" s="122">
        <f t="shared" si="11"/>
        <v>0</v>
      </c>
      <c r="K21" s="122">
        <f t="shared" si="11"/>
        <v>0</v>
      </c>
      <c r="L21" s="122">
        <f t="shared" si="11"/>
        <v>0</v>
      </c>
      <c r="M21" s="122">
        <f t="shared" si="11"/>
        <v>0</v>
      </c>
      <c r="N21" s="122">
        <f t="shared" si="11"/>
        <v>0</v>
      </c>
      <c r="O21" s="122">
        <f t="shared" si="11"/>
        <v>148800</v>
      </c>
      <c r="P21" s="122">
        <f t="shared" si="11"/>
        <v>148800</v>
      </c>
      <c r="Q21" s="122">
        <f t="shared" si="11"/>
        <v>523800</v>
      </c>
      <c r="R21" s="122">
        <f t="shared" si="11"/>
        <v>898800</v>
      </c>
      <c r="S21" s="122">
        <f t="shared" si="11"/>
        <v>898800</v>
      </c>
      <c r="T21" s="122">
        <f t="shared" si="11"/>
        <v>898800</v>
      </c>
      <c r="U21" s="122">
        <f t="shared" si="11"/>
        <v>1273800</v>
      </c>
      <c r="V21" s="122">
        <f t="shared" si="11"/>
        <v>1500000</v>
      </c>
      <c r="W21" s="122">
        <f t="shared" si="11"/>
        <v>1500000</v>
      </c>
      <c r="X21" s="122">
        <f t="shared" si="11"/>
        <v>1500000</v>
      </c>
      <c r="Y21" s="122">
        <f t="shared" si="11"/>
        <v>1500000</v>
      </c>
      <c r="Z21" s="122">
        <f t="shared" si="11"/>
        <v>1500000</v>
      </c>
      <c r="AA21" s="122">
        <f t="shared" si="11"/>
        <v>1500000</v>
      </c>
      <c r="AB21" s="122">
        <f t="shared" si="11"/>
        <v>1500000</v>
      </c>
      <c r="AC21" s="122">
        <f t="shared" si="11"/>
        <v>1500000</v>
      </c>
      <c r="AD21" s="122">
        <f t="shared" si="11"/>
        <v>1125000</v>
      </c>
      <c r="AE21" s="122">
        <f t="shared" si="11"/>
        <v>750000</v>
      </c>
      <c r="AF21" s="122">
        <f>SUM(AF22:AF23)</f>
        <v>375000</v>
      </c>
      <c r="AG21" s="122">
        <f>SUM(AG22:AG23)</f>
        <v>0</v>
      </c>
    </row>
    <row r="22" spans="1:33" ht="12.75">
      <c r="A22" s="126" t="s">
        <v>125</v>
      </c>
      <c r="B22" s="128"/>
      <c r="C22" s="122"/>
      <c r="D22" s="128">
        <f>кр!C12</f>
        <v>0</v>
      </c>
      <c r="E22" s="128">
        <f>кр!D12</f>
        <v>0</v>
      </c>
      <c r="F22" s="128">
        <f>'Оборотный капитал'!F7-'Оборотный капитал'!$F$5</f>
        <v>0</v>
      </c>
      <c r="G22" s="128">
        <f>'Оборотный капитал'!G7-'Оборотный капитал'!$F$5</f>
        <v>0</v>
      </c>
      <c r="H22" s="128">
        <f>'Оборотный капитал'!H7-'Оборотный капитал'!$F$5</f>
        <v>0</v>
      </c>
      <c r="I22" s="128">
        <f>'Оборотный капитал'!I7-'Оборотный капитал'!$F$5</f>
        <v>0</v>
      </c>
      <c r="J22" s="128">
        <f>'Оборотный капитал'!J7-'Оборотный капитал'!$F$5</f>
        <v>0</v>
      </c>
      <c r="K22" s="128">
        <f>'Оборотный капитал'!K7-'Оборотный капитал'!$F$5</f>
        <v>0</v>
      </c>
      <c r="L22" s="128">
        <f>'Оборотный капитал'!L7-'Оборотный капитал'!$F$5</f>
        <v>0</v>
      </c>
      <c r="M22" s="128">
        <f>'Оборотный капитал'!M7-'Оборотный капитал'!$F$5</f>
        <v>0</v>
      </c>
      <c r="N22" s="128">
        <f>'Оборотный капитал'!N7-'Оборотный капитал'!$F$5</f>
        <v>0</v>
      </c>
      <c r="O22" s="128">
        <f>'1-Ф3'!O27-'1-Ф3'!O31</f>
        <v>148800</v>
      </c>
      <c r="P22" s="128">
        <f>O22</f>
        <v>148800</v>
      </c>
      <c r="Q22" s="128">
        <f>кр!P12</f>
        <v>523800</v>
      </c>
      <c r="R22" s="128">
        <f>кр!Q12</f>
        <v>898800</v>
      </c>
      <c r="S22" s="128">
        <f>кр!R12</f>
        <v>898800</v>
      </c>
      <c r="T22" s="128">
        <f>кр!S12</f>
        <v>898800</v>
      </c>
      <c r="U22" s="128">
        <f>кр!T12</f>
        <v>1273800</v>
      </c>
      <c r="V22" s="128">
        <f>кр!U12</f>
        <v>1500000</v>
      </c>
      <c r="W22" s="128">
        <f>кр!V12</f>
        <v>1500000</v>
      </c>
      <c r="X22" s="128">
        <f>кр!W12</f>
        <v>1500000</v>
      </c>
      <c r="Y22" s="128">
        <f>кр!X12</f>
        <v>1500000</v>
      </c>
      <c r="Z22" s="128">
        <f>кр!Y12</f>
        <v>1500000</v>
      </c>
      <c r="AA22" s="128">
        <f>кр!Z12</f>
        <v>1500000</v>
      </c>
      <c r="AB22" s="128">
        <f>кр!AA12</f>
        <v>1500000</v>
      </c>
      <c r="AC22" s="128">
        <f>AB22</f>
        <v>1500000</v>
      </c>
      <c r="AD22" s="128">
        <f>кр!AO12</f>
        <v>1125000</v>
      </c>
      <c r="AE22" s="128">
        <f>кр!BB12</f>
        <v>750000</v>
      </c>
      <c r="AF22" s="128">
        <f>кр!BO12</f>
        <v>375000</v>
      </c>
      <c r="AG22" s="128">
        <f>кр!CB12</f>
        <v>0</v>
      </c>
    </row>
    <row r="23" spans="1:33" ht="15" customHeight="1" hidden="1">
      <c r="A23" s="126" t="s">
        <v>128</v>
      </c>
      <c r="B23" s="128"/>
      <c r="C23" s="128"/>
      <c r="D23" s="128">
        <f>C23</f>
        <v>0</v>
      </c>
      <c r="E23" s="128">
        <f>D23</f>
        <v>0</v>
      </c>
      <c r="F23" s="128">
        <f aca="true" t="shared" si="12" ref="F23:AG23">E23</f>
        <v>0</v>
      </c>
      <c r="G23" s="128">
        <f t="shared" si="12"/>
        <v>0</v>
      </c>
      <c r="H23" s="128">
        <f t="shared" si="12"/>
        <v>0</v>
      </c>
      <c r="I23" s="128">
        <f t="shared" si="12"/>
        <v>0</v>
      </c>
      <c r="J23" s="128">
        <f t="shared" si="12"/>
        <v>0</v>
      </c>
      <c r="K23" s="128">
        <f t="shared" si="12"/>
        <v>0</v>
      </c>
      <c r="L23" s="128">
        <f t="shared" si="12"/>
        <v>0</v>
      </c>
      <c r="M23" s="128">
        <f t="shared" si="12"/>
        <v>0</v>
      </c>
      <c r="N23" s="128">
        <f t="shared" si="12"/>
        <v>0</v>
      </c>
      <c r="O23" s="128">
        <f t="shared" si="12"/>
        <v>0</v>
      </c>
      <c r="P23" s="128">
        <f t="shared" si="12"/>
        <v>0</v>
      </c>
      <c r="Q23" s="128">
        <f t="shared" si="12"/>
        <v>0</v>
      </c>
      <c r="R23" s="128">
        <f t="shared" si="12"/>
        <v>0</v>
      </c>
      <c r="S23" s="128">
        <f t="shared" si="12"/>
        <v>0</v>
      </c>
      <c r="T23" s="128">
        <f t="shared" si="12"/>
        <v>0</v>
      </c>
      <c r="U23" s="128">
        <f t="shared" si="12"/>
        <v>0</v>
      </c>
      <c r="V23" s="128">
        <f t="shared" si="12"/>
        <v>0</v>
      </c>
      <c r="W23" s="128">
        <f t="shared" si="12"/>
        <v>0</v>
      </c>
      <c r="X23" s="128">
        <f t="shared" si="12"/>
        <v>0</v>
      </c>
      <c r="Y23" s="128">
        <f t="shared" si="12"/>
        <v>0</v>
      </c>
      <c r="Z23" s="128">
        <f t="shared" si="12"/>
        <v>0</v>
      </c>
      <c r="AA23" s="128">
        <f t="shared" si="12"/>
        <v>0</v>
      </c>
      <c r="AB23" s="128">
        <f t="shared" si="12"/>
        <v>0</v>
      </c>
      <c r="AC23" s="122">
        <f>AB23</f>
        <v>0</v>
      </c>
      <c r="AD23" s="128">
        <f t="shared" si="12"/>
        <v>0</v>
      </c>
      <c r="AE23" s="128">
        <f t="shared" si="12"/>
        <v>0</v>
      </c>
      <c r="AF23" s="128">
        <f t="shared" si="12"/>
        <v>0</v>
      </c>
      <c r="AG23" s="128">
        <f t="shared" si="12"/>
        <v>0</v>
      </c>
    </row>
    <row r="24" spans="1:33" s="125" customFormat="1" ht="15" customHeight="1">
      <c r="A24" s="121" t="s">
        <v>129</v>
      </c>
      <c r="B24" s="122"/>
      <c r="C24" s="122">
        <f aca="true" t="shared" si="13" ref="C24:AE24">SUM(C25:C26)</f>
        <v>0</v>
      </c>
      <c r="D24" s="122">
        <f t="shared" si="13"/>
        <v>0</v>
      </c>
      <c r="E24" s="122">
        <f t="shared" si="13"/>
        <v>0</v>
      </c>
      <c r="F24" s="122">
        <f t="shared" si="13"/>
        <v>0</v>
      </c>
      <c r="G24" s="122">
        <f t="shared" si="13"/>
        <v>0</v>
      </c>
      <c r="H24" s="122">
        <f t="shared" si="13"/>
        <v>0</v>
      </c>
      <c r="I24" s="122">
        <f t="shared" si="13"/>
        <v>0</v>
      </c>
      <c r="J24" s="122">
        <f t="shared" si="13"/>
        <v>0</v>
      </c>
      <c r="K24" s="122">
        <f t="shared" si="13"/>
        <v>0</v>
      </c>
      <c r="L24" s="122">
        <f t="shared" si="13"/>
        <v>0</v>
      </c>
      <c r="M24" s="122">
        <f t="shared" si="13"/>
        <v>0</v>
      </c>
      <c r="N24" s="122">
        <f t="shared" si="13"/>
        <v>0</v>
      </c>
      <c r="O24" s="122">
        <f t="shared" si="13"/>
        <v>0</v>
      </c>
      <c r="P24" s="122">
        <f t="shared" si="13"/>
        <v>0</v>
      </c>
      <c r="Q24" s="122">
        <f t="shared" si="13"/>
        <v>-25861.928</v>
      </c>
      <c r="R24" s="122">
        <f t="shared" si="13"/>
        <v>-54838.956</v>
      </c>
      <c r="S24" s="122">
        <f t="shared" si="13"/>
        <v>-86832.984</v>
      </c>
      <c r="T24" s="122">
        <f t="shared" si="13"/>
        <v>-118710.01199999999</v>
      </c>
      <c r="U24" s="122">
        <f t="shared" si="13"/>
        <v>-150407.03999999998</v>
      </c>
      <c r="V24" s="122">
        <f t="shared" si="13"/>
        <v>-185067.06799999997</v>
      </c>
      <c r="W24" s="122">
        <f t="shared" si="13"/>
        <v>-221441.09599999996</v>
      </c>
      <c r="X24" s="122">
        <f t="shared" si="13"/>
        <v>-257680.12399999995</v>
      </c>
      <c r="Y24" s="122">
        <f t="shared" si="13"/>
        <v>-293766.15199999994</v>
      </c>
      <c r="Z24" s="122">
        <f t="shared" si="13"/>
        <v>-329681.17999999993</v>
      </c>
      <c r="AA24" s="122">
        <f t="shared" si="13"/>
        <v>-365461.2079999999</v>
      </c>
      <c r="AB24" s="122">
        <f t="shared" si="13"/>
        <v>-281038.13599999994</v>
      </c>
      <c r="AC24" s="122">
        <f t="shared" si="13"/>
        <v>-281038.13599999994</v>
      </c>
      <c r="AD24" s="122">
        <f t="shared" si="13"/>
        <v>606580.9824000001</v>
      </c>
      <c r="AE24" s="122">
        <f t="shared" si="13"/>
        <v>1482392.4736000001</v>
      </c>
      <c r="AF24" s="122">
        <f>SUM(AF25:AF26)</f>
        <v>2417003.9648</v>
      </c>
      <c r="AG24" s="122">
        <f>SUM(AG25:AG26)</f>
        <v>3417615.4560000002</v>
      </c>
    </row>
    <row r="25" spans="1:33" ht="15" customHeight="1">
      <c r="A25" s="126" t="s">
        <v>130</v>
      </c>
      <c r="B25" s="122"/>
      <c r="C25" s="128"/>
      <c r="D25" s="128">
        <f>C25+'1-Ф3'!D26</f>
        <v>0</v>
      </c>
      <c r="E25" s="128">
        <f>D25+'1-Ф3'!E26</f>
        <v>0</v>
      </c>
      <c r="F25" s="128">
        <f>E25+'1-Ф3'!F26</f>
        <v>0</v>
      </c>
      <c r="G25" s="128">
        <f>F25+'1-Ф3'!G26</f>
        <v>0</v>
      </c>
      <c r="H25" s="128">
        <f>G25+'1-Ф3'!H26</f>
        <v>0</v>
      </c>
      <c r="I25" s="128">
        <f>H25+'1-Ф3'!I26</f>
        <v>0</v>
      </c>
      <c r="J25" s="128">
        <f>I25+'1-Ф3'!J26</f>
        <v>0</v>
      </c>
      <c r="K25" s="128">
        <f>J25+'1-Ф3'!K26</f>
        <v>0</v>
      </c>
      <c r="L25" s="128">
        <f>K25+'1-Ф3'!L26</f>
        <v>0</v>
      </c>
      <c r="M25" s="128">
        <f>L25+'1-Ф3'!M26</f>
        <v>0</v>
      </c>
      <c r="N25" s="128">
        <f>M25+'1-Ф3'!N26</f>
        <v>0</v>
      </c>
      <c r="O25" s="128">
        <f>N25+'1-Ф3'!O26</f>
        <v>0</v>
      </c>
      <c r="P25" s="128">
        <f>O25</f>
        <v>0</v>
      </c>
      <c r="Q25" s="128">
        <f>P25+'1-Ф3'!Q26</f>
        <v>0</v>
      </c>
      <c r="R25" s="128">
        <f>Q25+'1-Ф3'!R26</f>
        <v>0</v>
      </c>
      <c r="S25" s="128">
        <f>R25+'1-Ф3'!S26</f>
        <v>0</v>
      </c>
      <c r="T25" s="128">
        <f>S25+'1-Ф3'!T26</f>
        <v>0</v>
      </c>
      <c r="U25" s="128">
        <f>T25+'1-Ф3'!U26</f>
        <v>0</v>
      </c>
      <c r="V25" s="128">
        <f>U25+'1-Ф3'!V26</f>
        <v>0</v>
      </c>
      <c r="W25" s="128">
        <f>V25+'1-Ф3'!W26</f>
        <v>0</v>
      </c>
      <c r="X25" s="128">
        <f>W25+'1-Ф3'!X26</f>
        <v>0</v>
      </c>
      <c r="Y25" s="128">
        <f>X25+'1-Ф3'!Y26</f>
        <v>0</v>
      </c>
      <c r="Z25" s="128">
        <f>Y25+'1-Ф3'!Z26</f>
        <v>0</v>
      </c>
      <c r="AA25" s="128">
        <f>Z25+'1-Ф3'!AA26</f>
        <v>0</v>
      </c>
      <c r="AB25" s="128">
        <f>AA25+'1-Ф3'!AB26</f>
        <v>0</v>
      </c>
      <c r="AC25" s="128">
        <f>AB25</f>
        <v>0</v>
      </c>
      <c r="AD25" s="128">
        <f>AC25+'1-Ф3'!AD26</f>
        <v>0</v>
      </c>
      <c r="AE25" s="128">
        <f>AD25+'1-Ф3'!AE26</f>
        <v>0</v>
      </c>
      <c r="AF25" s="128">
        <f>AE25+'1-Ф3'!AF26</f>
        <v>0</v>
      </c>
      <c r="AG25" s="128">
        <f>AF25+'1-Ф3'!AG26</f>
        <v>0</v>
      </c>
    </row>
    <row r="26" spans="1:33" ht="15" customHeight="1">
      <c r="A26" s="126" t="s">
        <v>131</v>
      </c>
      <c r="B26" s="122"/>
      <c r="C26" s="128"/>
      <c r="D26" s="128">
        <f>'2-ф2'!D19</f>
        <v>0</v>
      </c>
      <c r="E26" s="128">
        <f>'2-ф2'!E19</f>
        <v>0</v>
      </c>
      <c r="F26" s="128">
        <f>'2-ф2'!F19</f>
        <v>0</v>
      </c>
      <c r="G26" s="128">
        <f>'2-ф2'!G19</f>
        <v>0</v>
      </c>
      <c r="H26" s="128">
        <f>'2-ф2'!H19</f>
        <v>0</v>
      </c>
      <c r="I26" s="128">
        <f>'2-ф2'!I19</f>
        <v>0</v>
      </c>
      <c r="J26" s="128">
        <f>'2-ф2'!J19</f>
        <v>0</v>
      </c>
      <c r="K26" s="128">
        <f>'2-ф2'!K19</f>
        <v>0</v>
      </c>
      <c r="L26" s="128">
        <f>'2-ф2'!L19</f>
        <v>0</v>
      </c>
      <c r="M26" s="128">
        <f>'2-ф2'!M19</f>
        <v>0</v>
      </c>
      <c r="N26" s="128">
        <f>'2-ф2'!N19</f>
        <v>0</v>
      </c>
      <c r="O26" s="128">
        <f>'2-ф2'!O19</f>
        <v>0</v>
      </c>
      <c r="P26" s="128">
        <f>'2-ф2'!P19</f>
        <v>0</v>
      </c>
      <c r="Q26" s="128">
        <f>'2-ф2'!Q19</f>
        <v>-25861.928</v>
      </c>
      <c r="R26" s="128">
        <f>'2-ф2'!R19</f>
        <v>-54838.956</v>
      </c>
      <c r="S26" s="128">
        <f>'2-ф2'!S19</f>
        <v>-86832.984</v>
      </c>
      <c r="T26" s="128">
        <f>'2-ф2'!T19</f>
        <v>-118710.01199999999</v>
      </c>
      <c r="U26" s="128">
        <f>'2-ф2'!U19</f>
        <v>-150407.03999999998</v>
      </c>
      <c r="V26" s="128">
        <f>'2-ф2'!V19</f>
        <v>-185067.06799999997</v>
      </c>
      <c r="W26" s="128">
        <f>'2-ф2'!W19</f>
        <v>-221441.09599999996</v>
      </c>
      <c r="X26" s="128">
        <f>'2-ф2'!X19</f>
        <v>-257680.12399999995</v>
      </c>
      <c r="Y26" s="128">
        <f>'2-ф2'!Y19</f>
        <v>-293766.15199999994</v>
      </c>
      <c r="Z26" s="128">
        <f>'2-ф2'!Z19</f>
        <v>-329681.17999999993</v>
      </c>
      <c r="AA26" s="128">
        <f>'2-ф2'!AA19</f>
        <v>-365461.2079999999</v>
      </c>
      <c r="AB26" s="128">
        <f>'2-ф2'!AB19</f>
        <v>-281038.13599999994</v>
      </c>
      <c r="AC26" s="128">
        <f>'2-ф2'!AC19</f>
        <v>-281038.13599999994</v>
      </c>
      <c r="AD26" s="128">
        <f>'2-ф2'!AD19</f>
        <v>606580.9824000001</v>
      </c>
      <c r="AE26" s="128">
        <f>'2-ф2'!AE19</f>
        <v>1482392.4736000001</v>
      </c>
      <c r="AF26" s="128">
        <f>'2-ф2'!AF19</f>
        <v>2417003.9648</v>
      </c>
      <c r="AG26" s="128">
        <f>'2-ф2'!AG19</f>
        <v>3417615.4560000002</v>
      </c>
    </row>
    <row r="28" spans="1:33" ht="12.75">
      <c r="A28" s="131" t="s">
        <v>132</v>
      </c>
      <c r="B28" s="132"/>
      <c r="C28" s="133">
        <f aca="true" t="shared" si="14" ref="C28:AE28">C5-C16</f>
        <v>0</v>
      </c>
      <c r="D28" s="134">
        <f t="shared" si="14"/>
        <v>0</v>
      </c>
      <c r="E28" s="134">
        <f t="shared" si="14"/>
        <v>0</v>
      </c>
      <c r="F28" s="134">
        <f t="shared" si="14"/>
        <v>0</v>
      </c>
      <c r="G28" s="315">
        <f t="shared" si="14"/>
        <v>0</v>
      </c>
      <c r="H28" s="315">
        <f t="shared" si="14"/>
        <v>0</v>
      </c>
      <c r="I28" s="315">
        <f t="shared" si="14"/>
        <v>0</v>
      </c>
      <c r="J28" s="315">
        <f t="shared" si="14"/>
        <v>0</v>
      </c>
      <c r="K28" s="315">
        <f t="shared" si="14"/>
        <v>0</v>
      </c>
      <c r="L28" s="315">
        <f t="shared" si="14"/>
        <v>0</v>
      </c>
      <c r="M28" s="315">
        <f t="shared" si="14"/>
        <v>0</v>
      </c>
      <c r="N28" s="315">
        <f t="shared" si="14"/>
        <v>0</v>
      </c>
      <c r="O28" s="315">
        <f t="shared" si="14"/>
        <v>0</v>
      </c>
      <c r="P28" s="134">
        <f>P5-P16</f>
        <v>0</v>
      </c>
      <c r="Q28" s="134">
        <f t="shared" si="14"/>
        <v>0</v>
      </c>
      <c r="R28" s="134">
        <f t="shared" si="14"/>
        <v>0</v>
      </c>
      <c r="S28" s="134">
        <f t="shared" si="14"/>
        <v>0</v>
      </c>
      <c r="T28" s="134">
        <f t="shared" si="14"/>
        <v>0</v>
      </c>
      <c r="U28" s="134">
        <f t="shared" si="14"/>
        <v>0</v>
      </c>
      <c r="V28" s="134">
        <f t="shared" si="14"/>
        <v>0</v>
      </c>
      <c r="W28" s="134">
        <f t="shared" si="14"/>
        <v>0</v>
      </c>
      <c r="X28" s="134">
        <f t="shared" si="14"/>
        <v>0</v>
      </c>
      <c r="Y28" s="134">
        <f t="shared" si="14"/>
        <v>0</v>
      </c>
      <c r="Z28" s="134">
        <f t="shared" si="14"/>
        <v>0</v>
      </c>
      <c r="AA28" s="134">
        <f t="shared" si="14"/>
        <v>0</v>
      </c>
      <c r="AB28" s="134">
        <f t="shared" si="14"/>
        <v>0</v>
      </c>
      <c r="AC28" s="134">
        <f t="shared" si="14"/>
        <v>0</v>
      </c>
      <c r="AD28" s="134">
        <f t="shared" si="14"/>
        <v>0</v>
      </c>
      <c r="AE28" s="134">
        <f t="shared" si="14"/>
        <v>0</v>
      </c>
      <c r="AF28" s="134">
        <f>AF5-AF16</f>
        <v>0</v>
      </c>
      <c r="AG28" s="134">
        <f>AG5-AG16</f>
        <v>0</v>
      </c>
    </row>
    <row r="29" ht="12.75" hidden="1"/>
    <row r="30" spans="1:33" ht="12.75" hidden="1">
      <c r="A30" s="114" t="s">
        <v>131</v>
      </c>
      <c r="P30" s="115">
        <f>P26</f>
        <v>0</v>
      </c>
      <c r="Q30" s="115">
        <f>'[45]ф2'!Q32</f>
        <v>109.48954266069855</v>
      </c>
      <c r="R30" s="115">
        <f>'[45]ф2'!R32</f>
        <v>109.48954266069855</v>
      </c>
      <c r="S30" s="115">
        <f>'[45]ф2'!S32</f>
        <v>108.45296951069854</v>
      </c>
      <c r="T30" s="115">
        <f>'[45]ф2'!T32</f>
        <v>106.37982321069852</v>
      </c>
      <c r="U30" s="115">
        <f>'[45]ф2'!U32</f>
        <v>103.27010376069849</v>
      </c>
      <c r="V30" s="115">
        <f>'[45]ф2'!V32</f>
        <v>103.27010376069849</v>
      </c>
      <c r="W30" s="115">
        <f>'[45]ф2'!W32</f>
        <v>103.27010376069849</v>
      </c>
      <c r="X30" s="115">
        <f>'[45]ф2'!X32</f>
        <v>99.20125340855881</v>
      </c>
      <c r="Y30" s="115">
        <f>'[45]ф2'!Y32</f>
        <v>99.20125340855881</v>
      </c>
      <c r="Z30" s="115">
        <f>'[45]ф2'!Z32</f>
        <v>99.20125340855881</v>
      </c>
      <c r="AA30" s="115">
        <f>'[45]ф2'!AA32</f>
        <v>99.20125340855881</v>
      </c>
      <c r="AB30" s="115">
        <f>'[45]ф2'!AB32</f>
        <v>82.61608300855879</v>
      </c>
      <c r="AC30" s="115">
        <f>AC26-P26</f>
        <v>-281038.13599999994</v>
      </c>
      <c r="AD30" s="115">
        <f>AD26-AC26</f>
        <v>887619.1184</v>
      </c>
      <c r="AE30" s="115">
        <f>AE26-AD26</f>
        <v>875811.4912</v>
      </c>
      <c r="AF30" s="115">
        <f>AF26-AE26</f>
        <v>934611.4912</v>
      </c>
      <c r="AG30" s="115">
        <f>AG26-AF26</f>
        <v>1000611.4912</v>
      </c>
    </row>
    <row r="31" spans="1:33" ht="12.75" hidden="1">
      <c r="A31" s="114" t="s">
        <v>133</v>
      </c>
      <c r="P31" s="115">
        <f>(P8+P10+P13+P14)-(C8+C10+C13+C14)</f>
        <v>0</v>
      </c>
      <c r="AC31" s="115">
        <f>(AC8+AC10+AC13+AC14)-(P8+P10+P13+P14)</f>
        <v>1351200</v>
      </c>
      <c r="AD31" s="115">
        <f>(AD8+AD10+AD13+AD14)-(AC8+AC10+AC13+AC14)</f>
        <v>100000</v>
      </c>
      <c r="AE31" s="115">
        <f>(AE8+AE10+AE13+AE14)-(AD8+AD10+AD13+AD14)</f>
        <v>200000</v>
      </c>
      <c r="AF31" s="115">
        <f>(AF8+AF10+AF13+AF14)-(AE8+AE10+AE13+AE14)</f>
        <v>400000</v>
      </c>
      <c r="AG31" s="115">
        <f>(AG8+AG10+AG13+AG14)-(AF8+AF10+AF13+AF14)</f>
        <v>500000</v>
      </c>
    </row>
    <row r="32" spans="1:33" ht="12.75" hidden="1">
      <c r="A32" s="114" t="s">
        <v>134</v>
      </c>
      <c r="P32" s="115">
        <f>P9-C9</f>
        <v>0</v>
      </c>
      <c r="AC32" s="115">
        <f>AC9-P9</f>
        <v>0</v>
      </c>
      <c r="AD32" s="115">
        <f>AD9-AC9</f>
        <v>0</v>
      </c>
      <c r="AE32" s="115">
        <f>AE9-AD9</f>
        <v>0</v>
      </c>
      <c r="AF32" s="115">
        <f>AF9-AE9</f>
        <v>0</v>
      </c>
      <c r="AG32" s="115">
        <f>AG9-AF9</f>
        <v>0</v>
      </c>
    </row>
    <row r="33" spans="1:33" ht="12.75" hidden="1">
      <c r="A33" s="114" t="s">
        <v>135</v>
      </c>
      <c r="P33" s="115">
        <f>(P21+P17)-(C21+C17)</f>
        <v>148800</v>
      </c>
      <c r="AC33" s="115">
        <f>(AC21+AC17)-(P21+P17)</f>
        <v>1351200</v>
      </c>
      <c r="AD33" s="115">
        <f>(AD21+AD17)-(AC21+AC17)</f>
        <v>-375000</v>
      </c>
      <c r="AE33" s="115">
        <f>(AE21+AE17)-(AD21+AD17)</f>
        <v>-375000</v>
      </c>
      <c r="AF33" s="115">
        <f>(AF21+AF17)-(AE21+AE17)</f>
        <v>-375000</v>
      </c>
      <c r="AG33" s="115">
        <f>(AG21+AG17)-(AF21+AF17)</f>
        <v>-375000</v>
      </c>
    </row>
    <row r="34" spans="1:33" ht="12.75" hidden="1">
      <c r="A34" s="114" t="s">
        <v>136</v>
      </c>
      <c r="P34" s="115">
        <f>-P31+P32+P33</f>
        <v>148800</v>
      </c>
      <c r="Q34" s="115">
        <f aca="true" t="shared" si="15" ref="Q34:AB34">Q31+Q32+Q33</f>
        <v>0</v>
      </c>
      <c r="R34" s="115">
        <f t="shared" si="15"/>
        <v>0</v>
      </c>
      <c r="S34" s="115">
        <f t="shared" si="15"/>
        <v>0</v>
      </c>
      <c r="T34" s="115">
        <f t="shared" si="15"/>
        <v>0</v>
      </c>
      <c r="U34" s="115">
        <f t="shared" si="15"/>
        <v>0</v>
      </c>
      <c r="V34" s="115">
        <f t="shared" si="15"/>
        <v>0</v>
      </c>
      <c r="W34" s="115">
        <f t="shared" si="15"/>
        <v>0</v>
      </c>
      <c r="X34" s="115">
        <f t="shared" si="15"/>
        <v>0</v>
      </c>
      <c r="Y34" s="115">
        <f t="shared" si="15"/>
        <v>0</v>
      </c>
      <c r="Z34" s="115">
        <f t="shared" si="15"/>
        <v>0</v>
      </c>
      <c r="AA34" s="115">
        <f t="shared" si="15"/>
        <v>0</v>
      </c>
      <c r="AB34" s="115">
        <f t="shared" si="15"/>
        <v>0</v>
      </c>
      <c r="AC34" s="115">
        <f>-AC31+AC32+AC33</f>
        <v>0</v>
      </c>
      <c r="AD34" s="115">
        <f>-AD31+AD32+AD33</f>
        <v>-475000</v>
      </c>
      <c r="AE34" s="115">
        <f>-AE31+AE32+AE33</f>
        <v>-575000</v>
      </c>
      <c r="AF34" s="115">
        <f>-AF31+AF32+AF33</f>
        <v>-775000</v>
      </c>
      <c r="AG34" s="115">
        <f>-AG31+AG32+AG33</f>
        <v>-875000</v>
      </c>
    </row>
    <row r="35" spans="1:33" ht="12.75" hidden="1">
      <c r="A35" s="114" t="s">
        <v>72</v>
      </c>
      <c r="P35" s="115">
        <f>'2-ф2'!P14</f>
        <v>0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>
        <f>'2-ф2'!AC14</f>
        <v>14880</v>
      </c>
      <c r="AD35" s="115">
        <f>'2-ф2'!AD14</f>
        <v>14880</v>
      </c>
      <c r="AE35" s="115">
        <f>'2-ф2'!AE14</f>
        <v>14880</v>
      </c>
      <c r="AF35" s="115">
        <f>'2-ф2'!AF14</f>
        <v>14880</v>
      </c>
      <c r="AG35" s="115">
        <f>'2-ф2'!AG14</f>
        <v>14880</v>
      </c>
    </row>
    <row r="36" spans="1:33" ht="12.75" hidden="1">
      <c r="A36" s="114" t="s">
        <v>137</v>
      </c>
      <c r="P36" s="115">
        <f>-'1-Ф3'!P19</f>
        <v>-148800</v>
      </c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>
        <f>-'1-Ф3'!AC19</f>
        <v>0</v>
      </c>
      <c r="AD36" s="115">
        <f>-'1-Ф3'!AD19</f>
        <v>0</v>
      </c>
      <c r="AE36" s="115">
        <f>-'1-Ф3'!AE19</f>
        <v>0</v>
      </c>
      <c r="AF36" s="115">
        <f>-'1-Ф3'!AF19</f>
        <v>0</v>
      </c>
      <c r="AG36" s="115">
        <f>-'1-Ф3'!AG19</f>
        <v>0</v>
      </c>
    </row>
    <row r="37" spans="1:33" ht="12.75" hidden="1">
      <c r="A37" s="114" t="s">
        <v>138</v>
      </c>
      <c r="P37" s="115">
        <f>P30+P34+P35+P36+P25</f>
        <v>0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>
        <f>AC30+AC34+AC35+AC36</f>
        <v>-266158.13599999994</v>
      </c>
      <c r="AD37" s="115">
        <f>AD30+AD34+AD35+AD36</f>
        <v>427499.11840000004</v>
      </c>
      <c r="AE37" s="115">
        <f>AE30+AE34+AE35+AE36</f>
        <v>315691.49120000005</v>
      </c>
      <c r="AF37" s="115">
        <f>AF30+AF34+AF35+AF36</f>
        <v>174491.49120000005</v>
      </c>
      <c r="AG37" s="115">
        <f>AG30+AG34+AG35+AG36</f>
        <v>140491.49120000005</v>
      </c>
    </row>
    <row r="38" ht="12.75" hidden="1"/>
    <row r="39" spans="1:33" ht="12.75" hidden="1">
      <c r="A39" s="114" t="s">
        <v>144</v>
      </c>
      <c r="P39" s="115">
        <f>'1-Ф3'!P33</f>
        <v>0</v>
      </c>
      <c r="AC39" s="115">
        <f>'1-Ф3'!AC33</f>
        <v>-266158.13600000006</v>
      </c>
      <c r="AD39" s="115">
        <f>'1-Ф3'!AD33</f>
        <v>427499.11840000004</v>
      </c>
      <c r="AE39" s="115">
        <f>'1-Ф3'!AE33</f>
        <v>315691.49120000005</v>
      </c>
      <c r="AF39" s="115">
        <f>'1-Ф3'!AF33</f>
        <v>174491.49120000005</v>
      </c>
      <c r="AG39" s="115">
        <f>'1-Ф3'!AG33</f>
        <v>140491.49120000005</v>
      </c>
    </row>
    <row r="40" spans="1:33" ht="12.75" hidden="1">
      <c r="A40" s="131" t="s">
        <v>132</v>
      </c>
      <c r="B40" s="132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>
        <f>P39-P37</f>
        <v>0</v>
      </c>
      <c r="Q40" s="134">
        <f aca="true" t="shared" si="16" ref="Q40:AB40">Q39-Q37</f>
        <v>0</v>
      </c>
      <c r="R40" s="134">
        <f t="shared" si="16"/>
        <v>0</v>
      </c>
      <c r="S40" s="134">
        <f t="shared" si="16"/>
        <v>0</v>
      </c>
      <c r="T40" s="134">
        <f t="shared" si="16"/>
        <v>0</v>
      </c>
      <c r="U40" s="134">
        <f t="shared" si="16"/>
        <v>0</v>
      </c>
      <c r="V40" s="134">
        <f t="shared" si="16"/>
        <v>0</v>
      </c>
      <c r="W40" s="134">
        <f t="shared" si="16"/>
        <v>0</v>
      </c>
      <c r="X40" s="134">
        <f t="shared" si="16"/>
        <v>0</v>
      </c>
      <c r="Y40" s="134">
        <f t="shared" si="16"/>
        <v>0</v>
      </c>
      <c r="Z40" s="134">
        <f t="shared" si="16"/>
        <v>0</v>
      </c>
      <c r="AA40" s="134">
        <f t="shared" si="16"/>
        <v>0</v>
      </c>
      <c r="AB40" s="134">
        <f t="shared" si="16"/>
        <v>0</v>
      </c>
      <c r="AC40" s="134">
        <f>AC39-AC37</f>
        <v>0</v>
      </c>
      <c r="AD40" s="134">
        <f>AD39-AD37</f>
        <v>0</v>
      </c>
      <c r="AE40" s="134">
        <f>AE39-AE37</f>
        <v>0</v>
      </c>
      <c r="AF40" s="134">
        <f>AF39-AF37</f>
        <v>0</v>
      </c>
      <c r="AG40" s="134">
        <f>AG39-AG37</f>
        <v>0</v>
      </c>
    </row>
    <row r="41" spans="11:14" ht="12.75">
      <c r="K41" s="229">
        <f>K28-J28</f>
        <v>0</v>
      </c>
      <c r="L41" s="229">
        <f>L28-K28</f>
        <v>0</v>
      </c>
      <c r="M41" s="229">
        <f>M28-L28</f>
        <v>0</v>
      </c>
      <c r="N41" s="229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6"/>
  <sheetViews>
    <sheetView showGridLines="0" zoomScalePageLayoutView="0" workbookViewId="0" topLeftCell="A1">
      <pane ySplit="3" topLeftCell="A13" activePane="bottomLeft" state="frozen"/>
      <selection pane="topLeft" activeCell="A34" sqref="A34"/>
      <selection pane="bottomLeft" activeCell="C2" sqref="C1:C16384"/>
    </sheetView>
  </sheetViews>
  <sheetFormatPr defaultColWidth="9.00390625" defaultRowHeight="12.75"/>
  <cols>
    <col min="1" max="1" width="40.00390625" style="73" customWidth="1"/>
    <col min="2" max="2" width="18.75390625" style="73" customWidth="1"/>
    <col min="3" max="3" width="17.00390625" style="73" customWidth="1"/>
    <col min="4" max="5" width="9.125" style="73" customWidth="1"/>
    <col min="6" max="6" width="5.875" style="73" customWidth="1"/>
    <col min="7" max="13" width="9.125" style="73" customWidth="1"/>
    <col min="14" max="14" width="14.375" style="73" customWidth="1"/>
    <col min="15" max="16384" width="9.125" style="73" customWidth="1"/>
  </cols>
  <sheetData>
    <row r="1" spans="1:3" ht="15.75" customHeight="1">
      <c r="A1" s="357" t="s">
        <v>35</v>
      </c>
      <c r="B1" s="357"/>
      <c r="C1" s="357"/>
    </row>
    <row r="2" ht="12" customHeight="1">
      <c r="A2" s="59"/>
    </row>
    <row r="3" spans="1:3" ht="12.75">
      <c r="A3" s="74" t="s">
        <v>24</v>
      </c>
      <c r="B3" s="75" t="s">
        <v>36</v>
      </c>
      <c r="C3" s="75" t="s">
        <v>7</v>
      </c>
    </row>
    <row r="4" ht="12.75">
      <c r="A4" s="59" t="s">
        <v>146</v>
      </c>
    </row>
    <row r="5" spans="1:3" ht="12.75">
      <c r="A5" s="76" t="s">
        <v>98</v>
      </c>
      <c r="B5" s="76"/>
      <c r="C5" s="140">
        <v>388</v>
      </c>
    </row>
    <row r="6" spans="1:3" ht="12.75">
      <c r="A6" s="76" t="s">
        <v>156</v>
      </c>
      <c r="B6" s="76"/>
      <c r="C6" s="338" t="s">
        <v>335</v>
      </c>
    </row>
    <row r="7" spans="1:4" ht="12.75">
      <c r="A7" s="76" t="s">
        <v>68</v>
      </c>
      <c r="B7" s="76"/>
      <c r="C7" s="278">
        <v>0.09</v>
      </c>
      <c r="D7" s="73" t="s">
        <v>258</v>
      </c>
    </row>
    <row r="8" spans="1:4" ht="12.75">
      <c r="A8" s="151" t="s">
        <v>223</v>
      </c>
      <c r="B8" s="76"/>
      <c r="C8" s="155"/>
      <c r="D8" s="260"/>
    </row>
    <row r="9" spans="1:3" ht="12.75">
      <c r="A9" s="76" t="s">
        <v>217</v>
      </c>
      <c r="B9" s="78" t="s">
        <v>38</v>
      </c>
      <c r="C9" s="155">
        <f>'1-Ф3'!B26/'1-Ф3'!B25</f>
        <v>0</v>
      </c>
    </row>
    <row r="10" spans="1:3" ht="12.75">
      <c r="A10" s="76" t="s">
        <v>100</v>
      </c>
      <c r="B10" s="78" t="s">
        <v>38</v>
      </c>
      <c r="C10" s="155">
        <f>'1-Ф3'!B27/'1-Ф3'!B25</f>
        <v>1</v>
      </c>
    </row>
    <row r="11" spans="1:3" ht="12.75" hidden="1">
      <c r="A11" s="76" t="s">
        <v>186</v>
      </c>
      <c r="B11" s="76"/>
      <c r="C11" s="155">
        <f>('1-Ф3'!B26/'1-Ф3'!B25)*0</f>
        <v>0</v>
      </c>
    </row>
    <row r="12" spans="1:3" ht="12.75">
      <c r="A12" s="76" t="s">
        <v>139</v>
      </c>
      <c r="B12" s="76"/>
      <c r="C12" s="80" t="s">
        <v>324</v>
      </c>
    </row>
    <row r="13" ht="12.75">
      <c r="A13" s="59" t="s">
        <v>140</v>
      </c>
    </row>
    <row r="14" spans="1:4" ht="12.75">
      <c r="A14" s="76" t="s">
        <v>43</v>
      </c>
      <c r="B14" s="78" t="s">
        <v>38</v>
      </c>
      <c r="C14" s="79">
        <v>0.1</v>
      </c>
      <c r="D14" s="73" t="s">
        <v>222</v>
      </c>
    </row>
    <row r="15" spans="1:4" ht="12.75">
      <c r="A15" s="76" t="s">
        <v>48</v>
      </c>
      <c r="B15" s="78" t="s">
        <v>38</v>
      </c>
      <c r="C15" s="79">
        <v>0.05</v>
      </c>
      <c r="D15" s="73" t="s">
        <v>222</v>
      </c>
    </row>
    <row r="16" spans="1:3" ht="12.75">
      <c r="A16" s="76" t="s">
        <v>224</v>
      </c>
      <c r="B16" s="78" t="s">
        <v>38</v>
      </c>
      <c r="C16" s="79">
        <v>0.1</v>
      </c>
    </row>
    <row r="17" spans="1:3" ht="12.75">
      <c r="A17" s="76" t="s">
        <v>46</v>
      </c>
      <c r="B17" s="78" t="s">
        <v>38</v>
      </c>
      <c r="C17" s="79">
        <v>0.11</v>
      </c>
    </row>
    <row r="18" spans="1:3" ht="12.75">
      <c r="A18" s="76" t="s">
        <v>108</v>
      </c>
      <c r="B18" s="78" t="s">
        <v>324</v>
      </c>
      <c r="C18" s="222">
        <v>113</v>
      </c>
    </row>
    <row r="19" spans="1:3" ht="12.75">
      <c r="A19" s="76" t="s">
        <v>1</v>
      </c>
      <c r="B19" s="78" t="s">
        <v>38</v>
      </c>
      <c r="C19" s="230">
        <v>0.015</v>
      </c>
    </row>
    <row r="20" spans="1:3" ht="12.75">
      <c r="A20" s="76" t="s">
        <v>37</v>
      </c>
      <c r="B20" s="78" t="s">
        <v>38</v>
      </c>
      <c r="C20" s="79">
        <v>0</v>
      </c>
    </row>
    <row r="21" spans="1:3" ht="12.75">
      <c r="A21" s="76" t="s">
        <v>55</v>
      </c>
      <c r="B21" s="76"/>
      <c r="C21" s="77">
        <v>1</v>
      </c>
    </row>
    <row r="22" spans="1:4" ht="12.75">
      <c r="A22" s="76" t="s">
        <v>261</v>
      </c>
      <c r="B22" s="78" t="s">
        <v>38</v>
      </c>
      <c r="C22" s="79">
        <v>0.2</v>
      </c>
      <c r="D22" s="73" t="s">
        <v>260</v>
      </c>
    </row>
    <row r="23" ht="12.75">
      <c r="A23" s="59" t="s">
        <v>252</v>
      </c>
    </row>
    <row r="24" spans="1:3" ht="12.75" hidden="1">
      <c r="A24" s="76" t="s">
        <v>284</v>
      </c>
      <c r="B24" s="300" t="s">
        <v>54</v>
      </c>
      <c r="C24" s="256"/>
    </row>
    <row r="25" spans="1:3" ht="12.75">
      <c r="A25" s="109" t="s">
        <v>266</v>
      </c>
      <c r="B25" s="300" t="s">
        <v>324</v>
      </c>
      <c r="C25" s="281">
        <v>1500000</v>
      </c>
    </row>
    <row r="26" ht="12.75">
      <c r="A26" s="59" t="s">
        <v>265</v>
      </c>
    </row>
    <row r="27" spans="1:4" ht="12.75">
      <c r="A27" s="76" t="s">
        <v>262</v>
      </c>
      <c r="B27" s="78" t="s">
        <v>264</v>
      </c>
      <c r="C27" s="230">
        <f>0.3%*30</f>
        <v>0.09</v>
      </c>
      <c r="D27" s="73" t="s">
        <v>309</v>
      </c>
    </row>
    <row r="28" spans="1:3" ht="12.75" hidden="1">
      <c r="A28" s="76" t="s">
        <v>263</v>
      </c>
      <c r="B28" s="78" t="s">
        <v>38</v>
      </c>
      <c r="C28" s="230">
        <f>3%*0</f>
        <v>0</v>
      </c>
    </row>
    <row r="29" spans="1:4" ht="12.75" hidden="1">
      <c r="A29" s="76" t="s">
        <v>285</v>
      </c>
      <c r="B29" s="78" t="s">
        <v>38</v>
      </c>
      <c r="C29" s="230">
        <v>0.05</v>
      </c>
      <c r="D29" s="73" t="s">
        <v>286</v>
      </c>
    </row>
    <row r="30" ht="12.75" hidden="1">
      <c r="A30" s="59" t="s">
        <v>225</v>
      </c>
    </row>
    <row r="31" spans="1:3" ht="12.75" hidden="1">
      <c r="A31" s="76" t="s">
        <v>287</v>
      </c>
      <c r="B31" s="78" t="s">
        <v>38</v>
      </c>
      <c r="C31" s="278"/>
    </row>
    <row r="32" ht="12.75">
      <c r="A32" s="59" t="s">
        <v>147</v>
      </c>
    </row>
    <row r="33" spans="1:3" ht="12.75">
      <c r="A33" s="76" t="s">
        <v>287</v>
      </c>
      <c r="B33" s="78" t="s">
        <v>38</v>
      </c>
      <c r="C33" s="278">
        <v>0.1</v>
      </c>
    </row>
    <row r="34" spans="1:3" ht="12.75">
      <c r="A34" s="76" t="s">
        <v>148</v>
      </c>
      <c r="B34" s="78" t="s">
        <v>149</v>
      </c>
      <c r="C34" s="222">
        <v>5</v>
      </c>
    </row>
    <row r="35" spans="1:3" ht="12.75">
      <c r="A35" s="76" t="s">
        <v>151</v>
      </c>
      <c r="B35" s="78" t="s">
        <v>152</v>
      </c>
      <c r="C35" s="140">
        <v>0</v>
      </c>
    </row>
    <row r="36" spans="1:3" ht="12.75">
      <c r="A36" s="76" t="s">
        <v>150</v>
      </c>
      <c r="B36" s="78" t="s">
        <v>152</v>
      </c>
      <c r="C36" s="140">
        <v>12</v>
      </c>
    </row>
  </sheetData>
  <sheetProtection/>
  <mergeCells count="1">
    <mergeCell ref="A1:C1"/>
  </mergeCells>
  <printOptions/>
  <pageMargins left="0.5511811023622047" right="0.4724409448818898" top="0.58" bottom="0.38" header="0.5118110236220472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A12" sqref="A12"/>
    </sheetView>
  </sheetViews>
  <sheetFormatPr defaultColWidth="8.875" defaultRowHeight="12.75"/>
  <cols>
    <col min="1" max="1" width="29.625" style="73" customWidth="1"/>
    <col min="2" max="2" width="16.625" style="73" customWidth="1"/>
    <col min="3" max="3" width="16.00390625" style="73" customWidth="1"/>
    <col min="4" max="4" width="20.00390625" style="73" customWidth="1"/>
    <col min="5" max="12" width="8.00390625" style="73" customWidth="1"/>
    <col min="13" max="16384" width="8.875" style="73" customWidth="1"/>
  </cols>
  <sheetData>
    <row r="1" ht="12.75">
      <c r="A1" s="59" t="s">
        <v>249</v>
      </c>
    </row>
    <row r="2" ht="12.75">
      <c r="A2" s="59"/>
    </row>
    <row r="3" spans="1:4" ht="12.75">
      <c r="A3" s="73" t="s">
        <v>239</v>
      </c>
      <c r="B3" s="233"/>
      <c r="D3" s="142"/>
    </row>
    <row r="4" spans="1:5" ht="33.75" customHeight="1">
      <c r="A4" s="292" t="s">
        <v>172</v>
      </c>
      <c r="B4" s="304" t="s">
        <v>259</v>
      </c>
      <c r="C4" s="304" t="s">
        <v>255</v>
      </c>
      <c r="D4" s="289" t="s">
        <v>175</v>
      </c>
      <c r="E4" s="286"/>
    </row>
    <row r="5" spans="1:5" ht="12.75" customHeight="1" hidden="1">
      <c r="A5" s="290" t="s">
        <v>250</v>
      </c>
      <c r="B5" s="291"/>
      <c r="C5" s="291"/>
      <c r="D5" s="291"/>
      <c r="E5" s="287"/>
    </row>
    <row r="6" spans="1:5" ht="12.75">
      <c r="A6" s="279"/>
      <c r="B6" s="141"/>
      <c r="C6" s="288"/>
      <c r="D6" s="288"/>
      <c r="E6" s="285"/>
    </row>
    <row r="7" spans="1:5" ht="12.75">
      <c r="A7" s="279"/>
      <c r="B7" s="141"/>
      <c r="C7" s="288"/>
      <c r="D7" s="288"/>
      <c r="E7" s="285"/>
    </row>
    <row r="8" spans="1:5" ht="12.75">
      <c r="A8" s="279"/>
      <c r="B8" s="141"/>
      <c r="C8" s="288"/>
      <c r="D8" s="288"/>
      <c r="E8" s="285"/>
    </row>
    <row r="9" spans="1:5" ht="12.75">
      <c r="A9" s="279"/>
      <c r="B9" s="141"/>
      <c r="C9" s="288"/>
      <c r="D9" s="288"/>
      <c r="E9" s="285"/>
    </row>
    <row r="10" spans="1:5" ht="12.75">
      <c r="A10" s="284" t="s">
        <v>0</v>
      </c>
      <c r="B10" s="282"/>
      <c r="C10" s="282"/>
      <c r="D10" s="282">
        <f>SUM(D6:D9)</f>
        <v>0</v>
      </c>
      <c r="E10" s="285"/>
    </row>
    <row r="11" spans="1:5" ht="12.75">
      <c r="A11" s="287"/>
      <c r="B11" s="287"/>
      <c r="C11" s="287"/>
      <c r="D11" s="287"/>
      <c r="E11" s="287"/>
    </row>
    <row r="12" spans="1:5" ht="12.75">
      <c r="A12" s="143"/>
      <c r="B12" s="55"/>
      <c r="C12" s="285"/>
      <c r="D12" s="285"/>
      <c r="E12" s="285"/>
    </row>
    <row r="13" spans="1:5" ht="12.75">
      <c r="A13" s="287"/>
      <c r="B13" s="287"/>
      <c r="C13" s="287"/>
      <c r="D13" s="287"/>
      <c r="E13" s="287"/>
    </row>
  </sheetData>
  <sheetProtection/>
  <printOptions/>
  <pageMargins left="0.29" right="0.18" top="0.46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3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8" sqref="B38"/>
    </sheetView>
  </sheetViews>
  <sheetFormatPr defaultColWidth="8.875" defaultRowHeight="12.75"/>
  <cols>
    <col min="1" max="1" width="29.125" style="73" customWidth="1"/>
    <col min="2" max="2" width="8.125" style="73" customWidth="1"/>
    <col min="3" max="3" width="9.375" style="73" customWidth="1"/>
    <col min="4" max="5" width="11.75390625" style="73" hidden="1" customWidth="1"/>
    <col min="6" max="7" width="11.75390625" style="73" customWidth="1"/>
    <col min="8" max="10" width="10.75390625" style="73" customWidth="1"/>
    <col min="11" max="16384" width="8.875" style="73" customWidth="1"/>
  </cols>
  <sheetData>
    <row r="1" spans="1:6" ht="12.75">
      <c r="A1" s="59" t="s">
        <v>180</v>
      </c>
      <c r="B1" s="59"/>
      <c r="D1" s="59"/>
      <c r="F1" s="59"/>
    </row>
    <row r="2" spans="1:6" ht="7.5" customHeight="1">
      <c r="A2" s="59"/>
      <c r="D2" s="59"/>
      <c r="F2" s="59"/>
    </row>
    <row r="4" spans="1:7" ht="27" customHeight="1">
      <c r="A4" s="360" t="s">
        <v>182</v>
      </c>
      <c r="B4" s="362" t="s">
        <v>177</v>
      </c>
      <c r="C4" s="362" t="s">
        <v>178</v>
      </c>
      <c r="D4" s="358" t="str">
        <f>Дох!A5</f>
        <v>Основной доход</v>
      </c>
      <c r="E4" s="359"/>
      <c r="F4" s="358">
        <f>Дох!A6</f>
        <v>0</v>
      </c>
      <c r="G4" s="359"/>
    </row>
    <row r="5" spans="1:7" ht="38.25">
      <c r="A5" s="361"/>
      <c r="B5" s="363"/>
      <c r="C5" s="363"/>
      <c r="D5" s="231" t="s">
        <v>179</v>
      </c>
      <c r="E5" s="231" t="s">
        <v>183</v>
      </c>
      <c r="F5" s="231" t="s">
        <v>179</v>
      </c>
      <c r="G5" s="231" t="s">
        <v>183</v>
      </c>
    </row>
    <row r="6" spans="1:7" ht="12.75" hidden="1">
      <c r="A6" s="76" t="s">
        <v>187</v>
      </c>
      <c r="B6" s="224" t="s">
        <v>189</v>
      </c>
      <c r="C6" s="256">
        <v>250</v>
      </c>
      <c r="D6" s="222">
        <v>8</v>
      </c>
      <c r="E6" s="141">
        <f>D6*$C6</f>
        <v>2000</v>
      </c>
      <c r="F6" s="222"/>
      <c r="G6" s="141">
        <f>F6*$C6</f>
        <v>0</v>
      </c>
    </row>
    <row r="7" spans="1:7" ht="12.75">
      <c r="A7" s="76" t="s">
        <v>205</v>
      </c>
      <c r="B7" s="224" t="s">
        <v>189</v>
      </c>
      <c r="C7" s="140">
        <v>300</v>
      </c>
      <c r="D7" s="222"/>
      <c r="E7" s="141">
        <f>D7*$C7</f>
        <v>0</v>
      </c>
      <c r="F7" s="222">
        <v>4</v>
      </c>
      <c r="G7" s="141">
        <f>F7*$C7</f>
        <v>1200</v>
      </c>
    </row>
    <row r="8" spans="1:7" ht="12.75" hidden="1">
      <c r="A8" s="76" t="s">
        <v>190</v>
      </c>
      <c r="B8" s="224" t="s">
        <v>191</v>
      </c>
      <c r="C8" s="256">
        <v>5000</v>
      </c>
      <c r="D8" s="222">
        <v>1</v>
      </c>
      <c r="E8" s="141">
        <f>D8*$C8</f>
        <v>5000</v>
      </c>
      <c r="F8" s="222"/>
      <c r="G8" s="141">
        <f>F8*$C8</f>
        <v>0</v>
      </c>
    </row>
    <row r="9" spans="1:7" ht="12.75" hidden="1">
      <c r="A9" s="76" t="s">
        <v>192</v>
      </c>
      <c r="B9" s="224" t="s">
        <v>189</v>
      </c>
      <c r="C9" s="256">
        <v>450</v>
      </c>
      <c r="D9" s="222">
        <v>6</v>
      </c>
      <c r="E9" s="141">
        <f aca="true" t="shared" si="0" ref="E9:E25">D9*$C9</f>
        <v>2700</v>
      </c>
      <c r="F9" s="222"/>
      <c r="G9" s="141">
        <f aca="true" t="shared" si="1" ref="G9:G24">F9*$C9</f>
        <v>0</v>
      </c>
    </row>
    <row r="10" spans="1:7" ht="12.75">
      <c r="A10" s="76" t="s">
        <v>206</v>
      </c>
      <c r="B10" s="224" t="s">
        <v>188</v>
      </c>
      <c r="C10" s="256">
        <v>140</v>
      </c>
      <c r="D10" s="222"/>
      <c r="E10" s="141">
        <f>D10*$C10</f>
        <v>0</v>
      </c>
      <c r="F10" s="222">
        <v>45</v>
      </c>
      <c r="G10" s="141">
        <f>F10*$C10</f>
        <v>6300</v>
      </c>
    </row>
    <row r="11" spans="1:7" ht="12.75" hidden="1">
      <c r="A11" s="76" t="s">
        <v>193</v>
      </c>
      <c r="B11" s="224" t="s">
        <v>194</v>
      </c>
      <c r="C11" s="256">
        <v>600</v>
      </c>
      <c r="D11" s="222">
        <v>1</v>
      </c>
      <c r="E11" s="141">
        <f t="shared" si="0"/>
        <v>600</v>
      </c>
      <c r="F11" s="222"/>
      <c r="G11" s="141">
        <f t="shared" si="1"/>
        <v>0</v>
      </c>
    </row>
    <row r="12" spans="1:7" ht="12.75" hidden="1">
      <c r="A12" s="76" t="s">
        <v>195</v>
      </c>
      <c r="B12" s="224" t="s">
        <v>185</v>
      </c>
      <c r="C12" s="140">
        <v>2800</v>
      </c>
      <c r="D12" s="222">
        <v>1</v>
      </c>
      <c r="E12" s="141">
        <f t="shared" si="0"/>
        <v>2800</v>
      </c>
      <c r="F12" s="222"/>
      <c r="G12" s="141">
        <f t="shared" si="1"/>
        <v>0</v>
      </c>
    </row>
    <row r="13" spans="1:7" ht="12.75" hidden="1">
      <c r="A13" s="76" t="s">
        <v>196</v>
      </c>
      <c r="B13" s="224" t="s">
        <v>185</v>
      </c>
      <c r="C13" s="140">
        <v>250</v>
      </c>
      <c r="D13" s="222">
        <v>1</v>
      </c>
      <c r="E13" s="141">
        <f>D13*$C13</f>
        <v>250</v>
      </c>
      <c r="F13" s="222"/>
      <c r="G13" s="141">
        <f>F13*$C13</f>
        <v>0</v>
      </c>
    </row>
    <row r="14" spans="1:7" ht="12.75" hidden="1">
      <c r="A14" s="76" t="s">
        <v>197</v>
      </c>
      <c r="B14" s="224" t="s">
        <v>185</v>
      </c>
      <c r="C14" s="140">
        <v>500</v>
      </c>
      <c r="D14" s="222">
        <v>1</v>
      </c>
      <c r="E14" s="141">
        <f t="shared" si="0"/>
        <v>500</v>
      </c>
      <c r="F14" s="222"/>
      <c r="G14" s="141">
        <f t="shared" si="1"/>
        <v>0</v>
      </c>
    </row>
    <row r="15" spans="1:7" ht="13.5" customHeight="1" hidden="1">
      <c r="A15" s="162" t="s">
        <v>198</v>
      </c>
      <c r="B15" s="224" t="s">
        <v>211</v>
      </c>
      <c r="C15" s="140">
        <v>2300</v>
      </c>
      <c r="D15" s="222">
        <v>1</v>
      </c>
      <c r="E15" s="141">
        <f t="shared" si="0"/>
        <v>2300</v>
      </c>
      <c r="F15" s="222"/>
      <c r="G15" s="141">
        <f t="shared" si="1"/>
        <v>0</v>
      </c>
    </row>
    <row r="16" spans="1:7" ht="25.5">
      <c r="A16" s="162" t="s">
        <v>210</v>
      </c>
      <c r="B16" s="224" t="s">
        <v>211</v>
      </c>
      <c r="C16" s="140">
        <v>1100</v>
      </c>
      <c r="D16" s="222"/>
      <c r="E16" s="141">
        <f>D16*$C16</f>
        <v>0</v>
      </c>
      <c r="F16" s="222">
        <v>1</v>
      </c>
      <c r="G16" s="141">
        <f>F16*$C16</f>
        <v>1100</v>
      </c>
    </row>
    <row r="17" spans="1:7" ht="12.75" hidden="1">
      <c r="A17" s="76" t="s">
        <v>199</v>
      </c>
      <c r="B17" s="224" t="s">
        <v>185</v>
      </c>
      <c r="C17" s="140">
        <v>400</v>
      </c>
      <c r="D17" s="222">
        <v>1</v>
      </c>
      <c r="E17" s="141">
        <f t="shared" si="0"/>
        <v>400</v>
      </c>
      <c r="F17" s="222"/>
      <c r="G17" s="141">
        <f t="shared" si="1"/>
        <v>0</v>
      </c>
    </row>
    <row r="18" spans="1:7" ht="25.5" hidden="1">
      <c r="A18" s="162" t="s">
        <v>200</v>
      </c>
      <c r="B18" s="224" t="s">
        <v>191</v>
      </c>
      <c r="C18" s="140">
        <v>2700</v>
      </c>
      <c r="D18" s="222">
        <v>0.5</v>
      </c>
      <c r="E18" s="141">
        <f t="shared" si="0"/>
        <v>1350</v>
      </c>
      <c r="F18" s="222"/>
      <c r="G18" s="141">
        <f t="shared" si="1"/>
        <v>0</v>
      </c>
    </row>
    <row r="19" spans="1:7" ht="12.75" hidden="1">
      <c r="A19" s="76" t="s">
        <v>201</v>
      </c>
      <c r="B19" s="224" t="s">
        <v>188</v>
      </c>
      <c r="C19" s="140">
        <v>90</v>
      </c>
      <c r="D19" s="222">
        <v>6</v>
      </c>
      <c r="E19" s="141">
        <f t="shared" si="0"/>
        <v>540</v>
      </c>
      <c r="F19" s="222"/>
      <c r="G19" s="141">
        <f t="shared" si="1"/>
        <v>0</v>
      </c>
    </row>
    <row r="20" spans="1:7" ht="12.75" hidden="1">
      <c r="A20" s="76" t="s">
        <v>202</v>
      </c>
      <c r="B20" s="224" t="s">
        <v>185</v>
      </c>
      <c r="C20" s="140">
        <v>300</v>
      </c>
      <c r="D20" s="222">
        <v>2</v>
      </c>
      <c r="E20" s="141">
        <f t="shared" si="0"/>
        <v>600</v>
      </c>
      <c r="F20" s="222"/>
      <c r="G20" s="141">
        <f t="shared" si="1"/>
        <v>0</v>
      </c>
    </row>
    <row r="21" spans="1:7" ht="12.75">
      <c r="A21" s="76" t="s">
        <v>209</v>
      </c>
      <c r="B21" s="224" t="s">
        <v>185</v>
      </c>
      <c r="C21" s="140">
        <v>300</v>
      </c>
      <c r="D21" s="222"/>
      <c r="E21" s="141">
        <f>D21*$C21</f>
        <v>0</v>
      </c>
      <c r="F21" s="222">
        <v>1</v>
      </c>
      <c r="G21" s="141">
        <f>F21*$C21</f>
        <v>300</v>
      </c>
    </row>
    <row r="22" spans="1:7" ht="12.75" hidden="1">
      <c r="A22" s="76" t="s">
        <v>203</v>
      </c>
      <c r="B22" s="224" t="s">
        <v>185</v>
      </c>
      <c r="C22" s="140">
        <v>2</v>
      </c>
      <c r="D22" s="222">
        <v>50</v>
      </c>
      <c r="E22" s="141">
        <f t="shared" si="0"/>
        <v>100</v>
      </c>
      <c r="F22" s="222"/>
      <c r="G22" s="141">
        <f t="shared" si="1"/>
        <v>0</v>
      </c>
    </row>
    <row r="23" spans="1:7" ht="12.75">
      <c r="A23" s="76" t="s">
        <v>204</v>
      </c>
      <c r="B23" s="224" t="s">
        <v>185</v>
      </c>
      <c r="C23" s="140">
        <v>10</v>
      </c>
      <c r="D23" s="222">
        <v>20</v>
      </c>
      <c r="E23" s="141">
        <f t="shared" si="0"/>
        <v>200</v>
      </c>
      <c r="F23" s="222">
        <v>40</v>
      </c>
      <c r="G23" s="141">
        <f t="shared" si="1"/>
        <v>400</v>
      </c>
    </row>
    <row r="24" spans="1:7" ht="12.75">
      <c r="A24" s="76" t="s">
        <v>207</v>
      </c>
      <c r="B24" s="224" t="s">
        <v>185</v>
      </c>
      <c r="C24" s="140">
        <v>90</v>
      </c>
      <c r="D24" s="222"/>
      <c r="E24" s="141">
        <f t="shared" si="0"/>
        <v>0</v>
      </c>
      <c r="F24" s="222">
        <v>45</v>
      </c>
      <c r="G24" s="141">
        <f t="shared" si="1"/>
        <v>4050</v>
      </c>
    </row>
    <row r="25" spans="1:7" ht="12.75">
      <c r="A25" s="76" t="s">
        <v>208</v>
      </c>
      <c r="B25" s="224" t="s">
        <v>185</v>
      </c>
      <c r="C25" s="140">
        <v>165</v>
      </c>
      <c r="D25" s="222"/>
      <c r="E25" s="141">
        <f t="shared" si="0"/>
        <v>0</v>
      </c>
      <c r="F25" s="222">
        <v>20</v>
      </c>
      <c r="G25" s="141">
        <f>F25*$C25</f>
        <v>3300</v>
      </c>
    </row>
    <row r="26" spans="1:7" ht="12.75" hidden="1">
      <c r="A26" s="76"/>
      <c r="B26" s="224"/>
      <c r="C26" s="140"/>
      <c r="D26" s="222"/>
      <c r="E26" s="141">
        <f>D26*$C26</f>
        <v>0</v>
      </c>
      <c r="F26" s="222"/>
      <c r="G26" s="141">
        <f>F26*$C26</f>
        <v>0</v>
      </c>
    </row>
    <row r="27" spans="1:7" ht="12.75">
      <c r="A27" s="151" t="s">
        <v>0</v>
      </c>
      <c r="B27" s="235"/>
      <c r="C27" s="236"/>
      <c r="D27" s="237"/>
      <c r="E27" s="232">
        <f>SUM(E6:E26)</f>
        <v>19340</v>
      </c>
      <c r="F27" s="237"/>
      <c r="G27" s="232">
        <f>SUM(G6:G26)</f>
        <v>16650</v>
      </c>
    </row>
    <row r="29" spans="1:9" s="143" customFormat="1" ht="12.75">
      <c r="A29" s="143" t="s">
        <v>212</v>
      </c>
      <c r="E29" s="238">
        <f>Дох!B5</f>
        <v>0</v>
      </c>
      <c r="G29" s="238">
        <f>Дох!B6</f>
        <v>0</v>
      </c>
      <c r="I29" s="233"/>
    </row>
    <row r="30" spans="1:7" s="143" customFormat="1" ht="12.75">
      <c r="A30" s="239" t="s">
        <v>213</v>
      </c>
      <c r="B30" s="239"/>
      <c r="C30" s="239"/>
      <c r="D30" s="239"/>
      <c r="E30" s="240" t="e">
        <f>E27/E29</f>
        <v>#DIV/0!</v>
      </c>
      <c r="F30" s="239"/>
      <c r="G30" s="240" t="e">
        <f>G27/G29</f>
        <v>#DIV/0!</v>
      </c>
    </row>
    <row r="31" spans="1:7" ht="12.75">
      <c r="A31" s="73" t="s">
        <v>214</v>
      </c>
      <c r="G31" s="241">
        <v>0.43396783625730995</v>
      </c>
    </row>
  </sheetData>
  <sheetProtection/>
  <mergeCells count="5">
    <mergeCell ref="D4:E4"/>
    <mergeCell ref="A4:A5"/>
    <mergeCell ref="B4:B5"/>
    <mergeCell ref="C4:C5"/>
    <mergeCell ref="F4:G4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AG28"/>
  <sheetViews>
    <sheetView showGridLines="0" showZeros="0" zoomScalePageLayoutView="0" workbookViewId="0" topLeftCell="A1">
      <pane xSplit="3" ySplit="4" topLeftCell="W16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G22" sqref="AG22"/>
    </sheetView>
  </sheetViews>
  <sheetFormatPr defaultColWidth="9.00390625" defaultRowHeight="12.75" outlineLevelCol="1"/>
  <cols>
    <col min="1" max="1" width="43.25390625" style="226" customWidth="1"/>
    <col min="2" max="2" width="15.375" style="226" customWidth="1"/>
    <col min="3" max="3" width="6.375" style="226" bestFit="1" customWidth="1"/>
    <col min="4" max="12" width="9.00390625" style="226" hidden="1" customWidth="1" outlineLevel="1"/>
    <col min="13" max="14" width="8.625" style="226" hidden="1" customWidth="1" outlineLevel="1"/>
    <col min="15" max="15" width="8.875" style="226" hidden="1" customWidth="1" outlineLevel="1"/>
    <col min="16" max="16" width="9.125" style="226" hidden="1" customWidth="1" collapsed="1"/>
    <col min="17" max="28" width="8.375" style="226" hidden="1" customWidth="1" outlineLevel="1"/>
    <col min="29" max="29" width="9.125" style="226" customWidth="1" collapsed="1"/>
    <col min="30" max="31" width="9.125" style="226" customWidth="1"/>
    <col min="32" max="16384" width="9.125" style="226" customWidth="1"/>
  </cols>
  <sheetData>
    <row r="1" spans="1:3" ht="21" customHeight="1">
      <c r="A1" s="228" t="s">
        <v>164</v>
      </c>
      <c r="B1" s="225"/>
      <c r="C1" s="225"/>
    </row>
    <row r="2" spans="1:3" ht="17.25" customHeight="1">
      <c r="A2" s="228"/>
      <c r="B2" s="298"/>
      <c r="C2" s="295"/>
    </row>
    <row r="3" spans="1:33" ht="12.75" customHeight="1">
      <c r="A3" s="364" t="s">
        <v>129</v>
      </c>
      <c r="B3" s="366" t="s">
        <v>248</v>
      </c>
      <c r="C3" s="117"/>
      <c r="D3" s="356">
        <v>2015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>
        <v>2019</v>
      </c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118">
        <v>2020</v>
      </c>
      <c r="AE3" s="118">
        <f>AD3+1</f>
        <v>2021</v>
      </c>
      <c r="AF3" s="118">
        <f>AE3+1</f>
        <v>2022</v>
      </c>
      <c r="AG3" s="118">
        <f>AF3+1</f>
        <v>2023</v>
      </c>
    </row>
    <row r="4" spans="1:33" ht="12.75">
      <c r="A4" s="365"/>
      <c r="B4" s="367"/>
      <c r="C4" s="119"/>
      <c r="D4" s="120">
        <f aca="true" t="shared" si="0" ref="D4:L4">C4+1</f>
        <v>1</v>
      </c>
      <c r="E4" s="120">
        <f t="shared" si="0"/>
        <v>2</v>
      </c>
      <c r="F4" s="120">
        <f t="shared" si="0"/>
        <v>3</v>
      </c>
      <c r="G4" s="120">
        <f t="shared" si="0"/>
        <v>4</v>
      </c>
      <c r="H4" s="120">
        <f t="shared" si="0"/>
        <v>5</v>
      </c>
      <c r="I4" s="120">
        <f t="shared" si="0"/>
        <v>6</v>
      </c>
      <c r="J4" s="120">
        <f t="shared" si="0"/>
        <v>7</v>
      </c>
      <c r="K4" s="120">
        <f t="shared" si="0"/>
        <v>8</v>
      </c>
      <c r="L4" s="120">
        <f t="shared" si="0"/>
        <v>9</v>
      </c>
      <c r="M4" s="120">
        <f>L4+1</f>
        <v>10</v>
      </c>
      <c r="N4" s="120">
        <f>M4+1</f>
        <v>11</v>
      </c>
      <c r="O4" s="120">
        <f>N4+1</f>
        <v>12</v>
      </c>
      <c r="P4" s="116" t="s">
        <v>0</v>
      </c>
      <c r="Q4" s="120">
        <v>1</v>
      </c>
      <c r="R4" s="120">
        <f aca="true" t="shared" si="1" ref="R4:AB4">Q4+1</f>
        <v>2</v>
      </c>
      <c r="S4" s="120">
        <f t="shared" si="1"/>
        <v>3</v>
      </c>
      <c r="T4" s="120">
        <f t="shared" si="1"/>
        <v>4</v>
      </c>
      <c r="U4" s="120">
        <f t="shared" si="1"/>
        <v>5</v>
      </c>
      <c r="V4" s="120">
        <f t="shared" si="1"/>
        <v>6</v>
      </c>
      <c r="W4" s="120">
        <f t="shared" si="1"/>
        <v>7</v>
      </c>
      <c r="X4" s="120">
        <f t="shared" si="1"/>
        <v>8</v>
      </c>
      <c r="Y4" s="120">
        <f t="shared" si="1"/>
        <v>9</v>
      </c>
      <c r="Z4" s="120">
        <f t="shared" si="1"/>
        <v>10</v>
      </c>
      <c r="AA4" s="120">
        <f t="shared" si="1"/>
        <v>11</v>
      </c>
      <c r="AB4" s="120">
        <f t="shared" si="1"/>
        <v>12</v>
      </c>
      <c r="AC4" s="116" t="s">
        <v>0</v>
      </c>
      <c r="AD4" s="116" t="s">
        <v>106</v>
      </c>
      <c r="AE4" s="116" t="s">
        <v>106</v>
      </c>
      <c r="AF4" s="116" t="s">
        <v>106</v>
      </c>
      <c r="AG4" s="116" t="s">
        <v>106</v>
      </c>
    </row>
    <row r="5" spans="1:29" s="309" customFormat="1" ht="13.5" customHeight="1">
      <c r="A5" s="309" t="s">
        <v>312</v>
      </c>
      <c r="F5" s="309">
        <f>Исх!C24</f>
        <v>0</v>
      </c>
      <c r="P5" s="309">
        <f>SUM(D5:O5)</f>
        <v>0</v>
      </c>
      <c r="AC5" s="309">
        <f>SUM(Q5:AB5)</f>
        <v>0</v>
      </c>
    </row>
    <row r="6" spans="1:33" ht="15" customHeight="1">
      <c r="A6" s="333" t="s">
        <v>100</v>
      </c>
      <c r="B6" s="128" t="s">
        <v>54</v>
      </c>
      <c r="C6" s="122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2">
        <f>SUM(D6:O6)</f>
        <v>0</v>
      </c>
      <c r="Q6" s="128">
        <f>Исх!$C$25/2/2</f>
        <v>375000</v>
      </c>
      <c r="R6" s="128">
        <f>Исх!$C$25/2/2</f>
        <v>375000</v>
      </c>
      <c r="S6" s="128"/>
      <c r="T6" s="128"/>
      <c r="U6" s="128">
        <f>Исх!$C$25/2/2</f>
        <v>375000</v>
      </c>
      <c r="V6" s="128">
        <f>Исх!$C$25/2/2-Инв!D18</f>
        <v>226200</v>
      </c>
      <c r="W6" s="128"/>
      <c r="X6" s="128"/>
      <c r="Y6" s="128"/>
      <c r="Z6" s="128"/>
      <c r="AA6" s="128"/>
      <c r="AB6" s="128"/>
      <c r="AC6" s="122">
        <f>SUM(Q6:AB6)</f>
        <v>1351200</v>
      </c>
      <c r="AD6" s="128"/>
      <c r="AE6" s="128"/>
      <c r="AF6" s="128"/>
      <c r="AG6" s="128"/>
    </row>
    <row r="7" spans="1:33" s="309" customFormat="1" ht="15" customHeight="1">
      <c r="A7" s="334" t="s">
        <v>267</v>
      </c>
      <c r="B7" s="122" t="s">
        <v>54</v>
      </c>
      <c r="C7" s="122"/>
      <c r="D7" s="122"/>
      <c r="E7" s="122"/>
      <c r="F7" s="122">
        <f>F5+F6+E7</f>
        <v>0</v>
      </c>
      <c r="G7" s="122">
        <f>G5+G6+F7</f>
        <v>0</v>
      </c>
      <c r="H7" s="122">
        <f aca="true" t="shared" si="2" ref="H7:N7">H5+H6+G7</f>
        <v>0</v>
      </c>
      <c r="I7" s="122">
        <f t="shared" si="2"/>
        <v>0</v>
      </c>
      <c r="J7" s="122">
        <f t="shared" si="2"/>
        <v>0</v>
      </c>
      <c r="K7" s="122">
        <f t="shared" si="2"/>
        <v>0</v>
      </c>
      <c r="L7" s="122">
        <f t="shared" si="2"/>
        <v>0</v>
      </c>
      <c r="M7" s="122">
        <f t="shared" si="2"/>
        <v>0</v>
      </c>
      <c r="N7" s="122">
        <f t="shared" si="2"/>
        <v>0</v>
      </c>
      <c r="O7" s="122">
        <f>O5+O6+N7</f>
        <v>0</v>
      </c>
      <c r="P7" s="122">
        <f>O7</f>
        <v>0</v>
      </c>
      <c r="Q7" s="122">
        <f aca="true" t="shared" si="3" ref="Q7:X7">Q5+Q6+P7</f>
        <v>375000</v>
      </c>
      <c r="R7" s="122">
        <f t="shared" si="3"/>
        <v>750000</v>
      </c>
      <c r="S7" s="122">
        <f t="shared" si="3"/>
        <v>750000</v>
      </c>
      <c r="T7" s="122">
        <f t="shared" si="3"/>
        <v>750000</v>
      </c>
      <c r="U7" s="122">
        <f t="shared" si="3"/>
        <v>1125000</v>
      </c>
      <c r="V7" s="122">
        <f t="shared" si="3"/>
        <v>1351200</v>
      </c>
      <c r="W7" s="122">
        <f t="shared" si="3"/>
        <v>1351200</v>
      </c>
      <c r="X7" s="122">
        <f t="shared" si="3"/>
        <v>1351200</v>
      </c>
      <c r="Y7" s="122">
        <f>Y5+Y6+X7</f>
        <v>1351200</v>
      </c>
      <c r="Z7" s="122">
        <f>Z5+Z6+Y7</f>
        <v>1351200</v>
      </c>
      <c r="AA7" s="122">
        <f>AA5+AA6+Z7</f>
        <v>1351200</v>
      </c>
      <c r="AB7" s="122">
        <f>AB5+AB6+AA7</f>
        <v>1351200</v>
      </c>
      <c r="AC7" s="122">
        <f>AB7</f>
        <v>1351200</v>
      </c>
      <c r="AD7" s="122">
        <f>AD5+AD6+AC7</f>
        <v>1351200</v>
      </c>
      <c r="AE7" s="122">
        <f>AE5+AE6+AD7</f>
        <v>1351200</v>
      </c>
      <c r="AF7" s="122">
        <f>AF5+AF6+AE7</f>
        <v>1351200</v>
      </c>
      <c r="AG7" s="122">
        <f>AG5+AG6+AF7</f>
        <v>1351200</v>
      </c>
    </row>
    <row r="8" spans="6:33" ht="12.75"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</row>
    <row r="9" s="309" customFormat="1" ht="13.5" customHeight="1">
      <c r="A9" s="309" t="s">
        <v>4</v>
      </c>
    </row>
    <row r="10" spans="1:33" ht="15" customHeight="1">
      <c r="A10" s="227" t="s">
        <v>313</v>
      </c>
      <c r="B10" s="128" t="s">
        <v>54</v>
      </c>
      <c r="C10" s="122"/>
      <c r="D10" s="128"/>
      <c r="E10" s="128"/>
      <c r="F10" s="128">
        <f>(F5-$F$5)*Исх!$C$31/12</f>
        <v>0</v>
      </c>
      <c r="G10" s="128">
        <f>(G5-$F$5)*Исх!$C$31/12</f>
        <v>0</v>
      </c>
      <c r="H10" s="128">
        <f>(H5-$F$5)*Исх!$C$31/12</f>
        <v>0</v>
      </c>
      <c r="I10" s="128">
        <f>(I5-$F$5)*Исх!$C$31/12</f>
        <v>0</v>
      </c>
      <c r="J10" s="128">
        <f>(J5-$F$5)*Исх!$C$31/12</f>
        <v>0</v>
      </c>
      <c r="K10" s="128">
        <f>(K5-$F$5)*Исх!$C$31/12</f>
        <v>0</v>
      </c>
      <c r="L10" s="128">
        <f>(L5-$F$5)*Исх!$C$31/12</f>
        <v>0</v>
      </c>
      <c r="M10" s="128">
        <f>(M5-$F$5)*Исх!$C$31/12</f>
        <v>0</v>
      </c>
      <c r="N10" s="128">
        <f>(N5-$F$5)*Исх!$C$31/12</f>
        <v>0</v>
      </c>
      <c r="O10" s="128">
        <f>(O5-$F$5)*Исх!$C$31/12</f>
        <v>0</v>
      </c>
      <c r="P10" s="122">
        <f>SUM(D10:O10)</f>
        <v>0</v>
      </c>
      <c r="Q10" s="311">
        <v>700</v>
      </c>
      <c r="R10" s="311">
        <v>110</v>
      </c>
      <c r="S10" s="311">
        <v>1200</v>
      </c>
      <c r="T10" s="311">
        <v>1300</v>
      </c>
      <c r="U10" s="311">
        <v>2000</v>
      </c>
      <c r="V10" s="311">
        <v>1800</v>
      </c>
      <c r="W10" s="311">
        <v>1900</v>
      </c>
      <c r="X10" s="311">
        <v>1500</v>
      </c>
      <c r="Y10" s="311">
        <v>1700</v>
      </c>
      <c r="Z10" s="311">
        <v>1900</v>
      </c>
      <c r="AA10" s="311">
        <v>1500</v>
      </c>
      <c r="AB10" s="311">
        <f>AC6-SUM(Q10:AA10)</f>
        <v>1335590</v>
      </c>
      <c r="AC10" s="122">
        <f>SUM(Q10:AB10)</f>
        <v>1351200</v>
      </c>
      <c r="AD10" s="312">
        <f>AC7-AC10</f>
        <v>0</v>
      </c>
      <c r="AE10" s="128">
        <f>AE5*Исх!$C$31</f>
        <v>0</v>
      </c>
      <c r="AF10" s="128">
        <f>AF5*Исх!$C$31</f>
        <v>0</v>
      </c>
      <c r="AG10" s="128">
        <f>AG5*Исх!$C$31</f>
        <v>0</v>
      </c>
    </row>
    <row r="11" spans="1:33" s="309" customFormat="1" ht="15" customHeight="1">
      <c r="A11" s="334" t="s">
        <v>267</v>
      </c>
      <c r="B11" s="122" t="s">
        <v>54</v>
      </c>
      <c r="C11" s="122"/>
      <c r="D11" s="122"/>
      <c r="E11" s="122"/>
      <c r="F11" s="122">
        <f aca="true" t="shared" si="4" ref="F11:O11">F9+F10+E11</f>
        <v>0</v>
      </c>
      <c r="G11" s="122">
        <f t="shared" si="4"/>
        <v>0</v>
      </c>
      <c r="H11" s="122">
        <f t="shared" si="4"/>
        <v>0</v>
      </c>
      <c r="I11" s="122">
        <f t="shared" si="4"/>
        <v>0</v>
      </c>
      <c r="J11" s="122">
        <f t="shared" si="4"/>
        <v>0</v>
      </c>
      <c r="K11" s="122">
        <f t="shared" si="4"/>
        <v>0</v>
      </c>
      <c r="L11" s="122">
        <f t="shared" si="4"/>
        <v>0</v>
      </c>
      <c r="M11" s="122">
        <f t="shared" si="4"/>
        <v>0</v>
      </c>
      <c r="N11" s="122">
        <f t="shared" si="4"/>
        <v>0</v>
      </c>
      <c r="O11" s="122">
        <f t="shared" si="4"/>
        <v>0</v>
      </c>
      <c r="P11" s="122">
        <f>O11</f>
        <v>0</v>
      </c>
      <c r="Q11" s="122">
        <f aca="true" t="shared" si="5" ref="Q11:AB11">Q9+Q10+P11</f>
        <v>700</v>
      </c>
      <c r="R11" s="122">
        <f t="shared" si="5"/>
        <v>810</v>
      </c>
      <c r="S11" s="122">
        <f t="shared" si="5"/>
        <v>2010</v>
      </c>
      <c r="T11" s="122">
        <f t="shared" si="5"/>
        <v>3310</v>
      </c>
      <c r="U11" s="122">
        <f t="shared" si="5"/>
        <v>5310</v>
      </c>
      <c r="V11" s="122">
        <f t="shared" si="5"/>
        <v>7110</v>
      </c>
      <c r="W11" s="122">
        <f t="shared" si="5"/>
        <v>9010</v>
      </c>
      <c r="X11" s="122">
        <f t="shared" si="5"/>
        <v>10510</v>
      </c>
      <c r="Y11" s="122">
        <f t="shared" si="5"/>
        <v>12210</v>
      </c>
      <c r="Z11" s="122">
        <f t="shared" si="5"/>
        <v>14110</v>
      </c>
      <c r="AA11" s="122">
        <f t="shared" si="5"/>
        <v>15610</v>
      </c>
      <c r="AB11" s="122">
        <f t="shared" si="5"/>
        <v>1351200</v>
      </c>
      <c r="AC11" s="122">
        <f>AB11</f>
        <v>1351200</v>
      </c>
      <c r="AD11" s="122">
        <f>AD9+AD10+AC11</f>
        <v>1351200</v>
      </c>
      <c r="AE11" s="122">
        <f>AE9+AE10+AD11</f>
        <v>1351200</v>
      </c>
      <c r="AF11" s="122">
        <f>AF9+AF10+AE11</f>
        <v>1351200</v>
      </c>
      <c r="AG11" s="122">
        <f>AG9+AG10+AF11</f>
        <v>1351200</v>
      </c>
    </row>
    <row r="12" spans="6:33" ht="12.75"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</row>
    <row r="13" s="309" customFormat="1" ht="13.5" customHeight="1" hidden="1">
      <c r="A13" s="309" t="s">
        <v>225</v>
      </c>
    </row>
    <row r="14" spans="1:33" ht="15" customHeight="1" hidden="1">
      <c r="A14" s="227" t="s">
        <v>288</v>
      </c>
      <c r="B14" s="128" t="s">
        <v>54</v>
      </c>
      <c r="C14" s="122"/>
      <c r="D14" s="128"/>
      <c r="E14" s="128"/>
      <c r="F14" s="128">
        <f>(F7-$F$5)*Исх!$C$31/12</f>
        <v>0</v>
      </c>
      <c r="G14" s="128">
        <f>(G7-$F$5)*Исх!$C$31/12</f>
        <v>0</v>
      </c>
      <c r="H14" s="128">
        <f>(H7-$F$5)*Исх!$C$31/12</f>
        <v>0</v>
      </c>
      <c r="I14" s="128">
        <f>(I7-$F$5)*Исх!$C$31/12</f>
        <v>0</v>
      </c>
      <c r="J14" s="128">
        <f>(J7-$F$5)*Исх!$C$31/12</f>
        <v>0</v>
      </c>
      <c r="K14" s="128">
        <f>(K7-$F$5)*Исх!$C$31/12</f>
        <v>0</v>
      </c>
      <c r="L14" s="128">
        <f>(L7-$F$5)*Исх!$C$31/12</f>
        <v>0</v>
      </c>
      <c r="M14" s="128">
        <f>(M7-$F$5)*Исх!$C$31/12</f>
        <v>0</v>
      </c>
      <c r="N14" s="128">
        <f>(N7-$F$5)*Исх!$C$31/12</f>
        <v>0</v>
      </c>
      <c r="O14" s="128">
        <f>(O7-$F$5)*Исх!$C$31/12</f>
        <v>0</v>
      </c>
      <c r="P14" s="122">
        <f>SUM(D14:O14)</f>
        <v>0</v>
      </c>
      <c r="Q14" s="128">
        <f>Q7*Исх!$C$31/12</f>
        <v>0</v>
      </c>
      <c r="R14" s="128">
        <f>R7*Исх!$C$31/12</f>
        <v>0</v>
      </c>
      <c r="S14" s="128">
        <f>S7*Исх!$C$31/12</f>
        <v>0</v>
      </c>
      <c r="T14" s="128">
        <f>T7*Исх!$C$31/12</f>
        <v>0</v>
      </c>
      <c r="U14" s="128">
        <f>U7*Исх!$C$31/12</f>
        <v>0</v>
      </c>
      <c r="V14" s="128">
        <f>V7*Исх!$C$31/12</f>
        <v>0</v>
      </c>
      <c r="W14" s="128">
        <f>W7*Исх!$C$31/12</f>
        <v>0</v>
      </c>
      <c r="X14" s="128">
        <f>X7*Исх!$C$31/12</f>
        <v>0</v>
      </c>
      <c r="Y14" s="128">
        <f>Y7*Исх!$C$31/12</f>
        <v>0</v>
      </c>
      <c r="Z14" s="128">
        <f>Z7*Исх!$C$31/12</f>
        <v>0</v>
      </c>
      <c r="AA14" s="128">
        <f>AA7*Исх!$C$31/12</f>
        <v>0</v>
      </c>
      <c r="AB14" s="128">
        <f>AB7*Исх!$C$31/12</f>
        <v>0</v>
      </c>
      <c r="AC14" s="122">
        <f>SUM(Q14:AB14)</f>
        <v>0</v>
      </c>
      <c r="AD14" s="128">
        <f>AD7*Исх!$C$31</f>
        <v>0</v>
      </c>
      <c r="AE14" s="128">
        <f>AE7*Исх!$C$31</f>
        <v>0</v>
      </c>
      <c r="AF14" s="128">
        <f>AF7*Исх!$C$31</f>
        <v>0</v>
      </c>
      <c r="AG14" s="128">
        <f>AG7*Исх!$C$31</f>
        <v>0</v>
      </c>
    </row>
    <row r="15" spans="6:33" ht="12.75" hidden="1"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</row>
    <row r="16" s="309" customFormat="1" ht="14.25" customHeight="1">
      <c r="A16" s="309" t="s">
        <v>265</v>
      </c>
    </row>
    <row r="17" spans="1:33" ht="15" customHeight="1">
      <c r="A17" s="227" t="str">
        <f>Исх!A27</f>
        <v>Вознаграждение по выдаваемым кредитам</v>
      </c>
      <c r="B17" s="128" t="s">
        <v>54</v>
      </c>
      <c r="C17" s="122"/>
      <c r="D17" s="128"/>
      <c r="E17" s="128"/>
      <c r="F17" s="128">
        <f>F7*Исх!$C$27</f>
        <v>0</v>
      </c>
      <c r="G17" s="128">
        <f>G7*Исх!$C$27</f>
        <v>0</v>
      </c>
      <c r="H17" s="128">
        <f>H7*Исх!$C$27</f>
        <v>0</v>
      </c>
      <c r="I17" s="128">
        <f>I7*Исх!$C$27</f>
        <v>0</v>
      </c>
      <c r="J17" s="128">
        <f>J7*Исх!$C$27</f>
        <v>0</v>
      </c>
      <c r="K17" s="128">
        <f>K7*Исх!$C$27</f>
        <v>0</v>
      </c>
      <c r="L17" s="128">
        <f>L7*Исх!$C$27</f>
        <v>0</v>
      </c>
      <c r="M17" s="128">
        <f>M7*Исх!$C$27</f>
        <v>0</v>
      </c>
      <c r="N17" s="128">
        <f>N7*Исх!$C$27</f>
        <v>0</v>
      </c>
      <c r="O17" s="128">
        <f>O7*Исх!$C$27</f>
        <v>0</v>
      </c>
      <c r="P17" s="122">
        <f>SUM(D17:O17)</f>
        <v>0</v>
      </c>
      <c r="Q17" s="128">
        <f>Q11*Исх!$C$27</f>
        <v>63</v>
      </c>
      <c r="R17" s="128">
        <f>R11*Исх!$C$27</f>
        <v>72.89999999999999</v>
      </c>
      <c r="S17" s="128">
        <f>S11*Исх!$C$27</f>
        <v>180.9</v>
      </c>
      <c r="T17" s="128">
        <f>T11*Исх!$C$27</f>
        <v>297.9</v>
      </c>
      <c r="U17" s="128">
        <f>U11*Исх!$C$27</f>
        <v>477.9</v>
      </c>
      <c r="V17" s="128">
        <f>V11*Исх!$C$27</f>
        <v>639.9</v>
      </c>
      <c r="W17" s="128">
        <f>W11*Исх!$C$27</f>
        <v>810.9</v>
      </c>
      <c r="X17" s="128">
        <f>X11*Исх!$C$27</f>
        <v>945.9</v>
      </c>
      <c r="Y17" s="128">
        <f>Y11*Исх!$C$27</f>
        <v>1098.8999999999999</v>
      </c>
      <c r="Z17" s="128">
        <f>Z11*Исх!$C$27</f>
        <v>1269.8999999999999</v>
      </c>
      <c r="AA17" s="128">
        <f>AA11*Исх!$C$27</f>
        <v>1404.8999999999999</v>
      </c>
      <c r="AB17" s="128">
        <f>AB11*Исх!$C$27</f>
        <v>121608</v>
      </c>
      <c r="AC17" s="122">
        <f>SUM(Q17:AB17)</f>
        <v>128871</v>
      </c>
      <c r="AD17" s="128">
        <f>AD11*Исх!$C$27*12</f>
        <v>1459296</v>
      </c>
      <c r="AE17" s="128">
        <f>AE11*Исх!$C$27*12</f>
        <v>1459296</v>
      </c>
      <c r="AF17" s="128">
        <f>AF11*Исх!$C$27*12</f>
        <v>1459296</v>
      </c>
      <c r="AG17" s="128">
        <f>AG11*Исх!$C$27*12</f>
        <v>1459296</v>
      </c>
    </row>
    <row r="18" spans="1:33" ht="15" customHeight="1" hidden="1">
      <c r="A18" s="227" t="str">
        <f>Исх!A28</f>
        <v>Разовая комиссия за выдачу займа</v>
      </c>
      <c r="B18" s="128" t="s">
        <v>54</v>
      </c>
      <c r="C18" s="122"/>
      <c r="D18" s="128"/>
      <c r="E18" s="128"/>
      <c r="F18" s="128">
        <f>(F5+F6)*Исх!$C$28</f>
        <v>0</v>
      </c>
      <c r="G18" s="128">
        <f>(G5+G6)*Исх!$C$28</f>
        <v>0</v>
      </c>
      <c r="H18" s="128">
        <f>(H5+H6)*Исх!$C$28</f>
        <v>0</v>
      </c>
      <c r="I18" s="128">
        <f>(I5+I6)*Исх!$C$28</f>
        <v>0</v>
      </c>
      <c r="J18" s="128">
        <f>(J5+J6)*Исх!$C$28</f>
        <v>0</v>
      </c>
      <c r="K18" s="128"/>
      <c r="L18" s="128">
        <f>(L5+L6)*Исх!$C$28</f>
        <v>0</v>
      </c>
      <c r="M18" s="128">
        <f>(M5+M6)*Исх!$C$28</f>
        <v>0</v>
      </c>
      <c r="N18" s="128">
        <f>(N5+N6)*Исх!$C$28</f>
        <v>0</v>
      </c>
      <c r="O18" s="128">
        <f>(O5+O6)*Исх!$C$28</f>
        <v>0</v>
      </c>
      <c r="P18" s="122">
        <f>SUM(D18:O18)</f>
        <v>0</v>
      </c>
      <c r="Q18" s="128">
        <f>Q7*Исх!$C$29*Исх!$C$28</f>
        <v>0</v>
      </c>
      <c r="R18" s="128">
        <f>R7*Исх!$C$29*Исх!$C$28</f>
        <v>0</v>
      </c>
      <c r="S18" s="128">
        <f>S7*Исх!$C$29*Исх!$C$28</f>
        <v>0</v>
      </c>
      <c r="T18" s="128">
        <f>T7*Исх!$C$29*Исх!$C$28</f>
        <v>0</v>
      </c>
      <c r="U18" s="128">
        <f>U7*Исх!$C$29*Исх!$C$28</f>
        <v>0</v>
      </c>
      <c r="V18" s="128">
        <f>V7*Исх!$C$29*Исх!$C$28</f>
        <v>0</v>
      </c>
      <c r="W18" s="128">
        <f>W7*Исх!$C$29*Исх!$C$28</f>
        <v>0</v>
      </c>
      <c r="X18" s="128">
        <f>X7*Исх!$C$29*Исх!$C$28</f>
        <v>0</v>
      </c>
      <c r="Y18" s="128">
        <f>Y7*Исх!$C$29*Исх!$C$28</f>
        <v>0</v>
      </c>
      <c r="Z18" s="128">
        <f>Z7*Исх!$C$29*Исх!$C$28</f>
        <v>0</v>
      </c>
      <c r="AA18" s="128">
        <f>AA7*Исх!$C$29*Исх!$C$28</f>
        <v>0</v>
      </c>
      <c r="AB18" s="128">
        <f>AB7*Исх!$C$29*Исх!$C$28</f>
        <v>0</v>
      </c>
      <c r="AC18" s="122">
        <f>SUM(Q18:AB18)</f>
        <v>0</v>
      </c>
      <c r="AD18" s="128">
        <f>AD7*Исх!$C$29*Исх!$C$28*12</f>
        <v>0</v>
      </c>
      <c r="AE18" s="128">
        <f>AE7*Исх!$C$29*Исх!$C$28*12</f>
        <v>0</v>
      </c>
      <c r="AF18" s="128">
        <f>AF7*Исх!$C$29*Исх!$C$28*12</f>
        <v>0</v>
      </c>
      <c r="AG18" s="128">
        <f>AG7*Исх!$C$29*Исх!$C$28*12</f>
        <v>0</v>
      </c>
    </row>
    <row r="19" spans="1:33" s="309" customFormat="1" ht="15" customHeight="1">
      <c r="A19" s="308" t="s">
        <v>268</v>
      </c>
      <c r="B19" s="122" t="s">
        <v>54</v>
      </c>
      <c r="C19" s="123"/>
      <c r="D19" s="123"/>
      <c r="E19" s="123"/>
      <c r="F19" s="123">
        <f>SUM(F17:F18)</f>
        <v>0</v>
      </c>
      <c r="G19" s="123">
        <f aca="true" t="shared" si="6" ref="G19:AF19">SUM(G17:G18)</f>
        <v>0</v>
      </c>
      <c r="H19" s="123">
        <f>SUM(H17:H18)</f>
        <v>0</v>
      </c>
      <c r="I19" s="123">
        <f t="shared" si="6"/>
        <v>0</v>
      </c>
      <c r="J19" s="123">
        <f t="shared" si="6"/>
        <v>0</v>
      </c>
      <c r="K19" s="123">
        <f t="shared" si="6"/>
        <v>0</v>
      </c>
      <c r="L19" s="123">
        <f t="shared" si="6"/>
        <v>0</v>
      </c>
      <c r="M19" s="123">
        <f t="shared" si="6"/>
        <v>0</v>
      </c>
      <c r="N19" s="123">
        <f t="shared" si="6"/>
        <v>0</v>
      </c>
      <c r="O19" s="123">
        <f t="shared" si="6"/>
        <v>0</v>
      </c>
      <c r="P19" s="123">
        <f t="shared" si="6"/>
        <v>0</v>
      </c>
      <c r="Q19" s="123">
        <f t="shared" si="6"/>
        <v>63</v>
      </c>
      <c r="R19" s="123">
        <f t="shared" si="6"/>
        <v>72.89999999999999</v>
      </c>
      <c r="S19" s="123">
        <f t="shared" si="6"/>
        <v>180.9</v>
      </c>
      <c r="T19" s="123">
        <f t="shared" si="6"/>
        <v>297.9</v>
      </c>
      <c r="U19" s="123">
        <f t="shared" si="6"/>
        <v>477.9</v>
      </c>
      <c r="V19" s="123">
        <f t="shared" si="6"/>
        <v>639.9</v>
      </c>
      <c r="W19" s="123">
        <f t="shared" si="6"/>
        <v>810.9</v>
      </c>
      <c r="X19" s="123">
        <f t="shared" si="6"/>
        <v>945.9</v>
      </c>
      <c r="Y19" s="123">
        <f t="shared" si="6"/>
        <v>1098.8999999999999</v>
      </c>
      <c r="Z19" s="123">
        <f t="shared" si="6"/>
        <v>1269.8999999999999</v>
      </c>
      <c r="AA19" s="123">
        <f t="shared" si="6"/>
        <v>1404.8999999999999</v>
      </c>
      <c r="AB19" s="123">
        <f t="shared" si="6"/>
        <v>121608</v>
      </c>
      <c r="AC19" s="123">
        <f t="shared" si="6"/>
        <v>128871</v>
      </c>
      <c r="AD19" s="123">
        <f t="shared" si="6"/>
        <v>1459296</v>
      </c>
      <c r="AE19" s="123">
        <f t="shared" si="6"/>
        <v>1459296</v>
      </c>
      <c r="AF19" s="123">
        <f t="shared" si="6"/>
        <v>1459296</v>
      </c>
      <c r="AG19" s="123">
        <f>SUM(AG17:AG18)</f>
        <v>1459296</v>
      </c>
    </row>
    <row r="20" spans="6:33" ht="10.5" customHeight="1"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</row>
    <row r="21" spans="1:33" ht="15" customHeight="1">
      <c r="A21" s="227" t="s">
        <v>276</v>
      </c>
      <c r="B21" s="128" t="s">
        <v>54</v>
      </c>
      <c r="C21" s="122"/>
      <c r="D21" s="128"/>
      <c r="E21" s="128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3">
        <f>SUM(D21:O21)</f>
        <v>0</v>
      </c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3">
        <f>SUM(Q21:AB21)</f>
        <v>0</v>
      </c>
      <c r="AD21" s="311">
        <v>100000</v>
      </c>
      <c r="AE21" s="311">
        <v>200000</v>
      </c>
      <c r="AF21" s="311">
        <v>400000</v>
      </c>
      <c r="AG21" s="311">
        <v>500000</v>
      </c>
    </row>
    <row r="22" spans="1:33" ht="15" customHeight="1">
      <c r="A22" s="227" t="s">
        <v>277</v>
      </c>
      <c r="B22" s="128" t="s">
        <v>54</v>
      </c>
      <c r="C22" s="122"/>
      <c r="D22" s="128"/>
      <c r="E22" s="128"/>
      <c r="F22" s="312">
        <f>E22+F21</f>
        <v>0</v>
      </c>
      <c r="G22" s="312">
        <f>F22+G21</f>
        <v>0</v>
      </c>
      <c r="H22" s="312">
        <f>G22+H21</f>
        <v>0</v>
      </c>
      <c r="I22" s="312">
        <f aca="true" t="shared" si="7" ref="I22:N22">H22+I21</f>
        <v>0</v>
      </c>
      <c r="J22" s="312">
        <f t="shared" si="7"/>
        <v>0</v>
      </c>
      <c r="K22" s="312">
        <f t="shared" si="7"/>
        <v>0</v>
      </c>
      <c r="L22" s="312">
        <f t="shared" si="7"/>
        <v>0</v>
      </c>
      <c r="M22" s="312">
        <f t="shared" si="7"/>
        <v>0</v>
      </c>
      <c r="N22" s="312">
        <f t="shared" si="7"/>
        <v>0</v>
      </c>
      <c r="O22" s="312">
        <f>N22+O21</f>
        <v>0</v>
      </c>
      <c r="P22" s="313">
        <f>O22</f>
        <v>0</v>
      </c>
      <c r="Q22" s="312">
        <f>P22+Q21</f>
        <v>0</v>
      </c>
      <c r="R22" s="312">
        <f>Q22+R21</f>
        <v>0</v>
      </c>
      <c r="S22" s="312">
        <f>R22+S21</f>
        <v>0</v>
      </c>
      <c r="T22" s="312">
        <f aca="true" t="shared" si="8" ref="T22:AB22">S22+T21</f>
        <v>0</v>
      </c>
      <c r="U22" s="312">
        <f t="shared" si="8"/>
        <v>0</v>
      </c>
      <c r="V22" s="312">
        <f t="shared" si="8"/>
        <v>0</v>
      </c>
      <c r="W22" s="312">
        <f t="shared" si="8"/>
        <v>0</v>
      </c>
      <c r="X22" s="312">
        <f t="shared" si="8"/>
        <v>0</v>
      </c>
      <c r="Y22" s="312">
        <f t="shared" si="8"/>
        <v>0</v>
      </c>
      <c r="Z22" s="312">
        <f t="shared" si="8"/>
        <v>0</v>
      </c>
      <c r="AA22" s="312">
        <f t="shared" si="8"/>
        <v>0</v>
      </c>
      <c r="AB22" s="312">
        <f t="shared" si="8"/>
        <v>0</v>
      </c>
      <c r="AC22" s="313">
        <f>AB22</f>
        <v>0</v>
      </c>
      <c r="AD22" s="312">
        <f>AC22+AD21</f>
        <v>100000</v>
      </c>
      <c r="AE22" s="312">
        <f>AD22+AE21</f>
        <v>300000</v>
      </c>
      <c r="AF22" s="312">
        <f>AE22+AF21</f>
        <v>700000</v>
      </c>
      <c r="AG22" s="312">
        <f>AF22+AG21</f>
        <v>1200000</v>
      </c>
    </row>
    <row r="23" spans="1:33" ht="15" customHeight="1">
      <c r="A23" s="227" t="str">
        <f>A17</f>
        <v>Вознаграждение по выдаваемым кредитам</v>
      </c>
      <c r="B23" s="128" t="s">
        <v>54</v>
      </c>
      <c r="C23" s="122"/>
      <c r="D23" s="128"/>
      <c r="E23" s="128"/>
      <c r="F23" s="128">
        <f>F22*Исх!$C$27</f>
        <v>0</v>
      </c>
      <c r="G23" s="128">
        <f>G22*Исх!$C$27</f>
        <v>0</v>
      </c>
      <c r="H23" s="128">
        <f>H22*Исх!$C$27</f>
        <v>0</v>
      </c>
      <c r="I23" s="128">
        <f>I22*Исх!$C$27</f>
        <v>0</v>
      </c>
      <c r="J23" s="128">
        <f>J22*Исх!$C$27</f>
        <v>0</v>
      </c>
      <c r="K23" s="128">
        <f>K22*Исх!$C$27</f>
        <v>0</v>
      </c>
      <c r="L23" s="128">
        <f>L22*Исх!$C$27</f>
        <v>0</v>
      </c>
      <c r="M23" s="128">
        <f>M22*Исх!$C$27</f>
        <v>0</v>
      </c>
      <c r="N23" s="128">
        <f>N22*Исх!$C$27</f>
        <v>0</v>
      </c>
      <c r="O23" s="128">
        <f>O22*Исх!$C$27</f>
        <v>0</v>
      </c>
      <c r="P23" s="122">
        <f>SUM(D23:O23)</f>
        <v>0</v>
      </c>
      <c r="Q23" s="128">
        <f>Q22*Исх!$C$27</f>
        <v>0</v>
      </c>
      <c r="R23" s="128">
        <f>R22*Исх!$C$27</f>
        <v>0</v>
      </c>
      <c r="S23" s="128">
        <f>S22*Исх!$C$27</f>
        <v>0</v>
      </c>
      <c r="T23" s="128">
        <f>T22*Исх!$C$27</f>
        <v>0</v>
      </c>
      <c r="U23" s="128">
        <f>U22*Исх!$C$27</f>
        <v>0</v>
      </c>
      <c r="V23" s="128">
        <f>V22*Исх!$C$27</f>
        <v>0</v>
      </c>
      <c r="W23" s="128">
        <f>W22*Исх!$C$27</f>
        <v>0</v>
      </c>
      <c r="X23" s="128">
        <f>X22*Исх!$C$27</f>
        <v>0</v>
      </c>
      <c r="Y23" s="128">
        <f>Y22*Исх!$C$27</f>
        <v>0</v>
      </c>
      <c r="Z23" s="128">
        <f>Z22*Исх!$C$27</f>
        <v>0</v>
      </c>
      <c r="AA23" s="128">
        <f>AA22*Исх!$C$27</f>
        <v>0</v>
      </c>
      <c r="AB23" s="128">
        <f>AB22*Исх!$C$27</f>
        <v>0</v>
      </c>
      <c r="AC23" s="122">
        <f>SUM(Q23:AB23)</f>
        <v>0</v>
      </c>
      <c r="AD23" s="128">
        <f>AD22*Исх!$C$27</f>
        <v>9000</v>
      </c>
      <c r="AE23" s="128">
        <f>AE22*Исх!$C$27</f>
        <v>27000</v>
      </c>
      <c r="AF23" s="128">
        <f>AF22*Исх!$C$27</f>
        <v>63000</v>
      </c>
      <c r="AG23" s="128">
        <f>AG22*Исх!$C$27</f>
        <v>108000</v>
      </c>
    </row>
    <row r="24" spans="1:33" ht="15" customHeight="1" hidden="1">
      <c r="A24" s="227" t="str">
        <f>A18</f>
        <v>Разовая комиссия за выдачу займа</v>
      </c>
      <c r="B24" s="128" t="s">
        <v>54</v>
      </c>
      <c r="C24" s="122"/>
      <c r="D24" s="128"/>
      <c r="E24" s="128"/>
      <c r="F24" s="128">
        <f>F21*Исх!$C$28</f>
        <v>0</v>
      </c>
      <c r="G24" s="128">
        <f>G21*Исх!$C$28</f>
        <v>0</v>
      </c>
      <c r="H24" s="128">
        <f>H21*Исх!$C$28</f>
        <v>0</v>
      </c>
      <c r="I24" s="128">
        <f>I21*Исх!$C$28</f>
        <v>0</v>
      </c>
      <c r="J24" s="128">
        <f>J21*Исх!$C$28</f>
        <v>0</v>
      </c>
      <c r="K24" s="128">
        <f>K21*Исх!$C$28</f>
        <v>0</v>
      </c>
      <c r="L24" s="128">
        <f>L21*Исх!$C$28</f>
        <v>0</v>
      </c>
      <c r="M24" s="128">
        <f>M21*Исх!$C$28</f>
        <v>0</v>
      </c>
      <c r="N24" s="128">
        <f>N21*Исх!$C$28</f>
        <v>0</v>
      </c>
      <c r="O24" s="128">
        <f>O21*Исх!$C$28</f>
        <v>0</v>
      </c>
      <c r="P24" s="122">
        <f>SUM(D24:O24)</f>
        <v>0</v>
      </c>
      <c r="Q24" s="128">
        <f>Q21*Исх!$C$28+Q22*Исх!$C$29*Исх!$C$28</f>
        <v>0</v>
      </c>
      <c r="R24" s="128">
        <f>R21*Исх!$C$28+R22*Исх!$C$29*Исх!$C$28</f>
        <v>0</v>
      </c>
      <c r="S24" s="128">
        <f>S21*Исх!$C$28+S22*Исх!$C$29*Исх!$C$28</f>
        <v>0</v>
      </c>
      <c r="T24" s="128">
        <f>T21*Исх!$C$28+T22*Исх!$C$29*Исх!$C$28</f>
        <v>0</v>
      </c>
      <c r="U24" s="128">
        <f>U21*Исх!$C$28+U22*Исх!$C$29*Исх!$C$28</f>
        <v>0</v>
      </c>
      <c r="V24" s="128">
        <f>V21*Исх!$C$28+V22*Исх!$C$29*Исх!$C$28</f>
        <v>0</v>
      </c>
      <c r="W24" s="128">
        <f>W21*Исх!$C$28+W22*Исх!$C$29*Исх!$C$28</f>
        <v>0</v>
      </c>
      <c r="X24" s="128">
        <f>X21*Исх!$C$28+X22*Исх!$C$29*Исх!$C$28</f>
        <v>0</v>
      </c>
      <c r="Y24" s="128">
        <f>Y21*Исх!$C$28+Y22*Исх!$C$29*Исх!$C$28</f>
        <v>0</v>
      </c>
      <c r="Z24" s="128">
        <f>Z21*Исх!$C$28+Z22*Исх!$C$29*Исх!$C$28</f>
        <v>0</v>
      </c>
      <c r="AA24" s="128">
        <f>AA21*Исх!$C$28+AA22*Исх!$C$29*Исх!$C$28</f>
        <v>0</v>
      </c>
      <c r="AB24" s="128">
        <f>AB21*Исх!$C$28+AB22*Исх!$C$29*Исх!$C$28</f>
        <v>0</v>
      </c>
      <c r="AC24" s="122">
        <f>SUM(Q24:AB24)</f>
        <v>0</v>
      </c>
      <c r="AD24" s="128">
        <f>AD21*Исх!$C$28+AD22*Исх!$C$29*Исх!$C$28</f>
        <v>0</v>
      </c>
      <c r="AE24" s="128">
        <f>AE21*Исх!$C$28+AE22*Исх!$C$29*Исх!$C$28</f>
        <v>0</v>
      </c>
      <c r="AF24" s="128">
        <f>AF21*Исх!$C$28+AF22*Исх!$C$29*Исх!$C$28</f>
        <v>0</v>
      </c>
      <c r="AG24" s="128">
        <f>AG21*Исх!$C$28+AG22*Исх!$C$29*Исх!$C$28</f>
        <v>0</v>
      </c>
    </row>
    <row r="26" spans="1:33" s="309" customFormat="1" ht="15" customHeight="1">
      <c r="A26" s="308" t="s">
        <v>278</v>
      </c>
      <c r="B26" s="128" t="s">
        <v>54</v>
      </c>
      <c r="C26" s="122"/>
      <c r="D26" s="122"/>
      <c r="E26" s="122"/>
      <c r="F26" s="122">
        <f>F19+F23+F24</f>
        <v>0</v>
      </c>
      <c r="G26" s="122">
        <f aca="true" t="shared" si="9" ref="G26:AF26">G19+G23+G24</f>
        <v>0</v>
      </c>
      <c r="H26" s="122">
        <f t="shared" si="9"/>
        <v>0</v>
      </c>
      <c r="I26" s="122">
        <f t="shared" si="9"/>
        <v>0</v>
      </c>
      <c r="J26" s="122">
        <f t="shared" si="9"/>
        <v>0</v>
      </c>
      <c r="K26" s="122">
        <f t="shared" si="9"/>
        <v>0</v>
      </c>
      <c r="L26" s="122">
        <f t="shared" si="9"/>
        <v>0</v>
      </c>
      <c r="M26" s="122">
        <f t="shared" si="9"/>
        <v>0</v>
      </c>
      <c r="N26" s="122">
        <f t="shared" si="9"/>
        <v>0</v>
      </c>
      <c r="O26" s="122">
        <f t="shared" si="9"/>
        <v>0</v>
      </c>
      <c r="P26" s="122">
        <f t="shared" si="9"/>
        <v>0</v>
      </c>
      <c r="Q26" s="122">
        <f>Q19+Q23+Q24</f>
        <v>63</v>
      </c>
      <c r="R26" s="122">
        <f t="shared" si="9"/>
        <v>72.89999999999999</v>
      </c>
      <c r="S26" s="122">
        <f t="shared" si="9"/>
        <v>180.9</v>
      </c>
      <c r="T26" s="122">
        <f t="shared" si="9"/>
        <v>297.9</v>
      </c>
      <c r="U26" s="122">
        <f t="shared" si="9"/>
        <v>477.9</v>
      </c>
      <c r="V26" s="122">
        <f t="shared" si="9"/>
        <v>639.9</v>
      </c>
      <c r="W26" s="122">
        <f t="shared" si="9"/>
        <v>810.9</v>
      </c>
      <c r="X26" s="122">
        <f t="shared" si="9"/>
        <v>945.9</v>
      </c>
      <c r="Y26" s="122">
        <f t="shared" si="9"/>
        <v>1098.8999999999999</v>
      </c>
      <c r="Z26" s="122">
        <f t="shared" si="9"/>
        <v>1269.8999999999999</v>
      </c>
      <c r="AA26" s="122">
        <f t="shared" si="9"/>
        <v>1404.8999999999999</v>
      </c>
      <c r="AB26" s="122">
        <f t="shared" si="9"/>
        <v>121608</v>
      </c>
      <c r="AC26" s="122">
        <f t="shared" si="9"/>
        <v>128871</v>
      </c>
      <c r="AD26" s="122">
        <f t="shared" si="9"/>
        <v>1468296</v>
      </c>
      <c r="AE26" s="122">
        <f t="shared" si="9"/>
        <v>1486296</v>
      </c>
      <c r="AF26" s="122">
        <f t="shared" si="9"/>
        <v>1522296</v>
      </c>
      <c r="AG26" s="122">
        <f>AG19+AG23+AG24</f>
        <v>1567296</v>
      </c>
    </row>
    <row r="28" spans="6:33" ht="12.75">
      <c r="F28" s="314">
        <f>'1-Ф3'!F34</f>
        <v>0</v>
      </c>
      <c r="G28" s="314">
        <f>'1-Ф3'!G34</f>
        <v>0</v>
      </c>
      <c r="H28" s="314">
        <f>'1-Ф3'!H34</f>
        <v>0</v>
      </c>
      <c r="I28" s="314">
        <f>'1-Ф3'!I34</f>
        <v>0</v>
      </c>
      <c r="J28" s="314">
        <f>'1-Ф3'!J34</f>
        <v>0</v>
      </c>
      <c r="K28" s="314">
        <f>'1-Ф3'!K34</f>
        <v>0</v>
      </c>
      <c r="L28" s="314">
        <f>'1-Ф3'!L34</f>
        <v>0</v>
      </c>
      <c r="M28" s="314">
        <f>'1-Ф3'!M34</f>
        <v>0</v>
      </c>
      <c r="N28" s="314">
        <f>'1-Ф3'!N34</f>
        <v>0</v>
      </c>
      <c r="O28" s="314">
        <f>'1-Ф3'!O34</f>
        <v>0</v>
      </c>
      <c r="P28" s="314">
        <f>'1-Ф3'!P34</f>
        <v>0</v>
      </c>
      <c r="Q28" s="314">
        <f>'1-Ф3'!Q34</f>
        <v>349678.072</v>
      </c>
      <c r="R28" s="314">
        <f>'1-Ф3'!R34</f>
        <v>696831.044</v>
      </c>
      <c r="S28" s="314">
        <f>'1-Ф3'!S34</f>
        <v>664877.016</v>
      </c>
      <c r="T28" s="314">
        <f>'1-Ф3'!T34</f>
        <v>632939.9879999999</v>
      </c>
      <c r="U28" s="314">
        <f>'1-Ф3'!U34</f>
        <v>975482.9599999998</v>
      </c>
      <c r="V28" s="314">
        <f>'1-Ф3'!V34</f>
        <v>1166462.9319999998</v>
      </c>
      <c r="W28" s="314">
        <f>'1-Ф3'!W34</f>
        <v>1129428.9039999999</v>
      </c>
      <c r="X28" s="314">
        <f>'1-Ф3'!X34</f>
        <v>1092929.876</v>
      </c>
      <c r="Y28" s="314">
        <f>'1-Ф3'!Y34</f>
        <v>1056383.848</v>
      </c>
      <c r="Z28" s="314">
        <f>'1-Ф3'!Z34</f>
        <v>1019808.82</v>
      </c>
      <c r="AA28" s="314">
        <f>'1-Ф3'!AA34</f>
        <v>983768.7919999999</v>
      </c>
      <c r="AB28" s="314">
        <f>'1-Ф3'!AB34</f>
        <v>-266158.1360000002</v>
      </c>
      <c r="AC28" s="314">
        <f>'1-Ф3'!AC34</f>
        <v>-266158.1360000002</v>
      </c>
      <c r="AD28" s="314">
        <f>'1-Ф3'!AD34</f>
        <v>161340.98239999986</v>
      </c>
      <c r="AE28" s="314">
        <f>'1-Ф3'!AE34</f>
        <v>477032.4735999999</v>
      </c>
      <c r="AF28" s="314">
        <f>'1-Ф3'!AF34</f>
        <v>651523.9648</v>
      </c>
      <c r="AG28" s="314">
        <f>'1-Ф3'!AG34</f>
        <v>792015.456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M32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E30" sqref="E30"/>
    </sheetView>
  </sheetViews>
  <sheetFormatPr defaultColWidth="9.00390625" defaultRowHeight="12.75"/>
  <cols>
    <col min="1" max="1" width="5.625" style="73" customWidth="1"/>
    <col min="2" max="2" width="33.375" style="73" customWidth="1"/>
    <col min="3" max="3" width="10.00390625" style="73" customWidth="1"/>
    <col min="4" max="4" width="11.625" style="73" customWidth="1"/>
    <col min="5" max="5" width="12.75390625" style="73" customWidth="1"/>
    <col min="6" max="9" width="11.625" style="73" customWidth="1"/>
    <col min="10" max="10" width="10.125" style="73" customWidth="1"/>
    <col min="11" max="11" width="12.00390625" style="73" customWidth="1"/>
    <col min="12" max="16384" width="9.125" style="73" customWidth="1"/>
  </cols>
  <sheetData>
    <row r="1" ht="5.25" customHeight="1"/>
    <row r="2" spans="1:10" ht="16.5" customHeight="1">
      <c r="A2" s="59" t="s">
        <v>141</v>
      </c>
      <c r="D2" s="161"/>
      <c r="E2" s="161"/>
      <c r="F2" s="161"/>
      <c r="G2" s="161"/>
      <c r="H2" s="161"/>
      <c r="I2" s="161"/>
      <c r="J2" s="161"/>
    </row>
    <row r="3" spans="1:11" ht="8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97" t="str">
        <f>Исх!C12</f>
        <v>$ USD</v>
      </c>
    </row>
    <row r="4" spans="1:12" ht="42" customHeight="1">
      <c r="A4" s="145" t="s">
        <v>32</v>
      </c>
      <c r="B4" s="146" t="s">
        <v>33</v>
      </c>
      <c r="C4" s="210" t="s">
        <v>34</v>
      </c>
      <c r="D4" s="147" t="s">
        <v>91</v>
      </c>
      <c r="E4" s="147" t="s">
        <v>92</v>
      </c>
      <c r="F4" s="147" t="s">
        <v>43</v>
      </c>
      <c r="G4" s="147" t="s">
        <v>44</v>
      </c>
      <c r="H4" s="147" t="s">
        <v>45</v>
      </c>
      <c r="I4" s="147" t="s">
        <v>46</v>
      </c>
      <c r="J4" s="147" t="s">
        <v>47</v>
      </c>
      <c r="K4" s="147" t="s">
        <v>41</v>
      </c>
      <c r="L4" s="245">
        <f>'1-Ф3'!$B$2</f>
        <v>-266158.1360000002</v>
      </c>
    </row>
    <row r="5" spans="1:11" s="59" customFormat="1" ht="12.75">
      <c r="A5" s="138"/>
      <c r="B5" s="148" t="s">
        <v>90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2.75">
      <c r="A6" s="76">
        <v>1</v>
      </c>
      <c r="B6" s="76" t="s">
        <v>269</v>
      </c>
      <c r="C6" s="280">
        <v>1</v>
      </c>
      <c r="D6" s="140">
        <v>1500</v>
      </c>
      <c r="E6" s="149">
        <f>C6*D6</f>
        <v>1500</v>
      </c>
      <c r="F6" s="149">
        <f>E6*$C$27</f>
        <v>150</v>
      </c>
      <c r="G6" s="149">
        <f>(E6-$C$31-F6)*$C$29</f>
        <v>123.7</v>
      </c>
      <c r="H6" s="149">
        <f>(E6-F6)*$C$28</f>
        <v>67.5</v>
      </c>
      <c r="I6" s="149">
        <f>(E6-F6)*$C$30</f>
        <v>148.5</v>
      </c>
      <c r="J6" s="149">
        <f>E6-F6-G6</f>
        <v>1226.3</v>
      </c>
      <c r="K6" s="150">
        <f>SUM(F6:J6)</f>
        <v>1716</v>
      </c>
    </row>
    <row r="7" spans="1:11" ht="12.75">
      <c r="A7" s="76">
        <v>2</v>
      </c>
      <c r="B7" s="76" t="s">
        <v>300</v>
      </c>
      <c r="C7" s="280">
        <v>1</v>
      </c>
      <c r="D7" s="281">
        <v>700</v>
      </c>
      <c r="E7" s="149">
        <f>C7*D7</f>
        <v>700</v>
      </c>
      <c r="F7" s="149">
        <f>E7*$C$27</f>
        <v>70</v>
      </c>
      <c r="G7" s="149">
        <f>(E7-$C$31-F7)*$C$29</f>
        <v>51.7</v>
      </c>
      <c r="H7" s="149">
        <f>(E7-F7)*$C$28</f>
        <v>31.5</v>
      </c>
      <c r="I7" s="149">
        <f>(E7-F7)*$C$30</f>
        <v>69.3</v>
      </c>
      <c r="J7" s="149">
        <f>E7-F7-G7</f>
        <v>578.3</v>
      </c>
      <c r="K7" s="150">
        <f>SUM(F7:J7)</f>
        <v>800.8</v>
      </c>
    </row>
    <row r="8" spans="1:11" ht="12.75" hidden="1">
      <c r="A8" s="76">
        <v>3</v>
      </c>
      <c r="B8" s="76"/>
      <c r="C8" s="280"/>
      <c r="D8" s="281"/>
      <c r="E8" s="149">
        <f>C8*D8</f>
        <v>0</v>
      </c>
      <c r="F8" s="149">
        <f>E8*$C$27</f>
        <v>0</v>
      </c>
      <c r="G8" s="149">
        <f>(E8-$C$31-F8)*$C$29</f>
        <v>-11.3</v>
      </c>
      <c r="H8" s="149">
        <f>(E8-F8)*$C$28</f>
        <v>0</v>
      </c>
      <c r="I8" s="149">
        <f>(E8-F8)*$C$30</f>
        <v>0</v>
      </c>
      <c r="J8" s="149">
        <f>E8-F8-G8</f>
        <v>11.3</v>
      </c>
      <c r="K8" s="150">
        <f>SUM(F8:J8)</f>
        <v>0</v>
      </c>
    </row>
    <row r="9" spans="1:11" ht="12.75" hidden="1">
      <c r="A9" s="76">
        <v>4</v>
      </c>
      <c r="B9" s="76"/>
      <c r="C9" s="280"/>
      <c r="D9" s="281"/>
      <c r="E9" s="149">
        <f>C9*D9</f>
        <v>0</v>
      </c>
      <c r="F9" s="149">
        <f>E9*$C$27</f>
        <v>0</v>
      </c>
      <c r="G9" s="149">
        <f>(E9-$C$31-F9)*$C$29</f>
        <v>-11.3</v>
      </c>
      <c r="H9" s="149">
        <f>(E9-F9)*$C$28</f>
        <v>0</v>
      </c>
      <c r="I9" s="149">
        <f>(E9-F9)*$C$30</f>
        <v>0</v>
      </c>
      <c r="J9" s="149">
        <f>E9-F9-G9</f>
        <v>11.3</v>
      </c>
      <c r="K9" s="150">
        <f>SUM(F9:J9)</f>
        <v>0</v>
      </c>
    </row>
    <row r="10" spans="1:11" s="59" customFormat="1" ht="12.75">
      <c r="A10" s="151"/>
      <c r="B10" s="151" t="s">
        <v>0</v>
      </c>
      <c r="C10" s="31">
        <f>SUM(C6:C9)</f>
        <v>2</v>
      </c>
      <c r="D10" s="31">
        <f aca="true" t="shared" si="0" ref="D10:J10">SUM(D6:D9)</f>
        <v>2200</v>
      </c>
      <c r="E10" s="31">
        <f t="shared" si="0"/>
        <v>2200</v>
      </c>
      <c r="F10" s="31">
        <f t="shared" si="0"/>
        <v>220</v>
      </c>
      <c r="G10" s="31">
        <f t="shared" si="0"/>
        <v>152.79999999999998</v>
      </c>
      <c r="H10" s="31">
        <f t="shared" si="0"/>
        <v>99</v>
      </c>
      <c r="I10" s="31">
        <f t="shared" si="0"/>
        <v>217.8</v>
      </c>
      <c r="J10" s="31">
        <f t="shared" si="0"/>
        <v>1827.1999999999998</v>
      </c>
      <c r="K10" s="31">
        <f>SUM(K6:K9)</f>
        <v>2516.8</v>
      </c>
    </row>
    <row r="11" spans="1:11" s="59" customFormat="1" ht="12.75">
      <c r="A11" s="138"/>
      <c r="B11" s="138" t="s">
        <v>95</v>
      </c>
      <c r="C11" s="138"/>
      <c r="D11" s="139"/>
      <c r="E11" s="139"/>
      <c r="F11" s="139"/>
      <c r="G11" s="139"/>
      <c r="H11" s="139"/>
      <c r="I11" s="139"/>
      <c r="J11" s="139"/>
      <c r="K11" s="139"/>
    </row>
    <row r="12" spans="1:11" ht="12.75">
      <c r="A12" s="76">
        <v>3</v>
      </c>
      <c r="B12" s="76" t="s">
        <v>302</v>
      </c>
      <c r="C12" s="280">
        <v>1</v>
      </c>
      <c r="D12" s="281">
        <v>200</v>
      </c>
      <c r="E12" s="149">
        <f>C12*D12</f>
        <v>200</v>
      </c>
      <c r="F12" s="149">
        <f>E12*$C$27</f>
        <v>20</v>
      </c>
      <c r="G12" s="149">
        <f>((E12-$C$31-F12)*$C$29)*0</f>
        <v>0</v>
      </c>
      <c r="H12" s="149">
        <f>(E12-F12)*$C$28</f>
        <v>9</v>
      </c>
      <c r="I12" s="149">
        <f>(E12-F12)*$C$30</f>
        <v>19.8</v>
      </c>
      <c r="J12" s="149">
        <f>E12-F12-G12</f>
        <v>180</v>
      </c>
      <c r="K12" s="150">
        <f>SUM(F12:J12)</f>
        <v>228.8</v>
      </c>
    </row>
    <row r="13" spans="1:11" ht="12.75">
      <c r="A13" s="76">
        <v>4</v>
      </c>
      <c r="B13" s="76" t="s">
        <v>301</v>
      </c>
      <c r="C13" s="280">
        <v>25</v>
      </c>
      <c r="D13" s="281">
        <v>200</v>
      </c>
      <c r="E13" s="149">
        <f>C13*D13</f>
        <v>5000</v>
      </c>
      <c r="F13" s="149">
        <f>E13*$C$27</f>
        <v>500</v>
      </c>
      <c r="G13" s="149">
        <f>((E13-$C$31-F13)*$C$29)*0</f>
        <v>0</v>
      </c>
      <c r="H13" s="149">
        <f>(E13-F13)*$C$28</f>
        <v>225</v>
      </c>
      <c r="I13" s="149">
        <f>(E13-F13)*$C$30</f>
        <v>495</v>
      </c>
      <c r="J13" s="149">
        <f>E13-F13-G13</f>
        <v>4500</v>
      </c>
      <c r="K13" s="150">
        <f>SUM(F13:J13)</f>
        <v>5720</v>
      </c>
    </row>
    <row r="14" spans="1:11" s="59" customFormat="1" ht="12.75">
      <c r="A14" s="151"/>
      <c r="B14" s="152" t="s">
        <v>0</v>
      </c>
      <c r="C14" s="151">
        <f>SUM(C11:C13)</f>
        <v>26</v>
      </c>
      <c r="D14" s="150">
        <f>SUM(D11:D13)</f>
        <v>400</v>
      </c>
      <c r="E14" s="150">
        <f aca="true" t="shared" si="1" ref="E14:J14">SUM(E11:E13)</f>
        <v>5200</v>
      </c>
      <c r="F14" s="150">
        <f t="shared" si="1"/>
        <v>520</v>
      </c>
      <c r="G14" s="150">
        <f t="shared" si="1"/>
        <v>0</v>
      </c>
      <c r="H14" s="150">
        <f t="shared" si="1"/>
        <v>234</v>
      </c>
      <c r="I14" s="150">
        <f t="shared" si="1"/>
        <v>514.8</v>
      </c>
      <c r="J14" s="150">
        <f t="shared" si="1"/>
        <v>4680</v>
      </c>
      <c r="K14" s="150">
        <f>SUM(K11:K13)</f>
        <v>5948.8</v>
      </c>
    </row>
    <row r="15" spans="1:11" s="59" customFormat="1" ht="12.75" hidden="1">
      <c r="A15" s="138"/>
      <c r="B15" s="138" t="s">
        <v>96</v>
      </c>
      <c r="C15" s="138"/>
      <c r="D15" s="139"/>
      <c r="E15" s="139"/>
      <c r="F15" s="139"/>
      <c r="G15" s="139"/>
      <c r="H15" s="139"/>
      <c r="I15" s="139"/>
      <c r="J15" s="139"/>
      <c r="K15" s="139"/>
    </row>
    <row r="16" spans="1:11" ht="12.75" hidden="1">
      <c r="A16" s="76"/>
      <c r="B16" s="76"/>
      <c r="C16" s="280"/>
      <c r="D16" s="140"/>
      <c r="E16" s="149">
        <f>C16*D16</f>
        <v>0</v>
      </c>
      <c r="F16" s="149">
        <f>E16*$C$27</f>
        <v>0</v>
      </c>
      <c r="G16" s="149"/>
      <c r="H16" s="149">
        <f>(E16-F16)*$C$28</f>
        <v>0</v>
      </c>
      <c r="I16" s="149">
        <f>(E16-F16)*$C$30</f>
        <v>0</v>
      </c>
      <c r="J16" s="149">
        <f>E16-F16-G16</f>
        <v>0</v>
      </c>
      <c r="K16" s="150">
        <f>SUM(F16:J16)</f>
        <v>0</v>
      </c>
    </row>
    <row r="17" spans="1:11" ht="12.75" hidden="1">
      <c r="A17" s="76"/>
      <c r="B17" s="76"/>
      <c r="C17" s="76"/>
      <c r="D17" s="140"/>
      <c r="E17" s="149">
        <f>C17*D17</f>
        <v>0</v>
      </c>
      <c r="F17" s="149">
        <f>E17*$C$27</f>
        <v>0</v>
      </c>
      <c r="G17" s="149"/>
      <c r="H17" s="149">
        <f>(E17-F17)*$C$28</f>
        <v>0</v>
      </c>
      <c r="I17" s="149">
        <f>(E17-F17)*$C$30-H17</f>
        <v>0</v>
      </c>
      <c r="J17" s="149">
        <f>E17-F17-G17</f>
        <v>0</v>
      </c>
      <c r="K17" s="150">
        <f>SUM(F17:J17)</f>
        <v>0</v>
      </c>
    </row>
    <row r="18" spans="1:11" s="59" customFormat="1" ht="12.75" hidden="1">
      <c r="A18" s="151"/>
      <c r="B18" s="152" t="s">
        <v>0</v>
      </c>
      <c r="C18" s="151">
        <f aca="true" t="shared" si="2" ref="C18:K18">SUM(C16:C17)</f>
        <v>0</v>
      </c>
      <c r="D18" s="150">
        <f t="shared" si="2"/>
        <v>0</v>
      </c>
      <c r="E18" s="150">
        <f t="shared" si="2"/>
        <v>0</v>
      </c>
      <c r="F18" s="150">
        <f t="shared" si="2"/>
        <v>0</v>
      </c>
      <c r="G18" s="150">
        <f t="shared" si="2"/>
        <v>0</v>
      </c>
      <c r="H18" s="150">
        <f t="shared" si="2"/>
        <v>0</v>
      </c>
      <c r="I18" s="150">
        <f t="shared" si="2"/>
        <v>0</v>
      </c>
      <c r="J18" s="150">
        <f t="shared" si="2"/>
        <v>0</v>
      </c>
      <c r="K18" s="150">
        <f t="shared" si="2"/>
        <v>0</v>
      </c>
    </row>
    <row r="19" spans="1:11" s="59" customFormat="1" ht="12.75" hidden="1">
      <c r="A19" s="138"/>
      <c r="B19" s="138" t="s">
        <v>103</v>
      </c>
      <c r="C19" s="138"/>
      <c r="D19" s="139"/>
      <c r="E19" s="139"/>
      <c r="F19" s="139"/>
      <c r="G19" s="139"/>
      <c r="H19" s="139"/>
      <c r="I19" s="139"/>
      <c r="J19" s="139"/>
      <c r="K19" s="139"/>
    </row>
    <row r="20" spans="1:13" ht="12.75" hidden="1">
      <c r="A20" s="76">
        <v>4</v>
      </c>
      <c r="B20" s="76"/>
      <c r="C20" s="281"/>
      <c r="D20" s="140"/>
      <c r="E20" s="149">
        <f>C20*D20</f>
        <v>0</v>
      </c>
      <c r="F20" s="149">
        <f>E20*$C$27</f>
        <v>0</v>
      </c>
      <c r="G20" s="149"/>
      <c r="H20" s="149">
        <f>(E20-F20)*$C$28</f>
        <v>0</v>
      </c>
      <c r="I20" s="149">
        <f>(E20-F20)*$C$30</f>
        <v>0</v>
      </c>
      <c r="J20" s="149">
        <f>E20-F20-G20</f>
        <v>0</v>
      </c>
      <c r="K20" s="150">
        <f>SUM(F20:J20)</f>
        <v>0</v>
      </c>
      <c r="M20" s="153"/>
    </row>
    <row r="21" spans="1:11" ht="12.75" hidden="1">
      <c r="A21" s="76">
        <v>5</v>
      </c>
      <c r="B21" s="76"/>
      <c r="C21" s="281"/>
      <c r="D21" s="140"/>
      <c r="E21" s="149">
        <f>C21*D21</f>
        <v>0</v>
      </c>
      <c r="F21" s="149">
        <f>E21*$C$27</f>
        <v>0</v>
      </c>
      <c r="G21" s="149"/>
      <c r="H21" s="149">
        <f>(E21-F21)*$C$28</f>
        <v>0</v>
      </c>
      <c r="I21" s="149">
        <f>(E21-F21)*$C$30</f>
        <v>0</v>
      </c>
      <c r="J21" s="149">
        <f>E21-F21-G21</f>
        <v>0</v>
      </c>
      <c r="K21" s="150">
        <f>SUM(F21:J21)</f>
        <v>0</v>
      </c>
    </row>
    <row r="22" spans="1:11" ht="12.75" hidden="1">
      <c r="A22" s="76">
        <v>6</v>
      </c>
      <c r="B22" s="76"/>
      <c r="C22" s="281"/>
      <c r="D22" s="281"/>
      <c r="E22" s="149">
        <f>C22*D22</f>
        <v>0</v>
      </c>
      <c r="F22" s="149">
        <f>E22*$C$27</f>
        <v>0</v>
      </c>
      <c r="G22" s="149"/>
      <c r="H22" s="149">
        <f>(E22-F22)*$C$28</f>
        <v>0</v>
      </c>
      <c r="I22" s="149">
        <f>(E22-F22)*$C$30</f>
        <v>0</v>
      </c>
      <c r="J22" s="149">
        <f>E22-F22-G22</f>
        <v>0</v>
      </c>
      <c r="K22" s="150">
        <f>SUM(F22:J22)</f>
        <v>0</v>
      </c>
    </row>
    <row r="23" spans="1:11" s="59" customFormat="1" ht="12.75" hidden="1">
      <c r="A23" s="151"/>
      <c r="B23" s="152" t="s">
        <v>0</v>
      </c>
      <c r="C23" s="150">
        <f aca="true" t="shared" si="3" ref="C23:K23">SUM(C20:C22)</f>
        <v>0</v>
      </c>
      <c r="D23" s="150">
        <f t="shared" si="3"/>
        <v>0</v>
      </c>
      <c r="E23" s="150">
        <f t="shared" si="3"/>
        <v>0</v>
      </c>
      <c r="F23" s="150">
        <f t="shared" si="3"/>
        <v>0</v>
      </c>
      <c r="G23" s="150">
        <f t="shared" si="3"/>
        <v>0</v>
      </c>
      <c r="H23" s="150">
        <f t="shared" si="3"/>
        <v>0</v>
      </c>
      <c r="I23" s="150">
        <f t="shared" si="3"/>
        <v>0</v>
      </c>
      <c r="J23" s="150">
        <f t="shared" si="3"/>
        <v>0</v>
      </c>
      <c r="K23" s="150">
        <f t="shared" si="3"/>
        <v>0</v>
      </c>
    </row>
    <row r="24" spans="1:11" ht="12.75">
      <c r="A24" s="76"/>
      <c r="B24" s="76"/>
      <c r="C24" s="76"/>
      <c r="D24" s="149"/>
      <c r="E24" s="149"/>
      <c r="F24" s="149"/>
      <c r="G24" s="149"/>
      <c r="H24" s="149"/>
      <c r="I24" s="149"/>
      <c r="J24" s="149"/>
      <c r="K24" s="149"/>
    </row>
    <row r="25" spans="1:13" s="59" customFormat="1" ht="12.75">
      <c r="A25" s="151"/>
      <c r="B25" s="151" t="s">
        <v>104</v>
      </c>
      <c r="C25" s="150">
        <f aca="true" t="shared" si="4" ref="C25:J25">C10+C14+C18+C23</f>
        <v>28</v>
      </c>
      <c r="D25" s="150">
        <f t="shared" si="4"/>
        <v>2600</v>
      </c>
      <c r="E25" s="150">
        <f t="shared" si="4"/>
        <v>7400</v>
      </c>
      <c r="F25" s="150">
        <f t="shared" si="4"/>
        <v>740</v>
      </c>
      <c r="G25" s="150">
        <f t="shared" si="4"/>
        <v>152.79999999999998</v>
      </c>
      <c r="H25" s="150">
        <f t="shared" si="4"/>
        <v>333</v>
      </c>
      <c r="I25" s="150">
        <f t="shared" si="4"/>
        <v>732.5999999999999</v>
      </c>
      <c r="J25" s="150">
        <f t="shared" si="4"/>
        <v>6507.2</v>
      </c>
      <c r="K25" s="154">
        <f>K10+K14+K18+K23</f>
        <v>8465.6</v>
      </c>
      <c r="M25" s="233"/>
    </row>
    <row r="27" spans="2:10" ht="12.75">
      <c r="B27" s="76" t="s">
        <v>43</v>
      </c>
      <c r="C27" s="155">
        <f>Исх!C14</f>
        <v>0.1</v>
      </c>
      <c r="D27" s="156"/>
      <c r="E27" s="156"/>
      <c r="F27" s="156"/>
      <c r="G27" s="368"/>
      <c r="H27" s="368"/>
      <c r="I27" s="368"/>
      <c r="J27" s="368"/>
    </row>
    <row r="28" spans="2:10" ht="12.75">
      <c r="B28" s="76" t="s">
        <v>48</v>
      </c>
      <c r="C28" s="155">
        <f>Исх!C15</f>
        <v>0.05</v>
      </c>
      <c r="D28" s="156"/>
      <c r="E28" s="156"/>
      <c r="F28" s="156"/>
      <c r="G28" s="156"/>
      <c r="H28" s="156"/>
      <c r="I28" s="157"/>
      <c r="J28" s="158"/>
    </row>
    <row r="29" spans="2:10" ht="12.75">
      <c r="B29" s="76" t="s">
        <v>44</v>
      </c>
      <c r="C29" s="155">
        <f>Исх!C16</f>
        <v>0.1</v>
      </c>
      <c r="D29" s="156"/>
      <c r="E29" s="156"/>
      <c r="F29" s="156"/>
      <c r="G29" s="156"/>
      <c r="H29" s="156"/>
      <c r="I29" s="157"/>
      <c r="J29" s="158"/>
    </row>
    <row r="30" spans="2:10" ht="12.75">
      <c r="B30" s="76" t="s">
        <v>46</v>
      </c>
      <c r="C30" s="155">
        <f>Исх!C17</f>
        <v>0.11</v>
      </c>
      <c r="D30" s="159"/>
      <c r="E30" s="159"/>
      <c r="F30" s="156"/>
      <c r="G30" s="156"/>
      <c r="H30" s="156"/>
      <c r="I30" s="157"/>
      <c r="J30" s="158"/>
    </row>
    <row r="31" spans="2:3" ht="12.75">
      <c r="B31" s="76" t="s">
        <v>108</v>
      </c>
      <c r="C31" s="160">
        <f>Исх!C18</f>
        <v>113</v>
      </c>
    </row>
    <row r="32" spans="7:10" ht="12.75">
      <c r="G32" s="156"/>
      <c r="H32" s="156"/>
      <c r="I32" s="157"/>
      <c r="J32" s="158"/>
    </row>
  </sheetData>
  <sheetProtection/>
  <mergeCells count="1">
    <mergeCell ref="G27:J27"/>
  </mergeCells>
  <printOptions/>
  <pageMargins left="0.2755905511811024" right="0.2755905511811024" top="0.52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49"/>
  <sheetViews>
    <sheetView showGridLines="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8.875" defaultRowHeight="12.75" outlineLevelRow="1"/>
  <cols>
    <col min="1" max="1" width="31.00390625" style="73" customWidth="1"/>
    <col min="2" max="2" width="12.125" style="73" customWidth="1"/>
    <col min="3" max="3" width="8.25390625" style="73" hidden="1" customWidth="1"/>
    <col min="4" max="8" width="7.625" style="73" customWidth="1"/>
    <col min="9" max="9" width="36.25390625" style="73" customWidth="1"/>
    <col min="10" max="10" width="8.875" style="73" customWidth="1"/>
    <col min="11" max="11" width="31.375" style="73" bestFit="1" customWidth="1"/>
    <col min="12" max="12" width="10.375" style="73" customWidth="1"/>
    <col min="13" max="13" width="0" style="73" hidden="1" customWidth="1"/>
    <col min="14" max="16" width="8.875" style="73" customWidth="1"/>
    <col min="17" max="18" width="8.00390625" style="73" customWidth="1"/>
    <col min="19" max="16384" width="8.875" style="73" customWidth="1"/>
  </cols>
  <sheetData>
    <row r="1" spans="1:11" ht="12.75">
      <c r="A1" s="59" t="s">
        <v>145</v>
      </c>
      <c r="K1" s="59" t="s">
        <v>228</v>
      </c>
    </row>
    <row r="2" ht="12.75">
      <c r="A2" s="59"/>
    </row>
    <row r="3" spans="1:10" ht="12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3:18" ht="12.75">
      <c r="C4" s="135"/>
      <c r="D4" s="135"/>
      <c r="E4" s="135"/>
      <c r="H4" s="142" t="str">
        <f>Исх!C12</f>
        <v>$ USD</v>
      </c>
      <c r="R4" s="142" t="str">
        <f>H4</f>
        <v>$ USD</v>
      </c>
    </row>
    <row r="5" spans="1:18" ht="16.5" customHeight="1">
      <c r="A5" s="208" t="s">
        <v>40</v>
      </c>
      <c r="B5" s="221" t="s">
        <v>7</v>
      </c>
      <c r="C5" s="221">
        <v>2015</v>
      </c>
      <c r="D5" s="221">
        <v>2019</v>
      </c>
      <c r="E5" s="221">
        <f>D5+1</f>
        <v>2020</v>
      </c>
      <c r="F5" s="221">
        <f>E5+1</f>
        <v>2021</v>
      </c>
      <c r="G5" s="221">
        <f>F5+1</f>
        <v>2022</v>
      </c>
      <c r="H5" s="221">
        <f>G5+1</f>
        <v>2023</v>
      </c>
      <c r="I5" s="262" t="s">
        <v>184</v>
      </c>
      <c r="K5" s="261" t="s">
        <v>40</v>
      </c>
      <c r="L5" s="289" t="s">
        <v>7</v>
      </c>
      <c r="M5" s="262">
        <f>C5</f>
        <v>2015</v>
      </c>
      <c r="N5" s="262">
        <v>2019</v>
      </c>
      <c r="O5" s="262">
        <f>N5+1</f>
        <v>2020</v>
      </c>
      <c r="P5" s="262">
        <f>O5+1</f>
        <v>2021</v>
      </c>
      <c r="Q5" s="262">
        <f>P5+1</f>
        <v>2022</v>
      </c>
      <c r="R5" s="262">
        <f>Q5+1</f>
        <v>2023</v>
      </c>
    </row>
    <row r="6" spans="1:18" ht="12.75">
      <c r="A6" s="76" t="s">
        <v>41</v>
      </c>
      <c r="B6" s="141">
        <f>ФОТ!K25</f>
        <v>8465.6</v>
      </c>
      <c r="C6" s="149"/>
      <c r="D6" s="149">
        <f>B6</f>
        <v>8465.6</v>
      </c>
      <c r="E6" s="149">
        <f>D6</f>
        <v>8465.6</v>
      </c>
      <c r="F6" s="149">
        <f>E6</f>
        <v>8465.6</v>
      </c>
      <c r="G6" s="149">
        <f>F6</f>
        <v>8465.6</v>
      </c>
      <c r="H6" s="149">
        <f>G6</f>
        <v>8465.6</v>
      </c>
      <c r="I6" s="76" t="s">
        <v>310</v>
      </c>
      <c r="K6" s="76" t="str">
        <f>A6</f>
        <v>ФОТ</v>
      </c>
      <c r="L6" s="141">
        <f>B6*12</f>
        <v>101587.20000000001</v>
      </c>
      <c r="M6" s="141">
        <f>C6*10</f>
        <v>0</v>
      </c>
      <c r="N6" s="141">
        <f>D6*12</f>
        <v>101587.20000000001</v>
      </c>
      <c r="O6" s="141">
        <f>E6*12</f>
        <v>101587.20000000001</v>
      </c>
      <c r="P6" s="141">
        <f>F6*12</f>
        <v>101587.20000000001</v>
      </c>
      <c r="Q6" s="141">
        <f aca="true" t="shared" si="0" ref="Q6:R13">G6*12</f>
        <v>101587.20000000001</v>
      </c>
      <c r="R6" s="141">
        <f t="shared" si="0"/>
        <v>101587.20000000001</v>
      </c>
    </row>
    <row r="7" spans="1:18" ht="12.75">
      <c r="A7" s="162" t="s">
        <v>254</v>
      </c>
      <c r="B7" s="281">
        <v>10000</v>
      </c>
      <c r="C7" s="149"/>
      <c r="D7" s="149">
        <f aca="true" t="shared" si="1" ref="D7:D13">B7</f>
        <v>10000</v>
      </c>
      <c r="E7" s="149">
        <f aca="true" t="shared" si="2" ref="E7:F9">D7+D7*$D$3</f>
        <v>10000</v>
      </c>
      <c r="F7" s="149">
        <f t="shared" si="2"/>
        <v>10000</v>
      </c>
      <c r="G7" s="149">
        <f aca="true" t="shared" si="3" ref="G7:H13">F7+F7*$D$3</f>
        <v>10000</v>
      </c>
      <c r="H7" s="149">
        <f t="shared" si="3"/>
        <v>10000</v>
      </c>
      <c r="I7" s="279" t="s">
        <v>328</v>
      </c>
      <c r="K7" s="76" t="str">
        <f aca="true" t="shared" si="4" ref="K7:K13">A7</f>
        <v>Аренда помещения</v>
      </c>
      <c r="L7" s="141">
        <f aca="true" t="shared" si="5" ref="L7:L13">B7*12</f>
        <v>120000</v>
      </c>
      <c r="M7" s="141">
        <f aca="true" t="shared" si="6" ref="M7:M13">C7*10</f>
        <v>0</v>
      </c>
      <c r="N7" s="141">
        <f aca="true" t="shared" si="7" ref="N7:N13">D7*12</f>
        <v>120000</v>
      </c>
      <c r="O7" s="141">
        <f aca="true" t="shared" si="8" ref="O7:O13">E7*12</f>
        <v>120000</v>
      </c>
      <c r="P7" s="141">
        <f aca="true" t="shared" si="9" ref="P7:P13">F7*12</f>
        <v>120000</v>
      </c>
      <c r="Q7" s="141">
        <f t="shared" si="0"/>
        <v>120000</v>
      </c>
      <c r="R7" s="141">
        <f t="shared" si="0"/>
        <v>120000</v>
      </c>
    </row>
    <row r="8" spans="1:18" ht="12.75">
      <c r="A8" s="162" t="s">
        <v>270</v>
      </c>
      <c r="B8" s="281">
        <v>800</v>
      </c>
      <c r="C8" s="149"/>
      <c r="D8" s="149">
        <f t="shared" si="1"/>
        <v>800</v>
      </c>
      <c r="E8" s="149">
        <f t="shared" si="2"/>
        <v>800</v>
      </c>
      <c r="F8" s="149">
        <f t="shared" si="2"/>
        <v>800</v>
      </c>
      <c r="G8" s="149">
        <f t="shared" si="3"/>
        <v>800</v>
      </c>
      <c r="H8" s="149">
        <f t="shared" si="3"/>
        <v>800</v>
      </c>
      <c r="I8" s="279"/>
      <c r="K8" s="76" t="str">
        <f t="shared" si="4"/>
        <v>Услуги связи, интернет</v>
      </c>
      <c r="L8" s="141">
        <f t="shared" si="5"/>
        <v>9600</v>
      </c>
      <c r="M8" s="141">
        <f t="shared" si="6"/>
        <v>0</v>
      </c>
      <c r="N8" s="141">
        <f t="shared" si="7"/>
        <v>9600</v>
      </c>
      <c r="O8" s="141">
        <f t="shared" si="8"/>
        <v>9600</v>
      </c>
      <c r="P8" s="141">
        <f t="shared" si="9"/>
        <v>9600</v>
      </c>
      <c r="Q8" s="141">
        <f t="shared" si="0"/>
        <v>9600</v>
      </c>
      <c r="R8" s="141">
        <f t="shared" si="0"/>
        <v>9600</v>
      </c>
    </row>
    <row r="9" spans="1:18" ht="12.75">
      <c r="A9" s="76" t="s">
        <v>97</v>
      </c>
      <c r="B9" s="256">
        <v>130</v>
      </c>
      <c r="C9" s="149"/>
      <c r="D9" s="149">
        <f t="shared" si="1"/>
        <v>130</v>
      </c>
      <c r="E9" s="149">
        <f t="shared" si="2"/>
        <v>130</v>
      </c>
      <c r="F9" s="149">
        <f t="shared" si="2"/>
        <v>130</v>
      </c>
      <c r="G9" s="149">
        <f>F9+F9*$D$3</f>
        <v>130</v>
      </c>
      <c r="H9" s="149">
        <f>G9+G9*$D$3</f>
        <v>130</v>
      </c>
      <c r="I9" s="76" t="s">
        <v>251</v>
      </c>
      <c r="K9" s="76" t="str">
        <f>A9</f>
        <v>Услуги банка</v>
      </c>
      <c r="L9" s="141">
        <f>B9*12</f>
        <v>1560</v>
      </c>
      <c r="M9" s="141">
        <f>C9*10</f>
        <v>0</v>
      </c>
      <c r="N9" s="141">
        <f>D9*12</f>
        <v>1560</v>
      </c>
      <c r="O9" s="141">
        <f>E9*12</f>
        <v>1560</v>
      </c>
      <c r="P9" s="141">
        <f>F9*12</f>
        <v>1560</v>
      </c>
      <c r="Q9" s="141">
        <f>G9*12</f>
        <v>1560</v>
      </c>
      <c r="R9" s="141">
        <f>H9*12</f>
        <v>1560</v>
      </c>
    </row>
    <row r="10" spans="1:18" ht="12.75">
      <c r="A10" s="76" t="s">
        <v>271</v>
      </c>
      <c r="B10" s="281">
        <v>1000</v>
      </c>
      <c r="C10" s="149"/>
      <c r="D10" s="149">
        <f t="shared" si="1"/>
        <v>1000</v>
      </c>
      <c r="E10" s="149">
        <f aca="true" t="shared" si="10" ref="E10:F13">D10+D10*$D$3</f>
        <v>1000</v>
      </c>
      <c r="F10" s="149">
        <f t="shared" si="10"/>
        <v>1000</v>
      </c>
      <c r="G10" s="149">
        <f t="shared" si="3"/>
        <v>1000</v>
      </c>
      <c r="H10" s="149">
        <f t="shared" si="3"/>
        <v>1000</v>
      </c>
      <c r="I10" s="76"/>
      <c r="K10" s="76" t="str">
        <f t="shared" si="4"/>
        <v>Канц.товары</v>
      </c>
      <c r="L10" s="141">
        <f t="shared" si="5"/>
        <v>12000</v>
      </c>
      <c r="M10" s="141">
        <f t="shared" si="6"/>
        <v>0</v>
      </c>
      <c r="N10" s="141">
        <f t="shared" si="7"/>
        <v>12000</v>
      </c>
      <c r="O10" s="141">
        <f t="shared" si="8"/>
        <v>12000</v>
      </c>
      <c r="P10" s="141">
        <f t="shared" si="9"/>
        <v>12000</v>
      </c>
      <c r="Q10" s="141">
        <f t="shared" si="0"/>
        <v>12000</v>
      </c>
      <c r="R10" s="141">
        <f t="shared" si="0"/>
        <v>12000</v>
      </c>
    </row>
    <row r="11" spans="1:18" ht="12.75">
      <c r="A11" s="76" t="s">
        <v>74</v>
      </c>
      <c r="B11" s="281">
        <v>1000</v>
      </c>
      <c r="C11" s="149"/>
      <c r="D11" s="149">
        <f t="shared" si="1"/>
        <v>1000</v>
      </c>
      <c r="E11" s="149">
        <f t="shared" si="10"/>
        <v>1000</v>
      </c>
      <c r="F11" s="149">
        <f t="shared" si="10"/>
        <v>1000</v>
      </c>
      <c r="G11" s="149">
        <f t="shared" si="3"/>
        <v>1000</v>
      </c>
      <c r="H11" s="149">
        <f t="shared" si="3"/>
        <v>1000</v>
      </c>
      <c r="I11" s="76" t="s">
        <v>273</v>
      </c>
      <c r="K11" s="76" t="str">
        <f t="shared" si="4"/>
        <v>Расходы на рекламу</v>
      </c>
      <c r="L11" s="141">
        <f t="shared" si="5"/>
        <v>12000</v>
      </c>
      <c r="M11" s="141">
        <f t="shared" si="6"/>
        <v>0</v>
      </c>
      <c r="N11" s="141">
        <f t="shared" si="7"/>
        <v>12000</v>
      </c>
      <c r="O11" s="141">
        <f t="shared" si="8"/>
        <v>12000</v>
      </c>
      <c r="P11" s="141">
        <f t="shared" si="9"/>
        <v>12000</v>
      </c>
      <c r="Q11" s="141">
        <f t="shared" si="0"/>
        <v>12000</v>
      </c>
      <c r="R11" s="141">
        <f t="shared" si="0"/>
        <v>12000</v>
      </c>
    </row>
    <row r="12" spans="1:18" ht="12.75">
      <c r="A12" s="76" t="s">
        <v>272</v>
      </c>
      <c r="B12" s="281">
        <v>1000</v>
      </c>
      <c r="C12" s="149"/>
      <c r="D12" s="149">
        <f t="shared" si="1"/>
        <v>1000</v>
      </c>
      <c r="E12" s="149">
        <f t="shared" si="10"/>
        <v>1000</v>
      </c>
      <c r="F12" s="149">
        <f t="shared" si="10"/>
        <v>1000</v>
      </c>
      <c r="G12" s="149">
        <f t="shared" si="3"/>
        <v>1000</v>
      </c>
      <c r="H12" s="149">
        <f t="shared" si="3"/>
        <v>1000</v>
      </c>
      <c r="I12" s="76"/>
      <c r="K12" s="76" t="str">
        <f t="shared" si="4"/>
        <v>Сигнализация</v>
      </c>
      <c r="L12" s="141">
        <f t="shared" si="5"/>
        <v>12000</v>
      </c>
      <c r="M12" s="141">
        <f t="shared" si="6"/>
        <v>0</v>
      </c>
      <c r="N12" s="141">
        <f t="shared" si="7"/>
        <v>12000</v>
      </c>
      <c r="O12" s="141">
        <f t="shared" si="8"/>
        <v>12000</v>
      </c>
      <c r="P12" s="141">
        <f t="shared" si="9"/>
        <v>12000</v>
      </c>
      <c r="Q12" s="141">
        <f t="shared" si="0"/>
        <v>12000</v>
      </c>
      <c r="R12" s="141">
        <f t="shared" si="0"/>
        <v>12000</v>
      </c>
    </row>
    <row r="13" spans="1:18" ht="12.75">
      <c r="A13" s="76" t="s">
        <v>42</v>
      </c>
      <c r="B13" s="256">
        <v>1000</v>
      </c>
      <c r="C13" s="149"/>
      <c r="D13" s="149">
        <f t="shared" si="1"/>
        <v>1000</v>
      </c>
      <c r="E13" s="149">
        <f t="shared" si="10"/>
        <v>1000</v>
      </c>
      <c r="F13" s="149">
        <f t="shared" si="10"/>
        <v>1000</v>
      </c>
      <c r="G13" s="149">
        <f t="shared" si="3"/>
        <v>1000</v>
      </c>
      <c r="H13" s="149">
        <f t="shared" si="3"/>
        <v>1000</v>
      </c>
      <c r="I13" s="76"/>
      <c r="K13" s="76" t="str">
        <f t="shared" si="4"/>
        <v>Прочие непредвиденные расходы</v>
      </c>
      <c r="L13" s="141">
        <f t="shared" si="5"/>
        <v>12000</v>
      </c>
      <c r="M13" s="141">
        <f t="shared" si="6"/>
        <v>0</v>
      </c>
      <c r="N13" s="141">
        <f t="shared" si="7"/>
        <v>12000</v>
      </c>
      <c r="O13" s="141">
        <f t="shared" si="8"/>
        <v>12000</v>
      </c>
      <c r="P13" s="141">
        <f t="shared" si="9"/>
        <v>12000</v>
      </c>
      <c r="Q13" s="141">
        <f t="shared" si="0"/>
        <v>12000</v>
      </c>
      <c r="R13" s="141">
        <f t="shared" si="0"/>
        <v>12000</v>
      </c>
    </row>
    <row r="14" spans="1:18" ht="12.75">
      <c r="A14" s="208" t="s">
        <v>0</v>
      </c>
      <c r="B14" s="259">
        <f aca="true" t="shared" si="11" ref="B14:G14">SUM(B6:B13)</f>
        <v>23395.6</v>
      </c>
      <c r="C14" s="209">
        <f t="shared" si="11"/>
        <v>0</v>
      </c>
      <c r="D14" s="209">
        <f t="shared" si="11"/>
        <v>23395.6</v>
      </c>
      <c r="E14" s="209">
        <f t="shared" si="11"/>
        <v>23395.6</v>
      </c>
      <c r="F14" s="209">
        <f t="shared" si="11"/>
        <v>23395.6</v>
      </c>
      <c r="G14" s="282">
        <f t="shared" si="11"/>
        <v>23395.6</v>
      </c>
      <c r="H14" s="282">
        <f>SUM(H6:H13)</f>
        <v>23395.6</v>
      </c>
      <c r="I14" s="258"/>
      <c r="K14" s="258" t="s">
        <v>0</v>
      </c>
      <c r="L14" s="259">
        <f aca="true" t="shared" si="12" ref="L14:R14">SUM(L6:L13)</f>
        <v>280747.2</v>
      </c>
      <c r="M14" s="259">
        <f t="shared" si="12"/>
        <v>0</v>
      </c>
      <c r="N14" s="259">
        <f t="shared" si="12"/>
        <v>280747.2</v>
      </c>
      <c r="O14" s="259">
        <f t="shared" si="12"/>
        <v>280747.2</v>
      </c>
      <c r="P14" s="259">
        <f t="shared" si="12"/>
        <v>280747.2</v>
      </c>
      <c r="Q14" s="282">
        <f t="shared" si="12"/>
        <v>280747.2</v>
      </c>
      <c r="R14" s="282">
        <f t="shared" si="12"/>
        <v>280747.2</v>
      </c>
    </row>
    <row r="16" spans="1:18" ht="12.75">
      <c r="A16" s="59" t="s">
        <v>75</v>
      </c>
      <c r="C16" s="165">
        <f aca="true" t="shared" si="13" ref="C16:H16">SUM(C17:C18)</f>
        <v>0</v>
      </c>
      <c r="D16" s="165">
        <f t="shared" si="13"/>
        <v>42.328</v>
      </c>
      <c r="E16" s="165">
        <f t="shared" si="13"/>
        <v>42.328</v>
      </c>
      <c r="F16" s="165">
        <f t="shared" si="13"/>
        <v>42.328</v>
      </c>
      <c r="G16" s="165">
        <f t="shared" si="13"/>
        <v>42.328</v>
      </c>
      <c r="H16" s="165">
        <f t="shared" si="13"/>
        <v>42.328</v>
      </c>
      <c r="K16" s="59" t="s">
        <v>75</v>
      </c>
      <c r="M16" s="165">
        <f aca="true" t="shared" si="14" ref="M16:R16">SUM(M17:M18)</f>
        <v>0</v>
      </c>
      <c r="N16" s="165">
        <f t="shared" si="14"/>
        <v>507.93600000000004</v>
      </c>
      <c r="O16" s="165">
        <f t="shared" si="14"/>
        <v>507.93600000000004</v>
      </c>
      <c r="P16" s="165">
        <f t="shared" si="14"/>
        <v>507.93600000000004</v>
      </c>
      <c r="Q16" s="165">
        <f t="shared" si="14"/>
        <v>507.93600000000004</v>
      </c>
      <c r="R16" s="165">
        <f t="shared" si="14"/>
        <v>507.93600000000004</v>
      </c>
    </row>
    <row r="17" spans="1:18" s="330" customFormat="1" ht="25.5">
      <c r="A17" s="279" t="s">
        <v>76</v>
      </c>
      <c r="B17" s="329">
        <v>0.005</v>
      </c>
      <c r="C17" s="110">
        <f aca="true" t="shared" si="15" ref="C17:H17">C6*$B$17</f>
        <v>0</v>
      </c>
      <c r="D17" s="110">
        <f t="shared" si="15"/>
        <v>42.328</v>
      </c>
      <c r="E17" s="110">
        <f t="shared" si="15"/>
        <v>42.328</v>
      </c>
      <c r="F17" s="110">
        <f t="shared" si="15"/>
        <v>42.328</v>
      </c>
      <c r="G17" s="110">
        <f t="shared" si="15"/>
        <v>42.328</v>
      </c>
      <c r="H17" s="110">
        <f t="shared" si="15"/>
        <v>42.328</v>
      </c>
      <c r="K17" s="279" t="s">
        <v>76</v>
      </c>
      <c r="L17" s="331">
        <f>B17</f>
        <v>0.005</v>
      </c>
      <c r="M17" s="332">
        <f>C17*10</f>
        <v>0</v>
      </c>
      <c r="N17" s="110">
        <f aca="true" t="shared" si="16" ref="N17:P18">D17*12</f>
        <v>507.93600000000004</v>
      </c>
      <c r="O17" s="110">
        <f t="shared" si="16"/>
        <v>507.93600000000004</v>
      </c>
      <c r="P17" s="110">
        <f t="shared" si="16"/>
        <v>507.93600000000004</v>
      </c>
      <c r="Q17" s="110">
        <f>G17*12</f>
        <v>507.93600000000004</v>
      </c>
      <c r="R17" s="110">
        <f>H17*12</f>
        <v>507.93600000000004</v>
      </c>
    </row>
    <row r="18" spans="1:18" ht="12.75" hidden="1">
      <c r="A18" s="162" t="s">
        <v>226</v>
      </c>
      <c r="B18" s="257">
        <v>0.005</v>
      </c>
      <c r="C18" s="149"/>
      <c r="D18" s="149"/>
      <c r="E18" s="149"/>
      <c r="F18" s="149"/>
      <c r="G18" s="149"/>
      <c r="H18" s="149"/>
      <c r="K18" s="162" t="s">
        <v>226</v>
      </c>
      <c r="L18" s="257">
        <v>0.005</v>
      </c>
      <c r="M18" s="141">
        <f>C18*3</f>
        <v>0</v>
      </c>
      <c r="N18" s="149">
        <f t="shared" si="16"/>
        <v>0</v>
      </c>
      <c r="O18" s="149">
        <f t="shared" si="16"/>
        <v>0</v>
      </c>
      <c r="P18" s="149">
        <f t="shared" si="16"/>
        <v>0</v>
      </c>
      <c r="Q18" s="149">
        <f>G18*12</f>
        <v>0</v>
      </c>
      <c r="R18" s="149">
        <f>H18*12</f>
        <v>0</v>
      </c>
    </row>
    <row r="20" spans="1:18" ht="12.75">
      <c r="A20" s="59" t="s">
        <v>77</v>
      </c>
      <c r="C20" s="165">
        <f aca="true" t="shared" si="17" ref="C20:H20">SUM(C21:C22)</f>
        <v>0</v>
      </c>
      <c r="D20" s="165">
        <f t="shared" si="17"/>
        <v>7</v>
      </c>
      <c r="E20" s="165">
        <f t="shared" si="17"/>
        <v>7</v>
      </c>
      <c r="F20" s="165">
        <f t="shared" si="17"/>
        <v>7</v>
      </c>
      <c r="G20" s="165">
        <f t="shared" si="17"/>
        <v>7</v>
      </c>
      <c r="H20" s="165">
        <f t="shared" si="17"/>
        <v>7</v>
      </c>
      <c r="K20" s="59" t="s">
        <v>77</v>
      </c>
      <c r="M20" s="165">
        <f aca="true" t="shared" si="18" ref="M20:R20">SUM(M21:M22)</f>
        <v>0</v>
      </c>
      <c r="N20" s="165">
        <f t="shared" si="18"/>
        <v>84</v>
      </c>
      <c r="O20" s="165">
        <f t="shared" si="18"/>
        <v>84</v>
      </c>
      <c r="P20" s="165">
        <f t="shared" si="18"/>
        <v>84</v>
      </c>
      <c r="Q20" s="165">
        <f t="shared" si="18"/>
        <v>84</v>
      </c>
      <c r="R20" s="165">
        <f t="shared" si="18"/>
        <v>84</v>
      </c>
    </row>
    <row r="21" spans="1:18" ht="12.75">
      <c r="A21" s="76" t="s">
        <v>1</v>
      </c>
      <c r="B21" s="166">
        <f>Исх!C19</f>
        <v>0.015</v>
      </c>
      <c r="C21" s="149">
        <f aca="true" t="shared" si="19" ref="C21:H21">(C34+C37)/2*$B$21/12*0</f>
        <v>0</v>
      </c>
      <c r="D21" s="149">
        <f t="shared" si="19"/>
        <v>0</v>
      </c>
      <c r="E21" s="149">
        <f t="shared" si="19"/>
        <v>0</v>
      </c>
      <c r="F21" s="149">
        <f t="shared" si="19"/>
        <v>0</v>
      </c>
      <c r="G21" s="149">
        <f t="shared" si="19"/>
        <v>0</v>
      </c>
      <c r="H21" s="149">
        <f t="shared" si="19"/>
        <v>0</v>
      </c>
      <c r="K21" s="76" t="s">
        <v>1</v>
      </c>
      <c r="L21" s="166">
        <f>Исх!N19</f>
        <v>0</v>
      </c>
      <c r="M21" s="141">
        <f>C21*10</f>
        <v>0</v>
      </c>
      <c r="N21" s="149">
        <f aca="true" t="shared" si="20" ref="N21:P22">D21*12</f>
        <v>0</v>
      </c>
      <c r="O21" s="149">
        <f t="shared" si="20"/>
        <v>0</v>
      </c>
      <c r="P21" s="149">
        <f t="shared" si="20"/>
        <v>0</v>
      </c>
      <c r="Q21" s="149">
        <f>G21*12</f>
        <v>0</v>
      </c>
      <c r="R21" s="149">
        <f>H21*12</f>
        <v>0</v>
      </c>
    </row>
    <row r="22" spans="1:18" ht="12.75">
      <c r="A22" s="76" t="s">
        <v>227</v>
      </c>
      <c r="B22" s="281">
        <v>7</v>
      </c>
      <c r="C22" s="141"/>
      <c r="D22" s="149">
        <f>B22</f>
        <v>7</v>
      </c>
      <c r="E22" s="149">
        <f>D22+D22*$D$3</f>
        <v>7</v>
      </c>
      <c r="F22" s="149">
        <f>E22+E22*$D$3</f>
        <v>7</v>
      </c>
      <c r="G22" s="149">
        <f>F22+F22*$D$3</f>
        <v>7</v>
      </c>
      <c r="H22" s="149">
        <f>G22+G22*$D$3</f>
        <v>7</v>
      </c>
      <c r="K22" s="76" t="s">
        <v>227</v>
      </c>
      <c r="L22" s="141">
        <f>B22</f>
        <v>7</v>
      </c>
      <c r="M22" s="141">
        <f>C22*10</f>
        <v>0</v>
      </c>
      <c r="N22" s="149">
        <f>D22*12</f>
        <v>84</v>
      </c>
      <c r="O22" s="149">
        <f t="shared" si="20"/>
        <v>84</v>
      </c>
      <c r="P22" s="149">
        <f t="shared" si="20"/>
        <v>84</v>
      </c>
      <c r="Q22" s="149">
        <f>G22*12</f>
        <v>84</v>
      </c>
      <c r="R22" s="149">
        <f>H22*12</f>
        <v>84</v>
      </c>
    </row>
    <row r="24" spans="1:8" ht="12.75">
      <c r="A24" s="301"/>
      <c r="B24" s="301"/>
      <c r="C24" s="302"/>
      <c r="D24" s="301"/>
      <c r="E24" s="301"/>
      <c r="F24" s="301"/>
      <c r="G24" s="301"/>
      <c r="H24" s="301"/>
    </row>
    <row r="25" spans="1:8" ht="12.75">
      <c r="A25" s="369" t="s">
        <v>78</v>
      </c>
      <c r="B25" s="369"/>
      <c r="C25" s="369"/>
      <c r="D25" s="369"/>
      <c r="E25" s="369"/>
      <c r="F25" s="369"/>
      <c r="G25" s="306"/>
      <c r="H25" s="306"/>
    </row>
    <row r="26" spans="1:8" ht="12.75">
      <c r="A26" s="136" t="s">
        <v>84</v>
      </c>
      <c r="B26" s="136"/>
      <c r="C26" s="137">
        <f>C5</f>
        <v>2015</v>
      </c>
      <c r="D26" s="137">
        <v>2019</v>
      </c>
      <c r="E26" s="137">
        <f>D26+1</f>
        <v>2020</v>
      </c>
      <c r="F26" s="137">
        <f>E26+1</f>
        <v>2021</v>
      </c>
      <c r="G26" s="137">
        <f>F26+1</f>
        <v>2022</v>
      </c>
      <c r="H26" s="137">
        <f>G26+1</f>
        <v>2023</v>
      </c>
    </row>
    <row r="27" spans="1:8" ht="12.75">
      <c r="A27" s="76" t="s">
        <v>79</v>
      </c>
      <c r="B27" s="168"/>
      <c r="C27" s="76"/>
      <c r="D27" s="76"/>
      <c r="E27" s="76"/>
      <c r="F27" s="76"/>
      <c r="G27" s="76"/>
      <c r="H27" s="76"/>
    </row>
    <row r="28" spans="1:8" ht="12.75">
      <c r="A28" s="76" t="s">
        <v>80</v>
      </c>
      <c r="B28" s="169"/>
      <c r="C28" s="149">
        <f aca="true" t="shared" si="21" ref="C28:F30">C34+C40+C46</f>
        <v>0</v>
      </c>
      <c r="D28" s="149">
        <f t="shared" si="21"/>
        <v>0</v>
      </c>
      <c r="E28" s="149">
        <f t="shared" si="21"/>
        <v>133920</v>
      </c>
      <c r="F28" s="149">
        <f t="shared" si="21"/>
        <v>119040</v>
      </c>
      <c r="G28" s="149">
        <f aca="true" t="shared" si="22" ref="G28:H30">G34+G40+G46</f>
        <v>104160</v>
      </c>
      <c r="H28" s="149">
        <f t="shared" si="22"/>
        <v>89280</v>
      </c>
    </row>
    <row r="29" spans="1:8" ht="12.75">
      <c r="A29" s="76" t="s">
        <v>81</v>
      </c>
      <c r="B29" s="169"/>
      <c r="C29" s="149">
        <f t="shared" si="21"/>
        <v>0</v>
      </c>
      <c r="D29" s="149">
        <f t="shared" si="21"/>
        <v>148800</v>
      </c>
      <c r="E29" s="149">
        <f t="shared" si="21"/>
        <v>0</v>
      </c>
      <c r="F29" s="149">
        <f t="shared" si="21"/>
        <v>0</v>
      </c>
      <c r="G29" s="149">
        <f t="shared" si="22"/>
        <v>0</v>
      </c>
      <c r="H29" s="149">
        <f t="shared" si="22"/>
        <v>0</v>
      </c>
    </row>
    <row r="30" spans="1:8" ht="12.75">
      <c r="A30" s="151" t="s">
        <v>82</v>
      </c>
      <c r="B30" s="151"/>
      <c r="C30" s="150">
        <f t="shared" si="21"/>
        <v>0</v>
      </c>
      <c r="D30" s="150">
        <f t="shared" si="21"/>
        <v>14880</v>
      </c>
      <c r="E30" s="150">
        <f t="shared" si="21"/>
        <v>14880</v>
      </c>
      <c r="F30" s="150">
        <f t="shared" si="21"/>
        <v>14880</v>
      </c>
      <c r="G30" s="150">
        <f t="shared" si="22"/>
        <v>14880</v>
      </c>
      <c r="H30" s="150">
        <f t="shared" si="22"/>
        <v>14880</v>
      </c>
    </row>
    <row r="31" spans="1:8" ht="12.75">
      <c r="A31" s="76" t="s">
        <v>83</v>
      </c>
      <c r="B31" s="169"/>
      <c r="C31" s="149">
        <f aca="true" t="shared" si="23" ref="C31:H31">C28+C29-C30</f>
        <v>0</v>
      </c>
      <c r="D31" s="149">
        <f t="shared" si="23"/>
        <v>133920</v>
      </c>
      <c r="E31" s="149">
        <f t="shared" si="23"/>
        <v>119040</v>
      </c>
      <c r="F31" s="149">
        <f t="shared" si="23"/>
        <v>104160</v>
      </c>
      <c r="G31" s="149">
        <f t="shared" si="23"/>
        <v>89280</v>
      </c>
      <c r="H31" s="149">
        <f t="shared" si="23"/>
        <v>74400</v>
      </c>
    </row>
    <row r="32" spans="1:8" ht="12.75" hidden="1" outlineLevel="1">
      <c r="A32" s="74" t="s">
        <v>294</v>
      </c>
      <c r="C32" s="137"/>
      <c r="D32" s="137"/>
      <c r="E32" s="137"/>
      <c r="F32" s="137"/>
      <c r="G32" s="137"/>
      <c r="H32" s="137"/>
    </row>
    <row r="33" spans="1:8" ht="12.75" hidden="1" outlineLevel="1">
      <c r="A33" s="76" t="s">
        <v>79</v>
      </c>
      <c r="B33" s="170">
        <v>0.1</v>
      </c>
      <c r="C33" s="76"/>
      <c r="D33" s="76"/>
      <c r="E33" s="76"/>
      <c r="F33" s="76"/>
      <c r="G33" s="76"/>
      <c r="H33" s="76"/>
    </row>
    <row r="34" spans="1:9" ht="12.75" hidden="1" outlineLevel="1">
      <c r="A34" s="76" t="s">
        <v>80</v>
      </c>
      <c r="B34" s="169"/>
      <c r="C34" s="141"/>
      <c r="D34" s="149">
        <f>C37</f>
        <v>0</v>
      </c>
      <c r="E34" s="149">
        <f>D37</f>
        <v>57600</v>
      </c>
      <c r="F34" s="149">
        <f>E37</f>
        <v>51200</v>
      </c>
      <c r="G34" s="149">
        <f>F37</f>
        <v>44800</v>
      </c>
      <c r="H34" s="149">
        <f>G37</f>
        <v>38400</v>
      </c>
      <c r="I34" s="294"/>
    </row>
    <row r="35" spans="1:8" ht="12.75" hidden="1" outlineLevel="1">
      <c r="A35" s="76" t="s">
        <v>81</v>
      </c>
      <c r="B35" s="169"/>
      <c r="C35" s="149"/>
      <c r="D35" s="149">
        <f>Инв!B21</f>
        <v>64000</v>
      </c>
      <c r="E35" s="149"/>
      <c r="F35" s="149">
        <f>Инв!E21</f>
        <v>0</v>
      </c>
      <c r="G35" s="149">
        <f>Инв!F21</f>
        <v>0</v>
      </c>
      <c r="H35" s="149">
        <f>Инв!G21</f>
        <v>0</v>
      </c>
    </row>
    <row r="36" spans="1:8" ht="12.75" hidden="1" outlineLevel="1">
      <c r="A36" s="151" t="s">
        <v>82</v>
      </c>
      <c r="B36" s="151"/>
      <c r="C36" s="150">
        <f>$C35*$B33/12*1</f>
        <v>0</v>
      </c>
      <c r="D36" s="150">
        <f>$D35*$B33</f>
        <v>6400</v>
      </c>
      <c r="E36" s="150">
        <f>$D35*$B33</f>
        <v>6400</v>
      </c>
      <c r="F36" s="150">
        <f>$D35*$B33</f>
        <v>6400</v>
      </c>
      <c r="G36" s="150">
        <f>$D35*$B33</f>
        <v>6400</v>
      </c>
      <c r="H36" s="150">
        <f>$D35*$B33</f>
        <v>6400</v>
      </c>
    </row>
    <row r="37" spans="1:8" ht="12.75" hidden="1" outlineLevel="1">
      <c r="A37" s="76" t="s">
        <v>83</v>
      </c>
      <c r="B37" s="169"/>
      <c r="C37" s="149">
        <f aca="true" t="shared" si="24" ref="C37:H37">C34+C35-C36</f>
        <v>0</v>
      </c>
      <c r="D37" s="149">
        <f t="shared" si="24"/>
        <v>57600</v>
      </c>
      <c r="E37" s="149">
        <f t="shared" si="24"/>
        <v>51200</v>
      </c>
      <c r="F37" s="149">
        <f t="shared" si="24"/>
        <v>44800</v>
      </c>
      <c r="G37" s="149">
        <f t="shared" si="24"/>
        <v>38400</v>
      </c>
      <c r="H37" s="149">
        <f t="shared" si="24"/>
        <v>32000</v>
      </c>
    </row>
    <row r="38" spans="1:8" ht="12.75" hidden="1" outlineLevel="1">
      <c r="A38" s="74" t="s">
        <v>101</v>
      </c>
      <c r="C38" s="137"/>
      <c r="D38" s="137"/>
      <c r="E38" s="137"/>
      <c r="F38" s="137"/>
      <c r="G38" s="137"/>
      <c r="H38" s="137"/>
    </row>
    <row r="39" spans="1:8" ht="12.75" hidden="1" outlineLevel="1">
      <c r="A39" s="76" t="s">
        <v>79</v>
      </c>
      <c r="B39" s="170">
        <v>0.1</v>
      </c>
      <c r="C39" s="76"/>
      <c r="D39" s="76"/>
      <c r="E39" s="76"/>
      <c r="F39" s="76"/>
      <c r="G39" s="76"/>
      <c r="H39" s="76"/>
    </row>
    <row r="40" spans="1:8" ht="12.75" hidden="1" outlineLevel="1">
      <c r="A40" s="76" t="s">
        <v>80</v>
      </c>
      <c r="B40" s="169"/>
      <c r="C40" s="149"/>
      <c r="D40" s="149">
        <f>C43</f>
        <v>0</v>
      </c>
      <c r="E40" s="149">
        <f>D43</f>
        <v>76320</v>
      </c>
      <c r="F40" s="149">
        <f>E43</f>
        <v>67840</v>
      </c>
      <c r="G40" s="149">
        <f>F43</f>
        <v>59360</v>
      </c>
      <c r="H40" s="149">
        <f>G43</f>
        <v>50880</v>
      </c>
    </row>
    <row r="41" spans="1:8" ht="12.75" hidden="1" outlineLevel="1">
      <c r="A41" s="76" t="s">
        <v>81</v>
      </c>
      <c r="B41" s="169"/>
      <c r="C41" s="149"/>
      <c r="D41" s="149">
        <f>Инв!C22</f>
        <v>84800</v>
      </c>
      <c r="E41" s="149"/>
      <c r="F41" s="149"/>
      <c r="G41" s="149"/>
      <c r="H41" s="149"/>
    </row>
    <row r="42" spans="1:8" ht="12.75" hidden="1" outlineLevel="1">
      <c r="A42" s="151" t="s">
        <v>82</v>
      </c>
      <c r="B42" s="151"/>
      <c r="C42" s="150">
        <f>$C41*$B39/12*11</f>
        <v>0</v>
      </c>
      <c r="D42" s="150">
        <f>$D41*$B39</f>
        <v>8480</v>
      </c>
      <c r="E42" s="150">
        <f>$D41*$B39</f>
        <v>8480</v>
      </c>
      <c r="F42" s="150">
        <f>$D41*$B39</f>
        <v>8480</v>
      </c>
      <c r="G42" s="150">
        <f>$D41*$B39</f>
        <v>8480</v>
      </c>
      <c r="H42" s="150">
        <f>$D41*$B39</f>
        <v>8480</v>
      </c>
    </row>
    <row r="43" spans="1:8" ht="12.75" hidden="1" outlineLevel="1">
      <c r="A43" s="76" t="s">
        <v>83</v>
      </c>
      <c r="B43" s="169"/>
      <c r="C43" s="149">
        <f aca="true" t="shared" si="25" ref="C43:H43">C40+C41-C42</f>
        <v>0</v>
      </c>
      <c r="D43" s="149">
        <f t="shared" si="25"/>
        <v>76320</v>
      </c>
      <c r="E43" s="149">
        <f t="shared" si="25"/>
        <v>67840</v>
      </c>
      <c r="F43" s="149">
        <f t="shared" si="25"/>
        <v>59360</v>
      </c>
      <c r="G43" s="149">
        <f t="shared" si="25"/>
        <v>50880</v>
      </c>
      <c r="H43" s="149">
        <f t="shared" si="25"/>
        <v>42400</v>
      </c>
    </row>
    <row r="44" spans="1:8" ht="12.75" hidden="1" outlineLevel="1">
      <c r="A44" s="74" t="s">
        <v>176</v>
      </c>
      <c r="C44" s="137"/>
      <c r="D44" s="137"/>
      <c r="E44" s="137"/>
      <c r="F44" s="137"/>
      <c r="G44" s="137"/>
      <c r="H44" s="137"/>
    </row>
    <row r="45" spans="1:8" ht="12.75" hidden="1" outlineLevel="1">
      <c r="A45" s="76" t="s">
        <v>79</v>
      </c>
      <c r="B45" s="170">
        <v>0.1</v>
      </c>
      <c r="C45" s="76"/>
      <c r="D45" s="76"/>
      <c r="E45" s="76"/>
      <c r="F45" s="76"/>
      <c r="G45" s="76"/>
      <c r="H45" s="76"/>
    </row>
    <row r="46" spans="1:8" ht="12.75" hidden="1" outlineLevel="1">
      <c r="A46" s="76" t="s">
        <v>80</v>
      </c>
      <c r="B46" s="169"/>
      <c r="C46" s="149">
        <f>Инв!C23</f>
        <v>0</v>
      </c>
      <c r="D46" s="149">
        <f>C49</f>
        <v>0</v>
      </c>
      <c r="E46" s="149">
        <f>D49</f>
        <v>0</v>
      </c>
      <c r="F46" s="149">
        <f>E49</f>
        <v>0</v>
      </c>
      <c r="G46" s="149">
        <f>F49</f>
        <v>0</v>
      </c>
      <c r="H46" s="149">
        <f>G49</f>
        <v>0</v>
      </c>
    </row>
    <row r="47" spans="1:8" ht="12.75" hidden="1" outlineLevel="1">
      <c r="A47" s="76" t="s">
        <v>81</v>
      </c>
      <c r="B47" s="169"/>
      <c r="C47" s="149"/>
      <c r="D47" s="149"/>
      <c r="E47" s="149"/>
      <c r="F47" s="149"/>
      <c r="G47" s="149"/>
      <c r="H47" s="149"/>
    </row>
    <row r="48" spans="1:8" ht="12.75" hidden="1" outlineLevel="1">
      <c r="A48" s="151" t="s">
        <v>82</v>
      </c>
      <c r="B48" s="151"/>
      <c r="C48" s="150">
        <f aca="true" t="shared" si="26" ref="C48:H48">$C46*$B45</f>
        <v>0</v>
      </c>
      <c r="D48" s="150">
        <f t="shared" si="26"/>
        <v>0</v>
      </c>
      <c r="E48" s="150">
        <f t="shared" si="26"/>
        <v>0</v>
      </c>
      <c r="F48" s="150">
        <f t="shared" si="26"/>
        <v>0</v>
      </c>
      <c r="G48" s="150">
        <f t="shared" si="26"/>
        <v>0</v>
      </c>
      <c r="H48" s="150">
        <f t="shared" si="26"/>
        <v>0</v>
      </c>
    </row>
    <row r="49" spans="1:8" ht="12.75" hidden="1" outlineLevel="1">
      <c r="A49" s="76" t="s">
        <v>83</v>
      </c>
      <c r="B49" s="169"/>
      <c r="C49" s="149">
        <f aca="true" t="shared" si="27" ref="C49:H49">C46+C47-C48</f>
        <v>0</v>
      </c>
      <c r="D49" s="149">
        <f t="shared" si="27"/>
        <v>0</v>
      </c>
      <c r="E49" s="149">
        <f t="shared" si="27"/>
        <v>0</v>
      </c>
      <c r="F49" s="149">
        <f t="shared" si="27"/>
        <v>0</v>
      </c>
      <c r="G49" s="149">
        <f t="shared" si="27"/>
        <v>0</v>
      </c>
      <c r="H49" s="149">
        <f t="shared" si="27"/>
        <v>0</v>
      </c>
    </row>
    <row r="50" ht="12.75" collapsed="1"/>
  </sheetData>
  <sheetProtection/>
  <mergeCells count="1">
    <mergeCell ref="A25:F25"/>
  </mergeCells>
  <printOptions/>
  <pageMargins left="0.6299212598425197" right="0.3937007874015748" top="0.6692913385826772" bottom="0.7480314960629921" header="0.1968503937007874" footer="0.31496062992125984"/>
  <pageSetup horizontalDpi="600" verticalDpi="600" orientation="landscape" paperSize="9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User</cp:lastModifiedBy>
  <cp:lastPrinted>2019-04-24T10:34:51Z</cp:lastPrinted>
  <dcterms:created xsi:type="dcterms:W3CDTF">2006-03-01T15:11:19Z</dcterms:created>
  <dcterms:modified xsi:type="dcterms:W3CDTF">2019-04-24T10:48:49Z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