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filterPrivacy="1"/>
  <xr:revisionPtr revIDLastSave="0" documentId="13_ncr:1_{ED0CAD83-5BDA-BC4E-98AC-50532C68328D}" xr6:coauthVersionLast="45" xr6:coauthVersionMax="45" xr10:uidLastSave="{00000000-0000-0000-0000-000000000000}"/>
  <bookViews>
    <workbookView xWindow="0" yWindow="460" windowWidth="32640" windowHeight="19400" tabRatio="774" xr2:uid="{00000000-000D-0000-FFFF-FFFF00000000}"/>
  </bookViews>
  <sheets>
    <sheet name="Исходные данные" sheetId="1" r:id="rId1"/>
    <sheet name="Стартовые инвестиции" sheetId="11" r:id="rId2"/>
    <sheet name=" Выручка в первый месяц" sheetId="10" state="hidden" r:id="rId3"/>
    <sheet name="Финансовая модель" sheetId="13" r:id="rId4"/>
  </sheets>
  <externalReferences>
    <externalReference r:id="rId5"/>
    <externalReference r:id="rId6"/>
  </externalReferences>
  <definedNames>
    <definedName name="без_выезда" localSheetId="2">#REF!</definedName>
    <definedName name="без_выезда" localSheetId="0">#REF!</definedName>
    <definedName name="без_выезда" localSheetId="1">#REF!</definedName>
    <definedName name="без_выезда" localSheetId="3">#REF!</definedName>
    <definedName name="без_выезда">#REF!</definedName>
    <definedName name="бюджет">'[1]Ключевые показатели'!$D$12</definedName>
    <definedName name="ЗарплатаСтавка">'[1]Исходные данные'!$D$20</definedName>
    <definedName name="зп" localSheetId="2">'[2]Финансовая модель'!#REF!</definedName>
    <definedName name="зп">'[2]Финансовая модель'!#REF!</definedName>
    <definedName name="комиссия">'[2]Финансовая модель'!$E$12</definedName>
    <definedName name="конверсия2">'[1]Ключевые показатели'!$D$9</definedName>
    <definedName name="лид">'[1]Ключевые показатели'!$D$6</definedName>
    <definedName name="площадь">'[1]Исходные данные'!$D$17</definedName>
    <definedName name="под_ключ" localSheetId="2">#REF!</definedName>
    <definedName name="под_ключ" localSheetId="0">#REF!</definedName>
    <definedName name="под_ключ" localSheetId="1">#REF!</definedName>
    <definedName name="под_ключ" localSheetId="3">#REF!</definedName>
    <definedName name="под_ключ">#REF!</definedName>
    <definedName name="Продажник">'[1]Исходные данные'!$D$21</definedName>
    <definedName name="с_выездом" localSheetId="2">#REF!</definedName>
    <definedName name="с_выездом">#REF!</definedName>
    <definedName name="СебесРоялти">'[2]Финансовая модель'!$E$11</definedName>
    <definedName name="СреднийЧек">'[1]Исходные данные'!$D$19</definedName>
    <definedName name="срок">'[1]Исходные данные'!$D$16</definedName>
    <definedName name="ставкаАренда">'[1]Исходные данные'!$D$18</definedName>
    <definedName name="Стоимость">'[2]Финансовая модель'!$E$7</definedName>
    <definedName name="logo">INDEX(#REF!, MATCH('Исходные данные'!$K$9,#REF!, 0))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3" l="1"/>
  <c r="T101" i="13"/>
  <c r="U101" i="13"/>
  <c r="V101" i="13"/>
  <c r="W101" i="13"/>
  <c r="X101" i="13"/>
  <c r="Y101" i="13"/>
  <c r="Z101" i="13"/>
  <c r="AA101" i="13"/>
  <c r="AB101" i="13"/>
  <c r="AC101" i="13"/>
  <c r="AD101" i="13"/>
  <c r="S101" i="13"/>
  <c r="F101" i="13"/>
  <c r="G101" i="13"/>
  <c r="H101" i="13"/>
  <c r="I101" i="13"/>
  <c r="J101" i="13"/>
  <c r="K101" i="13"/>
  <c r="L101" i="13"/>
  <c r="M101" i="13"/>
  <c r="N101" i="13"/>
  <c r="O101" i="13"/>
  <c r="P101" i="13"/>
  <c r="E101" i="13"/>
  <c r="K19" i="1"/>
  <c r="R12" i="1" l="1"/>
  <c r="T33" i="13" l="1"/>
  <c r="U33" i="13"/>
  <c r="V33" i="13"/>
  <c r="W33" i="13"/>
  <c r="X33" i="13"/>
  <c r="Y33" i="13"/>
  <c r="Z33" i="13"/>
  <c r="AA33" i="13"/>
  <c r="AB33" i="13"/>
  <c r="AC33" i="13"/>
  <c r="AD33" i="13"/>
  <c r="S33" i="13"/>
  <c r="F33" i="13"/>
  <c r="G33" i="13"/>
  <c r="H33" i="13"/>
  <c r="I33" i="13"/>
  <c r="J33" i="13"/>
  <c r="K33" i="13"/>
  <c r="L33" i="13"/>
  <c r="M33" i="13"/>
  <c r="N33" i="13"/>
  <c r="O33" i="13"/>
  <c r="P33" i="13"/>
  <c r="E33" i="13"/>
  <c r="R17" i="13"/>
  <c r="R19" i="13"/>
  <c r="R20" i="13"/>
  <c r="R23" i="13"/>
  <c r="R24" i="13"/>
  <c r="R25" i="13"/>
  <c r="R26" i="13"/>
  <c r="R27" i="13"/>
  <c r="R28" i="13"/>
  <c r="R29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 l="1"/>
  <c r="R33" i="13"/>
  <c r="L8" i="11"/>
  <c r="Q17" i="13"/>
  <c r="Q19" i="13"/>
  <c r="Q20" i="13"/>
  <c r="Q23" i="13"/>
  <c r="Q24" i="13"/>
  <c r="Q25" i="13"/>
  <c r="Q26" i="13"/>
  <c r="Q27" i="13"/>
  <c r="Q28" i="13"/>
  <c r="Q29" i="13"/>
  <c r="D15" i="13"/>
  <c r="F9" i="13" l="1"/>
  <c r="AB9" i="13"/>
  <c r="AA9" i="13"/>
  <c r="W9" i="13"/>
  <c r="S9" i="13"/>
  <c r="AC9" i="13"/>
  <c r="Y9" i="13"/>
  <c r="U9" i="13"/>
  <c r="X9" i="13"/>
  <c r="T9" i="13"/>
  <c r="AD9" i="13"/>
  <c r="Z9" i="13"/>
  <c r="V9" i="13"/>
  <c r="F18" i="13"/>
  <c r="G18" i="13"/>
  <c r="H18" i="13"/>
  <c r="I18" i="13"/>
  <c r="J18" i="13"/>
  <c r="K18" i="13"/>
  <c r="L18" i="13"/>
  <c r="M18" i="13"/>
  <c r="N18" i="13"/>
  <c r="O18" i="13"/>
  <c r="P18" i="13"/>
  <c r="E18" i="13"/>
  <c r="Q33" i="13" l="1"/>
  <c r="Q18" i="13"/>
  <c r="K18" i="1"/>
  <c r="K11" i="1"/>
  <c r="E22" i="13" l="1"/>
  <c r="AA22" i="13"/>
  <c r="W22" i="13"/>
  <c r="S22" i="13"/>
  <c r="AC22" i="13"/>
  <c r="X22" i="13"/>
  <c r="AD22" i="13"/>
  <c r="Z22" i="13"/>
  <c r="V22" i="13"/>
  <c r="Y22" i="13"/>
  <c r="U22" i="13"/>
  <c r="AB22" i="13"/>
  <c r="T22" i="13"/>
  <c r="G22" i="13"/>
  <c r="K22" i="13"/>
  <c r="O22" i="13"/>
  <c r="H22" i="13"/>
  <c r="L22" i="13"/>
  <c r="P22" i="13"/>
  <c r="I22" i="13"/>
  <c r="M22" i="13"/>
  <c r="F22" i="13"/>
  <c r="J22" i="13"/>
  <c r="N22" i="13"/>
  <c r="G9" i="13"/>
  <c r="H9" i="13"/>
  <c r="I9" i="13"/>
  <c r="J9" i="13"/>
  <c r="K9" i="13"/>
  <c r="L9" i="13"/>
  <c r="M9" i="13"/>
  <c r="N9" i="13"/>
  <c r="O9" i="13"/>
  <c r="P9" i="13"/>
  <c r="E9" i="13"/>
  <c r="R22" i="13" l="1"/>
  <c r="Q22" i="13"/>
  <c r="L9" i="11"/>
  <c r="L7" i="11"/>
  <c r="E8" i="11"/>
  <c r="K8" i="11"/>
  <c r="I8" i="11"/>
  <c r="H8" i="11"/>
  <c r="G8" i="11"/>
  <c r="F8" i="11"/>
  <c r="L18" i="11" l="1"/>
  <c r="L17" i="11"/>
  <c r="E17" i="11"/>
  <c r="E6" i="13"/>
  <c r="J8" i="11"/>
  <c r="E18" i="11"/>
  <c r="C18" i="11"/>
  <c r="C17" i="11"/>
  <c r="AG8" i="13" l="1"/>
  <c r="E100" i="13"/>
  <c r="AG12" i="13"/>
  <c r="AG11" i="13"/>
  <c r="AG10" i="13"/>
  <c r="AG9" i="13"/>
  <c r="F6" i="13"/>
  <c r="L13" i="11"/>
  <c r="L19" i="11" s="1"/>
  <c r="S10" i="13" l="1"/>
  <c r="S8" i="13" s="1"/>
  <c r="E10" i="13"/>
  <c r="F100" i="13"/>
  <c r="AH9" i="13"/>
  <c r="D36" i="13"/>
  <c r="D37" i="13" s="1"/>
  <c r="N30" i="1"/>
  <c r="AH12" i="13"/>
  <c r="AH11" i="13"/>
  <c r="AH10" i="13"/>
  <c r="AH8" i="13"/>
  <c r="G6" i="13"/>
  <c r="G100" i="13" s="1"/>
  <c r="E8" i="13" l="1"/>
  <c r="T10" i="13"/>
  <c r="T8" i="13" s="1"/>
  <c r="F10" i="13"/>
  <c r="F8" i="13" s="1"/>
  <c r="F7" i="13" s="1"/>
  <c r="AI12" i="13"/>
  <c r="AI11" i="13"/>
  <c r="AI10" i="13"/>
  <c r="AI9" i="13"/>
  <c r="AI8" i="13"/>
  <c r="H6" i="13"/>
  <c r="H100" i="13" s="1"/>
  <c r="F30" i="13" l="1"/>
  <c r="F15" i="13"/>
  <c r="E7" i="13"/>
  <c r="E15" i="13" s="1"/>
  <c r="U10" i="13"/>
  <c r="U8" i="13" s="1"/>
  <c r="G10" i="13"/>
  <c r="G8" i="13" s="1"/>
  <c r="G7" i="13" s="1"/>
  <c r="G15" i="13" s="1"/>
  <c r="F12" i="13"/>
  <c r="AJ12" i="13"/>
  <c r="AJ11" i="13"/>
  <c r="AJ10" i="13"/>
  <c r="AJ9" i="13"/>
  <c r="AJ8" i="13"/>
  <c r="I6" i="13"/>
  <c r="I100" i="13" s="1"/>
  <c r="E30" i="13" l="1"/>
  <c r="E13" i="13"/>
  <c r="E31" i="13"/>
  <c r="E12" i="13"/>
  <c r="E21" i="13"/>
  <c r="V10" i="13"/>
  <c r="V8" i="13" s="1"/>
  <c r="H10" i="13"/>
  <c r="F13" i="13"/>
  <c r="F31" i="13"/>
  <c r="F21" i="13"/>
  <c r="AK12" i="13"/>
  <c r="AK11" i="13"/>
  <c r="AK10" i="13"/>
  <c r="AK9" i="13"/>
  <c r="AK8" i="13"/>
  <c r="J6" i="13"/>
  <c r="J100" i="13" s="1"/>
  <c r="E7" i="10"/>
  <c r="E6" i="10"/>
  <c r="F14" i="13" l="1"/>
  <c r="H8" i="13"/>
  <c r="E14" i="13"/>
  <c r="E16" i="13"/>
  <c r="W10" i="13"/>
  <c r="W8" i="13" s="1"/>
  <c r="I10" i="13"/>
  <c r="G21" i="13"/>
  <c r="G30" i="13"/>
  <c r="F16" i="13"/>
  <c r="G31" i="13"/>
  <c r="G13" i="13"/>
  <c r="G12" i="13"/>
  <c r="AL11" i="13"/>
  <c r="AL10" i="13"/>
  <c r="AL12" i="13"/>
  <c r="AL9" i="13"/>
  <c r="AL8" i="13"/>
  <c r="K6" i="13"/>
  <c r="K100" i="13" s="1"/>
  <c r="E5" i="10"/>
  <c r="E4" i="10"/>
  <c r="E11" i="13" l="1"/>
  <c r="I8" i="13"/>
  <c r="I7" i="13" s="1"/>
  <c r="H7" i="13"/>
  <c r="J10" i="13"/>
  <c r="X10" i="13"/>
  <c r="X8" i="13" s="1"/>
  <c r="G16" i="13"/>
  <c r="G14" i="13"/>
  <c r="AM12" i="13"/>
  <c r="AM11" i="13"/>
  <c r="AM10" i="13"/>
  <c r="AM9" i="13"/>
  <c r="AM8" i="13"/>
  <c r="L6" i="13"/>
  <c r="L100" i="13" s="1"/>
  <c r="E9" i="10"/>
  <c r="E8" i="10"/>
  <c r="H30" i="13" l="1"/>
  <c r="H15" i="13"/>
  <c r="I30" i="13"/>
  <c r="I15" i="13"/>
  <c r="H21" i="13"/>
  <c r="H31" i="13"/>
  <c r="H13" i="13"/>
  <c r="H12" i="13"/>
  <c r="J8" i="13"/>
  <c r="Y10" i="13"/>
  <c r="Y8" i="13" s="1"/>
  <c r="K10" i="13"/>
  <c r="K8" i="13" s="1"/>
  <c r="K7" i="13" s="1"/>
  <c r="I13" i="13"/>
  <c r="I31" i="13"/>
  <c r="I21" i="13"/>
  <c r="I12" i="13"/>
  <c r="AN12" i="13"/>
  <c r="AN11" i="13"/>
  <c r="AN10" i="13"/>
  <c r="AN9" i="13"/>
  <c r="AN8" i="13"/>
  <c r="M6" i="13"/>
  <c r="M100" i="13" s="1"/>
  <c r="K30" i="13" l="1"/>
  <c r="K15" i="13"/>
  <c r="H16" i="13"/>
  <c r="H14" i="13"/>
  <c r="J7" i="13"/>
  <c r="Z10" i="13"/>
  <c r="Z8" i="13" s="1"/>
  <c r="L10" i="13"/>
  <c r="L8" i="13" s="1"/>
  <c r="L7" i="13" s="1"/>
  <c r="I16" i="13"/>
  <c r="I14" i="13"/>
  <c r="AO12" i="13"/>
  <c r="AO11" i="13"/>
  <c r="AO10" i="13"/>
  <c r="AO9" i="13"/>
  <c r="AO8" i="13"/>
  <c r="N6" i="13"/>
  <c r="N100" i="13" s="1"/>
  <c r="L30" i="13" l="1"/>
  <c r="L15" i="13"/>
  <c r="J30" i="13"/>
  <c r="J15" i="13"/>
  <c r="J13" i="13"/>
  <c r="J31" i="13"/>
  <c r="J12" i="13"/>
  <c r="J21" i="13"/>
  <c r="AA10" i="13"/>
  <c r="AA8" i="13" s="1"/>
  <c r="M10" i="13"/>
  <c r="K13" i="13"/>
  <c r="K31" i="13"/>
  <c r="K21" i="13"/>
  <c r="K12" i="13"/>
  <c r="AP12" i="13"/>
  <c r="AP11" i="13"/>
  <c r="AP10" i="13"/>
  <c r="AP9" i="13"/>
  <c r="AP8" i="13"/>
  <c r="O6" i="13"/>
  <c r="P6" i="13" s="1"/>
  <c r="S6" i="13" s="1"/>
  <c r="J16" i="13" l="1"/>
  <c r="J14" i="13"/>
  <c r="M8" i="13"/>
  <c r="AB10" i="13"/>
  <c r="AB8" i="13" s="1"/>
  <c r="N10" i="13"/>
  <c r="T6" i="13"/>
  <c r="S100" i="13"/>
  <c r="S7" i="13" s="1"/>
  <c r="S15" i="13" s="1"/>
  <c r="K16" i="13"/>
  <c r="K14" i="13"/>
  <c r="L21" i="13"/>
  <c r="L13" i="13"/>
  <c r="L31" i="13"/>
  <c r="L12" i="13"/>
  <c r="P100" i="13"/>
  <c r="O100" i="13"/>
  <c r="AQ12" i="13"/>
  <c r="AQ11" i="13"/>
  <c r="AQ10" i="13"/>
  <c r="AQ9" i="13"/>
  <c r="AQ8" i="13"/>
  <c r="N8" i="13" l="1"/>
  <c r="N7" i="13" s="1"/>
  <c r="M7" i="13"/>
  <c r="AC10" i="13"/>
  <c r="AC8" i="13" s="1"/>
  <c r="O10" i="13"/>
  <c r="S21" i="13"/>
  <c r="S30" i="13"/>
  <c r="S31" i="13"/>
  <c r="S12" i="13"/>
  <c r="S13" i="13"/>
  <c r="T100" i="13"/>
  <c r="T7" i="13" s="1"/>
  <c r="T15" i="13" s="1"/>
  <c r="U6" i="13"/>
  <c r="L16" i="13"/>
  <c r="L14" i="13"/>
  <c r="AR12" i="13"/>
  <c r="AR11" i="13"/>
  <c r="AR10" i="13"/>
  <c r="AR9" i="13"/>
  <c r="AR8" i="13"/>
  <c r="M30" i="13" l="1"/>
  <c r="M15" i="13"/>
  <c r="N30" i="13"/>
  <c r="N15" i="13"/>
  <c r="M31" i="13"/>
  <c r="M21" i="13"/>
  <c r="M13" i="13"/>
  <c r="O8" i="13"/>
  <c r="M12" i="13"/>
  <c r="AD10" i="13"/>
  <c r="AD8" i="13" s="1"/>
  <c r="P10" i="13"/>
  <c r="P8" i="13" s="1"/>
  <c r="P7" i="13" s="1"/>
  <c r="U100" i="13"/>
  <c r="U7" i="13" s="1"/>
  <c r="U15" i="13" s="1"/>
  <c r="V6" i="13"/>
  <c r="T12" i="13"/>
  <c r="T21" i="13"/>
  <c r="T31" i="13"/>
  <c r="T30" i="13"/>
  <c r="T13" i="13"/>
  <c r="S16" i="13"/>
  <c r="S14" i="13"/>
  <c r="N21" i="13"/>
  <c r="N13" i="13"/>
  <c r="N31" i="13"/>
  <c r="N12" i="13"/>
  <c r="P30" i="13" l="1"/>
  <c r="P15" i="13"/>
  <c r="M16" i="13"/>
  <c r="S11" i="13"/>
  <c r="S32" i="13" s="1"/>
  <c r="S34" i="13" s="1"/>
  <c r="M14" i="13"/>
  <c r="O7" i="13"/>
  <c r="Q8" i="13"/>
  <c r="R8" i="13"/>
  <c r="V100" i="13"/>
  <c r="V7" i="13" s="1"/>
  <c r="V15" i="13" s="1"/>
  <c r="W6" i="13"/>
  <c r="U21" i="13"/>
  <c r="U12" i="13"/>
  <c r="U31" i="13"/>
  <c r="U30" i="13"/>
  <c r="U13" i="13"/>
  <c r="T16" i="13"/>
  <c r="T14" i="13"/>
  <c r="N16" i="13"/>
  <c r="N14" i="13"/>
  <c r="O30" i="13" l="1"/>
  <c r="O15" i="13"/>
  <c r="O12" i="13"/>
  <c r="O21" i="13"/>
  <c r="O31" i="13"/>
  <c r="Q7" i="13"/>
  <c r="D33" i="13" s="1"/>
  <c r="O13" i="13"/>
  <c r="T11" i="13"/>
  <c r="W100" i="13"/>
  <c r="W7" i="13" s="1"/>
  <c r="W15" i="13" s="1"/>
  <c r="X6" i="13"/>
  <c r="V30" i="13"/>
  <c r="V12" i="13"/>
  <c r="V21" i="13"/>
  <c r="V31" i="13"/>
  <c r="V13" i="13"/>
  <c r="S35" i="13"/>
  <c r="U16" i="13"/>
  <c r="U14" i="13"/>
  <c r="P13" i="13"/>
  <c r="P31" i="13"/>
  <c r="Q30" i="13"/>
  <c r="N27" i="1"/>
  <c r="P12" i="13"/>
  <c r="P21" i="13"/>
  <c r="P14" i="13" l="1"/>
  <c r="O16" i="13"/>
  <c r="Q12" i="13"/>
  <c r="D12" i="13" s="1"/>
  <c r="D18" i="13"/>
  <c r="D17" i="13"/>
  <c r="O14" i="13"/>
  <c r="D23" i="13"/>
  <c r="Q21" i="13"/>
  <c r="D21" i="13" s="1"/>
  <c r="N26" i="1"/>
  <c r="D28" i="13"/>
  <c r="D19" i="13"/>
  <c r="D24" i="13"/>
  <c r="D30" i="13"/>
  <c r="D20" i="13"/>
  <c r="D26" i="13"/>
  <c r="D29" i="13"/>
  <c r="Q31" i="13"/>
  <c r="D31" i="13" s="1"/>
  <c r="D27" i="13"/>
  <c r="D22" i="13"/>
  <c r="D25" i="13"/>
  <c r="Q13" i="13"/>
  <c r="D13" i="13" s="1"/>
  <c r="T32" i="13"/>
  <c r="T34" i="13" s="1"/>
  <c r="T35" i="13" s="1"/>
  <c r="Y6" i="13"/>
  <c r="X100" i="13"/>
  <c r="X7" i="13" s="1"/>
  <c r="X15" i="13" s="1"/>
  <c r="W31" i="13"/>
  <c r="W13" i="13"/>
  <c r="W30" i="13"/>
  <c r="W12" i="13"/>
  <c r="W21" i="13"/>
  <c r="V16" i="13"/>
  <c r="V14" i="13"/>
  <c r="U11" i="13"/>
  <c r="U32" i="13" s="1"/>
  <c r="P16" i="13"/>
  <c r="N11" i="13"/>
  <c r="N32" i="13" s="1"/>
  <c r="N34" i="13" s="1"/>
  <c r="N35" i="13" s="1"/>
  <c r="M11" i="13"/>
  <c r="M32" i="13" s="1"/>
  <c r="M34" i="13" s="1"/>
  <c r="M35" i="13" s="1"/>
  <c r="L11" i="13"/>
  <c r="L32" i="13" s="1"/>
  <c r="L34" i="13" s="1"/>
  <c r="L35" i="13" s="1"/>
  <c r="I11" i="13"/>
  <c r="I32" i="13" s="1"/>
  <c r="I34" i="13" s="1"/>
  <c r="I35" i="13" s="1"/>
  <c r="J11" i="13"/>
  <c r="J32" i="13" s="1"/>
  <c r="J34" i="13" s="1"/>
  <c r="J35" i="13" s="1"/>
  <c r="H11" i="13"/>
  <c r="H32" i="13" s="1"/>
  <c r="H34" i="13" s="1"/>
  <c r="H35" i="13" s="1"/>
  <c r="G11" i="13"/>
  <c r="G32" i="13" s="1"/>
  <c r="G34" i="13" s="1"/>
  <c r="G35" i="13" s="1"/>
  <c r="F11" i="13"/>
  <c r="F32" i="13" s="1"/>
  <c r="F34" i="13" s="1"/>
  <c r="F35" i="13" s="1"/>
  <c r="K11" i="13"/>
  <c r="K32" i="13" s="1"/>
  <c r="K34" i="13" s="1"/>
  <c r="K35" i="13" s="1"/>
  <c r="Q14" i="13" l="1"/>
  <c r="D14" i="13" s="1"/>
  <c r="Q16" i="13"/>
  <c r="D16" i="13" s="1"/>
  <c r="O11" i="13"/>
  <c r="O32" i="13" s="1"/>
  <c r="O34" i="13" s="1"/>
  <c r="O35" i="13" s="1"/>
  <c r="V11" i="13"/>
  <c r="V32" i="13" s="1"/>
  <c r="V34" i="13" s="1"/>
  <c r="V35" i="13" s="1"/>
  <c r="Z6" i="13"/>
  <c r="Y100" i="13"/>
  <c r="Y7" i="13" s="1"/>
  <c r="Y15" i="13" s="1"/>
  <c r="W14" i="13"/>
  <c r="W16" i="13"/>
  <c r="U34" i="13"/>
  <c r="X13" i="13"/>
  <c r="X12" i="13"/>
  <c r="X31" i="13"/>
  <c r="X30" i="13"/>
  <c r="X21" i="13"/>
  <c r="P11" i="13"/>
  <c r="P32" i="13" s="1"/>
  <c r="P34" i="13" s="1"/>
  <c r="P35" i="13" s="1"/>
  <c r="E32" i="13"/>
  <c r="W11" i="13" l="1"/>
  <c r="W32" i="13" s="1"/>
  <c r="W34" i="13" s="1"/>
  <c r="W35" i="13" s="1"/>
  <c r="Y21" i="13"/>
  <c r="Y30" i="13"/>
  <c r="Y12" i="13"/>
  <c r="Y13" i="13"/>
  <c r="Y31" i="13"/>
  <c r="U35" i="13"/>
  <c r="AA6" i="13"/>
  <c r="Z100" i="13"/>
  <c r="Z7" i="13" s="1"/>
  <c r="Z15" i="13" s="1"/>
  <c r="X14" i="13"/>
  <c r="X16" i="13"/>
  <c r="Q11" i="13"/>
  <c r="E34" i="13"/>
  <c r="E35" i="13" s="1"/>
  <c r="Q32" i="13"/>
  <c r="X11" i="13" l="1"/>
  <c r="X32" i="13" s="1"/>
  <c r="X34" i="13" s="1"/>
  <c r="Z12" i="13"/>
  <c r="Z21" i="13"/>
  <c r="Z31" i="13"/>
  <c r="Z13" i="13"/>
  <c r="Z30" i="13"/>
  <c r="Y14" i="13"/>
  <c r="Y16" i="13"/>
  <c r="AB6" i="13"/>
  <c r="AA100" i="13"/>
  <c r="AA7" i="13" s="1"/>
  <c r="AA15" i="13" s="1"/>
  <c r="E36" i="13"/>
  <c r="F36" i="13" s="1"/>
  <c r="Q34" i="13"/>
  <c r="N29" i="1" s="1"/>
  <c r="N28" i="1"/>
  <c r="Y11" i="13" l="1"/>
  <c r="Y32" i="13" s="1"/>
  <c r="Y34" i="13" s="1"/>
  <c r="Y35" i="13" s="1"/>
  <c r="AC6" i="13"/>
  <c r="AB100" i="13"/>
  <c r="AB7" i="13" s="1"/>
  <c r="AB15" i="13" s="1"/>
  <c r="Z16" i="13"/>
  <c r="Z14" i="13"/>
  <c r="AA12" i="13"/>
  <c r="AA21" i="13"/>
  <c r="AA31" i="13"/>
  <c r="AA13" i="13"/>
  <c r="AA30" i="13"/>
  <c r="X35" i="13"/>
  <c r="E37" i="13"/>
  <c r="Z11" i="13" l="1"/>
  <c r="Z32" i="13" s="1"/>
  <c r="Z34" i="13" s="1"/>
  <c r="Z35" i="13" s="1"/>
  <c r="AA16" i="13"/>
  <c r="AA14" i="13"/>
  <c r="AB13" i="13"/>
  <c r="AB12" i="13"/>
  <c r="AB30" i="13"/>
  <c r="AB21" i="13"/>
  <c r="AB31" i="13"/>
  <c r="AD6" i="13"/>
  <c r="AD100" i="13" s="1"/>
  <c r="AD7" i="13" s="1"/>
  <c r="AD15" i="13" s="1"/>
  <c r="AC100" i="13"/>
  <c r="AC7" i="13" s="1"/>
  <c r="AC15" i="13" s="1"/>
  <c r="F37" i="13"/>
  <c r="G36" i="13"/>
  <c r="R7" i="13" l="1"/>
  <c r="AA11" i="13"/>
  <c r="AA32" i="13" s="1"/>
  <c r="AA34" i="13" s="1"/>
  <c r="AA35" i="13" s="1"/>
  <c r="AC31" i="13"/>
  <c r="AC13" i="13"/>
  <c r="AC30" i="13"/>
  <c r="AC12" i="13"/>
  <c r="AC21" i="13"/>
  <c r="AD30" i="13"/>
  <c r="AD21" i="13"/>
  <c r="AD13" i="13"/>
  <c r="AD31" i="13"/>
  <c r="AD12" i="13"/>
  <c r="AB16" i="13"/>
  <c r="AB14" i="13"/>
  <c r="H36" i="13"/>
  <c r="G37" i="13"/>
  <c r="R30" i="13" l="1"/>
  <c r="R21" i="13"/>
  <c r="AB11" i="13"/>
  <c r="AB32" i="13" s="1"/>
  <c r="AB34" i="13" s="1"/>
  <c r="AB35" i="13" s="1"/>
  <c r="R31" i="13"/>
  <c r="AD14" i="13"/>
  <c r="AD16" i="13"/>
  <c r="R13" i="13"/>
  <c r="R12" i="13"/>
  <c r="AC16" i="13"/>
  <c r="AC14" i="13"/>
  <c r="H37" i="13"/>
  <c r="I36" i="13"/>
  <c r="J36" i="13" s="1"/>
  <c r="AC11" i="13" l="1"/>
  <c r="AC32" i="13" s="1"/>
  <c r="AC34" i="13" s="1"/>
  <c r="AC35" i="13" s="1"/>
  <c r="R16" i="13"/>
  <c r="AD11" i="13"/>
  <c r="R14" i="13"/>
  <c r="I37" i="13"/>
  <c r="AD32" i="13" l="1"/>
  <c r="AD34" i="13" s="1"/>
  <c r="R11" i="13"/>
  <c r="J37" i="13"/>
  <c r="K36" i="13"/>
  <c r="R32" i="13" l="1"/>
  <c r="AD35" i="13"/>
  <c r="R34" i="13"/>
  <c r="L36" i="13"/>
  <c r="K37" i="13"/>
  <c r="L37" i="13" l="1"/>
  <c r="M36" i="13"/>
  <c r="N36" i="13" l="1"/>
  <c r="O36" i="13" s="1"/>
  <c r="P36" i="13" s="1"/>
  <c r="M37" i="13"/>
  <c r="S36" i="13" l="1"/>
  <c r="P37" i="13"/>
  <c r="N37" i="13"/>
  <c r="T36" i="13" l="1"/>
  <c r="S37" i="13"/>
  <c r="O37" i="13"/>
  <c r="U36" i="13" l="1"/>
  <c r="T37" i="13"/>
  <c r="V36" i="13" l="1"/>
  <c r="U37" i="13"/>
  <c r="W36" i="13" l="1"/>
  <c r="V37" i="13"/>
  <c r="X36" i="13" l="1"/>
  <c r="W37" i="13"/>
  <c r="Y36" i="13" l="1"/>
  <c r="X37" i="13"/>
  <c r="Z36" i="13" l="1"/>
  <c r="Y37" i="13"/>
  <c r="Z37" i="13" l="1"/>
  <c r="AA36" i="13"/>
  <c r="AA37" i="13" l="1"/>
  <c r="AB36" i="13"/>
  <c r="AC36" i="13" l="1"/>
  <c r="AB37" i="13"/>
  <c r="AD36" i="13" l="1"/>
  <c r="AD37" i="13" s="1"/>
  <c r="AC37" i="13"/>
  <c r="N31" i="1" l="1"/>
  <c r="O31" i="1" s="1"/>
</calcChain>
</file>

<file path=xl/sharedStrings.xml><?xml version="1.0" encoding="utf-8"?>
<sst xmlns="http://schemas.openxmlformats.org/spreadsheetml/2006/main" count="199" uniqueCount="109">
  <si>
    <t>Паушальный взнос</t>
  </si>
  <si>
    <t>Оборудование</t>
  </si>
  <si>
    <t>Аренда</t>
  </si>
  <si>
    <t>Регистрация юр.лица</t>
  </si>
  <si>
    <t>Расходы</t>
  </si>
  <si>
    <t>Чистая прибыль нарастающим итогом</t>
  </si>
  <si>
    <t>Март</t>
  </si>
  <si>
    <t>Средний чек, руб.</t>
  </si>
  <si>
    <t>Интернет</t>
  </si>
  <si>
    <t>Себестоимость продукта</t>
  </si>
  <si>
    <t>Роялти</t>
  </si>
  <si>
    <t>Вывоз мусора</t>
  </si>
  <si>
    <t>Тревожная кнопка</t>
  </si>
  <si>
    <t>Пожарная инспекция</t>
  </si>
  <si>
    <t>Электричество</t>
  </si>
  <si>
    <t>Обслуживание онлайн-кассы</t>
  </si>
  <si>
    <t>Сезонность</t>
  </si>
  <si>
    <t>Показатели проходимости в месте размещения (чел./час)</t>
  </si>
  <si>
    <t>ЕНВД</t>
  </si>
  <si>
    <t>Оборудование для производства</t>
  </si>
  <si>
    <t>Кассовое оборудование</t>
  </si>
  <si>
    <t>Коэффициент сезонности</t>
  </si>
  <si>
    <t>Коэффициент в зависимости от численности населения</t>
  </si>
  <si>
    <t>Коэффициент в зависимости от формата</t>
  </si>
  <si>
    <t>Средний чек (руб.)</t>
  </si>
  <si>
    <t>Предполагаемая выручка в первый месяц работы (руб.)</t>
  </si>
  <si>
    <t>ВЫРУЧКА В ПЕРВЫЙ МЕСЯЦ РАБОТЫ</t>
  </si>
  <si>
    <t>Предполагаемое количество продаж в первый месяц работы</t>
  </si>
  <si>
    <t xml:space="preserve">Аренда </t>
  </si>
  <si>
    <t>Комментарий</t>
  </si>
  <si>
    <t>Первоначальная закупка ингредиентов и хоз. товаров</t>
  </si>
  <si>
    <t>Параметр</t>
  </si>
  <si>
    <t xml:space="preserve">1 шаг. Заполните ячейки </t>
  </si>
  <si>
    <t xml:space="preserve">желтого </t>
  </si>
  <si>
    <t>цвета в столбце "Значения" Остальные значения менять не рекомендуется</t>
  </si>
  <si>
    <t>Рекомендуемый формат, лучшего всего подходит для старта, т.к. минимизирует риски. Даже при ошибке выбора локации всегда можно перевезти павильон на другое место.</t>
  </si>
  <si>
    <t>Выберите пакет из выпадающего списка</t>
  </si>
  <si>
    <t>Арендная ставка (руб./мес)</t>
  </si>
  <si>
    <t>В среднем время открытия составляет 2 - 2.5 месяца после оплаты паушального взноса</t>
  </si>
  <si>
    <t>Только первым 10 покупателям скидка 150 000 рублей на паушальный взнос! 350 000р вместо 500 000р</t>
  </si>
  <si>
    <t>Значение</t>
  </si>
  <si>
    <t xml:space="preserve">В зависимости от города и цен конкурентов мы предложим вам несколько ценовых политик и рекомендации по выбору цены. От выбранной политики ваша себестоимость будет варьироваться от 33% до 40% </t>
  </si>
  <si>
    <t xml:space="preserve">Выберите город или численность населения в планируемом городе открытия </t>
  </si>
  <si>
    <t xml:space="preserve">Прогнозируемый месяц открытия </t>
  </si>
  <si>
    <t>Средняя зарплата повара в планируемом городе открытия</t>
  </si>
  <si>
    <r>
      <t>ФИНАНСОВАЯ МОДЕЛЬ "ШАУРМА ПО-БРАТСКИ"</t>
    </r>
    <r>
      <rPr>
        <sz val="16"/>
        <color theme="0"/>
        <rFont val="Century Gothic"/>
        <family val="1"/>
      </rPr>
      <t xml:space="preserve"> (калькулятор)</t>
    </r>
  </si>
  <si>
    <t>Служебное питание на сотрудника в смене (руб.)</t>
  </si>
  <si>
    <t xml:space="preserve">Сотрудники могут приносить еду с собой или питаться продукцией по себестоимости. Вы сами выбираете позиции которые сотрудники могут себе готовить, от дешевых до самых дорогих. </t>
  </si>
  <si>
    <t>Часы работы точки (часов)</t>
  </si>
  <si>
    <t>Прогнозируемое количество покупок в час (штук)</t>
  </si>
  <si>
    <t>Максимально рекомендуемые суммы аренды выводятся автоматически, в реальности обычно ставка меньше. После подписания договора мы дадим регламент грамотного торга и уменьшения ставки аренды.</t>
  </si>
  <si>
    <t>Выберите форму налообложения</t>
  </si>
  <si>
    <t>2 шаг. Ознакомьтесь с показателями вашей точки</t>
  </si>
  <si>
    <t>Результат расчета</t>
  </si>
  <si>
    <t>Годовая выручка, руб.</t>
  </si>
  <si>
    <t>Средняя выручка, руб./мес.</t>
  </si>
  <si>
    <t>Средняя чистая прибыль, руб./мес.</t>
  </si>
  <si>
    <t>Чистая прибыль за первый год, руб.</t>
  </si>
  <si>
    <t>Инвестиции, руб.</t>
  </si>
  <si>
    <t>Срок окупаемости</t>
  </si>
  <si>
    <t>СТАРТОВЫЕ ИНВЕСТИЦИИ В ОТКРЫТИЕ</t>
  </si>
  <si>
    <t xml:space="preserve">   --- Нейтральные позиции, инвентарь и остальное</t>
  </si>
  <si>
    <t xml:space="preserve">   --- Оборудование для производства</t>
  </si>
  <si>
    <t xml:space="preserve">   --- Кассовое оборудование</t>
  </si>
  <si>
    <t>ИТОГО:</t>
  </si>
  <si>
    <t>Наименование</t>
  </si>
  <si>
    <t>Маркетинг на открытие</t>
  </si>
  <si>
    <t>№</t>
  </si>
  <si>
    <t xml:space="preserve">ПЛАН ДОХОДОВ И РАСХОДОВ ТОЧКИ "ШАУРМА ПО-БРАТСКИ" 														</t>
  </si>
  <si>
    <t>Статьи затрат</t>
  </si>
  <si>
    <t>Средний чек</t>
  </si>
  <si>
    <t>Выручка</t>
  </si>
  <si>
    <t>Себестоимость</t>
  </si>
  <si>
    <t>Фонд оплаты труда</t>
  </si>
  <si>
    <t>Коммуналка</t>
  </si>
  <si>
    <t>Закупка химии, тряпок и пр. хоз.средств</t>
  </si>
  <si>
    <t>Транспортные расходы</t>
  </si>
  <si>
    <t>Софт</t>
  </si>
  <si>
    <t>Реклама, маркетинг, система лояльности</t>
  </si>
  <si>
    <t>Процент за безналичную оплату</t>
  </si>
  <si>
    <t>Структура</t>
  </si>
  <si>
    <t>Кол-во заказов в день (шт.)</t>
  </si>
  <si>
    <t>Месяц открытия</t>
  </si>
  <si>
    <t>Узнать среднюю зарплату можно на авито https://avito.ru/rossiya/vakansii/turizm_restorany?cd=1 Выбираете город и смотрите вакансии Повар / Пекарь / Кухонный работник / Бариста / Пиццамейкер и тд. Обычно это от 20 до 32 тысяч</t>
  </si>
  <si>
    <t>Итого за 1ый год</t>
  </si>
  <si>
    <t>Итого за 2ой год</t>
  </si>
  <si>
    <t>Если вы открываетесь в Москве, то выбирайте УСН 6%, во всех остальных случаях выбирайте ЕНВД</t>
  </si>
  <si>
    <t xml:space="preserve"> - Еда персонала</t>
  </si>
  <si>
    <t>Видеонаблюдение (2 камеры)</t>
  </si>
  <si>
    <t>Чистая прибыль</t>
  </si>
  <si>
    <t>Рентабельность, %</t>
  </si>
  <si>
    <t>Минимальная цифра по проходимости для открытия 290 чел./час. После подписания договора мы дадим вам дополнительные инструкции и инструменты как подбирать место не опираясь на трафик.</t>
  </si>
  <si>
    <t xml:space="preserve">Показатель среднего чека выведен на основе статистики наших действующих точек. 62% покупателей берут 1 шаурму и напиток. 17% покупают более 2 шаурм. </t>
  </si>
  <si>
    <t>Мини-кафе</t>
  </si>
  <si>
    <t>Количество сотрудников</t>
  </si>
  <si>
    <t>Остров</t>
  </si>
  <si>
    <t>Фудкорт</t>
  </si>
  <si>
    <t>Павильон без зоны ожидания</t>
  </si>
  <si>
    <t>Срок окупаемости, мес.</t>
  </si>
  <si>
    <t>Павильон с зоной ожидания (рекомендуется)</t>
  </si>
  <si>
    <t>По нашей статистике из 100 мимо прошедших людей зайдет 3 - 4 человека</t>
  </si>
  <si>
    <t>Налоги + отчисления в фонды</t>
  </si>
  <si>
    <t>Потери и списания</t>
  </si>
  <si>
    <t xml:space="preserve">Прибыль до уплаты налогов </t>
  </si>
  <si>
    <t>от 300 до 700 тыс. чел.</t>
  </si>
  <si>
    <t>&gt;</t>
  </si>
  <si>
    <t>ПРИРОСТ</t>
  </si>
  <si>
    <t>ДНЕЙ В МЕСЯЦЕ</t>
  </si>
  <si>
    <t>НОМЕР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</si>
</sst>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164" formatCode="[$-419]mmmm;@"/>
    <numFmt numFmtId="165" formatCode="0.0%"/>
    <numFmt numFmtId="166" formatCode="#,##0\ &quot;₽&quot;"/>
    <numFmt numFmtId="167" formatCode="0.0"/>
    <numFmt numFmtId="168" formatCode="[$-F800]dddd\,\ mmmm\ dd\,\ yyyy"/>
    <numFmt numFmtId="169" formatCode="#,##0\ _₽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entury Gothic"/>
      <family val="1"/>
    </font>
    <font>
      <sz val="12"/>
      <color theme="0"/>
      <name val="Century Gothic"/>
      <family val="1"/>
    </font>
    <font>
      <b/>
      <sz val="16"/>
      <color theme="0"/>
      <name val="Century Gothic"/>
      <family val="1"/>
    </font>
    <font>
      <sz val="11"/>
      <color theme="1"/>
      <name val="Century Gothic"/>
      <family val="1"/>
    </font>
    <font>
      <sz val="16"/>
      <color theme="1"/>
      <name val="Century Gothic"/>
      <family val="1"/>
    </font>
    <font>
      <b/>
      <sz val="16"/>
      <color theme="1"/>
      <name val="Century Gothic"/>
      <family val="1"/>
    </font>
    <font>
      <b/>
      <sz val="12"/>
      <color theme="1"/>
      <name val="Helvetica"/>
      <family val="2"/>
    </font>
    <font>
      <b/>
      <sz val="12"/>
      <name val="Century Gothic"/>
      <family val="1"/>
    </font>
    <font>
      <sz val="12"/>
      <color theme="1"/>
      <name val="Helvetica"/>
      <family val="2"/>
    </font>
    <font>
      <sz val="11"/>
      <color theme="0"/>
      <name val="Century Gothic"/>
      <family val="1"/>
    </font>
    <font>
      <sz val="16"/>
      <color theme="0"/>
      <name val="Century Gothic"/>
      <family val="1"/>
    </font>
    <font>
      <b/>
      <sz val="12"/>
      <color theme="0"/>
      <name val="Century Gothic"/>
      <family val="1"/>
    </font>
    <font>
      <sz val="11"/>
      <color rgb="FFF21F2E"/>
      <name val="Century Gothic"/>
      <family val="1"/>
    </font>
    <font>
      <sz val="11"/>
      <name val="Century Gothic"/>
      <family val="1"/>
    </font>
    <font>
      <b/>
      <sz val="12"/>
      <color theme="1"/>
      <name val="Century Gothic"/>
      <family val="1"/>
    </font>
    <font>
      <sz val="11"/>
      <color rgb="FFC00000"/>
      <name val="Century Gothic"/>
      <family val="1"/>
    </font>
    <font>
      <sz val="12"/>
      <color rgb="FFC00000"/>
      <name val="Century Gothic"/>
      <family val="1"/>
    </font>
    <font>
      <b/>
      <sz val="11"/>
      <color theme="0"/>
      <name val="Century Gothic"/>
      <family val="1"/>
    </font>
    <font>
      <sz val="11"/>
      <color rgb="FFFF0000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u/>
      <sz val="11"/>
      <color theme="10"/>
      <name val="Calibri"/>
      <family val="2"/>
      <scheme val="minor"/>
    </font>
    <font>
      <b/>
      <sz val="11"/>
      <name val="Century Gothic"/>
      <family val="1"/>
    </font>
    <font>
      <b/>
      <sz val="11"/>
      <color theme="1"/>
      <name val="Century Gothic"/>
      <family val="1"/>
    </font>
    <font>
      <sz val="11"/>
      <color theme="0" tint="-4.9989318521683403E-2"/>
      <name val="Century Gothic"/>
      <family val="1"/>
    </font>
    <font>
      <b/>
      <sz val="14"/>
      <color theme="1"/>
      <name val="Century Gothic"/>
      <family val="1"/>
    </font>
    <font>
      <sz val="11"/>
      <color theme="0" tint="-0.14999847407452621"/>
      <name val="Century Gothic"/>
      <family val="1"/>
    </font>
    <font>
      <sz val="12"/>
      <color theme="0" tint="-0.14999847407452621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F01"/>
        <bgColor indexed="64"/>
      </patternFill>
    </fill>
    <fill>
      <patternFill patternType="solid">
        <fgColor rgb="FFEE202E"/>
        <bgColor indexed="64"/>
      </patternFill>
    </fill>
    <fill>
      <patternFill patternType="solid">
        <fgColor rgb="FFF21F2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/>
      <diagonal/>
    </border>
    <border>
      <left/>
      <right/>
      <top style="dotted">
        <color theme="0" tint="-0.249977111117893"/>
      </top>
      <bottom/>
      <diagonal/>
    </border>
    <border>
      <left/>
      <right style="dotted">
        <color theme="0" tint="-0.249977111117893"/>
      </right>
      <top style="dotted">
        <color theme="0" tint="-0.249977111117893"/>
      </top>
      <bottom/>
      <diagonal/>
    </border>
    <border>
      <left/>
      <right style="dotted">
        <color theme="0" tint="-0.249977111117893"/>
      </right>
      <top/>
      <bottom style="dotted">
        <color theme="0" tint="-0.249977111117893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rgb="FFF21F2E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thin">
        <color rgb="FFF21F2E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rgb="FF92D050"/>
      </left>
      <right style="thin">
        <color rgb="FF92D050"/>
      </right>
      <top style="dotted">
        <color theme="0" tint="-0.249977111117893"/>
      </top>
      <bottom style="dotted">
        <color theme="0" tint="-0.249977111117893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75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Alignment="1"/>
    <xf numFmtId="0" fontId="0" fillId="5" borderId="0" xfId="0" applyFill="1" applyAlignment="1"/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>
      <alignment horizontal="center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 wrapText="1"/>
    </xf>
    <xf numFmtId="0" fontId="9" fillId="0" borderId="6" xfId="0" applyFont="1" applyBorder="1"/>
    <xf numFmtId="0" fontId="6" fillId="0" borderId="2" xfId="0" applyFont="1" applyBorder="1" applyAlignment="1">
      <alignment horizontal="left" vertical="center" wrapText="1"/>
    </xf>
    <xf numFmtId="0" fontId="9" fillId="0" borderId="5" xfId="0" applyFont="1" applyBorder="1"/>
    <xf numFmtId="0" fontId="9" fillId="0" borderId="8" xfId="0" applyFont="1" applyBorder="1"/>
    <xf numFmtId="0" fontId="9" fillId="2" borderId="0" xfId="0" applyFont="1" applyFill="1"/>
    <xf numFmtId="0" fontId="10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/>
    <xf numFmtId="0" fontId="9" fillId="0" borderId="4" xfId="0" applyFont="1" applyBorder="1"/>
    <xf numFmtId="0" fontId="9" fillId="0" borderId="7" xfId="0" applyFont="1" applyBorder="1"/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quotePrefix="1" applyFont="1" applyFill="1" applyBorder="1" applyAlignment="1">
      <alignment vertical="center" wrapText="1"/>
    </xf>
    <xf numFmtId="0" fontId="9" fillId="0" borderId="9" xfId="0" applyFont="1" applyBorder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3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/>
    </xf>
    <xf numFmtId="0" fontId="9" fillId="0" borderId="3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6" fillId="0" borderId="0" xfId="0" quotePrefix="1" applyFont="1" applyFill="1" applyBorder="1" applyAlignment="1">
      <alignment vertical="top"/>
    </xf>
    <xf numFmtId="0" fontId="6" fillId="2" borderId="4" xfId="0" quotePrefix="1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center" wrapText="1"/>
    </xf>
    <xf numFmtId="166" fontId="6" fillId="3" borderId="11" xfId="4" applyNumberFormat="1" applyFont="1" applyFill="1" applyBorder="1" applyAlignment="1" applyProtection="1">
      <alignment horizontal="center" vertical="center"/>
      <protection locked="0"/>
    </xf>
    <xf numFmtId="165" fontId="6" fillId="3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0" xfId="4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9" fontId="6" fillId="0" borderId="12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2" xfId="0" applyFont="1" applyBorder="1"/>
    <xf numFmtId="0" fontId="9" fillId="7" borderId="0" xfId="0" applyFont="1" applyFill="1" applyBorder="1"/>
    <xf numFmtId="0" fontId="9" fillId="7" borderId="3" xfId="0" applyFont="1" applyFill="1" applyBorder="1"/>
    <xf numFmtId="0" fontId="10" fillId="7" borderId="4" xfId="0" applyFont="1" applyFill="1" applyBorder="1" applyAlignment="1">
      <alignment vertical="center" wrapText="1"/>
    </xf>
    <xf numFmtId="0" fontId="9" fillId="7" borderId="15" xfId="0" applyFont="1" applyFill="1" applyBorder="1" applyAlignment="1">
      <alignment vertical="center"/>
    </xf>
    <xf numFmtId="0" fontId="9" fillId="7" borderId="15" xfId="0" applyFont="1" applyFill="1" applyBorder="1"/>
    <xf numFmtId="0" fontId="9" fillId="0" borderId="11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7" borderId="11" xfId="0" applyFont="1" applyFill="1" applyBorder="1"/>
    <xf numFmtId="0" fontId="9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9" fillId="2" borderId="0" xfId="0" quotePrefix="1" applyFont="1" applyFill="1" applyBorder="1" applyAlignment="1">
      <alignment vertical="center"/>
    </xf>
    <xf numFmtId="1" fontId="6" fillId="3" borderId="1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vertical="center" wrapText="1"/>
    </xf>
    <xf numFmtId="0" fontId="14" fillId="0" borderId="0" xfId="0" applyFont="1" applyFill="1" applyAlignment="1">
      <alignment vertical="top"/>
    </xf>
    <xf numFmtId="0" fontId="12" fillId="0" borderId="0" xfId="0" applyFont="1" applyFill="1" applyAlignment="1"/>
    <xf numFmtId="0" fontId="9" fillId="0" borderId="21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/>
    <xf numFmtId="0" fontId="19" fillId="2" borderId="0" xfId="0" quotePrefix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/>
    <xf numFmtId="166" fontId="6" fillId="0" borderId="12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3" fontId="6" fillId="9" borderId="11" xfId="0" applyNumberFormat="1" applyFont="1" applyFill="1" applyBorder="1" applyAlignment="1">
      <alignment horizontal="center" vertical="center" wrapText="1"/>
    </xf>
    <xf numFmtId="0" fontId="6" fillId="9" borderId="11" xfId="0" applyNumberFormat="1" applyFont="1" applyFill="1" applyBorder="1" applyAlignment="1" applyProtection="1">
      <alignment horizontal="center" vertical="center" wrapText="1"/>
      <protection locked="0"/>
    </xf>
    <xf numFmtId="166" fontId="6" fillId="9" borderId="11" xfId="0" applyNumberFormat="1" applyFont="1" applyFill="1" applyBorder="1" applyAlignment="1" applyProtection="1">
      <alignment horizontal="center" vertical="center"/>
    </xf>
    <xf numFmtId="0" fontId="6" fillId="9" borderId="11" xfId="0" applyNumberFormat="1" applyFont="1" applyFill="1" applyBorder="1" applyAlignment="1" applyProtection="1">
      <alignment horizontal="center" vertical="center"/>
      <protection locked="0"/>
    </xf>
    <xf numFmtId="9" fontId="6" fillId="9" borderId="11" xfId="0" applyNumberFormat="1" applyFont="1" applyFill="1" applyBorder="1" applyAlignment="1" applyProtection="1">
      <alignment horizontal="center" vertical="center" wrapText="1"/>
      <protection locked="0"/>
    </xf>
    <xf numFmtId="166" fontId="6" fillId="9" borderId="11" xfId="0" applyNumberFormat="1" applyFont="1" applyFill="1" applyBorder="1" applyAlignment="1" applyProtection="1">
      <alignment horizontal="center" vertical="center"/>
      <protection locked="0"/>
    </xf>
    <xf numFmtId="166" fontId="6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9" borderId="0" xfId="0" applyFont="1" applyFill="1" applyAlignment="1">
      <alignment vertical="top"/>
    </xf>
    <xf numFmtId="0" fontId="9" fillId="9" borderId="3" xfId="0" applyFont="1" applyFill="1" applyBorder="1"/>
    <xf numFmtId="0" fontId="9" fillId="9" borderId="0" xfId="0" applyFont="1" applyFill="1" applyBorder="1"/>
    <xf numFmtId="0" fontId="10" fillId="9" borderId="0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2" fontId="9" fillId="0" borderId="0" xfId="0" applyNumberFormat="1" applyFont="1"/>
    <xf numFmtId="2" fontId="9" fillId="0" borderId="6" xfId="0" applyNumberFormat="1" applyFont="1" applyBorder="1"/>
    <xf numFmtId="2" fontId="9" fillId="7" borderId="0" xfId="0" applyNumberFormat="1" applyFont="1" applyFill="1" applyBorder="1"/>
    <xf numFmtId="2" fontId="9" fillId="9" borderId="0" xfId="0" applyNumberFormat="1" applyFont="1" applyFill="1" applyBorder="1"/>
    <xf numFmtId="2" fontId="9" fillId="0" borderId="0" xfId="0" applyNumberFormat="1" applyFont="1" applyFill="1" applyBorder="1"/>
    <xf numFmtId="2" fontId="9" fillId="0" borderId="2" xfId="0" applyNumberFormat="1" applyFont="1" applyBorder="1"/>
    <xf numFmtId="1" fontId="7" fillId="10" borderId="11" xfId="0" applyNumberFormat="1" applyFont="1" applyFill="1" applyBorder="1" applyAlignment="1">
      <alignment horizontal="left" vertical="center"/>
    </xf>
    <xf numFmtId="1" fontId="7" fillId="7" borderId="10" xfId="0" applyNumberFormat="1" applyFont="1" applyFill="1" applyBorder="1" applyAlignment="1">
      <alignment horizontal="left" vertical="center"/>
    </xf>
    <xf numFmtId="1" fontId="7" fillId="7" borderId="12" xfId="0" applyNumberFormat="1" applyFont="1" applyFill="1" applyBorder="1" applyAlignment="1">
      <alignment horizontal="left" vertical="center"/>
    </xf>
    <xf numFmtId="1" fontId="7" fillId="7" borderId="14" xfId="0" applyNumberFormat="1" applyFont="1" applyFill="1" applyBorder="1" applyAlignment="1">
      <alignment horizontal="left" vertical="center"/>
    </xf>
    <xf numFmtId="1" fontId="7" fillId="10" borderId="12" xfId="0" applyNumberFormat="1" applyFont="1" applyFill="1" applyBorder="1" applyAlignment="1">
      <alignment horizontal="left" vertical="center"/>
    </xf>
    <xf numFmtId="166" fontId="13" fillId="0" borderId="10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2" xfId="0" applyNumberFormat="1" applyFont="1" applyFill="1" applyBorder="1" applyAlignment="1" applyProtection="1">
      <alignment horizontal="center" vertical="center"/>
    </xf>
    <xf numFmtId="166" fontId="20" fillId="0" borderId="10" xfId="0" applyNumberFormat="1" applyFont="1" applyFill="1" applyBorder="1" applyAlignment="1" applyProtection="1">
      <alignment horizontal="center" vertical="center" wrapText="1"/>
    </xf>
    <xf numFmtId="166" fontId="20" fillId="0" borderId="20" xfId="0" applyNumberFormat="1" applyFont="1" applyFill="1" applyBorder="1" applyAlignment="1" applyProtection="1">
      <alignment horizontal="center" vertical="center" wrapText="1"/>
    </xf>
    <xf numFmtId="166" fontId="20" fillId="0" borderId="20" xfId="0" applyNumberFormat="1" applyFont="1" applyFill="1" applyBorder="1" applyAlignment="1" applyProtection="1">
      <alignment horizontal="center" vertical="center"/>
      <protection locked="0"/>
    </xf>
    <xf numFmtId="166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vertical="center"/>
    </xf>
    <xf numFmtId="167" fontId="7" fillId="7" borderId="12" xfId="0" applyNumberFormat="1" applyFont="1" applyFill="1" applyBorder="1" applyAlignment="1">
      <alignment horizontal="left" vertical="center"/>
    </xf>
    <xf numFmtId="166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0" fontId="17" fillId="10" borderId="10" xfId="0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left" vertical="center"/>
    </xf>
    <xf numFmtId="167" fontId="15" fillId="7" borderId="1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8" fillId="0" borderId="0" xfId="0" applyFont="1"/>
    <xf numFmtId="0" fontId="9" fillId="0" borderId="3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/>
    </xf>
    <xf numFmtId="14" fontId="6" fillId="9" borderId="11" xfId="0" applyNumberFormat="1" applyFont="1" applyFill="1" applyBorder="1" applyAlignment="1" applyProtection="1">
      <alignment horizontal="center" vertical="center"/>
      <protection locked="0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9" fontId="9" fillId="0" borderId="10" xfId="3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24" fillId="0" borderId="0" xfId="0" applyFont="1"/>
    <xf numFmtId="166" fontId="9" fillId="9" borderId="10" xfId="0" applyNumberFormat="1" applyFont="1" applyFill="1" applyBorder="1" applyAlignment="1">
      <alignment horizontal="center" vertical="center" wrapText="1"/>
    </xf>
    <xf numFmtId="2" fontId="9" fillId="9" borderId="10" xfId="0" applyNumberFormat="1" applyFont="1" applyFill="1" applyBorder="1" applyAlignment="1">
      <alignment horizontal="right" vertical="center"/>
    </xf>
    <xf numFmtId="166" fontId="9" fillId="0" borderId="10" xfId="0" applyNumberFormat="1" applyFont="1" applyFill="1" applyBorder="1" applyAlignment="1">
      <alignment horizontal="left" vertical="center"/>
    </xf>
    <xf numFmtId="166" fontId="23" fillId="7" borderId="10" xfId="0" applyNumberFormat="1" applyFont="1" applyFill="1" applyBorder="1" applyAlignment="1">
      <alignment horizontal="center" vertical="center" wrapText="1"/>
    </xf>
    <xf numFmtId="9" fontId="23" fillId="7" borderId="10" xfId="3" applyFont="1" applyFill="1" applyBorder="1" applyAlignment="1">
      <alignment horizontal="center" vertical="center" wrapText="1"/>
    </xf>
    <xf numFmtId="164" fontId="25" fillId="7" borderId="10" xfId="0" applyNumberFormat="1" applyFont="1" applyFill="1" applyBorder="1" applyAlignment="1">
      <alignment horizontal="center" vertical="center" wrapText="1"/>
    </xf>
    <xf numFmtId="164" fontId="26" fillId="7" borderId="10" xfId="0" applyNumberFormat="1" applyFont="1" applyFill="1" applyBorder="1" applyAlignment="1">
      <alignment horizontal="center" vertical="center"/>
    </xf>
    <xf numFmtId="164" fontId="25" fillId="7" borderId="11" xfId="0" applyNumberFormat="1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166" fontId="23" fillId="7" borderId="11" xfId="0" applyNumberFormat="1" applyFont="1" applyFill="1" applyBorder="1" applyAlignment="1">
      <alignment horizontal="center" vertical="center" wrapText="1"/>
    </xf>
    <xf numFmtId="9" fontId="23" fillId="7" borderId="11" xfId="3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6" fontId="15" fillId="7" borderId="10" xfId="0" applyNumberFormat="1" applyFont="1" applyFill="1" applyBorder="1" applyAlignment="1">
      <alignment horizontal="center" vertical="center"/>
    </xf>
    <xf numFmtId="166" fontId="15" fillId="7" borderId="10" xfId="0" applyNumberFormat="1" applyFont="1" applyFill="1" applyBorder="1" applyAlignment="1">
      <alignment horizontal="center" vertical="center" wrapText="1"/>
    </xf>
    <xf numFmtId="1" fontId="23" fillId="7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/>
    </xf>
    <xf numFmtId="2" fontId="15" fillId="7" borderId="10" xfId="0" applyNumberFormat="1" applyFont="1" applyFill="1" applyBorder="1" applyAlignment="1">
      <alignment horizontal="center" vertical="center"/>
    </xf>
    <xf numFmtId="10" fontId="9" fillId="0" borderId="10" xfId="3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 applyProtection="1">
      <alignment horizontal="center" vertical="center" wrapText="1"/>
    </xf>
    <xf numFmtId="166" fontId="20" fillId="0" borderId="20" xfId="0" applyNumberFormat="1" applyFont="1" applyFill="1" applyBorder="1" applyAlignment="1" applyProtection="1">
      <alignment horizontal="center" vertical="center"/>
    </xf>
    <xf numFmtId="166" fontId="20" fillId="0" borderId="10" xfId="0" applyNumberFormat="1" applyFont="1" applyFill="1" applyBorder="1" applyAlignment="1" applyProtection="1">
      <alignment horizontal="center" vertical="center"/>
    </xf>
    <xf numFmtId="166" fontId="28" fillId="9" borderId="10" xfId="0" applyNumberFormat="1" applyFont="1" applyFill="1" applyBorder="1" applyAlignment="1">
      <alignment horizontal="center" vertical="center" wrapText="1"/>
    </xf>
    <xf numFmtId="166" fontId="8" fillId="10" borderId="10" xfId="0" applyNumberFormat="1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66" fontId="20" fillId="8" borderId="1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7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164" fontId="23" fillId="7" borderId="10" xfId="0" applyNumberFormat="1" applyFont="1" applyFill="1" applyBorder="1" applyAlignment="1">
      <alignment horizontal="center" vertical="center" wrapText="1"/>
    </xf>
    <xf numFmtId="166" fontId="13" fillId="8" borderId="10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8" fontId="30" fillId="2" borderId="0" xfId="0" applyNumberFormat="1" applyFont="1" applyFill="1" applyAlignment="1">
      <alignment vertical="center"/>
    </xf>
    <xf numFmtId="3" fontId="11" fillId="8" borderId="25" xfId="0" quotePrefix="1" applyNumberFormat="1" applyFont="1" applyFill="1" applyBorder="1" applyAlignment="1">
      <alignment horizontal="right" vertical="top"/>
    </xf>
    <xf numFmtId="3" fontId="11" fillId="8" borderId="13" xfId="0" quotePrefix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66" fontId="20" fillId="8" borderId="11" xfId="0" applyNumberFormat="1" applyFont="1" applyFill="1" applyBorder="1" applyAlignment="1">
      <alignment horizontal="center" vertical="center" wrapText="1"/>
    </xf>
    <xf numFmtId="166" fontId="29" fillId="9" borderId="11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0" fontId="30" fillId="0" borderId="0" xfId="0" applyFont="1" applyBorder="1"/>
    <xf numFmtId="166" fontId="23" fillId="7" borderId="10" xfId="4" applyNumberFormat="1" applyFont="1" applyFill="1" applyBorder="1" applyAlignment="1">
      <alignment horizontal="center" vertical="center" wrapText="1"/>
    </xf>
    <xf numFmtId="1" fontId="23" fillId="7" borderId="11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/>
    </xf>
    <xf numFmtId="1" fontId="9" fillId="0" borderId="0" xfId="0" applyNumberFormat="1" applyFont="1" applyFill="1" applyAlignment="1">
      <alignment horizontal="center" vertical="center"/>
    </xf>
    <xf numFmtId="0" fontId="32" fillId="0" borderId="0" xfId="0" applyFont="1"/>
    <xf numFmtId="0" fontId="32" fillId="2" borderId="0" xfId="0" applyFont="1" applyFill="1"/>
    <xf numFmtId="0" fontId="32" fillId="2" borderId="0" xfId="0" applyFont="1" applyFill="1" applyAlignment="1">
      <alignment horizontal="center" vertical="center"/>
    </xf>
    <xf numFmtId="164" fontId="32" fillId="2" borderId="0" xfId="0" applyNumberFormat="1" applyFont="1" applyFill="1" applyAlignment="1">
      <alignment horizontal="center" vertical="center"/>
    </xf>
    <xf numFmtId="0" fontId="32" fillId="0" borderId="0" xfId="5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0" fillId="2" borderId="0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31" fillId="8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2" xfId="0" quotePrefix="1" applyFont="1" applyFill="1" applyBorder="1" applyAlignment="1">
      <alignment horizontal="left" vertical="center" wrapText="1"/>
    </xf>
    <xf numFmtId="0" fontId="9" fillId="0" borderId="13" xfId="0" quotePrefix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9" xfId="0" applyNumberFormat="1" applyFont="1" applyFill="1" applyBorder="1" applyAlignment="1" applyProtection="1">
      <alignment horizontal="left" vertical="center"/>
      <protection locked="0"/>
    </xf>
    <xf numFmtId="0" fontId="9" fillId="2" borderId="12" xfId="0" quotePrefix="1" applyFont="1" applyFill="1" applyBorder="1" applyAlignment="1">
      <alignment horizontal="left" vertical="center" wrapText="1"/>
    </xf>
    <xf numFmtId="0" fontId="9" fillId="2" borderId="13" xfId="0" quotePrefix="1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24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6" xfId="0" quotePrefix="1" applyFont="1" applyFill="1" applyBorder="1" applyAlignment="1">
      <alignment horizontal="center" vertical="center" wrapText="1"/>
    </xf>
    <xf numFmtId="0" fontId="9" fillId="0" borderId="17" xfId="0" quotePrefix="1" applyFont="1" applyFill="1" applyBorder="1" applyAlignment="1">
      <alignment horizontal="center" vertical="center" wrapText="1"/>
    </xf>
    <xf numFmtId="0" fontId="9" fillId="2" borderId="14" xfId="0" quotePrefix="1" applyFont="1" applyFill="1" applyBorder="1" applyAlignment="1">
      <alignment horizontal="left" vertical="center" wrapText="1"/>
    </xf>
    <xf numFmtId="0" fontId="9" fillId="2" borderId="18" xfId="0" quotePrefix="1" applyFont="1" applyFill="1" applyBorder="1" applyAlignment="1">
      <alignment horizontal="left" vertical="center" wrapText="1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6" fontId="20" fillId="3" borderId="11" xfId="0" quotePrefix="1" applyNumberFormat="1" applyFont="1" applyFill="1" applyBorder="1" applyAlignment="1">
      <alignment horizontal="right" vertical="top"/>
    </xf>
    <xf numFmtId="166" fontId="20" fillId="3" borderId="13" xfId="0" quotePrefix="1" applyNumberFormat="1" applyFont="1" applyFill="1" applyBorder="1" applyAlignment="1">
      <alignment horizontal="right" vertical="top"/>
    </xf>
    <xf numFmtId="166" fontId="20" fillId="3" borderId="11" xfId="0" applyNumberFormat="1" applyFont="1" applyFill="1" applyBorder="1" applyAlignment="1">
      <alignment horizontal="right" vertical="center"/>
    </xf>
    <xf numFmtId="166" fontId="20" fillId="3" borderId="13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17" fillId="10" borderId="12" xfId="0" applyFont="1" applyFill="1" applyBorder="1" applyAlignment="1">
      <alignment horizontal="left" vertical="center" wrapText="1"/>
    </xf>
    <xf numFmtId="0" fontId="17" fillId="10" borderId="13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3" fontId="7" fillId="7" borderId="12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15" fillId="7" borderId="10" xfId="0" applyNumberFormat="1" applyFont="1" applyFill="1" applyBorder="1" applyAlignment="1">
      <alignment horizontal="center" vertical="center"/>
    </xf>
    <xf numFmtId="2" fontId="20" fillId="8" borderId="11" xfId="0" applyNumberFormat="1" applyFont="1" applyFill="1" applyBorder="1" applyAlignment="1">
      <alignment horizontal="right" vertical="center"/>
    </xf>
    <xf numFmtId="2" fontId="20" fillId="8" borderId="13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2" fontId="9" fillId="0" borderId="13" xfId="0" applyNumberFormat="1" applyFont="1" applyFill="1" applyBorder="1" applyAlignment="1">
      <alignment horizontal="right" vertical="center"/>
    </xf>
    <xf numFmtId="2" fontId="32" fillId="0" borderId="0" xfId="0" applyNumberFormat="1" applyFont="1"/>
    <xf numFmtId="2" fontId="32" fillId="0" borderId="0" xfId="0" applyNumberFormat="1" applyFont="1" applyAlignment="1">
      <alignment horizontal="right"/>
    </xf>
    <xf numFmtId="2" fontId="32" fillId="0" borderId="0" xfId="0" applyNumberFormat="1" applyFont="1" applyBorder="1"/>
    <xf numFmtId="0" fontId="32" fillId="0" borderId="0" xfId="0" applyFont="1" applyBorder="1"/>
    <xf numFmtId="166" fontId="32" fillId="0" borderId="0" xfId="0" applyNumberFormat="1" applyFont="1" applyFill="1" applyBorder="1" applyAlignment="1">
      <alignment horizontal="right" vertical="center"/>
    </xf>
    <xf numFmtId="167" fontId="32" fillId="0" borderId="0" xfId="0" applyNumberFormat="1" applyFont="1" applyFill="1" applyBorder="1" applyAlignment="1">
      <alignment horizontal="center" vertical="center"/>
    </xf>
    <xf numFmtId="167" fontId="32" fillId="0" borderId="0" xfId="3" applyNumberFormat="1" applyFont="1" applyFill="1" applyBorder="1" applyAlignment="1">
      <alignment horizontal="center" vertical="center" wrapText="1"/>
    </xf>
    <xf numFmtId="167" fontId="32" fillId="0" borderId="0" xfId="0" applyNumberFormat="1" applyFont="1" applyFill="1" applyBorder="1" applyAlignment="1">
      <alignment horizontal="center" vertical="center" wrapText="1"/>
    </xf>
  </cellXfs>
  <cellStyles count="6">
    <cellStyle name="Гиперссылка" xfId="5" builtinId="8"/>
    <cellStyle name="Денежный" xfId="4" builtinId="4"/>
    <cellStyle name="Обычный" xfId="0" builtinId="0"/>
    <cellStyle name="Обычный 2" xfId="1" xr:uid="{00000000-0005-0000-0000-000003000000}"/>
    <cellStyle name="Обычный 2 2" xfId="2" xr:uid="{00000000-0005-0000-0000-000004000000}"/>
    <cellStyle name="Процентный" xfId="3" builtinId="5"/>
  </cellStyles>
  <dxfs count="3"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7D30"/>
      <color rgb="FFFFD579"/>
      <color rgb="FFF21F2E"/>
      <color rgb="FFFFCF01"/>
      <color rgb="FFFF2600"/>
      <color rgb="FFEE202E"/>
      <color rgb="FFFCFF89"/>
      <color rgb="FFFC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978180357955319E-2"/>
          <c:y val="2.0263527461909483E-2"/>
          <c:w val="0.94369387626192647"/>
          <c:h val="0.959994271634344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'Финансовая модель'!$C$34:$D$34</c:f>
              <c:strCache>
                <c:ptCount val="2"/>
                <c:pt idx="0">
                  <c:v>Чистая прибыль</c:v>
                </c:pt>
              </c:strCache>
            </c:strRef>
          </c:tx>
          <c:spPr>
            <a:solidFill>
              <a:srgbClr val="F21F2E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('Финансовая модель'!$E$34:$P$34,'Финансовая модель'!$S$34:$AE$34)</c:f>
              <c:numCache>
                <c:formatCode>#\ ##0\ "₽"</c:formatCode>
                <c:ptCount val="13"/>
                <c:pt idx="0">
                  <c:v>88369.91883366392</c:v>
                </c:pt>
                <c:pt idx="1">
                  <c:v>180011.17250047973</c:v>
                </c:pt>
                <c:pt idx="2">
                  <c:v>267494.69029489602</c:v>
                </c:pt>
                <c:pt idx="3">
                  <c:v>271244.97861937922</c:v>
                </c:pt>
                <c:pt idx="4">
                  <c:v>157031.07030576456</c:v>
                </c:pt>
                <c:pt idx="5">
                  <c:v>230022.35795891192</c:v>
                </c:pt>
                <c:pt idx="6">
                  <c:v>231596.83343807992</c:v>
                </c:pt>
                <c:pt idx="7">
                  <c:v>263331.09781312011</c:v>
                </c:pt>
                <c:pt idx="8">
                  <c:v>263831.09781311988</c:v>
                </c:pt>
                <c:pt idx="9">
                  <c:v>296639.83766732784</c:v>
                </c:pt>
                <c:pt idx="10">
                  <c:v>313294.20759443182</c:v>
                </c:pt>
                <c:pt idx="11">
                  <c:v>208274.76574801386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4-4847-8EE2-9BA9FE7204AB}"/>
            </c:ext>
          </c:extLst>
        </c:ser>
        <c:ser>
          <c:idx val="2"/>
          <c:order val="2"/>
          <c:tx>
            <c:strRef>
              <c:f>'Финансовая модель'!$D$7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254000" dist="50800" dir="5400000" sx="1000" sy="1000" algn="ctr" rotWithShape="0">
                <a:srgbClr val="000000">
                  <a:alpha val="0"/>
                </a:srgbClr>
              </a:outerShdw>
              <a:softEdge rad="0"/>
            </a:effectLst>
          </c:spPr>
          <c:invertIfNegative val="0"/>
          <c:dLbls>
            <c:numFmt formatCode="#,##0\ &quot;₽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('Финансовая модель'!$E$7:$P$7,'Финансовая модель'!$S$7:$AD$7)</c:f>
              <c:numCache>
                <c:formatCode>#\ ##0\ "₽"</c:formatCode>
                <c:ptCount val="12"/>
                <c:pt idx="0">
                  <c:v>584312.60159999994</c:v>
                </c:pt>
                <c:pt idx="1">
                  <c:v>848195.71199999982</c:v>
                </c:pt>
                <c:pt idx="2">
                  <c:v>1104716.0124000001</c:v>
                </c:pt>
                <c:pt idx="3">
                  <c:v>1111843.2124800002</c:v>
                </c:pt>
                <c:pt idx="4">
                  <c:v>798682.28731199994</c:v>
                </c:pt>
                <c:pt idx="5">
                  <c:v>1022547.0528000001</c:v>
                </c:pt>
                <c:pt idx="6">
                  <c:v>1024903.152</c:v>
                </c:pt>
                <c:pt idx="7">
                  <c:v>1095586.128</c:v>
                </c:pt>
                <c:pt idx="8">
                  <c:v>1095586.1279999998</c:v>
                </c:pt>
                <c:pt idx="9">
                  <c:v>1168625.2031999999</c:v>
                </c:pt>
                <c:pt idx="10">
                  <c:v>1205144.7407999998</c:v>
                </c:pt>
                <c:pt idx="11">
                  <c:v>908417.60755199974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4-4847-8EE2-9BA9FE720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045856"/>
        <c:axId val="427046184"/>
      </c:barChart>
      <c:lineChart>
        <c:grouping val="standard"/>
        <c:varyColors val="0"/>
        <c:ser>
          <c:idx val="1"/>
          <c:order val="1"/>
          <c:tx>
            <c:strRef>
              <c:f>'Финансовая модель'!$C$36</c:f>
              <c:strCache>
                <c:ptCount val="1"/>
                <c:pt idx="0">
                  <c:v>Чистая прибыль нарастающим итогом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43200" tIns="25200" rIns="46800" bIns="2520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('Финансовая модель'!$E$36:$P$36,'Финансовая модель'!$S$36:$AD$36)</c:f>
              <c:numCache>
                <c:formatCode>#\ ##0\ "₽"</c:formatCode>
                <c:ptCount val="12"/>
                <c:pt idx="0">
                  <c:v>-1407422.0811663361</c:v>
                </c:pt>
                <c:pt idx="1">
                  <c:v>-1227410.9086658563</c:v>
                </c:pt>
                <c:pt idx="2">
                  <c:v>-959916.21837096033</c:v>
                </c:pt>
                <c:pt idx="3">
                  <c:v>-688671.2397515811</c:v>
                </c:pt>
                <c:pt idx="4">
                  <c:v>-531640.16944581654</c:v>
                </c:pt>
                <c:pt idx="5">
                  <c:v>-301617.81148690463</c:v>
                </c:pt>
                <c:pt idx="6">
                  <c:v>-70020.978048824705</c:v>
                </c:pt>
                <c:pt idx="7">
                  <c:v>193310.11976429541</c:v>
                </c:pt>
                <c:pt idx="8">
                  <c:v>457141.21757741529</c:v>
                </c:pt>
                <c:pt idx="9">
                  <c:v>753781.05524474313</c:v>
                </c:pt>
                <c:pt idx="10">
                  <c:v>1067075.2628391748</c:v>
                </c:pt>
                <c:pt idx="11">
                  <c:v>1275350.0285871886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174-4847-8EE2-9BA9FE720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45856"/>
        <c:axId val="427046184"/>
      </c:lineChart>
      <c:catAx>
        <c:axId val="42704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7046184"/>
        <c:crosses val="autoZero"/>
        <c:auto val="1"/>
        <c:lblAlgn val="ctr"/>
        <c:lblOffset val="100"/>
        <c:noMultiLvlLbl val="0"/>
      </c:catAx>
      <c:valAx>
        <c:axId val="427046184"/>
        <c:scaling>
          <c:orientation val="minMax"/>
          <c:max val="1500000"/>
          <c:min val="-500000"/>
        </c:scaling>
        <c:delete val="0"/>
        <c:axPos val="l"/>
        <c:majorGridlines>
          <c:spPr>
            <a:ln w="9525" cap="flat" cmpd="sng" algn="ctr">
              <a:solidFill>
                <a:schemeClr val="dk1">
                  <a:alpha val="5000"/>
                </a:schemeClr>
              </a:solidFill>
              <a:round/>
            </a:ln>
            <a:effectLst/>
          </c:spPr>
        </c:majorGridlines>
        <c:numFmt formatCode="#\ ##0\ &quot;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7045856"/>
        <c:crosses val="autoZero"/>
        <c:crossBetween val="between"/>
        <c:majorUnit val="100000"/>
        <c:min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720613743649257"/>
          <c:y val="0.86024132197073244"/>
          <c:w val="0.33663618888791658"/>
          <c:h val="0.10185814097567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1183356</xdr:colOff>
      <xdr:row>2</xdr:row>
      <xdr:rowOff>152400</xdr:rowOff>
    </xdr:from>
    <xdr:to>
      <xdr:col>16</xdr:col>
      <xdr:colOff>8926</xdr:colOff>
      <xdr:row>8</xdr:row>
      <xdr:rowOff>255319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1156" y="584200"/>
          <a:ext cx="2521270" cy="1652319"/>
        </a:xfrm>
        <a:prstGeom prst="rect">
          <a:avLst/>
        </a:prstGeom>
      </xdr:spPr>
    </xdr:pic>
    <xdr:clientData/>
  </xdr:twoCellAnchor>
  <xdr:twoCellAnchor>
    <xdr:from>
      <xdr:col>1</xdr:col>
      <xdr:colOff>4233</xdr:colOff>
      <xdr:row>33</xdr:row>
      <xdr:rowOff>55032</xdr:rowOff>
    </xdr:from>
    <xdr:to>
      <xdr:col>15</xdr:col>
      <xdr:colOff>241301</xdr:colOff>
      <xdr:row>46</xdr:row>
      <xdr:rowOff>34636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3090AC5F-B34D-CB4A-A7D3-A89E8BE4E98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23</xdr:col>
      <xdr:colOff>241300</xdr:colOff>
      <xdr:row>14</xdr:row>
      <xdr:rowOff>0</xdr:rowOff>
    </xdr:from>
    <xdr:to>
      <xdr:col>25</xdr:col>
      <xdr:colOff>254000</xdr:colOff>
      <xdr:row>22</xdr:row>
      <xdr:rowOff>114300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008F15CA-EBA1-1E4A-879E-E33EC8A8A5E4}"/>
            </a:ext>
          </a:extLst>
        </xdr:cNvPr>
        <xdr:cNvSpPr>
          <a:spLocks noChangeAspect="1" noChangeArrowheads="1"/>
        </xdr:cNvSpPr>
      </xdr:nvSpPr>
      <xdr:spPr bwMode="auto">
        <a:xfrm>
          <a:off x="15290800" y="1981200"/>
          <a:ext cx="4165600" cy="347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241300</xdr:colOff>
      <xdr:row>14</xdr:row>
      <xdr:rowOff>0</xdr:rowOff>
    </xdr:from>
    <xdr:to>
      <xdr:col>25</xdr:col>
      <xdr:colOff>254000</xdr:colOff>
      <xdr:row>22</xdr:row>
      <xdr:rowOff>114300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975167E1-6463-284C-A098-015CE1B94BDB}"/>
            </a:ext>
          </a:extLst>
        </xdr:cNvPr>
        <xdr:cNvSpPr>
          <a:spLocks noChangeAspect="1" noChangeArrowheads="1"/>
        </xdr:cNvSpPr>
      </xdr:nvSpPr>
      <xdr:spPr bwMode="auto">
        <a:xfrm>
          <a:off x="15290800" y="1981200"/>
          <a:ext cx="4165600" cy="347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546100</xdr:colOff>
      <xdr:row>5</xdr:row>
      <xdr:rowOff>39069</xdr:rowOff>
    </xdr:from>
    <xdr:to>
      <xdr:col>14</xdr:col>
      <xdr:colOff>3276600</xdr:colOff>
      <xdr:row>19</xdr:row>
      <xdr:rowOff>322361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C28C833-5CFF-3F42-A95C-4C2C3B1DA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2300" y="1334469"/>
          <a:ext cx="6311900" cy="45377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Users/MASHA/Desktop/&#1060;&#1088;&#1072;&#1085;&#1096;&#1080;&#1079;&#1099;/FranchMaker/&#1096;&#1072;&#1073;&#1083;&#1086;&#1085;&#1099;/&#1060;&#1080;&#1085;%20&#1084;&#1086;&#1076;&#1077;&#1083;&#1100;_&#1096;&#1072;&#1073;&#1083;&#1086;&#108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Users/MASHA/Desktop/&#1060;&#1088;&#1072;&#1085;&#1096;&#1080;&#1079;&#1099;/FranchMaker/&#1055;&#1072;&#1082;&#1077;&#1090;&#1099;+&#1060;&#1080;&#1085;&#1072;&#1085;&#1089;&#1086;&#1074;&#1072;&#1103;_&#1084;&#1086;&#1076;&#1077;&#1083;&#1100;_33_&#1082;&#1091;&#1088;&#1080;&#1094;&#1099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Инвестиции"/>
      <sheetName val="Ключевые показатели"/>
      <sheetName val="Финансовая модель"/>
      <sheetName val="Динамика"/>
      <sheetName val="Упрощенная фин.модель"/>
    </sheetNames>
    <sheetDataSet>
      <sheetData sheetId="0"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0.1</v>
          </cell>
        </row>
      </sheetData>
      <sheetData sheetId="1">
        <row r="22">
          <cell r="B22">
            <v>0</v>
          </cell>
        </row>
      </sheetData>
      <sheetData sheetId="2">
        <row r="6">
          <cell r="D6">
            <v>200</v>
          </cell>
        </row>
        <row r="9">
          <cell r="D9">
            <v>0.1</v>
          </cell>
        </row>
        <row r="12">
          <cell r="D12">
            <v>40000</v>
          </cell>
        </row>
      </sheetData>
      <sheetData sheetId="3">
        <row r="15">
          <cell r="E15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кетные предложения"/>
      <sheetName val="Финансовая модель"/>
    </sheetNames>
    <sheetDataSet>
      <sheetData sheetId="0"/>
      <sheetData sheetId="1">
        <row r="7">
          <cell r="E7">
            <v>350000</v>
          </cell>
        </row>
        <row r="11">
          <cell r="E11">
            <v>16250</v>
          </cell>
        </row>
        <row r="12">
          <cell r="E1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2600"/>
  </sheetPr>
  <dimension ref="B1:AZ37"/>
  <sheetViews>
    <sheetView showGridLines="0" tabSelected="1" zoomScaleNormal="100" workbookViewId="0">
      <selection activeCell="Q9" sqref="Q9"/>
    </sheetView>
  </sheetViews>
  <sheetFormatPr baseColWidth="10" defaultColWidth="8.83203125" defaultRowHeight="14" x14ac:dyDescent="0.15"/>
  <cols>
    <col min="1" max="2" width="3.33203125" style="8" customWidth="1"/>
    <col min="3" max="3" width="0.6640625" style="8" customWidth="1"/>
    <col min="4" max="5" width="8.83203125" style="8"/>
    <col min="6" max="6" width="8" style="8" customWidth="1"/>
    <col min="7" max="7" width="8.6640625" style="8" customWidth="1"/>
    <col min="8" max="8" width="8.83203125" style="8"/>
    <col min="9" max="9" width="17.1640625" style="8" customWidth="1"/>
    <col min="10" max="10" width="3" style="8" customWidth="1"/>
    <col min="11" max="11" width="20.83203125" style="8" customWidth="1"/>
    <col min="12" max="12" width="1" style="8" customWidth="1"/>
    <col min="13" max="13" width="59.83203125" style="8" customWidth="1"/>
    <col min="14" max="14" width="32.1640625" style="8" customWidth="1"/>
    <col min="15" max="15" width="13" style="8" customWidth="1"/>
    <col min="16" max="16" width="3.33203125" style="8" customWidth="1"/>
    <col min="17" max="17" width="62.6640625" style="8" customWidth="1"/>
    <col min="18" max="18" width="19.83203125" style="8" customWidth="1"/>
    <col min="19" max="19" width="111.1640625" style="8" customWidth="1"/>
    <col min="20" max="24" width="8.83203125" style="8"/>
    <col min="25" max="25" width="45.6640625" style="8" customWidth="1"/>
    <col min="26" max="26" width="35.1640625" style="8" customWidth="1"/>
    <col min="27" max="16384" width="8.83203125" style="8"/>
  </cols>
  <sheetData>
    <row r="1" spans="2:52" ht="20" customHeight="1" thickBot="1" x14ac:dyDescent="0.2"/>
    <row r="2" spans="2:52" x14ac:dyDescent="0.15">
      <c r="B2" s="1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3"/>
    </row>
    <row r="3" spans="2:52" s="14" customFormat="1" ht="28" customHeight="1" x14ac:dyDescent="0.15">
      <c r="B3" s="52"/>
      <c r="C3" s="51"/>
      <c r="D3" s="232" t="s">
        <v>45</v>
      </c>
      <c r="E3" s="232"/>
      <c r="F3" s="232"/>
      <c r="G3" s="232"/>
      <c r="H3" s="232"/>
      <c r="I3" s="232"/>
      <c r="J3" s="233"/>
      <c r="K3" s="233"/>
      <c r="L3" s="233"/>
      <c r="M3" s="233"/>
      <c r="N3" s="233"/>
      <c r="O3" s="233"/>
      <c r="P3" s="53"/>
      <c r="Q3" s="15"/>
      <c r="R3" s="77"/>
      <c r="S3" s="15"/>
      <c r="T3" s="15"/>
      <c r="U3" s="15"/>
      <c r="V3" s="15"/>
    </row>
    <row r="4" spans="2:52" s="14" customFormat="1" ht="5" customHeight="1" x14ac:dyDescent="0.15">
      <c r="B4" s="86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2:52" s="14" customFormat="1" ht="47" customHeight="1" x14ac:dyDescent="0.15">
      <c r="B5" s="30"/>
      <c r="C5" s="4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2:52" s="14" customFormat="1" ht="13" customHeight="1" x14ac:dyDescent="0.15">
      <c r="B6" s="30"/>
      <c r="C6" s="49"/>
      <c r="D6" s="35" t="s">
        <v>32</v>
      </c>
      <c r="E6" s="35"/>
      <c r="F6" s="35"/>
      <c r="G6" s="85" t="s">
        <v>33</v>
      </c>
      <c r="H6" s="35" t="s">
        <v>34</v>
      </c>
      <c r="I6" s="35"/>
      <c r="J6" s="36"/>
      <c r="K6" s="36"/>
      <c r="L6" s="36"/>
      <c r="M6" s="36"/>
      <c r="N6" s="36"/>
      <c r="O6" s="37"/>
      <c r="P6" s="32"/>
      <c r="S6" s="59"/>
    </row>
    <row r="7" spans="2:52" s="33" customFormat="1" ht="4" customHeight="1" x14ac:dyDescent="0.2">
      <c r="B7" s="34"/>
      <c r="C7" s="36"/>
      <c r="P7" s="38"/>
      <c r="S7" s="60"/>
    </row>
    <row r="8" spans="2:52" s="16" customFormat="1" ht="25" customHeight="1" x14ac:dyDescent="0.2">
      <c r="B8" s="17"/>
      <c r="C8" s="56"/>
      <c r="D8" s="221" t="s">
        <v>31</v>
      </c>
      <c r="E8" s="235"/>
      <c r="F8" s="235"/>
      <c r="G8" s="235"/>
      <c r="H8" s="235"/>
      <c r="I8" s="235"/>
      <c r="J8" s="235"/>
      <c r="K8" s="39" t="s">
        <v>40</v>
      </c>
      <c r="L8" s="48"/>
      <c r="M8" s="242" t="s">
        <v>29</v>
      </c>
      <c r="N8" s="242"/>
      <c r="O8" s="243"/>
      <c r="P8" s="18"/>
      <c r="S8" s="61"/>
    </row>
    <row r="9" spans="2:52" s="16" customFormat="1" ht="56" customHeight="1" x14ac:dyDescent="0.2">
      <c r="B9" s="17"/>
      <c r="C9" s="54"/>
      <c r="D9" s="230" t="s">
        <v>36</v>
      </c>
      <c r="E9" s="230"/>
      <c r="F9" s="230"/>
      <c r="G9" s="230"/>
      <c r="H9" s="230"/>
      <c r="I9" s="230"/>
      <c r="J9" s="187" t="s">
        <v>105</v>
      </c>
      <c r="K9" s="78" t="s">
        <v>99</v>
      </c>
      <c r="L9" s="47"/>
      <c r="M9" s="228" t="s">
        <v>35</v>
      </c>
      <c r="N9" s="228"/>
      <c r="O9" s="229"/>
      <c r="P9" s="18"/>
      <c r="W9" s="29"/>
      <c r="Y9" s="205" t="s">
        <v>99</v>
      </c>
      <c r="Z9" s="205"/>
    </row>
    <row r="10" spans="2:52" s="16" customFormat="1" ht="35" customHeight="1" x14ac:dyDescent="0.2">
      <c r="B10" s="17"/>
      <c r="C10" s="57"/>
      <c r="D10" s="230" t="s">
        <v>42</v>
      </c>
      <c r="E10" s="230"/>
      <c r="F10" s="230"/>
      <c r="G10" s="230"/>
      <c r="H10" s="230"/>
      <c r="I10" s="234"/>
      <c r="J10" s="187" t="s">
        <v>105</v>
      </c>
      <c r="K10" s="79" t="s">
        <v>104</v>
      </c>
      <c r="L10" s="27"/>
      <c r="M10" s="236"/>
      <c r="N10" s="236"/>
      <c r="O10" s="237"/>
      <c r="P10" s="18"/>
      <c r="R10" s="72"/>
      <c r="Y10" s="205" t="s">
        <v>93</v>
      </c>
      <c r="Z10" s="205"/>
    </row>
    <row r="11" spans="2:52" s="16" customFormat="1" ht="35" customHeight="1" x14ac:dyDescent="0.2">
      <c r="B11" s="17"/>
      <c r="C11" s="54"/>
      <c r="D11" s="230" t="s">
        <v>37</v>
      </c>
      <c r="E11" s="230"/>
      <c r="F11" s="230"/>
      <c r="G11" s="230"/>
      <c r="H11" s="230"/>
      <c r="I11" s="231"/>
      <c r="J11" s="187" t="s">
        <v>105</v>
      </c>
      <c r="K11" s="80">
        <f>IF(K9="Павильон без зоны ожидания",20000,IF(K9="Павильон с зоной ожидания (рекомендуется)",35000,IF(K9="Остров",30000,50000)))</f>
        <v>35000</v>
      </c>
      <c r="L11" s="74"/>
      <c r="M11" s="228" t="s">
        <v>50</v>
      </c>
      <c r="N11" s="228"/>
      <c r="O11" s="229"/>
      <c r="P11" s="18"/>
      <c r="S11" s="62"/>
      <c r="Y11" s="205" t="s">
        <v>97</v>
      </c>
      <c r="Z11" s="205"/>
    </row>
    <row r="12" spans="2:52" s="20" customFormat="1" ht="30" customHeight="1" x14ac:dyDescent="0.15">
      <c r="B12" s="17"/>
      <c r="C12" s="57"/>
      <c r="D12" s="230" t="s">
        <v>43</v>
      </c>
      <c r="E12" s="230"/>
      <c r="F12" s="230"/>
      <c r="G12" s="230"/>
      <c r="H12" s="230"/>
      <c r="I12" s="231"/>
      <c r="J12" s="187" t="s">
        <v>105</v>
      </c>
      <c r="K12" s="147" t="s">
        <v>6</v>
      </c>
      <c r="L12" s="44"/>
      <c r="M12" s="228" t="s">
        <v>38</v>
      </c>
      <c r="N12" s="228"/>
      <c r="O12" s="229"/>
      <c r="P12" s="18"/>
      <c r="R12" s="191" t="str">
        <f>IF(K12="Январь","01.01",
IF(K12="Февраль","02.02",
IF(K12="Март","03.03",
IF(K12="Апрель","04.04",
IF(K12="Май","05.05",
IF(K12="Июнь","06.06",
IF(K12="Июль","07.07",
IF(K12="Август","08.08",
IF(K12="Сентябрь","09.09",
IF(K12="Октябрь","10.10",
IF(K12="Ноябрь","11.11",
IF(K12="Декабрь","12.12",))))))))))))</f>
        <v>03.03</v>
      </c>
      <c r="S12" s="16"/>
      <c r="T12" s="16"/>
      <c r="U12" s="16"/>
      <c r="V12" s="16"/>
      <c r="W12" s="16"/>
      <c r="X12" s="16"/>
      <c r="Y12" s="202" t="s">
        <v>96</v>
      </c>
      <c r="Z12" s="202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2:52" s="20" customFormat="1" ht="35" customHeight="1" x14ac:dyDescent="0.15">
      <c r="B13" s="17"/>
      <c r="C13" s="54"/>
      <c r="D13" s="230" t="s">
        <v>9</v>
      </c>
      <c r="E13" s="230"/>
      <c r="F13" s="230"/>
      <c r="G13" s="230"/>
      <c r="H13" s="230"/>
      <c r="I13" s="231"/>
      <c r="J13" s="187" t="s">
        <v>105</v>
      </c>
      <c r="K13" s="82">
        <v>0.4</v>
      </c>
      <c r="L13" s="46"/>
      <c r="M13" s="228" t="s">
        <v>41</v>
      </c>
      <c r="N13" s="228"/>
      <c r="O13" s="229"/>
      <c r="P13" s="18"/>
      <c r="R13" s="16"/>
      <c r="S13" s="16"/>
      <c r="T13" s="16"/>
      <c r="U13" s="16"/>
      <c r="V13" s="16"/>
      <c r="W13" s="16"/>
      <c r="X13" s="16"/>
      <c r="Y13" s="202" t="s">
        <v>95</v>
      </c>
      <c r="Z13" s="202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2:52" ht="45" customHeight="1" x14ac:dyDescent="0.15">
      <c r="B14" s="21"/>
      <c r="C14" s="58"/>
      <c r="D14" s="230" t="s">
        <v>44</v>
      </c>
      <c r="E14" s="230"/>
      <c r="F14" s="230"/>
      <c r="G14" s="230"/>
      <c r="H14" s="230"/>
      <c r="I14" s="231"/>
      <c r="J14" s="187" t="s">
        <v>105</v>
      </c>
      <c r="K14" s="83">
        <v>26000</v>
      </c>
      <c r="L14" s="44"/>
      <c r="M14" s="222" t="s">
        <v>83</v>
      </c>
      <c r="N14" s="222"/>
      <c r="O14" s="223"/>
      <c r="P14" s="22"/>
      <c r="Y14" s="202"/>
      <c r="Z14" s="202"/>
    </row>
    <row r="15" spans="2:52" ht="35" customHeight="1" x14ac:dyDescent="0.15">
      <c r="B15" s="21"/>
      <c r="C15" s="55"/>
      <c r="D15" s="230" t="s">
        <v>46</v>
      </c>
      <c r="E15" s="230"/>
      <c r="F15" s="230"/>
      <c r="G15" s="230"/>
      <c r="H15" s="230"/>
      <c r="I15" s="231"/>
      <c r="J15" s="187" t="s">
        <v>105</v>
      </c>
      <c r="K15" s="84">
        <v>200</v>
      </c>
      <c r="L15" s="44"/>
      <c r="M15" s="222" t="s">
        <v>47</v>
      </c>
      <c r="N15" s="222"/>
      <c r="O15" s="223"/>
      <c r="P15" s="22"/>
      <c r="Y15" s="216"/>
      <c r="Z15" s="202"/>
    </row>
    <row r="16" spans="2:52" ht="35" customHeight="1" x14ac:dyDescent="0.15">
      <c r="B16" s="21"/>
      <c r="C16" s="55"/>
      <c r="D16" s="230" t="s">
        <v>48</v>
      </c>
      <c r="E16" s="230"/>
      <c r="F16" s="230"/>
      <c r="G16" s="230"/>
      <c r="H16" s="230"/>
      <c r="I16" s="231"/>
      <c r="J16" s="187" t="s">
        <v>105</v>
      </c>
      <c r="K16" s="81">
        <v>14</v>
      </c>
      <c r="L16" s="27"/>
      <c r="M16" s="224"/>
      <c r="N16" s="224"/>
      <c r="O16" s="225"/>
      <c r="P16" s="22"/>
      <c r="T16" s="19"/>
      <c r="Y16" s="216"/>
      <c r="Z16" s="202"/>
    </row>
    <row r="17" spans="2:26" ht="35" customHeight="1" x14ac:dyDescent="0.15">
      <c r="B17" s="21"/>
      <c r="C17" s="55"/>
      <c r="D17" s="230" t="s">
        <v>17</v>
      </c>
      <c r="E17" s="230"/>
      <c r="F17" s="230"/>
      <c r="G17" s="230"/>
      <c r="H17" s="230"/>
      <c r="I17" s="231"/>
      <c r="J17" s="187" t="s">
        <v>105</v>
      </c>
      <c r="K17" s="81">
        <v>290</v>
      </c>
      <c r="L17" s="44"/>
      <c r="M17" s="222" t="s">
        <v>91</v>
      </c>
      <c r="N17" s="222"/>
      <c r="O17" s="223"/>
      <c r="P17" s="22"/>
      <c r="Q17" s="194"/>
      <c r="T17" s="71"/>
      <c r="Y17" s="216"/>
      <c r="Z17" s="202"/>
    </row>
    <row r="18" spans="2:26" ht="35" customHeight="1" x14ac:dyDescent="0.15">
      <c r="B18" s="21"/>
      <c r="C18" s="55"/>
      <c r="D18" s="230" t="s">
        <v>49</v>
      </c>
      <c r="E18" s="230"/>
      <c r="F18" s="230"/>
      <c r="G18" s="230"/>
      <c r="H18" s="230"/>
      <c r="I18" s="230"/>
      <c r="J18" s="234"/>
      <c r="K18" s="63">
        <f>K17*0.0372</f>
        <v>10.787999999999998</v>
      </c>
      <c r="L18" s="27"/>
      <c r="M18" s="226" t="s">
        <v>100</v>
      </c>
      <c r="N18" s="226"/>
      <c r="O18" s="227"/>
      <c r="P18" s="22"/>
      <c r="T18" s="16"/>
      <c r="Y18" s="216"/>
      <c r="Z18" s="202"/>
    </row>
    <row r="19" spans="2:26" s="16" customFormat="1" ht="35" customHeight="1" x14ac:dyDescent="0.15">
      <c r="B19" s="17"/>
      <c r="C19" s="54"/>
      <c r="D19" s="230" t="s">
        <v>7</v>
      </c>
      <c r="E19" s="230"/>
      <c r="F19" s="230"/>
      <c r="G19" s="230"/>
      <c r="H19" s="230"/>
      <c r="I19" s="231"/>
      <c r="J19" s="187" t="s">
        <v>105</v>
      </c>
      <c r="K19" s="80">
        <f>IF(K13=40%,182,
IF(K13=39%,182+10,
IF(K13=38%,182+20,
IF(K13=37%,182+30,
IF(K13=36%,182+40,
IF(K13=35%,182+50,
IF(K13=34%,182+60,
IF(K13=33%,182+70,))))))))</f>
        <v>182</v>
      </c>
      <c r="L19" s="75"/>
      <c r="M19" s="228" t="s">
        <v>92</v>
      </c>
      <c r="N19" s="228"/>
      <c r="O19" s="229"/>
      <c r="P19" s="18"/>
      <c r="R19" s="73"/>
      <c r="Y19" s="216"/>
      <c r="Z19" s="205"/>
    </row>
    <row r="20" spans="2:26" ht="30" customHeight="1" x14ac:dyDescent="0.15">
      <c r="B20" s="21"/>
      <c r="C20" s="55"/>
      <c r="D20" s="230" t="s">
        <v>0</v>
      </c>
      <c r="E20" s="230"/>
      <c r="F20" s="230"/>
      <c r="G20" s="230"/>
      <c r="H20" s="230"/>
      <c r="I20" s="230"/>
      <c r="J20" s="234"/>
      <c r="K20" s="40">
        <v>350000</v>
      </c>
      <c r="L20" s="42"/>
      <c r="M20" s="238" t="s">
        <v>39</v>
      </c>
      <c r="N20" s="238"/>
      <c r="O20" s="239"/>
      <c r="P20" s="22"/>
      <c r="Y20" s="216"/>
      <c r="Z20" s="202"/>
    </row>
    <row r="21" spans="2:26" ht="30" customHeight="1" x14ac:dyDescent="0.15">
      <c r="B21" s="21"/>
      <c r="C21" s="58"/>
      <c r="D21" s="230" t="s">
        <v>10</v>
      </c>
      <c r="E21" s="230"/>
      <c r="F21" s="230"/>
      <c r="G21" s="230"/>
      <c r="H21" s="230"/>
      <c r="I21" s="230"/>
      <c r="J21" s="234"/>
      <c r="K21" s="41">
        <v>4.4999999999999998E-2</v>
      </c>
      <c r="L21" s="45"/>
      <c r="M21" s="240"/>
      <c r="N21" s="240"/>
      <c r="O21" s="241"/>
      <c r="P21" s="22"/>
      <c r="Y21" s="216"/>
      <c r="Z21" s="202"/>
    </row>
    <row r="22" spans="2:26" ht="30" customHeight="1" x14ac:dyDescent="0.15">
      <c r="B22" s="21"/>
      <c r="C22" s="58"/>
      <c r="D22" s="230" t="s">
        <v>51</v>
      </c>
      <c r="E22" s="230"/>
      <c r="F22" s="230"/>
      <c r="G22" s="230"/>
      <c r="H22" s="230"/>
      <c r="I22" s="231"/>
      <c r="J22" s="187" t="s">
        <v>105</v>
      </c>
      <c r="K22" s="81" t="s">
        <v>18</v>
      </c>
      <c r="L22" s="43"/>
      <c r="M22" s="228" t="s">
        <v>86</v>
      </c>
      <c r="N22" s="228"/>
      <c r="O22" s="229"/>
      <c r="P22" s="22"/>
      <c r="Y22" s="216"/>
      <c r="Z22" s="202"/>
    </row>
    <row r="23" spans="2:26" ht="20" customHeight="1" x14ac:dyDescent="0.15">
      <c r="B23" s="21"/>
      <c r="C23" s="49"/>
      <c r="D23" s="64"/>
      <c r="E23" s="64"/>
      <c r="F23" s="64"/>
      <c r="G23" s="64"/>
      <c r="H23" s="64"/>
      <c r="I23" s="64"/>
      <c r="J23" s="64"/>
      <c r="K23" s="27"/>
      <c r="L23" s="27"/>
      <c r="M23" s="27"/>
      <c r="N23" s="27"/>
      <c r="P23" s="22"/>
      <c r="Y23" s="202"/>
      <c r="Z23" s="202"/>
    </row>
    <row r="24" spans="2:26" ht="20" customHeight="1" x14ac:dyDescent="0.2">
      <c r="B24" s="21"/>
      <c r="C24" s="49"/>
      <c r="D24" s="67" t="s">
        <v>52</v>
      </c>
      <c r="E24" s="35"/>
      <c r="F24" s="35"/>
      <c r="G24" s="66"/>
      <c r="H24" s="35"/>
      <c r="I24" s="35"/>
      <c r="J24" s="36"/>
      <c r="K24" s="36"/>
      <c r="L24" s="36"/>
      <c r="M24" s="36"/>
      <c r="N24" s="36"/>
      <c r="O24" s="65"/>
      <c r="P24" s="22"/>
      <c r="Y24" s="202"/>
      <c r="Z24" s="202"/>
    </row>
    <row r="25" spans="2:26" ht="25" customHeight="1" x14ac:dyDescent="0.15">
      <c r="B25" s="21"/>
      <c r="C25" s="56"/>
      <c r="D25" s="220" t="s">
        <v>31</v>
      </c>
      <c r="E25" s="220"/>
      <c r="F25" s="220"/>
      <c r="G25" s="220"/>
      <c r="H25" s="220"/>
      <c r="I25" s="220"/>
      <c r="J25" s="220"/>
      <c r="K25" s="220"/>
      <c r="L25" s="220"/>
      <c r="M25" s="221"/>
      <c r="N25" s="248" t="s">
        <v>53</v>
      </c>
      <c r="O25" s="249"/>
      <c r="P25" s="22"/>
    </row>
    <row r="26" spans="2:26" ht="20" customHeight="1" x14ac:dyDescent="0.15">
      <c r="B26" s="21"/>
      <c r="C26" s="68"/>
      <c r="D26" s="217" t="s">
        <v>54</v>
      </c>
      <c r="E26" s="217" t="s">
        <v>54</v>
      </c>
      <c r="F26" s="217" t="s">
        <v>54</v>
      </c>
      <c r="G26" s="217" t="s">
        <v>54</v>
      </c>
      <c r="H26" s="217" t="s">
        <v>54</v>
      </c>
      <c r="I26" s="217" t="s">
        <v>54</v>
      </c>
      <c r="J26" s="217" t="s">
        <v>54</v>
      </c>
      <c r="K26" s="217" t="s">
        <v>54</v>
      </c>
      <c r="L26" s="217" t="s">
        <v>54</v>
      </c>
      <c r="M26" s="218" t="s">
        <v>54</v>
      </c>
      <c r="N26" s="246">
        <f>'Финансовая модель'!Q7</f>
        <v>11968559.838143997</v>
      </c>
      <c r="O26" s="247"/>
      <c r="P26" s="22"/>
      <c r="R26" s="73"/>
    </row>
    <row r="27" spans="2:26" ht="20" customHeight="1" x14ac:dyDescent="0.15">
      <c r="B27" s="21"/>
      <c r="C27" s="69"/>
      <c r="D27" s="217" t="s">
        <v>55</v>
      </c>
      <c r="E27" s="217" t="s">
        <v>55</v>
      </c>
      <c r="F27" s="217" t="s">
        <v>55</v>
      </c>
      <c r="G27" s="217" t="s">
        <v>55</v>
      </c>
      <c r="H27" s="217" t="s">
        <v>55</v>
      </c>
      <c r="I27" s="217" t="s">
        <v>55</v>
      </c>
      <c r="J27" s="217" t="s">
        <v>55</v>
      </c>
      <c r="K27" s="217" t="s">
        <v>55</v>
      </c>
      <c r="L27" s="217" t="s">
        <v>55</v>
      </c>
      <c r="M27" s="218" t="s">
        <v>55</v>
      </c>
      <c r="N27" s="246">
        <f>AVERAGE('Финансовая модель'!E7:P7)</f>
        <v>997379.98651199974</v>
      </c>
      <c r="O27" s="247"/>
      <c r="P27" s="22"/>
      <c r="R27" s="73"/>
    </row>
    <row r="28" spans="2:26" ht="20" customHeight="1" x14ac:dyDescent="0.15">
      <c r="B28" s="21"/>
      <c r="C28" s="69"/>
      <c r="D28" s="217" t="s">
        <v>56</v>
      </c>
      <c r="E28" s="217" t="s">
        <v>56</v>
      </c>
      <c r="F28" s="217" t="s">
        <v>56</v>
      </c>
      <c r="G28" s="217" t="s">
        <v>56</v>
      </c>
      <c r="H28" s="217" t="s">
        <v>56</v>
      </c>
      <c r="I28" s="217" t="s">
        <v>56</v>
      </c>
      <c r="J28" s="217" t="s">
        <v>56</v>
      </c>
      <c r="K28" s="217" t="s">
        <v>56</v>
      </c>
      <c r="L28" s="217" t="s">
        <v>56</v>
      </c>
      <c r="M28" s="218" t="s">
        <v>56</v>
      </c>
      <c r="N28" s="246">
        <f>AVERAGE('Финансовая модель'!E34:P34)</f>
        <v>230928.50238226572</v>
      </c>
      <c r="O28" s="247"/>
      <c r="P28" s="22"/>
      <c r="R28" s="73"/>
    </row>
    <row r="29" spans="2:26" ht="20" customHeight="1" x14ac:dyDescent="0.15">
      <c r="B29" s="21"/>
      <c r="C29" s="70"/>
      <c r="D29" s="217" t="s">
        <v>57</v>
      </c>
      <c r="E29" s="217" t="s">
        <v>57</v>
      </c>
      <c r="F29" s="217" t="s">
        <v>57</v>
      </c>
      <c r="G29" s="217" t="s">
        <v>57</v>
      </c>
      <c r="H29" s="217" t="s">
        <v>57</v>
      </c>
      <c r="I29" s="217" t="s">
        <v>57</v>
      </c>
      <c r="J29" s="217" t="s">
        <v>57</v>
      </c>
      <c r="K29" s="217" t="s">
        <v>57</v>
      </c>
      <c r="L29" s="217" t="s">
        <v>57</v>
      </c>
      <c r="M29" s="218" t="s">
        <v>57</v>
      </c>
      <c r="N29" s="244">
        <f>'Финансовая модель'!Q34</f>
        <v>2771142.0285871886</v>
      </c>
      <c r="O29" s="245"/>
      <c r="P29" s="22"/>
      <c r="R29" s="73"/>
    </row>
    <row r="30" spans="2:26" ht="20" customHeight="1" x14ac:dyDescent="0.15">
      <c r="B30" s="21"/>
      <c r="C30" s="70"/>
      <c r="D30" s="217" t="s">
        <v>58</v>
      </c>
      <c r="E30" s="217" t="s">
        <v>58</v>
      </c>
      <c r="F30" s="217" t="s">
        <v>58</v>
      </c>
      <c r="G30" s="217" t="s">
        <v>58</v>
      </c>
      <c r="H30" s="217" t="s">
        <v>58</v>
      </c>
      <c r="I30" s="217" t="s">
        <v>58</v>
      </c>
      <c r="J30" s="217" t="s">
        <v>58</v>
      </c>
      <c r="K30" s="217" t="s">
        <v>58</v>
      </c>
      <c r="L30" s="217" t="s">
        <v>58</v>
      </c>
      <c r="M30" s="218" t="s">
        <v>58</v>
      </c>
      <c r="N30" s="244">
        <f>'Стартовые инвестиции'!L19</f>
        <v>1495792</v>
      </c>
      <c r="O30" s="245"/>
      <c r="P30" s="22"/>
      <c r="R30" s="73"/>
    </row>
    <row r="31" spans="2:26" ht="20" customHeight="1" x14ac:dyDescent="0.15">
      <c r="B31" s="21"/>
      <c r="C31" s="70"/>
      <c r="D31" s="219" t="s">
        <v>98</v>
      </c>
      <c r="E31" s="219" t="s">
        <v>59</v>
      </c>
      <c r="F31" s="219" t="s">
        <v>59</v>
      </c>
      <c r="G31" s="219" t="s">
        <v>59</v>
      </c>
      <c r="H31" s="219" t="s">
        <v>59</v>
      </c>
      <c r="I31" s="219" t="s">
        <v>59</v>
      </c>
      <c r="J31" s="219" t="s">
        <v>59</v>
      </c>
      <c r="K31" s="219" t="s">
        <v>59</v>
      </c>
      <c r="L31" s="219" t="s">
        <v>59</v>
      </c>
      <c r="M31" s="219" t="s">
        <v>59</v>
      </c>
      <c r="N31" s="192">
        <f>IF(SUM('Финансовая модель'!D37:AD37)&gt;24,"Очень много",SUM('Финансовая модель'!D37:AD37))</f>
        <v>8</v>
      </c>
      <c r="O31" s="193" t="str">
        <f>IF(OR(N31=2,N31=3,N31=4,N31=22,N31=23,N31=24,),"месяца","месяцев")</f>
        <v>месяцев</v>
      </c>
      <c r="P31" s="22"/>
      <c r="R31" s="73"/>
    </row>
    <row r="32" spans="2:26" ht="5" customHeight="1" x14ac:dyDescent="0.2">
      <c r="B32" s="21"/>
      <c r="C32" s="49"/>
      <c r="D32" s="67"/>
      <c r="E32" s="35"/>
      <c r="F32" s="35"/>
      <c r="G32" s="66"/>
      <c r="H32" s="35"/>
      <c r="I32" s="35"/>
      <c r="J32" s="36"/>
      <c r="K32" s="36"/>
      <c r="L32" s="36"/>
      <c r="M32" s="36"/>
      <c r="N32" s="36"/>
      <c r="O32" s="37"/>
      <c r="P32" s="22"/>
    </row>
    <row r="33" spans="2:16" ht="5" customHeight="1" thickBot="1" x14ac:dyDescent="0.2">
      <c r="B33" s="23"/>
      <c r="C33" s="50"/>
      <c r="D33" s="11"/>
      <c r="E33" s="11"/>
      <c r="F33" s="11"/>
      <c r="G33" s="11"/>
      <c r="H33" s="11"/>
      <c r="I33" s="11"/>
      <c r="J33" s="11"/>
      <c r="K33" s="24"/>
      <c r="L33" s="24"/>
      <c r="M33" s="24"/>
      <c r="N33" s="24"/>
      <c r="O33" s="25"/>
      <c r="P33" s="26"/>
    </row>
    <row r="34" spans="2:16" ht="71" customHeight="1" x14ac:dyDescent="0.15">
      <c r="D34" s="9"/>
      <c r="E34" s="9"/>
      <c r="F34" s="9"/>
      <c r="G34" s="9"/>
      <c r="H34" s="9"/>
      <c r="I34" s="9"/>
      <c r="J34" s="28"/>
    </row>
    <row r="37" spans="2:16" ht="54" customHeight="1" x14ac:dyDescent="0.15"/>
  </sheetData>
  <mergeCells count="45">
    <mergeCell ref="N30:O30"/>
    <mergeCell ref="N26:O26"/>
    <mergeCell ref="N27:O27"/>
    <mergeCell ref="N25:O25"/>
    <mergeCell ref="N28:O28"/>
    <mergeCell ref="N29:O29"/>
    <mergeCell ref="D17:I17"/>
    <mergeCell ref="D19:I19"/>
    <mergeCell ref="D9:I9"/>
    <mergeCell ref="D10:I10"/>
    <mergeCell ref="D11:I11"/>
    <mergeCell ref="D12:I12"/>
    <mergeCell ref="D13:I13"/>
    <mergeCell ref="D3:O3"/>
    <mergeCell ref="D20:J20"/>
    <mergeCell ref="D21:J21"/>
    <mergeCell ref="D8:J8"/>
    <mergeCell ref="D18:J18"/>
    <mergeCell ref="M9:O9"/>
    <mergeCell ref="M10:O10"/>
    <mergeCell ref="M11:O11"/>
    <mergeCell ref="M12:O12"/>
    <mergeCell ref="M13:O13"/>
    <mergeCell ref="M14:O14"/>
    <mergeCell ref="M20:O20"/>
    <mergeCell ref="M21:O21"/>
    <mergeCell ref="M8:O8"/>
    <mergeCell ref="D14:I14"/>
    <mergeCell ref="D15:I15"/>
    <mergeCell ref="Y15:Y22"/>
    <mergeCell ref="D28:M28"/>
    <mergeCell ref="D29:M29"/>
    <mergeCell ref="D30:M30"/>
    <mergeCell ref="D31:M31"/>
    <mergeCell ref="D25:M25"/>
    <mergeCell ref="D26:M26"/>
    <mergeCell ref="D27:M27"/>
    <mergeCell ref="M15:O15"/>
    <mergeCell ref="M16:O16"/>
    <mergeCell ref="M17:O17"/>
    <mergeCell ref="M18:O18"/>
    <mergeCell ref="M19:O19"/>
    <mergeCell ref="D22:I22"/>
    <mergeCell ref="M22:O22"/>
    <mergeCell ref="D16:I16"/>
  </mergeCells>
  <dataValidations count="8">
    <dataValidation type="list" allowBlank="1" showInputMessage="1" showErrorMessage="1" prompt="Выберите формат_x000a_" sqref="L9" xr:uid="{00000000-0002-0000-0000-000000000000}">
      <formula1>"Павильон БЕЗ зоны ожидания, Павильон с зоной ожидания (рекомендуется), Мини-кафе, Остров, Фудкорт"</formula1>
    </dataValidation>
    <dataValidation type="list" allowBlank="1" showInputMessage="1" showErrorMessage="1" prompt="Выберите значение из списка_x000a_" sqref="L10" xr:uid="{00000000-0002-0000-0000-000001000000}">
      <formula1>"до 50 тыс. чел., от 50 тыс. до 500 тыс. чел., от 500 тыс. до 1 млн. чел., от 1 млн. чел."</formula1>
    </dataValidation>
    <dataValidation type="list" allowBlank="1" showInputMessage="1" showErrorMessage="1" prompt="Выберите месяц открытия" sqref="K12:L12 L14:L16" xr:uid="{00000000-0002-0000-0000-000002000000}">
      <formula1>"Январь, Февраль, Март, Апрель, Май, Июнь, Июль, Август, Сентябрь, Октябрь, Ноябрь, Декабрь"</formula1>
    </dataValidation>
    <dataValidation type="list" allowBlank="1" showInputMessage="1" showErrorMessage="1" sqref="K33:N33 K22:L23" xr:uid="{00000000-0002-0000-0000-000003000000}">
      <formula1>"ЕНВД, УСН 6%"</formula1>
    </dataValidation>
    <dataValidation type="list" allowBlank="1" showInputMessage="1" showErrorMessage="1" prompt="Выберите значение из списка_x000a_" sqref="K10" xr:uid="{00000000-0002-0000-0000-000004000000}">
      <formula1>"до 30 тыс. чел., от 30 до 100 тыс. чел., от 100 до 300 тыс. чел., от 300 до 700 тыс. чел., от 700 тыс. до 1 млн. чел., от 1 млн. чел., - - - - - - - - - - - - - - , Москва, Санкт-Петербург,"</formula1>
    </dataValidation>
    <dataValidation type="list" allowBlank="1" showInputMessage="1" showErrorMessage="1" prompt="Выберите значение из списка_x000a_" sqref="K13" xr:uid="{00000000-0002-0000-0000-000005000000}">
      <formula1>"33%, 34%, 35%, 36%, 37%, 38%, 39%, 40%,"</formula1>
    </dataValidation>
    <dataValidation type="list" allowBlank="1" showInputMessage="1" showErrorMessage="1" prompt="Выберите значение из списка_x000a_" sqref="K15" xr:uid="{00000000-0002-0000-0000-000006000000}">
      <formula1>"0,150,200,250,300,"</formula1>
    </dataValidation>
    <dataValidation type="list" allowBlank="1" showInputMessage="1" showErrorMessage="1" prompt="Выберите формат_x000a_" sqref="K9" xr:uid="{00000000-0002-0000-0000-000007000000}">
      <formula1>$Y$9:$Y$13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outlinePr summaryBelow="0"/>
  </sheetPr>
  <dimension ref="B1:AU20"/>
  <sheetViews>
    <sheetView showGridLines="0" zoomScaleNormal="100" workbookViewId="0">
      <selection activeCell="L7" sqref="L7"/>
    </sheetView>
  </sheetViews>
  <sheetFormatPr baseColWidth="10" defaultColWidth="8.83203125" defaultRowHeight="14" x14ac:dyDescent="0.15"/>
  <cols>
    <col min="1" max="1" width="3.33203125" style="8" customWidth="1"/>
    <col min="2" max="2" width="5.83203125" style="8" customWidth="1"/>
    <col min="3" max="3" width="5" style="90" customWidth="1"/>
    <col min="4" max="4" width="1.5" style="90" customWidth="1"/>
    <col min="5" max="6" width="8.83203125" style="8"/>
    <col min="7" max="7" width="8" style="8" customWidth="1"/>
    <col min="8" max="8" width="8.6640625" style="8" customWidth="1"/>
    <col min="9" max="9" width="8.83203125" style="8"/>
    <col min="10" max="10" width="9" style="8" customWidth="1"/>
    <col min="11" max="11" width="11.33203125" style="8" customWidth="1"/>
    <col min="12" max="12" width="20.83203125" style="8" customWidth="1"/>
    <col min="13" max="13" width="1" style="8" customWidth="1"/>
    <col min="14" max="15" width="47" style="8" customWidth="1"/>
    <col min="16" max="16" width="5.83203125" style="8" customWidth="1"/>
    <col min="17" max="17" width="5.33203125" style="8" customWidth="1"/>
    <col min="18" max="16384" width="8.83203125" style="8"/>
  </cols>
  <sheetData>
    <row r="1" spans="2:47" ht="20" customHeight="1" thickBot="1" x14ac:dyDescent="0.2"/>
    <row r="2" spans="2:47" x14ac:dyDescent="0.15">
      <c r="B2" s="12"/>
      <c r="C2" s="91"/>
      <c r="D2" s="9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3"/>
    </row>
    <row r="3" spans="2:47" s="14" customFormat="1" ht="28" customHeight="1" x14ac:dyDescent="0.15">
      <c r="B3" s="52"/>
      <c r="C3" s="92"/>
      <c r="D3" s="92"/>
      <c r="E3" s="232" t="s">
        <v>60</v>
      </c>
      <c r="F3" s="232"/>
      <c r="G3" s="232"/>
      <c r="H3" s="232"/>
      <c r="I3" s="232"/>
      <c r="J3" s="232"/>
      <c r="K3" s="233"/>
      <c r="L3" s="233"/>
      <c r="M3" s="233"/>
      <c r="N3" s="233"/>
      <c r="O3" s="233"/>
      <c r="P3" s="53"/>
      <c r="Q3" s="15"/>
    </row>
    <row r="4" spans="2:47" s="14" customFormat="1" ht="5" customHeight="1" x14ac:dyDescent="0.15">
      <c r="B4" s="86"/>
      <c r="C4" s="93"/>
      <c r="D4" s="93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2:47" s="14" customFormat="1" ht="35" customHeight="1" x14ac:dyDescent="0.15">
      <c r="B5" s="30"/>
      <c r="C5" s="94"/>
      <c r="D5" s="9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2:47" s="16" customFormat="1" ht="25" customHeight="1" x14ac:dyDescent="0.2">
      <c r="B6" s="17"/>
      <c r="C6" s="119" t="s">
        <v>67</v>
      </c>
      <c r="D6" s="254" t="s">
        <v>65</v>
      </c>
      <c r="E6" s="255"/>
      <c r="F6" s="255"/>
      <c r="G6" s="255"/>
      <c r="H6" s="255"/>
      <c r="I6" s="255"/>
      <c r="J6" s="255"/>
      <c r="K6" s="256"/>
      <c r="L6" s="118" t="s">
        <v>40</v>
      </c>
      <c r="M6" s="121"/>
      <c r="N6" s="121"/>
      <c r="O6" s="122"/>
      <c r="P6" s="18"/>
      <c r="R6" s="114"/>
    </row>
    <row r="7" spans="2:47" s="16" customFormat="1" ht="25" customHeight="1" x14ac:dyDescent="0.2">
      <c r="B7" s="17"/>
      <c r="C7" s="97">
        <v>1</v>
      </c>
      <c r="D7" s="98"/>
      <c r="E7" s="252" t="s">
        <v>0</v>
      </c>
      <c r="F7" s="252" t="s">
        <v>0</v>
      </c>
      <c r="G7" s="252" t="s">
        <v>0</v>
      </c>
      <c r="H7" s="252" t="s">
        <v>0</v>
      </c>
      <c r="I7" s="252" t="s">
        <v>0</v>
      </c>
      <c r="J7" s="252" t="s">
        <v>0</v>
      </c>
      <c r="K7" s="253" t="s">
        <v>0</v>
      </c>
      <c r="L7" s="101">
        <f>'Исходные данные'!K20</f>
        <v>350000</v>
      </c>
      <c r="M7" s="123"/>
      <c r="N7" s="123"/>
      <c r="O7" s="124"/>
      <c r="P7" s="18"/>
    </row>
    <row r="8" spans="2:47" s="16" customFormat="1" ht="25" customHeight="1" x14ac:dyDescent="0.2">
      <c r="B8" s="17"/>
      <c r="C8" s="97">
        <v>2</v>
      </c>
      <c r="D8" s="99"/>
      <c r="E8" s="257" t="str">
        <f>'Исходные данные'!K9</f>
        <v>Павильон с зоной ожидания (рекомендуется)</v>
      </c>
      <c r="F8" s="230" t="str">
        <f>'Исходные данные'!M12</f>
        <v>В среднем время открытия составляет 2 - 2.5 месяца после оплаты паушального взноса</v>
      </c>
      <c r="G8" s="230">
        <f>'Исходные данные'!O12</f>
        <v>0</v>
      </c>
      <c r="H8" s="230">
        <f>'Исходные данные'!P12</f>
        <v>0</v>
      </c>
      <c r="I8" s="230">
        <f>'Исходные данные'!Y18</f>
        <v>0</v>
      </c>
      <c r="J8" s="230" t="str">
        <f>'Исходные данные'!R12</f>
        <v>03.03</v>
      </c>
      <c r="K8" s="234">
        <f>'Исходные данные'!S12</f>
        <v>0</v>
      </c>
      <c r="L8" s="174">
        <f>IF('Исходные данные'!K9="Павильон без зоны ожидания", 400000,IF('Исходные данные'!K9="Павильон с зоной ожидания (рекомендуется)", 700000, IF('Исходные данные'!K9="Остров", 300000, IF('Исходные данные'!K9="Мини-кафе", , 400000))))</f>
        <v>700000</v>
      </c>
      <c r="M8" s="123"/>
      <c r="N8" s="123"/>
      <c r="O8" s="124"/>
      <c r="P8" s="18"/>
      <c r="Q8" s="71"/>
      <c r="R8" s="76"/>
    </row>
    <row r="9" spans="2:47" s="16" customFormat="1" ht="25" customHeight="1" x14ac:dyDescent="0.2">
      <c r="B9" s="17"/>
      <c r="C9" s="97">
        <v>3</v>
      </c>
      <c r="D9" s="98"/>
      <c r="E9" s="252" t="s">
        <v>1</v>
      </c>
      <c r="F9" s="252" t="s">
        <v>1</v>
      </c>
      <c r="G9" s="252" t="s">
        <v>1</v>
      </c>
      <c r="H9" s="252" t="s">
        <v>1</v>
      </c>
      <c r="I9" s="252" t="s">
        <v>1</v>
      </c>
      <c r="J9" s="252" t="s">
        <v>1</v>
      </c>
      <c r="K9" s="253" t="s">
        <v>1</v>
      </c>
      <c r="L9" s="103">
        <f>SUM(L10:L12)</f>
        <v>293992</v>
      </c>
      <c r="M9" s="123"/>
      <c r="N9" s="123"/>
      <c r="O9" s="124"/>
      <c r="P9" s="18"/>
    </row>
    <row r="10" spans="2:47" s="113" customFormat="1" ht="20" customHeight="1" x14ac:dyDescent="0.2">
      <c r="B10" s="108"/>
      <c r="C10" s="120">
        <v>3.1</v>
      </c>
      <c r="D10" s="109"/>
      <c r="E10" s="230" t="s">
        <v>62</v>
      </c>
      <c r="F10" s="230" t="s">
        <v>19</v>
      </c>
      <c r="G10" s="230" t="s">
        <v>19</v>
      </c>
      <c r="H10" s="230" t="s">
        <v>19</v>
      </c>
      <c r="I10" s="230" t="s">
        <v>19</v>
      </c>
      <c r="J10" s="230" t="s">
        <v>19</v>
      </c>
      <c r="K10" s="234" t="s">
        <v>19</v>
      </c>
      <c r="L10" s="110">
        <v>177052</v>
      </c>
      <c r="M10" s="123"/>
      <c r="N10" s="123"/>
      <c r="O10" s="124"/>
      <c r="P10" s="111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</row>
    <row r="11" spans="2:47" s="113" customFormat="1" ht="20" customHeight="1" x14ac:dyDescent="0.2">
      <c r="B11" s="108"/>
      <c r="C11" s="120">
        <v>3.2</v>
      </c>
      <c r="D11" s="109"/>
      <c r="E11" s="230" t="s">
        <v>63</v>
      </c>
      <c r="F11" s="230" t="s">
        <v>20</v>
      </c>
      <c r="G11" s="230" t="s">
        <v>20</v>
      </c>
      <c r="H11" s="230" t="s">
        <v>20</v>
      </c>
      <c r="I11" s="230" t="s">
        <v>20</v>
      </c>
      <c r="J11" s="230" t="s">
        <v>20</v>
      </c>
      <c r="K11" s="234" t="s">
        <v>20</v>
      </c>
      <c r="L11" s="102">
        <v>73000</v>
      </c>
      <c r="M11" s="123"/>
      <c r="N11" s="123"/>
      <c r="O11" s="124"/>
      <c r="P11" s="111"/>
      <c r="Q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2:47" s="117" customFormat="1" ht="20" customHeight="1" x14ac:dyDescent="0.2">
      <c r="B12" s="115"/>
      <c r="C12" s="120">
        <v>3.3</v>
      </c>
      <c r="D12" s="109"/>
      <c r="E12" s="230" t="s">
        <v>61</v>
      </c>
      <c r="F12" s="230"/>
      <c r="G12" s="230"/>
      <c r="H12" s="230"/>
      <c r="I12" s="230"/>
      <c r="J12" s="230"/>
      <c r="K12" s="234"/>
      <c r="L12" s="107">
        <v>43940</v>
      </c>
      <c r="M12" s="123"/>
      <c r="N12" s="123"/>
      <c r="O12" s="124"/>
      <c r="P12" s="116"/>
    </row>
    <row r="13" spans="2:47" ht="25" customHeight="1" x14ac:dyDescent="0.15">
      <c r="B13" s="21"/>
      <c r="C13" s="97">
        <v>4</v>
      </c>
      <c r="D13" s="98"/>
      <c r="E13" s="230" t="s">
        <v>28</v>
      </c>
      <c r="F13" s="230"/>
      <c r="G13" s="230"/>
      <c r="H13" s="230"/>
      <c r="I13" s="230"/>
      <c r="J13" s="230"/>
      <c r="K13" s="234"/>
      <c r="L13" s="104">
        <f>'Исходные данные'!K11</f>
        <v>35000</v>
      </c>
      <c r="M13" s="123"/>
      <c r="N13" s="123"/>
      <c r="O13" s="124"/>
      <c r="P13" s="22"/>
    </row>
    <row r="14" spans="2:47" ht="25" customHeight="1" x14ac:dyDescent="0.15">
      <c r="B14" s="21"/>
      <c r="C14" s="97">
        <v>5</v>
      </c>
      <c r="D14" s="98"/>
      <c r="E14" s="230" t="s">
        <v>66</v>
      </c>
      <c r="F14" s="230"/>
      <c r="G14" s="230"/>
      <c r="H14" s="230"/>
      <c r="I14" s="230"/>
      <c r="J14" s="230"/>
      <c r="K14" s="234"/>
      <c r="L14" s="105">
        <v>60000</v>
      </c>
      <c r="M14" s="123"/>
      <c r="N14" s="123"/>
      <c r="O14" s="124"/>
      <c r="P14" s="22"/>
    </row>
    <row r="15" spans="2:47" ht="25" customHeight="1" x14ac:dyDescent="0.15">
      <c r="B15" s="21"/>
      <c r="C15" s="97">
        <v>6</v>
      </c>
      <c r="D15" s="98"/>
      <c r="E15" s="230" t="s">
        <v>30</v>
      </c>
      <c r="F15" s="230"/>
      <c r="G15" s="230"/>
      <c r="H15" s="230"/>
      <c r="I15" s="230"/>
      <c r="J15" s="230"/>
      <c r="K15" s="234"/>
      <c r="L15" s="106">
        <v>56000</v>
      </c>
      <c r="M15" s="123"/>
      <c r="N15" s="123"/>
      <c r="O15" s="124"/>
      <c r="P15" s="22"/>
      <c r="Q15" s="71"/>
    </row>
    <row r="16" spans="2:47" ht="25" customHeight="1" x14ac:dyDescent="0.15">
      <c r="B16" s="21"/>
      <c r="C16" s="97">
        <v>7</v>
      </c>
      <c r="D16" s="98"/>
      <c r="E16" s="230" t="s">
        <v>3</v>
      </c>
      <c r="F16" s="230"/>
      <c r="G16" s="230"/>
      <c r="H16" s="230"/>
      <c r="I16" s="230"/>
      <c r="J16" s="230"/>
      <c r="K16" s="234"/>
      <c r="L16" s="107">
        <v>800</v>
      </c>
      <c r="M16" s="123"/>
      <c r="N16" s="123"/>
      <c r="O16" s="124"/>
      <c r="P16" s="22"/>
      <c r="Q16" s="71"/>
    </row>
    <row r="17" spans="2:18" ht="25" customHeight="1" x14ac:dyDescent="0.15">
      <c r="B17" s="21"/>
      <c r="C17" s="97" t="str">
        <f>IF(E8="Мини-кафе", 8,"-")</f>
        <v>-</v>
      </c>
      <c r="D17" s="98"/>
      <c r="E17" s="230" t="str">
        <f>IF(E8="Мини-кафе", "Ремонт","-")</f>
        <v>-</v>
      </c>
      <c r="F17" s="230"/>
      <c r="G17" s="230"/>
      <c r="H17" s="230"/>
      <c r="I17" s="230"/>
      <c r="J17" s="230"/>
      <c r="K17" s="234"/>
      <c r="L17" s="175" t="str">
        <f>IF(E8="Мини-кафе",800000,"")</f>
        <v/>
      </c>
      <c r="M17" s="123"/>
      <c r="N17" s="123"/>
      <c r="O17" s="124"/>
      <c r="P17" s="22"/>
      <c r="Q17" s="71"/>
    </row>
    <row r="18" spans="2:18" ht="25" customHeight="1" x14ac:dyDescent="0.15">
      <c r="B18" s="21"/>
      <c r="C18" s="97" t="str">
        <f>IF(E8="Мини-кафе", 9,"-")</f>
        <v>-</v>
      </c>
      <c r="D18" s="98"/>
      <c r="E18" s="230" t="str">
        <f>IF(E8="Мини-кафе", "Мебель","-")</f>
        <v>-</v>
      </c>
      <c r="F18" s="230"/>
      <c r="G18" s="230"/>
      <c r="H18" s="230"/>
      <c r="I18" s="230"/>
      <c r="J18" s="230"/>
      <c r="K18" s="234"/>
      <c r="L18" s="176" t="str">
        <f>IF(E8="Мини-кафе",150000,"")</f>
        <v/>
      </c>
      <c r="M18" s="123"/>
      <c r="N18" s="123"/>
      <c r="O18" s="124"/>
      <c r="P18" s="22"/>
      <c r="Q18" s="71"/>
      <c r="R18" s="127"/>
    </row>
    <row r="19" spans="2:18" ht="25" customHeight="1" x14ac:dyDescent="0.15">
      <c r="B19" s="21"/>
      <c r="C19" s="96"/>
      <c r="D19" s="100"/>
      <c r="E19" s="250" t="s">
        <v>64</v>
      </c>
      <c r="F19" s="250"/>
      <c r="G19" s="250"/>
      <c r="H19" s="250"/>
      <c r="I19" s="250"/>
      <c r="J19" s="250"/>
      <c r="K19" s="251"/>
      <c r="L19" s="178">
        <f>SUM(L7:L18)-L9</f>
        <v>1495792</v>
      </c>
      <c r="M19" s="125"/>
      <c r="N19" s="125"/>
      <c r="O19" s="126"/>
      <c r="P19" s="22"/>
    </row>
    <row r="20" spans="2:18" ht="35" customHeight="1" thickBot="1" x14ac:dyDescent="0.2">
      <c r="B20" s="23"/>
      <c r="C20" s="95"/>
      <c r="D20" s="95"/>
      <c r="E20" s="11"/>
      <c r="F20" s="11"/>
      <c r="G20" s="11"/>
      <c r="H20" s="11"/>
      <c r="I20" s="11"/>
      <c r="J20" s="11"/>
      <c r="K20" s="11"/>
      <c r="L20" s="24"/>
      <c r="M20" s="24"/>
      <c r="N20" s="24"/>
      <c r="O20" s="25"/>
      <c r="P20" s="26"/>
    </row>
  </sheetData>
  <mergeCells count="15">
    <mergeCell ref="E3:O3"/>
    <mergeCell ref="E19:K19"/>
    <mergeCell ref="E12:K12"/>
    <mergeCell ref="E13:K13"/>
    <mergeCell ref="E15:K15"/>
    <mergeCell ref="E9:K9"/>
    <mergeCell ref="E10:K10"/>
    <mergeCell ref="E11:K11"/>
    <mergeCell ref="E18:K18"/>
    <mergeCell ref="D6:K6"/>
    <mergeCell ref="E14:K14"/>
    <mergeCell ref="E16:K16"/>
    <mergeCell ref="E8:K8"/>
    <mergeCell ref="E7:K7"/>
    <mergeCell ref="E17:K17"/>
  </mergeCells>
  <conditionalFormatting sqref="L7:L15 L17:L18">
    <cfRule type="dataBar" priority="4">
      <dataBar>
        <cfvo type="min"/>
        <cfvo type="max"/>
        <color rgb="FFF21F2E"/>
      </dataBar>
      <extLst>
        <ext xmlns:x14="http://schemas.microsoft.com/office/spreadsheetml/2009/9/main" uri="{B025F937-C7B1-47D3-B67F-A62EFF666E3E}">
          <x14:id>{89D0DFBC-4B91-6745-8487-A7859E89EE9A}</x14:id>
        </ext>
      </extLst>
    </cfRule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{1C18AD5B-440E-9547-8D45-4422494FE553}</x14:id>
        </ext>
      </extLst>
    </cfRule>
  </conditionalFormatting>
  <conditionalFormatting sqref="L16">
    <cfRule type="dataBar" priority="2">
      <dataBar>
        <cfvo type="min"/>
        <cfvo type="max"/>
        <color rgb="FFF21F2E"/>
      </dataBar>
      <extLst>
        <ext xmlns:x14="http://schemas.microsoft.com/office/spreadsheetml/2009/9/main" uri="{B025F937-C7B1-47D3-B67F-A62EFF666E3E}">
          <x14:id>{343BAE9C-5BE4-764D-91B9-C79FAE37530A}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{88C7A857-6746-654D-B949-84096CCFF12A}</x14:id>
        </ext>
      </extLst>
    </cfRule>
  </conditionalFormatting>
  <conditionalFormatting sqref="L7:L18">
    <cfRule type="dataBar" priority="1">
      <dataBar>
        <cfvo type="min"/>
        <cfvo type="max"/>
        <color rgb="FFF21F2E"/>
      </dataBar>
      <extLst>
        <ext xmlns:x14="http://schemas.microsoft.com/office/spreadsheetml/2009/9/main" uri="{B025F937-C7B1-47D3-B67F-A62EFF666E3E}">
          <x14:id>{8C5176D8-BE21-8C45-813C-69088FD08655}</x14:id>
        </ext>
      </extLst>
    </cfRule>
  </conditionalFormatting>
  <dataValidations count="1">
    <dataValidation type="list" allowBlank="1" showInputMessage="1" showErrorMessage="1" sqref="M20:N20" xr:uid="{00000000-0002-0000-0200-000000000000}">
      <formula1>"ЕНВД, УСН 6%"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D0DFBC-4B91-6745-8487-A7859E89EE9A}">
            <x14:dataBar minLength="0" maxLength="100" gradient="0" negativeBarColorSameAsPositive="1">
              <x14:cfvo type="autoMin"/>
              <x14:cfvo type="autoMax"/>
              <x14:axisColor rgb="FF000000"/>
            </x14:dataBar>
          </x14:cfRule>
          <x14:cfRule type="dataBar" id="{1C18AD5B-440E-9547-8D45-4422494FE5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L7:L15 L17:L18</xm:sqref>
        </x14:conditionalFormatting>
        <x14:conditionalFormatting xmlns:xm="http://schemas.microsoft.com/office/excel/2006/main">
          <x14:cfRule type="dataBar" id="{343BAE9C-5BE4-764D-91B9-C79FAE37530A}">
            <x14:dataBar minLength="0" maxLength="100" gradient="0" negativeBarColorSameAsPositive="1">
              <x14:cfvo type="autoMin"/>
              <x14:cfvo type="autoMax"/>
              <x14:axisColor rgb="FF000000"/>
            </x14:dataBar>
          </x14:cfRule>
          <x14:cfRule type="dataBar" id="{88C7A857-6746-654D-B949-84096CCFF1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8C5176D8-BE21-8C45-813C-69088FD08655}">
            <x14:dataBar minLength="0" maxLength="100" gradient="0" negativeBarColorSameAsPositive="1">
              <x14:cfvo type="autoMin"/>
              <x14:cfvo type="autoMax"/>
              <x14:axisColor rgb="FF000000"/>
            </x14:dataBar>
          </x14:cfRule>
          <xm:sqref>L7:L18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tabColor rgb="FFFFCF01"/>
  </sheetPr>
  <dimension ref="A1:M9"/>
  <sheetViews>
    <sheetView showGridLines="0" workbookViewId="0">
      <selection activeCell="E9" sqref="E9"/>
    </sheetView>
  </sheetViews>
  <sheetFormatPr baseColWidth="10" defaultColWidth="8.83203125" defaultRowHeight="15" x14ac:dyDescent="0.2"/>
  <cols>
    <col min="3" max="3" width="6" customWidth="1"/>
    <col min="4" max="4" width="42.6640625" customWidth="1"/>
    <col min="5" max="5" width="27.5" customWidth="1"/>
  </cols>
  <sheetData>
    <row r="1" spans="1:13" ht="28.5" customHeight="1" x14ac:dyDescent="0.2">
      <c r="A1" s="2"/>
      <c r="B1" s="2"/>
      <c r="C1" s="260" t="s">
        <v>26</v>
      </c>
      <c r="D1" s="260"/>
      <c r="E1" s="260"/>
    </row>
    <row r="2" spans="1:13" s="1" customFormat="1" ht="9" customHeight="1" x14ac:dyDescent="0.2">
      <c r="A2" s="2"/>
      <c r="B2" s="2"/>
      <c r="C2" s="4"/>
      <c r="D2" s="4"/>
      <c r="E2" s="4"/>
    </row>
    <row r="3" spans="1:13" x14ac:dyDescent="0.2">
      <c r="A3" s="2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3" ht="21" customHeight="1" x14ac:dyDescent="0.2">
      <c r="A4" s="2"/>
      <c r="B4" s="2"/>
      <c r="C4" s="259" t="s">
        <v>21</v>
      </c>
      <c r="D4" s="259"/>
      <c r="E4" s="5">
        <f>IF('Исходные данные'!K14="Июль", 0.7, IF('Исходные данные'!K14="Июнь", 0.7, IF('Исходные данные'!K14="Август", 0.7, 1)))</f>
        <v>1</v>
      </c>
      <c r="F4" s="3"/>
      <c r="G4" s="3"/>
      <c r="H4" s="3"/>
      <c r="I4" s="3"/>
      <c r="J4" s="3"/>
      <c r="K4" s="3"/>
      <c r="L4" s="3"/>
      <c r="M4" s="3"/>
    </row>
    <row r="5" spans="1:13" ht="41.25" customHeight="1" x14ac:dyDescent="0.2">
      <c r="A5" s="2"/>
      <c r="B5" s="2"/>
      <c r="C5" s="261" t="s">
        <v>22</v>
      </c>
      <c r="D5" s="261"/>
      <c r="E5" s="5">
        <f>IF('Исходные данные'!K10="до 500 тыс. чел.", 1, IF('Исходные данные'!K10="от 1 млн. чел.", 1.1, 1.2))</f>
        <v>1.2</v>
      </c>
      <c r="F5" s="3"/>
      <c r="G5" s="3"/>
      <c r="H5" s="3"/>
      <c r="I5" s="3"/>
      <c r="J5" s="3"/>
      <c r="K5" s="3"/>
      <c r="L5" s="3"/>
      <c r="M5" s="3"/>
    </row>
    <row r="6" spans="1:13" ht="21" customHeight="1" x14ac:dyDescent="0.2">
      <c r="A6" s="2"/>
      <c r="B6" s="2"/>
      <c r="C6" s="259" t="s">
        <v>23</v>
      </c>
      <c r="D6" s="259"/>
      <c r="E6" s="6">
        <f>IF('Исходные данные'!K9="Павильон без зоны ожидания", 0.8, IF('Исходные данные'!K9="Павильон с зоной ожидания", 1, 1.1))</f>
        <v>1.1000000000000001</v>
      </c>
      <c r="F6" s="3"/>
      <c r="G6" s="3"/>
      <c r="H6" s="3"/>
      <c r="I6" s="3"/>
      <c r="J6" s="3"/>
      <c r="K6" s="3"/>
      <c r="L6" s="3"/>
      <c r="M6" s="3"/>
    </row>
    <row r="7" spans="1:13" ht="27.75" customHeight="1" x14ac:dyDescent="0.2">
      <c r="A7" s="2"/>
      <c r="B7" s="2"/>
      <c r="C7" s="259" t="s">
        <v>24</v>
      </c>
      <c r="D7" s="259"/>
      <c r="E7" s="6" t="str">
        <f>'Исходные данные'!K12</f>
        <v>Март</v>
      </c>
      <c r="F7" s="3"/>
      <c r="G7" s="3"/>
      <c r="H7" s="3"/>
      <c r="I7" s="3"/>
      <c r="J7" s="3"/>
      <c r="K7" s="3"/>
      <c r="L7" s="3"/>
      <c r="M7" s="3"/>
    </row>
    <row r="8" spans="1:13" ht="40.5" customHeight="1" x14ac:dyDescent="0.2">
      <c r="A8" s="2"/>
      <c r="B8" s="2"/>
      <c r="C8" s="259" t="s">
        <v>27</v>
      </c>
      <c r="D8" s="259"/>
      <c r="E8" s="6">
        <f>2800*E4*E5*E6</f>
        <v>3696.0000000000005</v>
      </c>
      <c r="F8" s="3"/>
      <c r="G8" s="3"/>
      <c r="H8" s="3"/>
      <c r="I8" s="3"/>
      <c r="J8" s="3"/>
      <c r="K8" s="3"/>
      <c r="L8" s="3"/>
      <c r="M8" s="3"/>
    </row>
    <row r="9" spans="1:13" ht="38.25" customHeight="1" x14ac:dyDescent="0.2">
      <c r="C9" s="258" t="s">
        <v>25</v>
      </c>
      <c r="D9" s="258"/>
      <c r="E9" s="7" t="e">
        <f>2800*E4*E5*E6*E7</f>
        <v>#VALUE!</v>
      </c>
    </row>
  </sheetData>
  <mergeCells count="7">
    <mergeCell ref="C9:D9"/>
    <mergeCell ref="C8:D8"/>
    <mergeCell ref="C1:E1"/>
    <mergeCell ref="C4:D4"/>
    <mergeCell ref="C5:D5"/>
    <mergeCell ref="C6:D6"/>
    <mergeCell ref="C7:D7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outlinePr summaryBelow="0" summaryRight="0"/>
  </sheetPr>
  <dimension ref="B1:BJ107"/>
  <sheetViews>
    <sheetView showGridLines="0" zoomScaleNormal="100" workbookViewId="0">
      <selection activeCell="G13" sqref="G13"/>
    </sheetView>
  </sheetViews>
  <sheetFormatPr baseColWidth="10" defaultColWidth="8.83203125" defaultRowHeight="14" outlineLevelRow="1" outlineLevelCol="1" x14ac:dyDescent="0.15"/>
  <cols>
    <col min="1" max="2" width="3.33203125" style="8" customWidth="1"/>
    <col min="3" max="3" width="39.83203125" style="90" customWidth="1"/>
    <col min="4" max="4" width="14" style="90" customWidth="1"/>
    <col min="5" max="16" width="12.33203125" style="8" customWidth="1"/>
    <col min="17" max="17" width="15.1640625" style="8" customWidth="1"/>
    <col min="18" max="18" width="15.1640625" style="8" customWidth="1" collapsed="1"/>
    <col min="19" max="27" width="12.33203125" style="8" hidden="1" customWidth="1" outlineLevel="1"/>
    <col min="28" max="28" width="12.1640625" style="8" hidden="1" customWidth="1" outlineLevel="1"/>
    <col min="29" max="29" width="15.1640625" style="8" hidden="1" customWidth="1" outlineLevel="1"/>
    <col min="30" max="30" width="13.5" style="8" hidden="1" customWidth="1" outlineLevel="1"/>
    <col min="31" max="31" width="3.33203125" style="8" customWidth="1"/>
    <col min="32" max="32" width="181.83203125" style="8" customWidth="1"/>
    <col min="33" max="44" width="8.83203125" style="207"/>
    <col min="45" max="16384" width="8.83203125" style="8"/>
  </cols>
  <sheetData>
    <row r="1" spans="2:45" ht="20" customHeight="1" thickBot="1" x14ac:dyDescent="0.2"/>
    <row r="2" spans="2:45" x14ac:dyDescent="0.15">
      <c r="B2" s="12"/>
      <c r="C2" s="91"/>
      <c r="D2" s="9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3"/>
    </row>
    <row r="3" spans="2:45" s="14" customFormat="1" ht="28" customHeight="1" x14ac:dyDescent="0.15">
      <c r="B3" s="52"/>
      <c r="C3" s="92"/>
      <c r="D3" s="92"/>
      <c r="E3" s="232" t="s">
        <v>68</v>
      </c>
      <c r="F3" s="232"/>
      <c r="G3" s="232"/>
      <c r="H3" s="232"/>
      <c r="I3" s="232"/>
      <c r="J3" s="232"/>
      <c r="K3" s="233"/>
      <c r="L3" s="233"/>
      <c r="M3" s="233"/>
      <c r="N3" s="233"/>
      <c r="O3" s="233"/>
      <c r="P3" s="233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53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</row>
    <row r="4" spans="2:45" s="14" customFormat="1" ht="5" customHeight="1" x14ac:dyDescent="0.15">
      <c r="B4" s="86"/>
      <c r="C4" s="93"/>
      <c r="D4" s="93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2:45" s="130" customFormat="1" ht="20" customHeight="1" x14ac:dyDescent="0.2">
      <c r="B5" s="128"/>
      <c r="C5" s="129"/>
      <c r="D5" s="129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8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</row>
    <row r="6" spans="2:45" s="146" customFormat="1" ht="18" customHeight="1" x14ac:dyDescent="0.2">
      <c r="B6" s="144"/>
      <c r="C6" s="262" t="s">
        <v>69</v>
      </c>
      <c r="D6" s="162" t="s">
        <v>82</v>
      </c>
      <c r="E6" s="188">
        <f>DATEVALUE('Исходные данные'!R12)</f>
        <v>43893</v>
      </c>
      <c r="F6" s="188">
        <f>E6+31</f>
        <v>43924</v>
      </c>
      <c r="G6" s="188">
        <f t="shared" ref="G6:O6" si="0">F6+31</f>
        <v>43955</v>
      </c>
      <c r="H6" s="188">
        <f t="shared" si="0"/>
        <v>43986</v>
      </c>
      <c r="I6" s="188">
        <f t="shared" si="0"/>
        <v>44017</v>
      </c>
      <c r="J6" s="188">
        <f t="shared" si="0"/>
        <v>44048</v>
      </c>
      <c r="K6" s="188">
        <f t="shared" si="0"/>
        <v>44079</v>
      </c>
      <c r="L6" s="188">
        <f t="shared" si="0"/>
        <v>44110</v>
      </c>
      <c r="M6" s="188">
        <f t="shared" si="0"/>
        <v>44141</v>
      </c>
      <c r="N6" s="188">
        <f t="shared" si="0"/>
        <v>44172</v>
      </c>
      <c r="O6" s="188">
        <f t="shared" si="0"/>
        <v>44203</v>
      </c>
      <c r="P6" s="188">
        <f>O6+31</f>
        <v>44234</v>
      </c>
      <c r="Q6" s="161" t="s">
        <v>84</v>
      </c>
      <c r="R6" s="163" t="s">
        <v>85</v>
      </c>
      <c r="S6" s="188">
        <f>P6+31</f>
        <v>44265</v>
      </c>
      <c r="T6" s="188">
        <f>S6+31</f>
        <v>44296</v>
      </c>
      <c r="U6" s="188">
        <f t="shared" ref="U6:AD6" si="1">T6+31</f>
        <v>44327</v>
      </c>
      <c r="V6" s="188">
        <f t="shared" si="1"/>
        <v>44358</v>
      </c>
      <c r="W6" s="188">
        <f t="shared" si="1"/>
        <v>44389</v>
      </c>
      <c r="X6" s="188">
        <f t="shared" si="1"/>
        <v>44420</v>
      </c>
      <c r="Y6" s="188">
        <f t="shared" si="1"/>
        <v>44451</v>
      </c>
      <c r="Z6" s="188">
        <f t="shared" si="1"/>
        <v>44482</v>
      </c>
      <c r="AA6" s="188">
        <f t="shared" si="1"/>
        <v>44513</v>
      </c>
      <c r="AB6" s="188">
        <f t="shared" si="1"/>
        <v>44544</v>
      </c>
      <c r="AC6" s="188">
        <f t="shared" si="1"/>
        <v>44575</v>
      </c>
      <c r="AD6" s="188">
        <f t="shared" si="1"/>
        <v>44606</v>
      </c>
      <c r="AE6" s="145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</row>
    <row r="7" spans="2:45" s="130" customFormat="1" ht="18" customHeight="1" x14ac:dyDescent="0.2">
      <c r="B7" s="128"/>
      <c r="C7" s="262"/>
      <c r="D7" s="142" t="s">
        <v>71</v>
      </c>
      <c r="E7" s="156">
        <f>E8*E9*E10*E101</f>
        <v>584312.60159999994</v>
      </c>
      <c r="F7" s="156">
        <f t="shared" ref="F7:P7" si="2">F8*F9*F10*F101</f>
        <v>848195.71199999982</v>
      </c>
      <c r="G7" s="156">
        <f t="shared" si="2"/>
        <v>1104716.0124000001</v>
      </c>
      <c r="H7" s="156">
        <f t="shared" si="2"/>
        <v>1111843.2124800002</v>
      </c>
      <c r="I7" s="156">
        <f t="shared" si="2"/>
        <v>798682.28731199994</v>
      </c>
      <c r="J7" s="156">
        <f t="shared" si="2"/>
        <v>1022547.0528000001</v>
      </c>
      <c r="K7" s="156">
        <f t="shared" si="2"/>
        <v>1024903.152</v>
      </c>
      <c r="L7" s="156">
        <f t="shared" si="2"/>
        <v>1095586.128</v>
      </c>
      <c r="M7" s="156">
        <f t="shared" si="2"/>
        <v>1095586.1279999998</v>
      </c>
      <c r="N7" s="156">
        <f t="shared" si="2"/>
        <v>1168625.2031999999</v>
      </c>
      <c r="O7" s="156">
        <f t="shared" si="2"/>
        <v>1205144.7407999998</v>
      </c>
      <c r="P7" s="156">
        <f t="shared" si="2"/>
        <v>908417.60755199974</v>
      </c>
      <c r="Q7" s="177">
        <f>SUM(E7:P7)</f>
        <v>11968559.838143997</v>
      </c>
      <c r="R7" s="196">
        <f>SUM(S7:AD7)</f>
        <v>16703282.546496002</v>
      </c>
      <c r="S7" s="156">
        <f>S8*S9*S10*S101</f>
        <v>1278183.8159999999</v>
      </c>
      <c r="T7" s="156">
        <f t="shared" ref="T7:AD7" si="3">T8*T9*T10*T101</f>
        <v>1272293.568</v>
      </c>
      <c r="U7" s="156">
        <f t="shared" si="3"/>
        <v>1634979.6983520002</v>
      </c>
      <c r="V7" s="156">
        <f t="shared" si="3"/>
        <v>1625001.6182400002</v>
      </c>
      <c r="W7" s="156">
        <f t="shared" si="3"/>
        <v>1153652.1927839997</v>
      </c>
      <c r="X7" s="156">
        <f t="shared" si="3"/>
        <v>1460781.504</v>
      </c>
      <c r="Y7" s="156">
        <f t="shared" si="3"/>
        <v>1413659.52</v>
      </c>
      <c r="Z7" s="156">
        <f t="shared" si="3"/>
        <v>1460781.504</v>
      </c>
      <c r="AA7" s="156">
        <f t="shared" si="3"/>
        <v>1413659.52</v>
      </c>
      <c r="AB7" s="156">
        <f t="shared" si="3"/>
        <v>1460781.504</v>
      </c>
      <c r="AC7" s="156">
        <f t="shared" si="3"/>
        <v>1460781.504</v>
      </c>
      <c r="AD7" s="156">
        <f t="shared" si="3"/>
        <v>1068726.59712</v>
      </c>
      <c r="AE7" s="138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</row>
    <row r="8" spans="2:45" s="130" customFormat="1" ht="18" customHeight="1" x14ac:dyDescent="0.2">
      <c r="B8" s="128"/>
      <c r="C8" s="143" t="s">
        <v>81</v>
      </c>
      <c r="D8" s="184">
        <f>IF(AND('Исходные данные'!K16&gt;10,'Исходные данные'!K16&lt;25),
IF('Исходные данные'!K16=11,10+(1*0.5),
IF('Исходные данные'!K16=12,10+(2*0.5),
IF('Исходные данные'!K16=13,10+(3*0.5),
IF('Исходные данные'!K16=14,10+(4*0.5),
IF('Исходные данные'!K16=15,14+(1*0.25),
IF('Исходные данные'!K16=16,14+(2*0.25),
IF('Исходные данные'!K16=17,14+(3*0.25),
IF('Исходные данные'!K16=18,14+(4*0.25),
IF('Исходные данные'!K16=19,14+(5*0.25),
IF('Исходные данные'!K16=20,14+(6*0.25),
IF('Исходные данные'!K16=21,14+(7*0.25),
IF('Исходные данные'!K16=22,14+(8*0.25),
IF('Исходные данные'!K16=23,14+(9*0.25),
IF('Исходные данные'!K16=24,14+(10*0.25),'Исходные данные'!K16)))))))))))))))</f>
        <v>12</v>
      </c>
      <c r="E8" s="153">
        <f>$D$8*'Исходные данные'!$K$18*E10*E104</f>
        <v>103.56479999999999</v>
      </c>
      <c r="F8" s="153">
        <f>$D$8*'Исходные данные'!$K$18*F10*F104</f>
        <v>155.34719999999999</v>
      </c>
      <c r="G8" s="153">
        <f>$D$8*'Исходные данные'!$K$18*G10*G104</f>
        <v>178.00200000000001</v>
      </c>
      <c r="H8" s="153">
        <f>$D$8*'Исходные данные'!$K$18*H10*H104</f>
        <v>185.12208000000001</v>
      </c>
      <c r="I8" s="153">
        <f>$D$8*'Исходные данные'!$K$18*I10*I104</f>
        <v>157.28904</v>
      </c>
      <c r="J8" s="153">
        <f>$D$8*'Исходные данные'!$K$18*J10*J104</f>
        <v>181.23839999999998</v>
      </c>
      <c r="K8" s="153">
        <f>$D$8*'Исходные данные'!$K$18*K10*K104</f>
        <v>187.71119999999999</v>
      </c>
      <c r="L8" s="153">
        <f>$D$8*'Исходные данные'!$K$18*L10*L104</f>
        <v>194.18399999999997</v>
      </c>
      <c r="M8" s="153">
        <f>$D$8*'Исходные данные'!$K$18*M10*M104</f>
        <v>200.65679999999998</v>
      </c>
      <c r="N8" s="153">
        <f>$D$8*'Исходные данные'!$K$18*N10*N104</f>
        <v>207.12959999999998</v>
      </c>
      <c r="O8" s="153">
        <f>$D$8*'Исходные данные'!$K$18*O10*O104</f>
        <v>213.60239999999996</v>
      </c>
      <c r="P8" s="153">
        <f>$D$8*'Исходные данные'!$K$18*P10*P104</f>
        <v>198.06767999999997</v>
      </c>
      <c r="Q8" s="170">
        <f>AVERAGE(E8:P8)</f>
        <v>180.15959999999998</v>
      </c>
      <c r="R8" s="204">
        <f>AVERAGE(S8:AD8)</f>
        <v>250.60523999999995</v>
      </c>
      <c r="S8" s="153">
        <f>$D$8*'Исходные данные'!$K$18*S10*S104</f>
        <v>226.54799999999997</v>
      </c>
      <c r="T8" s="153">
        <f>$D$8*'Исходные данные'!$K$18*T10*T104</f>
        <v>233.02079999999998</v>
      </c>
      <c r="U8" s="153">
        <f>$D$8*'Исходные данные'!$K$18*U10*U104</f>
        <v>263.44296000000003</v>
      </c>
      <c r="V8" s="153">
        <f>$D$8*'Исходные данные'!$K$18*V10*V104</f>
        <v>270.56304</v>
      </c>
      <c r="W8" s="153">
        <f>$D$8*'Исходные данные'!$K$18*W10*W104</f>
        <v>227.19527999999997</v>
      </c>
      <c r="X8" s="153">
        <f>$D$8*'Исходные данные'!$K$18*X10*X104</f>
        <v>258.91199999999998</v>
      </c>
      <c r="Y8" s="153">
        <f>$D$8*'Исходные данные'!$K$18*Y10*Y104</f>
        <v>258.91199999999998</v>
      </c>
      <c r="Z8" s="153">
        <f>$D$8*'Исходные данные'!$K$18*Z10*Z104</f>
        <v>258.91199999999998</v>
      </c>
      <c r="AA8" s="153">
        <f>$D$8*'Исходные данные'!$K$18*AA10*AA104</f>
        <v>258.91199999999998</v>
      </c>
      <c r="AB8" s="153">
        <f>$D$8*'Исходные данные'!$K$18*AB10*AB104</f>
        <v>258.91199999999998</v>
      </c>
      <c r="AC8" s="153">
        <f>$D$8*'Исходные данные'!$K$18*AC10*AC104</f>
        <v>258.91199999999998</v>
      </c>
      <c r="AD8" s="153">
        <f>$D$8*'Исходные данные'!$K$18*AD10*AD104</f>
        <v>233.02079999999998</v>
      </c>
      <c r="AE8" s="138"/>
      <c r="AG8" s="209">
        <f>IF(OR(MONTH(E6)=2,MONTH(E6)=7),0.9,IF(OR(MONTH(E6)=5,MONTH(E6)=6),1.1,1))</f>
        <v>1</v>
      </c>
      <c r="AH8" s="209">
        <f t="shared" ref="AH8:AR8" si="4">IF(OR(MONTH(F6)=2,MONTH(F6)=7),0.9,IF(OR(MONTH(F6)=5,MONTH(F6)=6),1.1,1))</f>
        <v>1</v>
      </c>
      <c r="AI8" s="209">
        <f t="shared" si="4"/>
        <v>1.1000000000000001</v>
      </c>
      <c r="AJ8" s="209">
        <f t="shared" si="4"/>
        <v>1.1000000000000001</v>
      </c>
      <c r="AK8" s="209">
        <f t="shared" si="4"/>
        <v>0.9</v>
      </c>
      <c r="AL8" s="209">
        <f t="shared" si="4"/>
        <v>1</v>
      </c>
      <c r="AM8" s="209">
        <f t="shared" si="4"/>
        <v>1</v>
      </c>
      <c r="AN8" s="209">
        <f t="shared" si="4"/>
        <v>1</v>
      </c>
      <c r="AO8" s="209">
        <f t="shared" si="4"/>
        <v>1</v>
      </c>
      <c r="AP8" s="209">
        <f t="shared" si="4"/>
        <v>1</v>
      </c>
      <c r="AQ8" s="209">
        <f t="shared" si="4"/>
        <v>1</v>
      </c>
      <c r="AR8" s="209">
        <f t="shared" si="4"/>
        <v>0.9</v>
      </c>
    </row>
    <row r="9" spans="2:45" s="151" customFormat="1" ht="18" customHeight="1" x14ac:dyDescent="0.2">
      <c r="B9" s="148"/>
      <c r="C9" s="158" t="s">
        <v>70</v>
      </c>
      <c r="D9" s="186"/>
      <c r="E9" s="149">
        <f>'Исходные данные'!$K$19</f>
        <v>182</v>
      </c>
      <c r="F9" s="149">
        <f>'Исходные данные'!$K$19</f>
        <v>182</v>
      </c>
      <c r="G9" s="149">
        <f>'Исходные данные'!$K$19</f>
        <v>182</v>
      </c>
      <c r="H9" s="149">
        <f>'Исходные данные'!$K$19</f>
        <v>182</v>
      </c>
      <c r="I9" s="149">
        <f>'Исходные данные'!$K$19</f>
        <v>182</v>
      </c>
      <c r="J9" s="149">
        <f>'Исходные данные'!$K$19</f>
        <v>182</v>
      </c>
      <c r="K9" s="149">
        <f>'Исходные данные'!$K$19</f>
        <v>182</v>
      </c>
      <c r="L9" s="149">
        <f>'Исходные данные'!$K$19</f>
        <v>182</v>
      </c>
      <c r="M9" s="149">
        <f>'Исходные данные'!$K$19</f>
        <v>182</v>
      </c>
      <c r="N9" s="149">
        <f>'Исходные данные'!$K$19</f>
        <v>182</v>
      </c>
      <c r="O9" s="149">
        <f>'Исходные данные'!$K$19</f>
        <v>182</v>
      </c>
      <c r="P9" s="149">
        <f>'Исходные данные'!$K$19</f>
        <v>182</v>
      </c>
      <c r="Q9" s="203"/>
      <c r="R9" s="204"/>
      <c r="S9" s="149">
        <f>'Исходные данные'!$K$19</f>
        <v>182</v>
      </c>
      <c r="T9" s="149">
        <f>'Исходные данные'!$K$19</f>
        <v>182</v>
      </c>
      <c r="U9" s="149">
        <f>'Исходные данные'!$K$19</f>
        <v>182</v>
      </c>
      <c r="V9" s="149">
        <f>'Исходные данные'!$K$19</f>
        <v>182</v>
      </c>
      <c r="W9" s="149">
        <f>'Исходные данные'!$K$19</f>
        <v>182</v>
      </c>
      <c r="X9" s="149">
        <f>'Исходные данные'!$K$19</f>
        <v>182</v>
      </c>
      <c r="Y9" s="149">
        <f>'Исходные данные'!$K$19</f>
        <v>182</v>
      </c>
      <c r="Z9" s="149">
        <f>'Исходные данные'!$K$19</f>
        <v>182</v>
      </c>
      <c r="AA9" s="149">
        <f>'Исходные данные'!$K$19</f>
        <v>182</v>
      </c>
      <c r="AB9" s="149">
        <f>'Исходные данные'!$K$19</f>
        <v>182</v>
      </c>
      <c r="AC9" s="149">
        <f>'Исходные данные'!$K$19</f>
        <v>182</v>
      </c>
      <c r="AD9" s="149">
        <f>'Исходные данные'!$K$19</f>
        <v>182</v>
      </c>
      <c r="AE9" s="150"/>
      <c r="AG9" s="209">
        <f>IF(OR(MONTH(E6)=2,MONTH(E6)=7),0.9,IF(OR(MONTH(E6)=5,MONTH(E6)=6,MONTH(E6)=9),1.1,IF(OR(MONTH(E6)=8,MONTH(E6)=3),1,1.05)))</f>
        <v>1</v>
      </c>
      <c r="AH9" s="209">
        <f>IF(OR(MONTH(F6)=2,MONTH(F6)=7),0.9,IF(OR(MONTH(F6)=5,MONTH(F6)=6,MONTH(F6)=9),1.1,IF(OR(MONTH(F6)=8,MONTH(F6)=3),1,1.05)))</f>
        <v>1.05</v>
      </c>
      <c r="AI9" s="209">
        <f t="shared" ref="AI9:AR9" si="5">IF(OR(MONTH(G6)=2,MONTH(G6)=7),0.9,IF(OR(MONTH(G6)=5,MONTH(G6)=6,MONTH(G6)=9),1.1,IF(OR(MONTH(G6)=8,MONTH(G6)=3),1,1.05)))</f>
        <v>1.1000000000000001</v>
      </c>
      <c r="AJ9" s="209">
        <f t="shared" si="5"/>
        <v>1.1000000000000001</v>
      </c>
      <c r="AK9" s="209">
        <f t="shared" si="5"/>
        <v>0.9</v>
      </c>
      <c r="AL9" s="209">
        <f t="shared" si="5"/>
        <v>1</v>
      </c>
      <c r="AM9" s="209">
        <f t="shared" si="5"/>
        <v>1.1000000000000001</v>
      </c>
      <c r="AN9" s="209">
        <f t="shared" si="5"/>
        <v>1.05</v>
      </c>
      <c r="AO9" s="209">
        <f t="shared" si="5"/>
        <v>1.05</v>
      </c>
      <c r="AP9" s="209">
        <f t="shared" si="5"/>
        <v>1.05</v>
      </c>
      <c r="AQ9" s="209">
        <f t="shared" si="5"/>
        <v>1.05</v>
      </c>
      <c r="AR9" s="209">
        <f t="shared" si="5"/>
        <v>0.9</v>
      </c>
      <c r="AS9" s="130"/>
    </row>
    <row r="10" spans="2:45" s="130" customFormat="1" ht="18" customHeight="1" outlineLevel="1" x14ac:dyDescent="0.2">
      <c r="B10" s="128"/>
      <c r="C10" s="143" t="s">
        <v>16</v>
      </c>
      <c r="D10" s="141"/>
      <c r="E10" s="152">
        <f>IF('Исходные данные'!$K$9='Исходные данные'!$Y$9,'Финансовая модель'!AG8,IF('Исходные данные'!$K$9='Исходные данные'!$Y$10,'Финансовая модель'!AG9,IF('Исходные данные'!$K$9='Исходные данные'!$Y$12,'Финансовая модель'!AG11, IF('Исходные данные'!$K$9='Исходные данные'!$Y$12,'Финансовая модель'!AG11, 'Финансовая модель'!AG12))))</f>
        <v>1</v>
      </c>
      <c r="F10" s="152">
        <f>IF('Исходные данные'!$K$9='Исходные данные'!$Y$9,'Финансовая модель'!AH8,IF('Исходные данные'!$K$9='Исходные данные'!$Y$10,'Финансовая модель'!AH9,IF('Исходные данные'!$K$9='Исходные данные'!$Y$12,'Финансовая модель'!AH11, IF('Исходные данные'!$K$9='Исходные данные'!$Y$12,'Финансовая модель'!AH11, 'Финансовая модель'!AH12))))</f>
        <v>1</v>
      </c>
      <c r="G10" s="152">
        <f>IF('Исходные данные'!$K$9='Исходные данные'!$Y$9,'Финансовая модель'!AI8,IF('Исходные данные'!$K$9='Исходные данные'!$Y$10,'Финансовая модель'!AI9,IF('Исходные данные'!$K$9='Исходные данные'!$Y$12,'Финансовая модель'!AI11, IF('Исходные данные'!$K$9='Исходные данные'!$Y$12,'Финансовая модель'!AI11, 'Финансовая модель'!AI12))))</f>
        <v>1.1000000000000001</v>
      </c>
      <c r="H10" s="152">
        <f>IF('Исходные данные'!$K$9='Исходные данные'!$Y$9,'Финансовая модель'!AJ8,IF('Исходные данные'!$K$9='Исходные данные'!$Y$10,'Финансовая модель'!AJ9,IF('Исходные данные'!$K$9='Исходные данные'!$Y$12,'Финансовая модель'!AJ11, IF('Исходные данные'!$K$9='Исходные данные'!$Y$12,'Финансовая модель'!AJ11, 'Финансовая модель'!AJ12))))</f>
        <v>1.1000000000000001</v>
      </c>
      <c r="I10" s="152">
        <f>IF('Исходные данные'!$K$9='Исходные данные'!$Y$9,'Финансовая модель'!AK8,IF('Исходные данные'!$K$9='Исходные данные'!$Y$10,'Финансовая модель'!AK9,IF('Исходные данные'!$K$9='Исходные данные'!$Y$12,'Финансовая модель'!AK11, IF('Исходные данные'!$K$9='Исходные данные'!$Y$12,'Финансовая модель'!AK11, 'Финансовая модель'!AK12))))</f>
        <v>0.9</v>
      </c>
      <c r="J10" s="152">
        <f>IF('Исходные данные'!$K$9='Исходные данные'!$Y$9,'Финансовая модель'!AL8,IF('Исходные данные'!$K$9='Исходные данные'!$Y$10,'Финансовая модель'!AL9,IF('Исходные данные'!$K$9='Исходные данные'!$Y$12,'Финансовая модель'!AL11, IF('Исходные данные'!$K$9='Исходные данные'!$Y$12,'Финансовая модель'!AL11, 'Финансовая модель'!AL12))))</f>
        <v>1</v>
      </c>
      <c r="K10" s="152">
        <f>IF('Исходные данные'!$K$9='Исходные данные'!$Y$9,'Финансовая модель'!AM8,IF('Исходные данные'!$K$9='Исходные данные'!$Y$10,'Финансовая модель'!AM9,IF('Исходные данные'!$K$9='Исходные данные'!$Y$12,'Финансовая модель'!AM11, IF('Исходные данные'!$K$9='Исходные данные'!$Y$12,'Финансовая модель'!AM11, 'Финансовая модель'!AM12))))</f>
        <v>1</v>
      </c>
      <c r="L10" s="152">
        <f>IF('Исходные данные'!$K$9='Исходные данные'!$Y$9,'Финансовая модель'!AN8,IF('Исходные данные'!$K$9='Исходные данные'!$Y$10,'Финансовая модель'!AN9,IF('Исходные данные'!$K$9='Исходные данные'!$Y$12,'Финансовая модель'!AN11, IF('Исходные данные'!$K$9='Исходные данные'!$Y$12,'Финансовая модель'!AN11, 'Финансовая модель'!AN12))))</f>
        <v>1</v>
      </c>
      <c r="M10" s="152">
        <f>IF('Исходные данные'!$K$9='Исходные данные'!$Y$9,'Финансовая модель'!AO8,IF('Исходные данные'!$K$9='Исходные данные'!$Y$10,'Финансовая модель'!AO9,IF('Исходные данные'!$K$9='Исходные данные'!$Y$12,'Финансовая модель'!AO11, IF('Исходные данные'!$K$9='Исходные данные'!$Y$12,'Финансовая модель'!AO11, 'Финансовая модель'!AO12))))</f>
        <v>1</v>
      </c>
      <c r="N10" s="152">
        <f>IF('Исходные данные'!$K$9='Исходные данные'!$Y$9,'Финансовая модель'!AP8,IF('Исходные данные'!$K$9='Исходные данные'!$Y$10,'Финансовая модель'!AP9,IF('Исходные данные'!$K$9='Исходные данные'!$Y$12,'Финансовая модель'!AP11, IF('Исходные данные'!$K$9='Исходные данные'!$Y$12,'Финансовая модель'!AP11, 'Финансовая модель'!AP12))))</f>
        <v>1</v>
      </c>
      <c r="O10" s="152">
        <f>IF('Исходные данные'!$K$9='Исходные данные'!$Y$9,'Финансовая модель'!AQ8,IF('Исходные данные'!$K$9='Исходные данные'!$Y$10,'Финансовая модель'!AQ9,IF('Исходные данные'!$K$9='Исходные данные'!$Y$12,'Финансовая модель'!AQ11, IF('Исходные данные'!$K$9='Исходные данные'!$Y$12,'Финансовая модель'!AQ11, 'Финансовая модель'!AQ12))))</f>
        <v>1</v>
      </c>
      <c r="P10" s="152">
        <f>IF('Исходные данные'!$K$9='Исходные данные'!$Y$9,'Финансовая модель'!AR8,IF('Исходные данные'!$K$9='Исходные данные'!$Y$10,'Финансовая модель'!AR9,IF('Исходные данные'!$K$9='Исходные данные'!$Y$12,'Финансовая модель'!AR11, IF('Исходные данные'!$K$9='Исходные данные'!$Y$12,'Финансовая модель'!AR11, 'Финансовая модель'!AR12))))</f>
        <v>0.9</v>
      </c>
      <c r="Q10" s="160"/>
      <c r="R10" s="166"/>
      <c r="S10" s="152">
        <f>IF('Исходные данные'!$K$9='Исходные данные'!$Y$9,'Финансовая модель'!AG8,IF('Исходные данные'!$K$9='Исходные данные'!$Y$10,'Финансовая модель'!AG9,IF('Исходные данные'!$K$9='Исходные данные'!$Y$12,'Финансовая модель'!AG11, IF('Исходные данные'!$K$9='Исходные данные'!$Y$12,'Финансовая модель'!AG11, 'Финансовая модель'!AG12))))</f>
        <v>1</v>
      </c>
      <c r="T10" s="152">
        <f>IF('Исходные данные'!$K$9='Исходные данные'!$Y$9,'Финансовая модель'!AH8,IF('Исходные данные'!$K$9='Исходные данные'!$Y$10,'Финансовая модель'!AH9,IF('Исходные данные'!$K$9='Исходные данные'!$Y$12,'Финансовая модель'!AH11, IF('Исходные данные'!$K$9='Исходные данные'!$Y$12,'Финансовая модель'!AH11, 'Финансовая модель'!AH12))))</f>
        <v>1</v>
      </c>
      <c r="U10" s="152">
        <f>IF('Исходные данные'!$K$9='Исходные данные'!$Y$9,'Финансовая модель'!AI8,IF('Исходные данные'!$K$9='Исходные данные'!$Y$10,'Финансовая модель'!AI9,IF('Исходные данные'!$K$9='Исходные данные'!$Y$12,'Финансовая модель'!AI11, IF('Исходные данные'!$K$9='Исходные данные'!$Y$12,'Финансовая модель'!AI11, 'Финансовая модель'!AI12))))</f>
        <v>1.1000000000000001</v>
      </c>
      <c r="V10" s="152">
        <f>IF('Исходные данные'!$K$9='Исходные данные'!$Y$9,'Финансовая модель'!AJ8,IF('Исходные данные'!$K$9='Исходные данные'!$Y$10,'Финансовая модель'!AJ9,IF('Исходные данные'!$K$9='Исходные данные'!$Y$12,'Финансовая модель'!AJ11, IF('Исходные данные'!$K$9='Исходные данные'!$Y$12,'Финансовая модель'!AJ11, 'Финансовая модель'!AJ12))))</f>
        <v>1.1000000000000001</v>
      </c>
      <c r="W10" s="152">
        <f>IF('Исходные данные'!$K$9='Исходные данные'!$Y$9,'Финансовая модель'!AK8,IF('Исходные данные'!$K$9='Исходные данные'!$Y$10,'Финансовая модель'!AK9,IF('Исходные данные'!$K$9='Исходные данные'!$Y$12,'Финансовая модель'!AK11, IF('Исходные данные'!$K$9='Исходные данные'!$Y$12,'Финансовая модель'!AK11, 'Финансовая модель'!AK12))))</f>
        <v>0.9</v>
      </c>
      <c r="X10" s="152">
        <f>IF('Исходные данные'!$K$9='Исходные данные'!$Y$9,'Финансовая модель'!AL8,IF('Исходные данные'!$K$9='Исходные данные'!$Y$10,'Финансовая модель'!AL9,IF('Исходные данные'!$K$9='Исходные данные'!$Y$12,'Финансовая модель'!AL11, IF('Исходные данные'!$K$9='Исходные данные'!$Y$12,'Финансовая модель'!AL11, 'Финансовая модель'!AL12))))</f>
        <v>1</v>
      </c>
      <c r="Y10" s="152">
        <f>IF('Исходные данные'!$K$9='Исходные данные'!$Y$9,'Финансовая модель'!AM8,IF('Исходные данные'!$K$9='Исходные данные'!$Y$10,'Финансовая модель'!AM9,IF('Исходные данные'!$K$9='Исходные данные'!$Y$12,'Финансовая модель'!AM11, IF('Исходные данные'!$K$9='Исходные данные'!$Y$12,'Финансовая модель'!AM11, 'Финансовая модель'!AM12))))</f>
        <v>1</v>
      </c>
      <c r="Z10" s="152">
        <f>IF('Исходные данные'!$K$9='Исходные данные'!$Y$9,'Финансовая модель'!AN8,IF('Исходные данные'!$K$9='Исходные данные'!$Y$10,'Финансовая модель'!AN9,IF('Исходные данные'!$K$9='Исходные данные'!$Y$12,'Финансовая модель'!AN11, IF('Исходные данные'!$K$9='Исходные данные'!$Y$12,'Финансовая модель'!AN11, 'Финансовая модель'!AN12))))</f>
        <v>1</v>
      </c>
      <c r="AA10" s="152">
        <f>IF('Исходные данные'!$K$9='Исходные данные'!$Y$9,'Финансовая модель'!AO8,IF('Исходные данные'!$K$9='Исходные данные'!$Y$10,'Финансовая модель'!AO9,IF('Исходные данные'!$K$9='Исходные данные'!$Y$12,'Финансовая модель'!AO11, IF('Исходные данные'!$K$9='Исходные данные'!$Y$12,'Финансовая модель'!AO11, 'Финансовая модель'!AO12))))</f>
        <v>1</v>
      </c>
      <c r="AB10" s="152">
        <f>IF('Исходные данные'!$K$9='Исходные данные'!$Y$9,'Финансовая модель'!AP8,IF('Исходные данные'!$K$9='Исходные данные'!$Y$10,'Финансовая модель'!AP9,IF('Исходные данные'!$K$9='Исходные данные'!$Y$12,'Финансовая модель'!AP11, IF('Исходные данные'!$K$9='Исходные данные'!$Y$12,'Финансовая модель'!AP11, 'Финансовая модель'!AP12))))</f>
        <v>1</v>
      </c>
      <c r="AC10" s="152">
        <f>IF('Исходные данные'!$K$9='Исходные данные'!$Y$9,'Финансовая модель'!AQ8,IF('Исходные данные'!$K$9='Исходные данные'!$Y$10,'Финансовая модель'!AQ9,IF('Исходные данные'!$K$9='Исходные данные'!$Y$12,'Финансовая модель'!AQ11, IF('Исходные данные'!$K$9='Исходные данные'!$Y$12,'Финансовая модель'!AQ11, 'Финансовая модель'!AQ12))))</f>
        <v>1</v>
      </c>
      <c r="AD10" s="152">
        <f>IF('Исходные данные'!$K$9='Исходные данные'!$Y$9,'Финансовая модель'!AR8,IF('Исходные данные'!$K$9='Исходные данные'!$Y$10,'Финансовая модель'!AR9,IF('Исходные данные'!$K$9='Исходные данные'!$Y$12,'Финансовая модель'!AR11, IF('Исходные данные'!$K$9='Исходные данные'!$Y$12,'Финансовая модель'!AR11, 'Финансовая модель'!AR12))))</f>
        <v>0.9</v>
      </c>
      <c r="AE10" s="138"/>
      <c r="AG10" s="209">
        <f t="shared" ref="AG10:AR10" si="6">IF(OR(MONTH(E6)=1,MONTH(E6)=3,MONTH(E6)=7,MONTH(E6)=12),0.81,IF(OR(MONTH(E6)=4,MONTH(E6)=8,MONTH(E6)=9),0.9,IF(OR(MONTH(E6)=10,MONTH(E6)=11),0.86,IF(OR(MONTH(E6)=5,MONTH(E6)=6),1,0.72))))</f>
        <v>0.81</v>
      </c>
      <c r="AH10" s="209">
        <f t="shared" si="6"/>
        <v>0.9</v>
      </c>
      <c r="AI10" s="209">
        <f t="shared" si="6"/>
        <v>1</v>
      </c>
      <c r="AJ10" s="209">
        <f t="shared" si="6"/>
        <v>1</v>
      </c>
      <c r="AK10" s="209">
        <f t="shared" si="6"/>
        <v>0.81</v>
      </c>
      <c r="AL10" s="209">
        <f t="shared" si="6"/>
        <v>0.9</v>
      </c>
      <c r="AM10" s="209">
        <f t="shared" si="6"/>
        <v>0.9</v>
      </c>
      <c r="AN10" s="209">
        <f t="shared" si="6"/>
        <v>0.86</v>
      </c>
      <c r="AO10" s="209">
        <f t="shared" si="6"/>
        <v>0.86</v>
      </c>
      <c r="AP10" s="209">
        <f t="shared" si="6"/>
        <v>0.81</v>
      </c>
      <c r="AQ10" s="209">
        <f t="shared" si="6"/>
        <v>0.81</v>
      </c>
      <c r="AR10" s="209">
        <f t="shared" si="6"/>
        <v>0.72</v>
      </c>
    </row>
    <row r="11" spans="2:45" s="130" customFormat="1" ht="18" customHeight="1" x14ac:dyDescent="0.2">
      <c r="B11" s="128"/>
      <c r="C11" s="157" t="s">
        <v>4</v>
      </c>
      <c r="D11" s="142" t="s">
        <v>80</v>
      </c>
      <c r="E11" s="156">
        <f>SUM(E12:E14,E16:E31)</f>
        <v>485942.68276633602</v>
      </c>
      <c r="F11" s="156">
        <f>SUM(F12:F14,F16:F31)</f>
        <v>658184.53949952009</v>
      </c>
      <c r="G11" s="156">
        <f t="shared" ref="G11:P11" si="7">SUM(G12:G14,G16:G31)</f>
        <v>827221.3221051041</v>
      </c>
      <c r="H11" s="156">
        <f t="shared" si="7"/>
        <v>830598.233860621</v>
      </c>
      <c r="I11" s="156">
        <f t="shared" si="7"/>
        <v>631651.21700623538</v>
      </c>
      <c r="J11" s="156">
        <f t="shared" si="7"/>
        <v>782524.69484108815</v>
      </c>
      <c r="K11" s="156">
        <f t="shared" si="7"/>
        <v>783306.31856192008</v>
      </c>
      <c r="L11" s="156">
        <f t="shared" si="7"/>
        <v>822255.03018687991</v>
      </c>
      <c r="M11" s="156">
        <f t="shared" si="7"/>
        <v>821755.03018687991</v>
      </c>
      <c r="N11" s="156">
        <f t="shared" si="7"/>
        <v>861985.36553267203</v>
      </c>
      <c r="O11" s="156">
        <f t="shared" si="7"/>
        <v>881850.53320556798</v>
      </c>
      <c r="P11" s="156">
        <f t="shared" si="7"/>
        <v>690142.84180398588</v>
      </c>
      <c r="Q11" s="177">
        <f>SUM(E11:P11)</f>
        <v>9077417.8095568102</v>
      </c>
      <c r="R11" s="196">
        <f>SUM(S11:AD11)</f>
        <v>11798017.573991966</v>
      </c>
      <c r="S11" s="156">
        <f>SUM(S12:S14,S16:S31)</f>
        <v>921580.86855135986</v>
      </c>
      <c r="T11" s="156">
        <f>SUM(T12:T14,T16:T31)</f>
        <v>917876.80924928014</v>
      </c>
      <c r="U11" s="156">
        <f t="shared" ref="U11" si="8">SUM(U12:U14,U16:U31)</f>
        <v>1115663.5567155541</v>
      </c>
      <c r="V11" s="156">
        <f t="shared" ref="V11" si="9">SUM(V12:V14,V16:V31)</f>
        <v>1109735.8802578305</v>
      </c>
      <c r="W11" s="156">
        <f t="shared" ref="W11" si="10">SUM(W12:W14,W16:W31)</f>
        <v>853840.64678678452</v>
      </c>
      <c r="X11" s="156">
        <f t="shared" ref="X11" si="11">SUM(X12:X14,X16:X31)</f>
        <v>1020906.70691584</v>
      </c>
      <c r="Y11" s="156">
        <f t="shared" ref="Y11" si="12">SUM(Y12:Y14,Y16:Y31)</f>
        <v>994774.23249920004</v>
      </c>
      <c r="Z11" s="156">
        <f t="shared" ref="Z11" si="13">SUM(Z12:Z14,Z16:Z31)</f>
        <v>1020906.70691584</v>
      </c>
      <c r="AA11" s="156">
        <f t="shared" ref="AA11" si="14">SUM(AA12:AA14,AA16:AA31)</f>
        <v>994774.23249920004</v>
      </c>
      <c r="AB11" s="156">
        <f t="shared" ref="AB11" si="15">SUM(AB12:AB14,AB16:AB31)</f>
        <v>1020906.70691584</v>
      </c>
      <c r="AC11" s="156">
        <f t="shared" ref="AC11" si="16">SUM(AC12:AC14,AC16:AC31)</f>
        <v>1020906.70691584</v>
      </c>
      <c r="AD11" s="156">
        <f t="shared" ref="AD11" si="17">SUM(AD12:AD14,AD16:AD31)</f>
        <v>806144.51976939524</v>
      </c>
      <c r="AE11" s="138"/>
      <c r="AG11" s="209">
        <f t="shared" ref="AG11:AR11" si="18">IF(OR(MONTH(E6)=1,MONTH(E6)=4),0.85,IF(OR(MONTH(E6)=2,MONTH(E6)=3),0.75,IF(OR(MONTH(E6)=5,MONTH(E6)=9),0.9,IF(OR(MONTH(E6)=6,MONTH(E6)=7,MONTH(E6)=8,MONTH(E6)=10,MONTH(E6)=11),0.8,1))))</f>
        <v>0.75</v>
      </c>
      <c r="AH11" s="209">
        <f t="shared" si="18"/>
        <v>0.85</v>
      </c>
      <c r="AI11" s="209">
        <f t="shared" si="18"/>
        <v>0.9</v>
      </c>
      <c r="AJ11" s="209">
        <f t="shared" si="18"/>
        <v>0.8</v>
      </c>
      <c r="AK11" s="209">
        <f t="shared" si="18"/>
        <v>0.8</v>
      </c>
      <c r="AL11" s="209">
        <f t="shared" si="18"/>
        <v>0.8</v>
      </c>
      <c r="AM11" s="209">
        <f t="shared" si="18"/>
        <v>0.9</v>
      </c>
      <c r="AN11" s="209">
        <f t="shared" si="18"/>
        <v>0.8</v>
      </c>
      <c r="AO11" s="209">
        <f t="shared" si="18"/>
        <v>0.8</v>
      </c>
      <c r="AP11" s="209">
        <f t="shared" si="18"/>
        <v>1</v>
      </c>
      <c r="AQ11" s="209">
        <f t="shared" si="18"/>
        <v>0.85</v>
      </c>
      <c r="AR11" s="209">
        <f t="shared" si="18"/>
        <v>0.75</v>
      </c>
    </row>
    <row r="12" spans="2:45" s="130" customFormat="1" ht="18" customHeight="1" x14ac:dyDescent="0.2">
      <c r="B12" s="128"/>
      <c r="C12" s="143" t="s">
        <v>72</v>
      </c>
      <c r="D12" s="173">
        <f>Q12/$Q$7</f>
        <v>0.40000000000000008</v>
      </c>
      <c r="E12" s="149">
        <f>E7*'Исходные данные'!$K$13</f>
        <v>233725.04063999999</v>
      </c>
      <c r="F12" s="149">
        <f>F7*'Исходные данные'!$K$13</f>
        <v>339278.28479999996</v>
      </c>
      <c r="G12" s="149">
        <f>G7*'Исходные данные'!$K$13</f>
        <v>441886.40496000007</v>
      </c>
      <c r="H12" s="149">
        <f>H7*'Исходные данные'!$K$13</f>
        <v>444737.28499200009</v>
      </c>
      <c r="I12" s="149">
        <f>I7*'Исходные данные'!$K$13</f>
        <v>319472.91492479999</v>
      </c>
      <c r="J12" s="149">
        <f>J7*'Исходные данные'!$K$13</f>
        <v>409018.82112000004</v>
      </c>
      <c r="K12" s="149">
        <f>K7*'Исходные данные'!$K$13</f>
        <v>409961.26080000005</v>
      </c>
      <c r="L12" s="149">
        <f>L7*'Исходные данные'!$K$13</f>
        <v>438234.45120000001</v>
      </c>
      <c r="M12" s="149">
        <f>M7*'Исходные данные'!$K$13</f>
        <v>438234.45119999995</v>
      </c>
      <c r="N12" s="149">
        <f>N7*'Исходные данные'!$K$13</f>
        <v>467450.08127999998</v>
      </c>
      <c r="O12" s="149">
        <f>O7*'Исходные данные'!$K$13</f>
        <v>482057.89631999994</v>
      </c>
      <c r="P12" s="149">
        <f>P7*'Исходные данные'!$K$13</f>
        <v>363367.04302079993</v>
      </c>
      <c r="Q12" s="159">
        <f>SUM(E12:P12)</f>
        <v>4787423.9352575997</v>
      </c>
      <c r="R12" s="165">
        <f>SUM(S12:AD12)</f>
        <v>6681313.0185984001</v>
      </c>
      <c r="S12" s="149">
        <f>S7*'Исходные данные'!$K$13</f>
        <v>511273.52639999997</v>
      </c>
      <c r="T12" s="149">
        <f>T7*'Исходные данные'!$K$13</f>
        <v>508917.42720000003</v>
      </c>
      <c r="U12" s="149">
        <f>U7*'Исходные данные'!$K$13</f>
        <v>653991.87934080011</v>
      </c>
      <c r="V12" s="149">
        <f>V7*'Исходные данные'!$K$13</f>
        <v>650000.64729600016</v>
      </c>
      <c r="W12" s="149">
        <f>W7*'Исходные данные'!$K$13</f>
        <v>461460.87711359991</v>
      </c>
      <c r="X12" s="149">
        <f>X7*'Исходные данные'!$K$13</f>
        <v>584312.60160000005</v>
      </c>
      <c r="Y12" s="149">
        <f>Y7*'Исходные данные'!$K$13</f>
        <v>565463.80800000008</v>
      </c>
      <c r="Z12" s="149">
        <f>Z7*'Исходные данные'!$K$13</f>
        <v>584312.60160000005</v>
      </c>
      <c r="AA12" s="149">
        <f>AA7*'Исходные данные'!$K$13</f>
        <v>565463.80800000008</v>
      </c>
      <c r="AB12" s="149">
        <f>AB7*'Исходные данные'!$K$13</f>
        <v>584312.60160000005</v>
      </c>
      <c r="AC12" s="149">
        <f>AC7*'Исходные данные'!$K$13</f>
        <v>584312.60160000005</v>
      </c>
      <c r="AD12" s="149">
        <f>AD7*'Исходные данные'!$K$13</f>
        <v>427490.63884800003</v>
      </c>
      <c r="AE12" s="138"/>
      <c r="AG12" s="211">
        <f t="shared" ref="AG12:AR12" si="19">IF(OR(MONTH(E6)=1,MONTH(E6)=4,MONTH(E6)=6,MONTH(E6)=7,MONTH(E6)=8,MONTH(E6)=9),0.9,IF(OR(MONTH(E6)=2,MONTH(E6)=10,MONTH(E6)=11),0.8,IF(OR(MONTH(E6)=5,MONTH(E6)=12),1,0.81)))</f>
        <v>0.81</v>
      </c>
      <c r="AH12" s="211">
        <f t="shared" si="19"/>
        <v>0.9</v>
      </c>
      <c r="AI12" s="211">
        <f t="shared" si="19"/>
        <v>1</v>
      </c>
      <c r="AJ12" s="211">
        <f t="shared" si="19"/>
        <v>0.9</v>
      </c>
      <c r="AK12" s="211">
        <f t="shared" si="19"/>
        <v>0.9</v>
      </c>
      <c r="AL12" s="211">
        <f t="shared" si="19"/>
        <v>0.9</v>
      </c>
      <c r="AM12" s="211">
        <f t="shared" si="19"/>
        <v>0.9</v>
      </c>
      <c r="AN12" s="211">
        <f t="shared" si="19"/>
        <v>0.8</v>
      </c>
      <c r="AO12" s="211">
        <f t="shared" si="19"/>
        <v>0.8</v>
      </c>
      <c r="AP12" s="211">
        <f t="shared" si="19"/>
        <v>1</v>
      </c>
      <c r="AQ12" s="211">
        <f t="shared" si="19"/>
        <v>0.9</v>
      </c>
      <c r="AR12" s="211">
        <f t="shared" si="19"/>
        <v>0.8</v>
      </c>
    </row>
    <row r="13" spans="2:45" s="130" customFormat="1" ht="18" customHeight="1" x14ac:dyDescent="0.2">
      <c r="B13" s="128"/>
      <c r="C13" s="143" t="s">
        <v>102</v>
      </c>
      <c r="D13" s="173">
        <f t="shared" ref="D13:D14" si="20">Q13/$Q$7</f>
        <v>1.5000000000000005E-2</v>
      </c>
      <c r="E13" s="149">
        <f t="shared" ref="E13:P13" si="21">E7*1.5%</f>
        <v>8764.6890239999993</v>
      </c>
      <c r="F13" s="149">
        <f t="shared" si="21"/>
        <v>12722.935679999997</v>
      </c>
      <c r="G13" s="149">
        <f t="shared" si="21"/>
        <v>16570.740186000003</v>
      </c>
      <c r="H13" s="149">
        <f t="shared" si="21"/>
        <v>16677.648187200004</v>
      </c>
      <c r="I13" s="149">
        <f t="shared" si="21"/>
        <v>11980.23430968</v>
      </c>
      <c r="J13" s="149">
        <f t="shared" si="21"/>
        <v>15338.205792000001</v>
      </c>
      <c r="K13" s="149">
        <f t="shared" si="21"/>
        <v>15373.547279999999</v>
      </c>
      <c r="L13" s="149">
        <f t="shared" si="21"/>
        <v>16433.79192</v>
      </c>
      <c r="M13" s="149">
        <f t="shared" si="21"/>
        <v>16433.791919999996</v>
      </c>
      <c r="N13" s="149">
        <f t="shared" si="21"/>
        <v>17529.378047999999</v>
      </c>
      <c r="O13" s="149">
        <f t="shared" si="21"/>
        <v>18077.171111999996</v>
      </c>
      <c r="P13" s="149">
        <f t="shared" si="21"/>
        <v>13626.264113279996</v>
      </c>
      <c r="Q13" s="159">
        <f t="shared" ref="Q13:Q33" si="22">SUM(E13:P13)</f>
        <v>179528.39757216</v>
      </c>
      <c r="R13" s="165">
        <f t="shared" ref="R13:R33" si="23">SUM(S13:AD13)</f>
        <v>250549.23819743996</v>
      </c>
      <c r="S13" s="149">
        <f t="shared" ref="S13:AD13" si="24">S7*1.5%</f>
        <v>19172.757239999999</v>
      </c>
      <c r="T13" s="149">
        <f t="shared" si="24"/>
        <v>19084.40352</v>
      </c>
      <c r="U13" s="149">
        <f t="shared" si="24"/>
        <v>24524.695475280001</v>
      </c>
      <c r="V13" s="149">
        <f t="shared" si="24"/>
        <v>24375.024273600004</v>
      </c>
      <c r="W13" s="149">
        <f t="shared" si="24"/>
        <v>17304.782891759995</v>
      </c>
      <c r="X13" s="149">
        <f t="shared" si="24"/>
        <v>21911.722559999998</v>
      </c>
      <c r="Y13" s="149">
        <f t="shared" si="24"/>
        <v>21204.892799999998</v>
      </c>
      <c r="Z13" s="149">
        <f t="shared" si="24"/>
        <v>21911.722559999998</v>
      </c>
      <c r="AA13" s="149">
        <f t="shared" si="24"/>
        <v>21204.892799999998</v>
      </c>
      <c r="AB13" s="149">
        <f t="shared" si="24"/>
        <v>21911.722559999998</v>
      </c>
      <c r="AC13" s="149">
        <f t="shared" si="24"/>
        <v>21911.722559999998</v>
      </c>
      <c r="AD13" s="149">
        <f t="shared" si="24"/>
        <v>16030.8989568</v>
      </c>
      <c r="AE13" s="138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</row>
    <row r="14" spans="2:45" s="130" customFormat="1" ht="18" customHeight="1" x14ac:dyDescent="0.2">
      <c r="B14" s="128"/>
      <c r="C14" s="143" t="s">
        <v>73</v>
      </c>
      <c r="D14" s="173">
        <f t="shared" si="20"/>
        <v>0.11947970510558559</v>
      </c>
      <c r="E14" s="149">
        <f>'Исходные данные'!$K$14*'Финансовая модель'!E15</f>
        <v>78000</v>
      </c>
      <c r="F14" s="149">
        <f>'Исходные данные'!$K$14*'Финансовая модель'!F15</f>
        <v>104000</v>
      </c>
      <c r="G14" s="149">
        <f>'Исходные данные'!$K$14*'Финансовая модель'!G15</f>
        <v>130000</v>
      </c>
      <c r="H14" s="149">
        <f>'Исходные данные'!$K$14*'Финансовая модель'!H15</f>
        <v>130000</v>
      </c>
      <c r="I14" s="149">
        <f>'Исходные данные'!$K$14*'Финансовая модель'!I15</f>
        <v>104000</v>
      </c>
      <c r="J14" s="149">
        <f>'Исходные данные'!$K$14*'Финансовая модель'!J15</f>
        <v>130000</v>
      </c>
      <c r="K14" s="149">
        <f>'Исходные данные'!$K$14*'Финансовая модель'!K15</f>
        <v>130000</v>
      </c>
      <c r="L14" s="149">
        <f>'Исходные данные'!$K$14*'Финансовая модель'!L15</f>
        <v>130000</v>
      </c>
      <c r="M14" s="149">
        <f>'Исходные данные'!$K$14*'Финансовая модель'!M15</f>
        <v>130000</v>
      </c>
      <c r="N14" s="149">
        <f>'Исходные данные'!$K$14*'Финансовая модель'!N15</f>
        <v>130000</v>
      </c>
      <c r="O14" s="149">
        <f>'Исходные данные'!$K$14*'Финансовая модель'!O15</f>
        <v>130000</v>
      </c>
      <c r="P14" s="149">
        <f>'Исходные данные'!$K$14*'Финансовая модель'!P15</f>
        <v>104000</v>
      </c>
      <c r="Q14" s="159">
        <f t="shared" si="22"/>
        <v>1430000</v>
      </c>
      <c r="R14" s="165">
        <f t="shared" si="23"/>
        <v>1560000</v>
      </c>
      <c r="S14" s="149">
        <f>'Исходные данные'!$K$14*'Финансовая модель'!S15</f>
        <v>130000</v>
      </c>
      <c r="T14" s="149">
        <f>'Исходные данные'!$K$14*'Финансовая модель'!T15</f>
        <v>130000</v>
      </c>
      <c r="U14" s="149">
        <f>'Исходные данные'!$K$14*'Финансовая модель'!U15</f>
        <v>130000</v>
      </c>
      <c r="V14" s="149">
        <f>'Исходные данные'!$K$14*'Финансовая модель'!V15</f>
        <v>130000</v>
      </c>
      <c r="W14" s="149">
        <f>'Исходные данные'!$K$14*'Финансовая модель'!W15</f>
        <v>130000</v>
      </c>
      <c r="X14" s="149">
        <f>'Исходные данные'!$K$14*'Финансовая модель'!X15</f>
        <v>130000</v>
      </c>
      <c r="Y14" s="149">
        <f>'Исходные данные'!$K$14*'Финансовая модель'!Y15</f>
        <v>130000</v>
      </c>
      <c r="Z14" s="149">
        <f>'Исходные данные'!$K$14*'Финансовая модель'!Z15</f>
        <v>130000</v>
      </c>
      <c r="AA14" s="149">
        <f>'Исходные данные'!$K$14*'Финансовая модель'!AA15</f>
        <v>130000</v>
      </c>
      <c r="AB14" s="149">
        <f>'Исходные данные'!$K$14*'Финансовая модель'!AB15</f>
        <v>130000</v>
      </c>
      <c r="AC14" s="149">
        <f>'Исходные данные'!$K$14*'Финансовая модель'!AC15</f>
        <v>130000</v>
      </c>
      <c r="AD14" s="149">
        <f>'Исходные данные'!$K$14*'Финансовая модель'!AD15</f>
        <v>130000</v>
      </c>
      <c r="AE14" s="138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</row>
    <row r="15" spans="2:45" s="130" customFormat="1" ht="18" customHeight="1" outlineLevel="1" x14ac:dyDescent="0.2">
      <c r="B15" s="128"/>
      <c r="C15" s="143" t="s">
        <v>94</v>
      </c>
      <c r="D15" s="185">
        <f>IF('Исходные данные'!K16&lt;=16, 2, 4)</f>
        <v>2</v>
      </c>
      <c r="E15" s="167">
        <f>IF(E7&lt;=400000,$D$15,
IF(E7&lt;=600000,$D$15+1,
IF(E7&lt;=1000000,$D$15+2,
IF(E7&gt;1000000,$D$15+3,))))</f>
        <v>3</v>
      </c>
      <c r="F15" s="167">
        <f t="shared" ref="F15:P15" si="25">IF(F7&lt;=400000,$D$15,
IF(F7&lt;=600000,$D$15+1,
IF(F7&lt;=1000000,$D$15+2,
IF(F7&gt;1000000,$D$15+3,))))</f>
        <v>4</v>
      </c>
      <c r="G15" s="167">
        <f t="shared" si="25"/>
        <v>5</v>
      </c>
      <c r="H15" s="167">
        <f t="shared" si="25"/>
        <v>5</v>
      </c>
      <c r="I15" s="167">
        <f t="shared" si="25"/>
        <v>4</v>
      </c>
      <c r="J15" s="167">
        <f t="shared" si="25"/>
        <v>5</v>
      </c>
      <c r="K15" s="167">
        <f t="shared" si="25"/>
        <v>5</v>
      </c>
      <c r="L15" s="167">
        <f t="shared" si="25"/>
        <v>5</v>
      </c>
      <c r="M15" s="167">
        <f t="shared" si="25"/>
        <v>5</v>
      </c>
      <c r="N15" s="167">
        <f t="shared" si="25"/>
        <v>5</v>
      </c>
      <c r="O15" s="167">
        <f t="shared" si="25"/>
        <v>5</v>
      </c>
      <c r="P15" s="167">
        <f t="shared" si="25"/>
        <v>4</v>
      </c>
      <c r="Q15" s="159"/>
      <c r="R15" s="165"/>
      <c r="S15" s="167">
        <f t="shared" ref="S15:AD15" si="26">IF(S7&lt;=400000,$D$15,
IF(S7&lt;=600000,$D$15+1,
IF(S7&lt;=1000000,$D$15+2,
IF(S7&gt;1000000,$D$15+3,))))</f>
        <v>5</v>
      </c>
      <c r="T15" s="167">
        <f t="shared" si="26"/>
        <v>5</v>
      </c>
      <c r="U15" s="167">
        <f t="shared" si="26"/>
        <v>5</v>
      </c>
      <c r="V15" s="167">
        <f t="shared" si="26"/>
        <v>5</v>
      </c>
      <c r="W15" s="167">
        <f t="shared" si="26"/>
        <v>5</v>
      </c>
      <c r="X15" s="167">
        <f t="shared" si="26"/>
        <v>5</v>
      </c>
      <c r="Y15" s="167">
        <f t="shared" si="26"/>
        <v>5</v>
      </c>
      <c r="Z15" s="167">
        <f t="shared" si="26"/>
        <v>5</v>
      </c>
      <c r="AA15" s="167">
        <f t="shared" si="26"/>
        <v>5</v>
      </c>
      <c r="AB15" s="167">
        <f t="shared" si="26"/>
        <v>5</v>
      </c>
      <c r="AC15" s="167">
        <f t="shared" si="26"/>
        <v>5</v>
      </c>
      <c r="AD15" s="167">
        <f t="shared" si="26"/>
        <v>5</v>
      </c>
      <c r="AE15" s="138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</row>
    <row r="16" spans="2:45" s="130" customFormat="1" ht="18" customHeight="1" x14ac:dyDescent="0.2">
      <c r="B16" s="128"/>
      <c r="C16" s="143" t="s">
        <v>87</v>
      </c>
      <c r="D16" s="171">
        <f>Q16/$Q$7</f>
        <v>1.3986645199073446E-2</v>
      </c>
      <c r="E16" s="149">
        <f>E15*'Исходные данные'!$K$15/2*E101</f>
        <v>9300</v>
      </c>
      <c r="F16" s="149">
        <f>F15*'Исходные данные'!$K$15/2*F101</f>
        <v>12000</v>
      </c>
      <c r="G16" s="149">
        <f>G15*'Исходные данные'!$K$15/2*G101</f>
        <v>15500</v>
      </c>
      <c r="H16" s="149">
        <f>H15*'Исходные данные'!$K$15/2*H101</f>
        <v>15000</v>
      </c>
      <c r="I16" s="149">
        <f>I15*'Исходные данные'!$K$15/2*I101</f>
        <v>12400</v>
      </c>
      <c r="J16" s="149">
        <f>J15*'Исходные данные'!$K$15/2*J101</f>
        <v>15500</v>
      </c>
      <c r="K16" s="149">
        <f>K15*'Исходные данные'!$K$15/2*K101</f>
        <v>15000</v>
      </c>
      <c r="L16" s="149">
        <f>L15*'Исходные данные'!$K$15/2*L101</f>
        <v>15500</v>
      </c>
      <c r="M16" s="149">
        <f>M15*'Исходные данные'!$K$15/2*M101</f>
        <v>15000</v>
      </c>
      <c r="N16" s="149">
        <f>N15*'Исходные данные'!$K$15/2*N101</f>
        <v>15500</v>
      </c>
      <c r="O16" s="149">
        <f>O15*'Исходные данные'!$K$15/2*O101</f>
        <v>15500</v>
      </c>
      <c r="P16" s="149">
        <f>P15*'Исходные данные'!$K$15/2*P101</f>
        <v>11200</v>
      </c>
      <c r="Q16" s="159">
        <f t="shared" si="22"/>
        <v>167400</v>
      </c>
      <c r="R16" s="165">
        <f t="shared" si="23"/>
        <v>182500</v>
      </c>
      <c r="S16" s="149">
        <f>S15*'Исходные данные'!$K$15/2*S101</f>
        <v>15500</v>
      </c>
      <c r="T16" s="149">
        <f>T15*'Исходные данные'!$K$15/2*T101</f>
        <v>15000</v>
      </c>
      <c r="U16" s="149">
        <f>U15*'Исходные данные'!$K$15/2*U101</f>
        <v>15500</v>
      </c>
      <c r="V16" s="149">
        <f>V15*'Исходные данные'!$K$15/2*V101</f>
        <v>15000</v>
      </c>
      <c r="W16" s="149">
        <f>W15*'Исходные данные'!$K$15/2*W101</f>
        <v>15500</v>
      </c>
      <c r="X16" s="149">
        <f>X15*'Исходные данные'!$K$15/2*X101</f>
        <v>15500</v>
      </c>
      <c r="Y16" s="149">
        <f>Y15*'Исходные данные'!$K$15/2*Y101</f>
        <v>15000</v>
      </c>
      <c r="Z16" s="149">
        <f>Z15*'Исходные данные'!$K$15/2*Z101</f>
        <v>15500</v>
      </c>
      <c r="AA16" s="149">
        <f>AA15*'Исходные данные'!$K$15/2*AA101</f>
        <v>15000</v>
      </c>
      <c r="AB16" s="149">
        <f>AB15*'Исходные данные'!$K$15/2*AB101</f>
        <v>15500</v>
      </c>
      <c r="AC16" s="149">
        <f>AC15*'Исходные данные'!$K$15/2*AC101</f>
        <v>15500</v>
      </c>
      <c r="AD16" s="149">
        <f>AD15*'Исходные данные'!$K$15/2*AD101</f>
        <v>14000</v>
      </c>
      <c r="AE16" s="138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</row>
    <row r="17" spans="2:44" s="130" customFormat="1" ht="18" customHeight="1" x14ac:dyDescent="0.2">
      <c r="B17" s="128"/>
      <c r="C17" s="143" t="s">
        <v>14</v>
      </c>
      <c r="D17" s="171">
        <f t="shared" ref="D17:D31" si="27">Q17/$Q$7</f>
        <v>1.002626895990928E-2</v>
      </c>
      <c r="E17" s="149">
        <v>10000</v>
      </c>
      <c r="F17" s="149">
        <v>10000</v>
      </c>
      <c r="G17" s="149">
        <v>10000</v>
      </c>
      <c r="H17" s="149">
        <v>10000</v>
      </c>
      <c r="I17" s="149">
        <v>10000</v>
      </c>
      <c r="J17" s="149">
        <v>10000</v>
      </c>
      <c r="K17" s="149">
        <v>10000</v>
      </c>
      <c r="L17" s="149">
        <v>10000</v>
      </c>
      <c r="M17" s="149">
        <v>10000</v>
      </c>
      <c r="N17" s="149">
        <v>10000</v>
      </c>
      <c r="O17" s="149">
        <v>10000</v>
      </c>
      <c r="P17" s="149">
        <v>10000</v>
      </c>
      <c r="Q17" s="159">
        <f t="shared" si="22"/>
        <v>120000</v>
      </c>
      <c r="R17" s="165">
        <f t="shared" si="23"/>
        <v>120000</v>
      </c>
      <c r="S17" s="149">
        <v>10000</v>
      </c>
      <c r="T17" s="149">
        <v>10000</v>
      </c>
      <c r="U17" s="149">
        <v>10000</v>
      </c>
      <c r="V17" s="149">
        <v>10000</v>
      </c>
      <c r="W17" s="149">
        <v>10000</v>
      </c>
      <c r="X17" s="149">
        <v>10000</v>
      </c>
      <c r="Y17" s="149">
        <v>10000</v>
      </c>
      <c r="Z17" s="149">
        <v>10000</v>
      </c>
      <c r="AA17" s="149">
        <v>10000</v>
      </c>
      <c r="AB17" s="149">
        <v>10000</v>
      </c>
      <c r="AC17" s="149">
        <v>10000</v>
      </c>
      <c r="AD17" s="149">
        <v>10000</v>
      </c>
      <c r="AE17" s="138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</row>
    <row r="18" spans="2:44" s="130" customFormat="1" ht="18" customHeight="1" x14ac:dyDescent="0.2">
      <c r="B18" s="128"/>
      <c r="C18" s="143" t="s">
        <v>74</v>
      </c>
      <c r="D18" s="171">
        <f t="shared" si="27"/>
        <v>0</v>
      </c>
      <c r="E18" s="149">
        <f>IF('Исходные данные'!$K$9='Исходные данные'!$Y$9, 0,IF('Исходные данные'!$K$9='Исходные данные'!$Y$11, 0,3000))</f>
        <v>0</v>
      </c>
      <c r="F18" s="149">
        <f>IF('Исходные данные'!$K$9='Исходные данные'!$Y$9, 0,IF('Исходные данные'!$K$9='Исходные данные'!$Y$11, 0,3000))</f>
        <v>0</v>
      </c>
      <c r="G18" s="149">
        <f>IF('Исходные данные'!$K$9='Исходные данные'!$Y$9, 0,IF('Исходные данные'!$K$9='Исходные данные'!$Y$11, 0,3000))</f>
        <v>0</v>
      </c>
      <c r="H18" s="149">
        <f>IF('Исходные данные'!$K$9='Исходные данные'!$Y$9, 0,IF('Исходные данные'!$K$9='Исходные данные'!$Y$11, 0,3000))</f>
        <v>0</v>
      </c>
      <c r="I18" s="149">
        <f>IF('Исходные данные'!$K$9='Исходные данные'!$Y$9, 0,IF('Исходные данные'!$K$9='Исходные данные'!$Y$11, 0,3000))</f>
        <v>0</v>
      </c>
      <c r="J18" s="149">
        <f>IF('Исходные данные'!$K$9='Исходные данные'!$Y$9, 0,IF('Исходные данные'!$K$9='Исходные данные'!$Y$11, 0,3000))</f>
        <v>0</v>
      </c>
      <c r="K18" s="149">
        <f>IF('Исходные данные'!$K$9='Исходные данные'!$Y$9, 0,IF('Исходные данные'!$K$9='Исходные данные'!$Y$11, 0,3000))</f>
        <v>0</v>
      </c>
      <c r="L18" s="149">
        <f>IF('Исходные данные'!$K$9='Исходные данные'!$Y$9, 0,IF('Исходные данные'!$K$9='Исходные данные'!$Y$11, 0,3000))</f>
        <v>0</v>
      </c>
      <c r="M18" s="149">
        <f>IF('Исходные данные'!$K$9='Исходные данные'!$Y$9, 0,IF('Исходные данные'!$K$9='Исходные данные'!$Y$11, 0,3000))</f>
        <v>0</v>
      </c>
      <c r="N18" s="149">
        <f>IF('Исходные данные'!$K$9='Исходные данные'!$Y$9, 0,IF('Исходные данные'!$K$9='Исходные данные'!$Y$11, 0,3000))</f>
        <v>0</v>
      </c>
      <c r="O18" s="149">
        <f>IF('Исходные данные'!$K$9='Исходные данные'!$Y$9, 0,IF('Исходные данные'!$K$9='Исходные данные'!$Y$11, 0,3000))</f>
        <v>0</v>
      </c>
      <c r="P18" s="149">
        <f>IF('Исходные данные'!$K$9='Исходные данные'!$Y$9, 0,IF('Исходные данные'!$K$9='Исходные данные'!$Y$11, 0,3000))</f>
        <v>0</v>
      </c>
      <c r="Q18" s="159">
        <f t="shared" si="22"/>
        <v>0</v>
      </c>
      <c r="R18" s="165">
        <f t="shared" si="23"/>
        <v>0</v>
      </c>
      <c r="S18" s="149">
        <f>IF('Исходные данные'!$K$9='Исходные данные'!$Y$9, 0,IF('Исходные данные'!$K$9='Исходные данные'!$Y$11, 0,3000))</f>
        <v>0</v>
      </c>
      <c r="T18" s="149">
        <f>IF('Исходные данные'!$K$9='Исходные данные'!$Y$9, 0,IF('Исходные данные'!$K$9='Исходные данные'!$Y$11, 0,3000))</f>
        <v>0</v>
      </c>
      <c r="U18" s="149">
        <f>IF('Исходные данные'!$K$9='Исходные данные'!$Y$9, 0,IF('Исходные данные'!$K$9='Исходные данные'!$Y$11, 0,3000))</f>
        <v>0</v>
      </c>
      <c r="V18" s="149">
        <f>IF('Исходные данные'!$K$9='Исходные данные'!$Y$9, 0,IF('Исходные данные'!$K$9='Исходные данные'!$Y$11, 0,3000))</f>
        <v>0</v>
      </c>
      <c r="W18" s="149">
        <f>IF('Исходные данные'!$K$9='Исходные данные'!$Y$9, 0,IF('Исходные данные'!$K$9='Исходные данные'!$Y$11, 0,3000))</f>
        <v>0</v>
      </c>
      <c r="X18" s="149">
        <f>IF('Исходные данные'!$K$9='Исходные данные'!$Y$9, 0,IF('Исходные данные'!$K$9='Исходные данные'!$Y$11, 0,3000))</f>
        <v>0</v>
      </c>
      <c r="Y18" s="149">
        <f>IF('Исходные данные'!$K$9='Исходные данные'!$Y$9, 0,IF('Исходные данные'!$K$9='Исходные данные'!$Y$11, 0,3000))</f>
        <v>0</v>
      </c>
      <c r="Z18" s="149">
        <f>IF('Исходные данные'!$K$9='Исходные данные'!$Y$9, 0,IF('Исходные данные'!$K$9='Исходные данные'!$Y$11, 0,3000))</f>
        <v>0</v>
      </c>
      <c r="AA18" s="149">
        <f>IF('Исходные данные'!$K$9='Исходные данные'!$Y$9, 0,IF('Исходные данные'!$K$9='Исходные данные'!$Y$11, 0,3000))</f>
        <v>0</v>
      </c>
      <c r="AB18" s="149">
        <f>IF('Исходные данные'!$K$9='Исходные данные'!$Y$9, 0,IF('Исходные данные'!$K$9='Исходные данные'!$Y$11, 0,3000))</f>
        <v>0</v>
      </c>
      <c r="AC18" s="149">
        <f>IF('Исходные данные'!$K$9='Исходные данные'!$Y$9, 0,IF('Исходные данные'!$K$9='Исходные данные'!$Y$11, 0,3000))</f>
        <v>0</v>
      </c>
      <c r="AD18" s="149">
        <f>IF('Исходные данные'!$K$9='Исходные данные'!$Y$9, 0,IF('Исходные данные'!$K$9='Исходные данные'!$Y$11, 0,3000))</f>
        <v>0</v>
      </c>
      <c r="AE18" s="138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</row>
    <row r="19" spans="2:44" s="130" customFormat="1" ht="18" customHeight="1" x14ac:dyDescent="0.2">
      <c r="B19" s="128"/>
      <c r="C19" s="143" t="s">
        <v>75</v>
      </c>
      <c r="D19" s="171">
        <f t="shared" si="27"/>
        <v>6.0157613759455686E-3</v>
      </c>
      <c r="E19" s="149">
        <v>6000</v>
      </c>
      <c r="F19" s="149">
        <v>6000</v>
      </c>
      <c r="G19" s="149">
        <v>6000</v>
      </c>
      <c r="H19" s="149">
        <v>6000</v>
      </c>
      <c r="I19" s="149">
        <v>6000</v>
      </c>
      <c r="J19" s="149">
        <v>6000</v>
      </c>
      <c r="K19" s="149">
        <v>6000</v>
      </c>
      <c r="L19" s="149">
        <v>6000</v>
      </c>
      <c r="M19" s="149">
        <v>6000</v>
      </c>
      <c r="N19" s="149">
        <v>6000</v>
      </c>
      <c r="O19" s="149">
        <v>6000</v>
      </c>
      <c r="P19" s="149">
        <v>6000</v>
      </c>
      <c r="Q19" s="159">
        <f t="shared" si="22"/>
        <v>72000</v>
      </c>
      <c r="R19" s="165">
        <f t="shared" si="23"/>
        <v>72000</v>
      </c>
      <c r="S19" s="149">
        <v>6000</v>
      </c>
      <c r="T19" s="149">
        <v>6000</v>
      </c>
      <c r="U19" s="149">
        <v>6000</v>
      </c>
      <c r="V19" s="149">
        <v>6000</v>
      </c>
      <c r="W19" s="149">
        <v>6000</v>
      </c>
      <c r="X19" s="149">
        <v>6000</v>
      </c>
      <c r="Y19" s="149">
        <v>6000</v>
      </c>
      <c r="Z19" s="149">
        <v>6000</v>
      </c>
      <c r="AA19" s="149">
        <v>6000</v>
      </c>
      <c r="AB19" s="149">
        <v>6000</v>
      </c>
      <c r="AC19" s="149">
        <v>6000</v>
      </c>
      <c r="AD19" s="149">
        <v>6000</v>
      </c>
      <c r="AE19" s="138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</row>
    <row r="20" spans="2:44" s="130" customFormat="1" ht="18" customHeight="1" x14ac:dyDescent="0.2">
      <c r="B20" s="128"/>
      <c r="C20" s="143" t="s">
        <v>76</v>
      </c>
      <c r="D20" s="171">
        <f t="shared" si="27"/>
        <v>1.5039403439863921E-2</v>
      </c>
      <c r="E20" s="149">
        <v>15000</v>
      </c>
      <c r="F20" s="149">
        <v>15000</v>
      </c>
      <c r="G20" s="149">
        <v>15000</v>
      </c>
      <c r="H20" s="149">
        <v>15000</v>
      </c>
      <c r="I20" s="149">
        <v>15000</v>
      </c>
      <c r="J20" s="149">
        <v>15000</v>
      </c>
      <c r="K20" s="149">
        <v>15000</v>
      </c>
      <c r="L20" s="149">
        <v>15000</v>
      </c>
      <c r="M20" s="149">
        <v>15000</v>
      </c>
      <c r="N20" s="149">
        <v>15000</v>
      </c>
      <c r="O20" s="149">
        <v>15000</v>
      </c>
      <c r="P20" s="149">
        <v>15000</v>
      </c>
      <c r="Q20" s="159">
        <f t="shared" si="22"/>
        <v>180000</v>
      </c>
      <c r="R20" s="165">
        <f t="shared" si="23"/>
        <v>180000</v>
      </c>
      <c r="S20" s="149">
        <v>15000</v>
      </c>
      <c r="T20" s="149">
        <v>15000</v>
      </c>
      <c r="U20" s="149">
        <v>15000</v>
      </c>
      <c r="V20" s="149">
        <v>15000</v>
      </c>
      <c r="W20" s="149">
        <v>15000</v>
      </c>
      <c r="X20" s="149">
        <v>15000</v>
      </c>
      <c r="Y20" s="149">
        <v>15000</v>
      </c>
      <c r="Z20" s="149">
        <v>15000</v>
      </c>
      <c r="AA20" s="149">
        <v>15000</v>
      </c>
      <c r="AB20" s="149">
        <v>15000</v>
      </c>
      <c r="AC20" s="149">
        <v>15000</v>
      </c>
      <c r="AD20" s="149">
        <v>15000</v>
      </c>
      <c r="AE20" s="138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</row>
    <row r="21" spans="2:44" s="130" customFormat="1" ht="18" customHeight="1" x14ac:dyDescent="0.2">
      <c r="B21" s="128"/>
      <c r="C21" s="143" t="s">
        <v>10</v>
      </c>
      <c r="D21" s="171">
        <f t="shared" si="27"/>
        <v>4.5000000000000012E-2</v>
      </c>
      <c r="E21" s="149">
        <f>'Исходные данные'!$K$21*E7</f>
        <v>26294.067071999994</v>
      </c>
      <c r="F21" s="149">
        <f>'Исходные данные'!$K$21*F7</f>
        <v>38168.807039999992</v>
      </c>
      <c r="G21" s="149">
        <f>'Исходные данные'!$K$21*G7</f>
        <v>49712.220558000001</v>
      </c>
      <c r="H21" s="149">
        <f>'Исходные данные'!$K$21*H7</f>
        <v>50032.944561600008</v>
      </c>
      <c r="I21" s="149">
        <f>'Исходные данные'!$K$21*I7</f>
        <v>35940.702929039995</v>
      </c>
      <c r="J21" s="149">
        <f>'Исходные данные'!$K$21*J7</f>
        <v>46014.617376000002</v>
      </c>
      <c r="K21" s="149">
        <f>'Исходные данные'!$K$21*K7</f>
        <v>46120.641839999997</v>
      </c>
      <c r="L21" s="149">
        <f>'Исходные данные'!$K$21*L7</f>
        <v>49301.375760000003</v>
      </c>
      <c r="M21" s="149">
        <f>'Исходные данные'!$K$21*M7</f>
        <v>49301.375759999988</v>
      </c>
      <c r="N21" s="149">
        <f>'Исходные данные'!$K$21*N7</f>
        <v>52588.134143999989</v>
      </c>
      <c r="O21" s="149">
        <f>'Исходные данные'!$K$21*O7</f>
        <v>54231.513335999989</v>
      </c>
      <c r="P21" s="149">
        <f>'Исходные данные'!$K$21*P7</f>
        <v>40878.792339839987</v>
      </c>
      <c r="Q21" s="159">
        <f t="shared" si="22"/>
        <v>538585.19271648</v>
      </c>
      <c r="R21" s="165">
        <f t="shared" si="23"/>
        <v>751647.71459231991</v>
      </c>
      <c r="S21" s="149">
        <f>'Исходные данные'!$K$21*S7</f>
        <v>57518.27171999999</v>
      </c>
      <c r="T21" s="149">
        <f>'Исходные данные'!$K$21*T7</f>
        <v>57253.21056</v>
      </c>
      <c r="U21" s="149">
        <f>'Исходные данные'!$K$21*U7</f>
        <v>73574.086425840011</v>
      </c>
      <c r="V21" s="149">
        <f>'Исходные данные'!$K$21*V7</f>
        <v>73125.072820800007</v>
      </c>
      <c r="W21" s="149">
        <f>'Исходные данные'!$K$21*W7</f>
        <v>51914.348675279987</v>
      </c>
      <c r="X21" s="149">
        <f>'Исходные данные'!$K$21*X7</f>
        <v>65735.167679999999</v>
      </c>
      <c r="Y21" s="149">
        <f>'Исходные данные'!$K$21*Y7</f>
        <v>63614.678399999997</v>
      </c>
      <c r="Z21" s="149">
        <f>'Исходные данные'!$K$21*Z7</f>
        <v>65735.167679999999</v>
      </c>
      <c r="AA21" s="149">
        <f>'Исходные данные'!$K$21*AA7</f>
        <v>63614.678399999997</v>
      </c>
      <c r="AB21" s="149">
        <f>'Исходные данные'!$K$21*AB7</f>
        <v>65735.167679999999</v>
      </c>
      <c r="AC21" s="149">
        <f>'Исходные данные'!$K$21*AC7</f>
        <v>65735.167679999999</v>
      </c>
      <c r="AD21" s="149">
        <f>'Исходные данные'!$K$21*AD7</f>
        <v>48092.696870400003</v>
      </c>
      <c r="AE21" s="138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</row>
    <row r="22" spans="2:44" s="130" customFormat="1" ht="18" customHeight="1" x14ac:dyDescent="0.2">
      <c r="B22" s="128"/>
      <c r="C22" s="143" t="s">
        <v>2</v>
      </c>
      <c r="D22" s="171">
        <f t="shared" si="27"/>
        <v>3.509194135968248E-2</v>
      </c>
      <c r="E22" s="149">
        <f>'Исходные данные'!$K$11</f>
        <v>35000</v>
      </c>
      <c r="F22" s="149">
        <f>'Исходные данные'!$K$11</f>
        <v>35000</v>
      </c>
      <c r="G22" s="149">
        <f>'Исходные данные'!$K$11</f>
        <v>35000</v>
      </c>
      <c r="H22" s="149">
        <f>'Исходные данные'!$K$11</f>
        <v>35000</v>
      </c>
      <c r="I22" s="149">
        <f>'Исходные данные'!$K$11</f>
        <v>35000</v>
      </c>
      <c r="J22" s="149">
        <f>'Исходные данные'!$K$11</f>
        <v>35000</v>
      </c>
      <c r="K22" s="149">
        <f>'Исходные данные'!$K$11</f>
        <v>35000</v>
      </c>
      <c r="L22" s="149">
        <f>'Исходные данные'!$K$11</f>
        <v>35000</v>
      </c>
      <c r="M22" s="149">
        <f>'Исходные данные'!$K$11</f>
        <v>35000</v>
      </c>
      <c r="N22" s="149">
        <f>'Исходные данные'!$K$11</f>
        <v>35000</v>
      </c>
      <c r="O22" s="149">
        <f>'Исходные данные'!$K$11</f>
        <v>35000</v>
      </c>
      <c r="P22" s="149">
        <f>'Исходные данные'!$K$11</f>
        <v>35000</v>
      </c>
      <c r="Q22" s="159">
        <f t="shared" si="22"/>
        <v>420000</v>
      </c>
      <c r="R22" s="165">
        <f t="shared" si="23"/>
        <v>420000</v>
      </c>
      <c r="S22" s="149">
        <f>'Исходные данные'!$K$11</f>
        <v>35000</v>
      </c>
      <c r="T22" s="149">
        <f>'Исходные данные'!$K$11</f>
        <v>35000</v>
      </c>
      <c r="U22" s="149">
        <f>'Исходные данные'!$K$11</f>
        <v>35000</v>
      </c>
      <c r="V22" s="149">
        <f>'Исходные данные'!$K$11</f>
        <v>35000</v>
      </c>
      <c r="W22" s="149">
        <f>'Исходные данные'!$K$11</f>
        <v>35000</v>
      </c>
      <c r="X22" s="149">
        <f>'Исходные данные'!$K$11</f>
        <v>35000</v>
      </c>
      <c r="Y22" s="149">
        <f>'Исходные данные'!$K$11</f>
        <v>35000</v>
      </c>
      <c r="Z22" s="149">
        <f>'Исходные данные'!$K$11</f>
        <v>35000</v>
      </c>
      <c r="AA22" s="149">
        <f>'Исходные данные'!$K$11</f>
        <v>35000</v>
      </c>
      <c r="AB22" s="149">
        <f>'Исходные данные'!$K$11</f>
        <v>35000</v>
      </c>
      <c r="AC22" s="149">
        <f>'Исходные данные'!$K$11</f>
        <v>35000</v>
      </c>
      <c r="AD22" s="149">
        <f>'Исходные данные'!$K$11</f>
        <v>35000</v>
      </c>
      <c r="AE22" s="138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</row>
    <row r="23" spans="2:44" s="130" customFormat="1" ht="18" customHeight="1" x14ac:dyDescent="0.2">
      <c r="B23" s="128"/>
      <c r="C23" s="143" t="s">
        <v>77</v>
      </c>
      <c r="D23" s="171">
        <f t="shared" si="27"/>
        <v>8.0210151679274248E-3</v>
      </c>
      <c r="E23" s="149">
        <v>8000</v>
      </c>
      <c r="F23" s="149">
        <v>8000</v>
      </c>
      <c r="G23" s="149">
        <v>8000</v>
      </c>
      <c r="H23" s="149">
        <v>8000</v>
      </c>
      <c r="I23" s="149">
        <v>8000</v>
      </c>
      <c r="J23" s="149">
        <v>8000</v>
      </c>
      <c r="K23" s="149">
        <v>8000</v>
      </c>
      <c r="L23" s="149">
        <v>8000</v>
      </c>
      <c r="M23" s="149">
        <v>8000</v>
      </c>
      <c r="N23" s="149">
        <v>8000</v>
      </c>
      <c r="O23" s="149">
        <v>8000</v>
      </c>
      <c r="P23" s="149">
        <v>8000</v>
      </c>
      <c r="Q23" s="159">
        <f t="shared" si="22"/>
        <v>96000</v>
      </c>
      <c r="R23" s="165">
        <f t="shared" si="23"/>
        <v>96000</v>
      </c>
      <c r="S23" s="149">
        <v>8000</v>
      </c>
      <c r="T23" s="149">
        <v>8000</v>
      </c>
      <c r="U23" s="149">
        <v>8000</v>
      </c>
      <c r="V23" s="149">
        <v>8000</v>
      </c>
      <c r="W23" s="149">
        <v>8000</v>
      </c>
      <c r="X23" s="149">
        <v>8000</v>
      </c>
      <c r="Y23" s="149">
        <v>8000</v>
      </c>
      <c r="Z23" s="149">
        <v>8000</v>
      </c>
      <c r="AA23" s="149">
        <v>8000</v>
      </c>
      <c r="AB23" s="149">
        <v>8000</v>
      </c>
      <c r="AC23" s="149">
        <v>8000</v>
      </c>
      <c r="AD23" s="149">
        <v>8000</v>
      </c>
      <c r="AE23" s="138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</row>
    <row r="24" spans="2:44" s="130" customFormat="1" ht="18" customHeight="1" x14ac:dyDescent="0.2">
      <c r="B24" s="128"/>
      <c r="C24" s="143" t="s">
        <v>8</v>
      </c>
      <c r="D24" s="171">
        <f t="shared" si="27"/>
        <v>2.0052537919818562E-3</v>
      </c>
      <c r="E24" s="149">
        <v>2000</v>
      </c>
      <c r="F24" s="149">
        <v>2000</v>
      </c>
      <c r="G24" s="149">
        <v>2000</v>
      </c>
      <c r="H24" s="149">
        <v>2000</v>
      </c>
      <c r="I24" s="149">
        <v>2000</v>
      </c>
      <c r="J24" s="149">
        <v>2000</v>
      </c>
      <c r="K24" s="149">
        <v>2000</v>
      </c>
      <c r="L24" s="149">
        <v>2000</v>
      </c>
      <c r="M24" s="149">
        <v>2000</v>
      </c>
      <c r="N24" s="149">
        <v>2000</v>
      </c>
      <c r="O24" s="149">
        <v>2000</v>
      </c>
      <c r="P24" s="149">
        <v>2000</v>
      </c>
      <c r="Q24" s="159">
        <f t="shared" si="22"/>
        <v>24000</v>
      </c>
      <c r="R24" s="165">
        <f t="shared" si="23"/>
        <v>24000</v>
      </c>
      <c r="S24" s="149">
        <v>2000</v>
      </c>
      <c r="T24" s="149">
        <v>2000</v>
      </c>
      <c r="U24" s="149">
        <v>2000</v>
      </c>
      <c r="V24" s="149">
        <v>2000</v>
      </c>
      <c r="W24" s="149">
        <v>2000</v>
      </c>
      <c r="X24" s="149">
        <v>2000</v>
      </c>
      <c r="Y24" s="149">
        <v>2000</v>
      </c>
      <c r="Z24" s="149">
        <v>2000</v>
      </c>
      <c r="AA24" s="149">
        <v>2000</v>
      </c>
      <c r="AB24" s="149">
        <v>2000</v>
      </c>
      <c r="AC24" s="149">
        <v>2000</v>
      </c>
      <c r="AD24" s="149">
        <v>2000</v>
      </c>
      <c r="AE24" s="138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</row>
    <row r="25" spans="2:44" s="130" customFormat="1" ht="18" customHeight="1" x14ac:dyDescent="0.2">
      <c r="B25" s="128"/>
      <c r="C25" s="143" t="s">
        <v>88</v>
      </c>
      <c r="D25" s="171">
        <f t="shared" si="27"/>
        <v>3.0078806879727844E-4</v>
      </c>
      <c r="E25" s="149">
        <v>300</v>
      </c>
      <c r="F25" s="149">
        <v>300</v>
      </c>
      <c r="G25" s="149">
        <v>300</v>
      </c>
      <c r="H25" s="149">
        <v>300</v>
      </c>
      <c r="I25" s="149">
        <v>300</v>
      </c>
      <c r="J25" s="149">
        <v>300</v>
      </c>
      <c r="K25" s="149">
        <v>300</v>
      </c>
      <c r="L25" s="149">
        <v>300</v>
      </c>
      <c r="M25" s="149">
        <v>300</v>
      </c>
      <c r="N25" s="149">
        <v>300</v>
      </c>
      <c r="O25" s="149">
        <v>300</v>
      </c>
      <c r="P25" s="149">
        <v>300</v>
      </c>
      <c r="Q25" s="159">
        <f t="shared" si="22"/>
        <v>3600</v>
      </c>
      <c r="R25" s="165">
        <f t="shared" si="23"/>
        <v>3600</v>
      </c>
      <c r="S25" s="149">
        <v>300</v>
      </c>
      <c r="T25" s="149">
        <v>300</v>
      </c>
      <c r="U25" s="149">
        <v>300</v>
      </c>
      <c r="V25" s="149">
        <v>300</v>
      </c>
      <c r="W25" s="149">
        <v>300</v>
      </c>
      <c r="X25" s="149">
        <v>300</v>
      </c>
      <c r="Y25" s="149">
        <v>300</v>
      </c>
      <c r="Z25" s="149">
        <v>300</v>
      </c>
      <c r="AA25" s="149">
        <v>300</v>
      </c>
      <c r="AB25" s="149">
        <v>300</v>
      </c>
      <c r="AC25" s="149">
        <v>300</v>
      </c>
      <c r="AD25" s="149">
        <v>300</v>
      </c>
      <c r="AE25" s="138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</row>
    <row r="26" spans="2:44" s="130" customFormat="1" ht="18" customHeight="1" x14ac:dyDescent="0.2">
      <c r="B26" s="128"/>
      <c r="C26" s="143" t="s">
        <v>11</v>
      </c>
      <c r="D26" s="171">
        <f t="shared" si="27"/>
        <v>1.0026268959909281E-3</v>
      </c>
      <c r="E26" s="149">
        <v>1000</v>
      </c>
      <c r="F26" s="149">
        <v>1000</v>
      </c>
      <c r="G26" s="149">
        <v>1000</v>
      </c>
      <c r="H26" s="149">
        <v>1000</v>
      </c>
      <c r="I26" s="149">
        <v>1000</v>
      </c>
      <c r="J26" s="149">
        <v>1000</v>
      </c>
      <c r="K26" s="149">
        <v>1000</v>
      </c>
      <c r="L26" s="149">
        <v>1000</v>
      </c>
      <c r="M26" s="149">
        <v>1000</v>
      </c>
      <c r="N26" s="149">
        <v>1000</v>
      </c>
      <c r="O26" s="149">
        <v>1000</v>
      </c>
      <c r="P26" s="149">
        <v>1000</v>
      </c>
      <c r="Q26" s="159">
        <f t="shared" si="22"/>
        <v>12000</v>
      </c>
      <c r="R26" s="165">
        <f t="shared" si="23"/>
        <v>12000</v>
      </c>
      <c r="S26" s="149">
        <v>1000</v>
      </c>
      <c r="T26" s="149">
        <v>1000</v>
      </c>
      <c r="U26" s="149">
        <v>1000</v>
      </c>
      <c r="V26" s="149">
        <v>1000</v>
      </c>
      <c r="W26" s="149">
        <v>1000</v>
      </c>
      <c r="X26" s="149">
        <v>1000</v>
      </c>
      <c r="Y26" s="149">
        <v>1000</v>
      </c>
      <c r="Z26" s="149">
        <v>1000</v>
      </c>
      <c r="AA26" s="149">
        <v>1000</v>
      </c>
      <c r="AB26" s="149">
        <v>1000</v>
      </c>
      <c r="AC26" s="149">
        <v>1000</v>
      </c>
      <c r="AD26" s="149">
        <v>1000</v>
      </c>
      <c r="AE26" s="138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</row>
    <row r="27" spans="2:44" s="130" customFormat="1" ht="18" customHeight="1" x14ac:dyDescent="0.2">
      <c r="B27" s="128"/>
      <c r="C27" s="143" t="s">
        <v>12</v>
      </c>
      <c r="D27" s="171">
        <f t="shared" si="27"/>
        <v>1.25328361998866E-3</v>
      </c>
      <c r="E27" s="149">
        <v>1250</v>
      </c>
      <c r="F27" s="149">
        <v>1250</v>
      </c>
      <c r="G27" s="149">
        <v>1250</v>
      </c>
      <c r="H27" s="149">
        <v>1250</v>
      </c>
      <c r="I27" s="149">
        <v>1250</v>
      </c>
      <c r="J27" s="149">
        <v>1250</v>
      </c>
      <c r="K27" s="149">
        <v>1250</v>
      </c>
      <c r="L27" s="149">
        <v>1250</v>
      </c>
      <c r="M27" s="149">
        <v>1250</v>
      </c>
      <c r="N27" s="149">
        <v>1250</v>
      </c>
      <c r="O27" s="149">
        <v>1250</v>
      </c>
      <c r="P27" s="149">
        <v>1250</v>
      </c>
      <c r="Q27" s="159">
        <f t="shared" si="22"/>
        <v>15000</v>
      </c>
      <c r="R27" s="165">
        <f t="shared" si="23"/>
        <v>15000</v>
      </c>
      <c r="S27" s="149">
        <v>1250</v>
      </c>
      <c r="T27" s="149">
        <v>1250</v>
      </c>
      <c r="U27" s="149">
        <v>1250</v>
      </c>
      <c r="V27" s="149">
        <v>1250</v>
      </c>
      <c r="W27" s="149">
        <v>1250</v>
      </c>
      <c r="X27" s="149">
        <v>1250</v>
      </c>
      <c r="Y27" s="149">
        <v>1250</v>
      </c>
      <c r="Z27" s="149">
        <v>1250</v>
      </c>
      <c r="AA27" s="149">
        <v>1250</v>
      </c>
      <c r="AB27" s="149">
        <v>1250</v>
      </c>
      <c r="AC27" s="149">
        <v>1250</v>
      </c>
      <c r="AD27" s="149">
        <v>1250</v>
      </c>
      <c r="AE27" s="138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</row>
    <row r="28" spans="2:44" s="130" customFormat="1" ht="18" customHeight="1" x14ac:dyDescent="0.2">
      <c r="B28" s="128"/>
      <c r="C28" s="143" t="s">
        <v>13</v>
      </c>
      <c r="D28" s="171">
        <f t="shared" si="27"/>
        <v>1.5039403439863922E-3</v>
      </c>
      <c r="E28" s="149">
        <v>1500</v>
      </c>
      <c r="F28" s="149">
        <v>1500</v>
      </c>
      <c r="G28" s="149">
        <v>1500</v>
      </c>
      <c r="H28" s="149">
        <v>1500</v>
      </c>
      <c r="I28" s="149">
        <v>1500</v>
      </c>
      <c r="J28" s="149">
        <v>1500</v>
      </c>
      <c r="K28" s="149">
        <v>1500</v>
      </c>
      <c r="L28" s="149">
        <v>1500</v>
      </c>
      <c r="M28" s="149">
        <v>1500</v>
      </c>
      <c r="N28" s="149">
        <v>1500</v>
      </c>
      <c r="O28" s="149">
        <v>1500</v>
      </c>
      <c r="P28" s="149">
        <v>1500</v>
      </c>
      <c r="Q28" s="159">
        <f t="shared" si="22"/>
        <v>18000</v>
      </c>
      <c r="R28" s="165">
        <f t="shared" si="23"/>
        <v>18000</v>
      </c>
      <c r="S28" s="149">
        <v>1500</v>
      </c>
      <c r="T28" s="149">
        <v>1500</v>
      </c>
      <c r="U28" s="149">
        <v>1500</v>
      </c>
      <c r="V28" s="149">
        <v>1500</v>
      </c>
      <c r="W28" s="149">
        <v>1500</v>
      </c>
      <c r="X28" s="149">
        <v>1500</v>
      </c>
      <c r="Y28" s="149">
        <v>1500</v>
      </c>
      <c r="Z28" s="149">
        <v>1500</v>
      </c>
      <c r="AA28" s="149">
        <v>1500</v>
      </c>
      <c r="AB28" s="149">
        <v>1500</v>
      </c>
      <c r="AC28" s="149">
        <v>1500</v>
      </c>
      <c r="AD28" s="149">
        <v>1500</v>
      </c>
      <c r="AE28" s="138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</row>
    <row r="29" spans="2:44" s="130" customFormat="1" ht="18" customHeight="1" x14ac:dyDescent="0.2">
      <c r="B29" s="128"/>
      <c r="C29" s="143" t="s">
        <v>15</v>
      </c>
      <c r="D29" s="171">
        <f t="shared" si="27"/>
        <v>2.5065672399773203E-4</v>
      </c>
      <c r="E29" s="149">
        <v>250</v>
      </c>
      <c r="F29" s="149">
        <v>250</v>
      </c>
      <c r="G29" s="149">
        <v>250</v>
      </c>
      <c r="H29" s="149">
        <v>250</v>
      </c>
      <c r="I29" s="149">
        <v>250</v>
      </c>
      <c r="J29" s="149">
        <v>250</v>
      </c>
      <c r="K29" s="149">
        <v>250</v>
      </c>
      <c r="L29" s="149">
        <v>250</v>
      </c>
      <c r="M29" s="149">
        <v>250</v>
      </c>
      <c r="N29" s="149">
        <v>250</v>
      </c>
      <c r="O29" s="149">
        <v>250</v>
      </c>
      <c r="P29" s="149">
        <v>250</v>
      </c>
      <c r="Q29" s="159">
        <f t="shared" si="22"/>
        <v>3000</v>
      </c>
      <c r="R29" s="165">
        <f t="shared" si="23"/>
        <v>3000</v>
      </c>
      <c r="S29" s="149">
        <v>250</v>
      </c>
      <c r="T29" s="149">
        <v>250</v>
      </c>
      <c r="U29" s="149">
        <v>250</v>
      </c>
      <c r="V29" s="149">
        <v>250</v>
      </c>
      <c r="W29" s="149">
        <v>250</v>
      </c>
      <c r="X29" s="149">
        <v>250</v>
      </c>
      <c r="Y29" s="149">
        <v>250</v>
      </c>
      <c r="Z29" s="149">
        <v>250</v>
      </c>
      <c r="AA29" s="149">
        <v>250</v>
      </c>
      <c r="AB29" s="149">
        <v>250</v>
      </c>
      <c r="AC29" s="149">
        <v>250</v>
      </c>
      <c r="AD29" s="149">
        <v>250</v>
      </c>
      <c r="AE29" s="138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</row>
    <row r="30" spans="2:44" s="130" customFormat="1" ht="18" customHeight="1" x14ac:dyDescent="0.2">
      <c r="B30" s="128"/>
      <c r="C30" s="143" t="s">
        <v>78</v>
      </c>
      <c r="D30" s="171">
        <f t="shared" si="27"/>
        <v>8.0000000000000016E-2</v>
      </c>
      <c r="E30" s="149">
        <f>E7*8%</f>
        <v>46745.008127999994</v>
      </c>
      <c r="F30" s="149">
        <f t="shared" ref="F30:P30" si="28">F7*8%</f>
        <v>67855.656959999993</v>
      </c>
      <c r="G30" s="149">
        <f t="shared" si="28"/>
        <v>88377.280992000015</v>
      </c>
      <c r="H30" s="149">
        <f t="shared" si="28"/>
        <v>88947.456998400026</v>
      </c>
      <c r="I30" s="149">
        <f t="shared" si="28"/>
        <v>63894.582984959998</v>
      </c>
      <c r="J30" s="149">
        <f t="shared" si="28"/>
        <v>81803.764224000013</v>
      </c>
      <c r="K30" s="149">
        <f t="shared" si="28"/>
        <v>81992.252160000004</v>
      </c>
      <c r="L30" s="149">
        <f t="shared" si="28"/>
        <v>87646.890240000008</v>
      </c>
      <c r="M30" s="149">
        <f t="shared" si="28"/>
        <v>87646.890239999979</v>
      </c>
      <c r="N30" s="149">
        <f t="shared" si="28"/>
        <v>93490.016255999988</v>
      </c>
      <c r="O30" s="149">
        <f t="shared" si="28"/>
        <v>96411.579263999985</v>
      </c>
      <c r="P30" s="149">
        <f t="shared" si="28"/>
        <v>72673.40860415998</v>
      </c>
      <c r="Q30" s="159">
        <f t="shared" si="22"/>
        <v>957484.78705151996</v>
      </c>
      <c r="R30" s="165">
        <f t="shared" si="23"/>
        <v>1336262.6037196796</v>
      </c>
      <c r="S30" s="149">
        <f>S7*8%</f>
        <v>102254.70527999999</v>
      </c>
      <c r="T30" s="149">
        <f t="shared" ref="T30:AD30" si="29">T7*8%</f>
        <v>101783.48544</v>
      </c>
      <c r="U30" s="149">
        <f t="shared" si="29"/>
        <v>130798.37586816002</v>
      </c>
      <c r="V30" s="149">
        <f t="shared" si="29"/>
        <v>130000.12945920002</v>
      </c>
      <c r="W30" s="149">
        <f t="shared" si="29"/>
        <v>92292.175422719985</v>
      </c>
      <c r="X30" s="149">
        <f t="shared" si="29"/>
        <v>116862.52032</v>
      </c>
      <c r="Y30" s="149">
        <f t="shared" si="29"/>
        <v>113092.7616</v>
      </c>
      <c r="Z30" s="149">
        <f t="shared" si="29"/>
        <v>116862.52032</v>
      </c>
      <c r="AA30" s="149">
        <f t="shared" si="29"/>
        <v>113092.7616</v>
      </c>
      <c r="AB30" s="149">
        <f t="shared" si="29"/>
        <v>116862.52032</v>
      </c>
      <c r="AC30" s="149">
        <f t="shared" si="29"/>
        <v>116862.52032</v>
      </c>
      <c r="AD30" s="149">
        <f t="shared" si="29"/>
        <v>85498.127769600003</v>
      </c>
      <c r="AE30" s="138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</row>
    <row r="31" spans="2:44" s="130" customFormat="1" ht="18" customHeight="1" x14ac:dyDescent="0.2">
      <c r="B31" s="128"/>
      <c r="C31" s="143" t="s">
        <v>79</v>
      </c>
      <c r="D31" s="171">
        <f t="shared" si="27"/>
        <v>4.4613134479954642E-3</v>
      </c>
      <c r="E31" s="149">
        <f t="shared" ref="E31:P31" si="30">E7*40%*0.99%+500</f>
        <v>2813.8779023359998</v>
      </c>
      <c r="F31" s="149">
        <f t="shared" si="30"/>
        <v>3858.8550195199991</v>
      </c>
      <c r="G31" s="149">
        <f t="shared" si="30"/>
        <v>4874.6754091040002</v>
      </c>
      <c r="H31" s="149">
        <f t="shared" si="30"/>
        <v>4902.8991214208008</v>
      </c>
      <c r="I31" s="149">
        <f t="shared" si="30"/>
        <v>3662.7818577555195</v>
      </c>
      <c r="J31" s="149">
        <f t="shared" si="30"/>
        <v>4549.2863290879995</v>
      </c>
      <c r="K31" s="149">
        <f t="shared" si="30"/>
        <v>4558.6164819200003</v>
      </c>
      <c r="L31" s="149">
        <f t="shared" si="30"/>
        <v>4838.52106688</v>
      </c>
      <c r="M31" s="149">
        <f t="shared" si="30"/>
        <v>4838.5210668799991</v>
      </c>
      <c r="N31" s="149">
        <f t="shared" si="30"/>
        <v>5127.7558046719996</v>
      </c>
      <c r="O31" s="149">
        <f t="shared" si="30"/>
        <v>5272.3731735679994</v>
      </c>
      <c r="P31" s="149">
        <f t="shared" si="30"/>
        <v>4097.333725905919</v>
      </c>
      <c r="Q31" s="159">
        <f t="shared" si="22"/>
        <v>53395.49695905023</v>
      </c>
      <c r="R31" s="165">
        <f t="shared" si="23"/>
        <v>72144.998884124157</v>
      </c>
      <c r="S31" s="149">
        <f t="shared" ref="S31:AD31" si="31">S7*40%*0.99%+500</f>
        <v>5561.607911359999</v>
      </c>
      <c r="T31" s="149">
        <f t="shared" si="31"/>
        <v>5538.2825292799998</v>
      </c>
      <c r="U31" s="149">
        <f t="shared" si="31"/>
        <v>6974.5196054739208</v>
      </c>
      <c r="V31" s="149">
        <f t="shared" si="31"/>
        <v>6935.0064082304007</v>
      </c>
      <c r="W31" s="149">
        <f t="shared" si="31"/>
        <v>5068.4626834246383</v>
      </c>
      <c r="X31" s="149">
        <f t="shared" si="31"/>
        <v>6284.6947558399997</v>
      </c>
      <c r="Y31" s="149">
        <f t="shared" si="31"/>
        <v>6098.0916992000002</v>
      </c>
      <c r="Z31" s="149">
        <f t="shared" si="31"/>
        <v>6284.6947558399997</v>
      </c>
      <c r="AA31" s="149">
        <f t="shared" si="31"/>
        <v>6098.0916992000002</v>
      </c>
      <c r="AB31" s="149">
        <f t="shared" si="31"/>
        <v>6284.6947558399997</v>
      </c>
      <c r="AC31" s="149">
        <f t="shared" si="31"/>
        <v>6284.6947558399997</v>
      </c>
      <c r="AD31" s="149">
        <f t="shared" si="31"/>
        <v>4732.1573245951995</v>
      </c>
      <c r="AE31" s="138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</row>
    <row r="32" spans="2:44" s="130" customFormat="1" ht="18" customHeight="1" x14ac:dyDescent="0.2">
      <c r="B32" s="128"/>
      <c r="C32" s="157" t="s">
        <v>103</v>
      </c>
      <c r="D32" s="142"/>
      <c r="E32" s="156">
        <f t="shared" ref="E32:P32" si="32">E7-E11</f>
        <v>98369.91883366392</v>
      </c>
      <c r="F32" s="156">
        <f t="shared" si="32"/>
        <v>190011.17250047973</v>
      </c>
      <c r="G32" s="156">
        <f t="shared" si="32"/>
        <v>277494.69029489602</v>
      </c>
      <c r="H32" s="156">
        <f t="shared" si="32"/>
        <v>281244.97861937922</v>
      </c>
      <c r="I32" s="156">
        <f t="shared" si="32"/>
        <v>167031.07030576456</v>
      </c>
      <c r="J32" s="156">
        <f t="shared" si="32"/>
        <v>240022.35795891192</v>
      </c>
      <c r="K32" s="156">
        <f t="shared" si="32"/>
        <v>241596.83343807992</v>
      </c>
      <c r="L32" s="156">
        <f t="shared" si="32"/>
        <v>273331.09781312011</v>
      </c>
      <c r="M32" s="156">
        <f t="shared" si="32"/>
        <v>273831.09781311988</v>
      </c>
      <c r="N32" s="156">
        <f t="shared" si="32"/>
        <v>306639.83766732784</v>
      </c>
      <c r="O32" s="156">
        <f t="shared" si="32"/>
        <v>323294.20759443182</v>
      </c>
      <c r="P32" s="156">
        <f t="shared" si="32"/>
        <v>218274.76574801386</v>
      </c>
      <c r="Q32" s="177">
        <f>SUM(E32:P32)</f>
        <v>2891142.0285871886</v>
      </c>
      <c r="R32" s="196">
        <f>SUM(S32:AD32)</f>
        <v>4905264.9725040346</v>
      </c>
      <c r="S32" s="156">
        <f t="shared" ref="S32:AD32" si="33">S7-S11</f>
        <v>356602.94744864001</v>
      </c>
      <c r="T32" s="156">
        <f t="shared" si="33"/>
        <v>354416.75875071983</v>
      </c>
      <c r="U32" s="156">
        <f t="shared" si="33"/>
        <v>519316.14163644612</v>
      </c>
      <c r="V32" s="156">
        <f t="shared" si="33"/>
        <v>515265.73798216973</v>
      </c>
      <c r="W32" s="156">
        <f t="shared" si="33"/>
        <v>299811.5459972152</v>
      </c>
      <c r="X32" s="156">
        <f t="shared" si="33"/>
        <v>439874.79708415992</v>
      </c>
      <c r="Y32" s="156">
        <f t="shared" si="33"/>
        <v>418885.28750079998</v>
      </c>
      <c r="Z32" s="156">
        <f t="shared" si="33"/>
        <v>439874.79708415992</v>
      </c>
      <c r="AA32" s="156">
        <f t="shared" si="33"/>
        <v>418885.28750079998</v>
      </c>
      <c r="AB32" s="156">
        <f t="shared" si="33"/>
        <v>439874.79708415992</v>
      </c>
      <c r="AC32" s="156">
        <f t="shared" si="33"/>
        <v>439874.79708415992</v>
      </c>
      <c r="AD32" s="156">
        <f t="shared" si="33"/>
        <v>262582.07735060481</v>
      </c>
      <c r="AE32" s="138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</row>
    <row r="33" spans="2:62" s="130" customFormat="1" ht="18" customHeight="1" x14ac:dyDescent="0.2">
      <c r="B33" s="128"/>
      <c r="C33" s="143" t="s">
        <v>101</v>
      </c>
      <c r="D33" s="171">
        <f>Q33/$Q$7</f>
        <v>1.002626895990928E-2</v>
      </c>
      <c r="E33" s="149">
        <f>IF('Исходные данные'!$K$22="ЕНВД", 10000, 'Финансовая модель'!E7*7%)</f>
        <v>10000</v>
      </c>
      <c r="F33" s="149">
        <f>IF('Исходные данные'!$K$22="ЕНВД", 10000, 'Финансовая модель'!F7*7%)</f>
        <v>10000</v>
      </c>
      <c r="G33" s="149">
        <f>IF('Исходные данные'!$K$22="ЕНВД", 10000, 'Финансовая модель'!G7*7%)</f>
        <v>10000</v>
      </c>
      <c r="H33" s="149">
        <f>IF('Исходные данные'!$K$22="ЕНВД", 10000, 'Финансовая модель'!H7*7%)</f>
        <v>10000</v>
      </c>
      <c r="I33" s="149">
        <f>IF('Исходные данные'!$K$22="ЕНВД", 10000, 'Финансовая модель'!I7*7%)</f>
        <v>10000</v>
      </c>
      <c r="J33" s="149">
        <f>IF('Исходные данные'!$K$22="ЕНВД", 10000, 'Финансовая модель'!J7*7%)</f>
        <v>10000</v>
      </c>
      <c r="K33" s="149">
        <f>IF('Исходные данные'!$K$22="ЕНВД", 10000, 'Финансовая модель'!K7*7%)</f>
        <v>10000</v>
      </c>
      <c r="L33" s="149">
        <f>IF('Исходные данные'!$K$22="ЕНВД", 10000, 'Финансовая модель'!L7*7%)</f>
        <v>10000</v>
      </c>
      <c r="M33" s="149">
        <f>IF('Исходные данные'!$K$22="ЕНВД", 10000, 'Финансовая модель'!M7*7%)</f>
        <v>10000</v>
      </c>
      <c r="N33" s="149">
        <f>IF('Исходные данные'!$K$22="ЕНВД", 10000, 'Финансовая модель'!N7*7%)</f>
        <v>10000</v>
      </c>
      <c r="O33" s="149">
        <f>IF('Исходные данные'!$K$22="ЕНВД", 10000, 'Финансовая модель'!O7*7%)</f>
        <v>10000</v>
      </c>
      <c r="P33" s="149">
        <f>IF('Исходные данные'!$K$22="ЕНВД", 10000, 'Финансовая модель'!P7*7%)</f>
        <v>10000</v>
      </c>
      <c r="Q33" s="159">
        <f t="shared" si="22"/>
        <v>120000</v>
      </c>
      <c r="R33" s="165">
        <f t="shared" si="23"/>
        <v>120000</v>
      </c>
      <c r="S33" s="149">
        <f>IF('Исходные данные'!$K$22="ЕНВД", 10000, 'Финансовая модель'!S7*7%)</f>
        <v>10000</v>
      </c>
      <c r="T33" s="149">
        <f>IF('Исходные данные'!$K$22="ЕНВД", 10000, 'Финансовая модель'!T7*7%)</f>
        <v>10000</v>
      </c>
      <c r="U33" s="149">
        <f>IF('Исходные данные'!$K$22="ЕНВД", 10000, 'Финансовая модель'!U7*7%)</f>
        <v>10000</v>
      </c>
      <c r="V33" s="149">
        <f>IF('Исходные данные'!$K$22="ЕНВД", 10000, 'Финансовая модель'!V7*7%)</f>
        <v>10000</v>
      </c>
      <c r="W33" s="149">
        <f>IF('Исходные данные'!$K$22="ЕНВД", 10000, 'Финансовая модель'!W7*7%)</f>
        <v>10000</v>
      </c>
      <c r="X33" s="149">
        <f>IF('Исходные данные'!$K$22="ЕНВД", 10000, 'Финансовая модель'!X7*7%)</f>
        <v>10000</v>
      </c>
      <c r="Y33" s="149">
        <f>IF('Исходные данные'!$K$22="ЕНВД", 10000, 'Финансовая модель'!Y7*7%)</f>
        <v>10000</v>
      </c>
      <c r="Z33" s="149">
        <f>IF('Исходные данные'!$K$22="ЕНВД", 10000, 'Финансовая модель'!Z7*7%)</f>
        <v>10000</v>
      </c>
      <c r="AA33" s="149">
        <f>IF('Исходные данные'!$K$22="ЕНВД", 10000, 'Финансовая модель'!AA7*7%)</f>
        <v>10000</v>
      </c>
      <c r="AB33" s="149">
        <f>IF('Исходные данные'!$K$22="ЕНВД", 10000, 'Финансовая модель'!AB7*7%)</f>
        <v>10000</v>
      </c>
      <c r="AC33" s="149">
        <f>IF('Исходные данные'!$K$22="ЕНВД", 10000, 'Финансовая модель'!AC7*7%)</f>
        <v>10000</v>
      </c>
      <c r="AD33" s="149">
        <f>IF('Исходные данные'!$K$22="ЕНВД", 10000, 'Финансовая модель'!AD7*7%)</f>
        <v>10000</v>
      </c>
      <c r="AE33" s="138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</row>
    <row r="34" spans="2:62" s="183" customFormat="1" ht="30" customHeight="1" x14ac:dyDescent="0.2">
      <c r="B34" s="180"/>
      <c r="C34" s="263" t="s">
        <v>89</v>
      </c>
      <c r="D34" s="264"/>
      <c r="E34" s="181">
        <f>E32-E33</f>
        <v>88369.91883366392</v>
      </c>
      <c r="F34" s="181">
        <f t="shared" ref="F34:P34" si="34">F32-F33</f>
        <v>180011.17250047973</v>
      </c>
      <c r="G34" s="181">
        <f t="shared" si="34"/>
        <v>267494.69029489602</v>
      </c>
      <c r="H34" s="181">
        <f t="shared" si="34"/>
        <v>271244.97861937922</v>
      </c>
      <c r="I34" s="181">
        <f t="shared" si="34"/>
        <v>157031.07030576456</v>
      </c>
      <c r="J34" s="181">
        <f t="shared" si="34"/>
        <v>230022.35795891192</v>
      </c>
      <c r="K34" s="181">
        <f t="shared" si="34"/>
        <v>231596.83343807992</v>
      </c>
      <c r="L34" s="181">
        <f t="shared" si="34"/>
        <v>263331.09781312011</v>
      </c>
      <c r="M34" s="181">
        <f t="shared" si="34"/>
        <v>263831.09781311988</v>
      </c>
      <c r="N34" s="181">
        <f t="shared" si="34"/>
        <v>296639.83766732784</v>
      </c>
      <c r="O34" s="181">
        <f>O32-O33</f>
        <v>313294.20759443182</v>
      </c>
      <c r="P34" s="181">
        <f t="shared" si="34"/>
        <v>208274.76574801386</v>
      </c>
      <c r="Q34" s="189">
        <f>SUM(E34:P34)</f>
        <v>2771142.0285871886</v>
      </c>
      <c r="R34" s="195">
        <f>SUM(S34:AD34)</f>
        <v>4785264.9725040346</v>
      </c>
      <c r="S34" s="181">
        <f>S32-S33</f>
        <v>346602.94744864001</v>
      </c>
      <c r="T34" s="181">
        <f t="shared" ref="T34:AD34" si="35">T32-T33</f>
        <v>344416.75875071983</v>
      </c>
      <c r="U34" s="181">
        <f t="shared" si="35"/>
        <v>509316.14163644612</v>
      </c>
      <c r="V34" s="181">
        <f t="shared" si="35"/>
        <v>505265.73798216973</v>
      </c>
      <c r="W34" s="181">
        <f t="shared" si="35"/>
        <v>289811.5459972152</v>
      </c>
      <c r="X34" s="181">
        <f t="shared" si="35"/>
        <v>429874.79708415992</v>
      </c>
      <c r="Y34" s="181">
        <f t="shared" si="35"/>
        <v>408885.28750079998</v>
      </c>
      <c r="Z34" s="181">
        <f t="shared" si="35"/>
        <v>429874.79708415992</v>
      </c>
      <c r="AA34" s="181">
        <f t="shared" si="35"/>
        <v>408885.28750079998</v>
      </c>
      <c r="AB34" s="181">
        <f t="shared" si="35"/>
        <v>429874.79708415992</v>
      </c>
      <c r="AC34" s="181">
        <f t="shared" si="35"/>
        <v>429874.79708415992</v>
      </c>
      <c r="AD34" s="181">
        <f t="shared" si="35"/>
        <v>252582.07735060481</v>
      </c>
      <c r="AE34" s="18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</row>
    <row r="35" spans="2:62" s="130" customFormat="1" ht="18" customHeight="1" x14ac:dyDescent="0.2">
      <c r="B35" s="128"/>
      <c r="C35" s="265" t="s">
        <v>90</v>
      </c>
      <c r="D35" s="266"/>
      <c r="E35" s="179">
        <f t="shared" ref="E35:P35" si="36">E34/E7</f>
        <v>0.1512374003088143</v>
      </c>
      <c r="F35" s="179">
        <f t="shared" si="36"/>
        <v>0.21222834536150045</v>
      </c>
      <c r="G35" s="179">
        <f t="shared" si="36"/>
        <v>0.24213887306092605</v>
      </c>
      <c r="H35" s="179">
        <f t="shared" si="36"/>
        <v>0.2439597378252272</v>
      </c>
      <c r="I35" s="179">
        <f t="shared" si="36"/>
        <v>0.19661268667201756</v>
      </c>
      <c r="J35" s="179">
        <f t="shared" si="36"/>
        <v>0.22495038964617894</v>
      </c>
      <c r="K35" s="179">
        <f t="shared" si="36"/>
        <v>0.22596948110281539</v>
      </c>
      <c r="L35" s="179">
        <f t="shared" si="36"/>
        <v>0.24035636366976718</v>
      </c>
      <c r="M35" s="179">
        <f t="shared" si="36"/>
        <v>0.24081274038650471</v>
      </c>
      <c r="N35" s="179">
        <f t="shared" si="36"/>
        <v>0.25383659094040656</v>
      </c>
      <c r="O35" s="179">
        <f t="shared" si="36"/>
        <v>0.25996396697251545</v>
      </c>
      <c r="P35" s="179">
        <f t="shared" si="36"/>
        <v>0.22927204846818403</v>
      </c>
      <c r="Q35" s="160"/>
      <c r="R35" s="164"/>
      <c r="S35" s="179">
        <f t="shared" ref="S35:AD35" si="37">S34/S7</f>
        <v>0.27116831171694328</v>
      </c>
      <c r="T35" s="179">
        <f t="shared" si="37"/>
        <v>0.27070541533282344</v>
      </c>
      <c r="U35" s="179">
        <f t="shared" si="37"/>
        <v>0.31151221152765274</v>
      </c>
      <c r="V35" s="179">
        <f t="shared" si="37"/>
        <v>0.31093245219620813</v>
      </c>
      <c r="W35" s="179">
        <f t="shared" si="37"/>
        <v>0.2512122352039573</v>
      </c>
      <c r="X35" s="179">
        <f t="shared" si="37"/>
        <v>0.29427727275232529</v>
      </c>
      <c r="Y35" s="179">
        <f t="shared" si="37"/>
        <v>0.28923887379954122</v>
      </c>
      <c r="Z35" s="179">
        <f t="shared" si="37"/>
        <v>0.29427727275232529</v>
      </c>
      <c r="AA35" s="179">
        <f t="shared" si="37"/>
        <v>0.28923887379954122</v>
      </c>
      <c r="AB35" s="179">
        <f t="shared" si="37"/>
        <v>0.29427727275232529</v>
      </c>
      <c r="AC35" s="179">
        <f t="shared" si="37"/>
        <v>0.29427727275232529</v>
      </c>
      <c r="AD35" s="179">
        <f t="shared" si="37"/>
        <v>0.23633928268582624</v>
      </c>
      <c r="AE35" s="138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</row>
    <row r="36" spans="2:62" s="130" customFormat="1" ht="18" customHeight="1" x14ac:dyDescent="0.2">
      <c r="B36" s="128"/>
      <c r="C36" s="172" t="s">
        <v>5</v>
      </c>
      <c r="D36" s="168">
        <f>-'Стартовые инвестиции'!L19</f>
        <v>-1495792</v>
      </c>
      <c r="E36" s="169">
        <f>D36+E34</f>
        <v>-1407422.0811663361</v>
      </c>
      <c r="F36" s="169">
        <f>E36+F34</f>
        <v>-1227410.9086658563</v>
      </c>
      <c r="G36" s="169">
        <f t="shared" ref="G36:N36" si="38">F36+G34</f>
        <v>-959916.21837096033</v>
      </c>
      <c r="H36" s="169">
        <f t="shared" si="38"/>
        <v>-688671.2397515811</v>
      </c>
      <c r="I36" s="169">
        <f t="shared" si="38"/>
        <v>-531640.16944581654</v>
      </c>
      <c r="J36" s="169">
        <f t="shared" si="38"/>
        <v>-301617.81148690463</v>
      </c>
      <c r="K36" s="169">
        <f t="shared" si="38"/>
        <v>-70020.978048824705</v>
      </c>
      <c r="L36" s="169">
        <f t="shared" si="38"/>
        <v>193310.11976429541</v>
      </c>
      <c r="M36" s="169">
        <f t="shared" si="38"/>
        <v>457141.21757741529</v>
      </c>
      <c r="N36" s="169">
        <f t="shared" si="38"/>
        <v>753781.05524474313</v>
      </c>
      <c r="O36" s="169">
        <f>N36+O34</f>
        <v>1067075.2628391748</v>
      </c>
      <c r="P36" s="169">
        <f>O36+P34</f>
        <v>1275350.0285871886</v>
      </c>
      <c r="Q36" s="159"/>
      <c r="R36" s="164"/>
      <c r="S36" s="169">
        <f>P36+S34</f>
        <v>1621952.9760358287</v>
      </c>
      <c r="T36" s="169">
        <f>S36+T34</f>
        <v>1966369.7347865487</v>
      </c>
      <c r="U36" s="169">
        <f t="shared" ref="U36" si="39">T36+U34</f>
        <v>2475685.8764229948</v>
      </c>
      <c r="V36" s="169">
        <f t="shared" ref="V36" si="40">U36+V34</f>
        <v>2980951.6144051645</v>
      </c>
      <c r="W36" s="169">
        <f t="shared" ref="W36" si="41">V36+W34</f>
        <v>3270763.1604023799</v>
      </c>
      <c r="X36" s="169">
        <f t="shared" ref="X36" si="42">W36+X34</f>
        <v>3700637.9574865401</v>
      </c>
      <c r="Y36" s="169">
        <f t="shared" ref="Y36" si="43">X36+Y34</f>
        <v>4109523.2449873402</v>
      </c>
      <c r="Z36" s="169">
        <f t="shared" ref="Z36" si="44">Y36+Z34</f>
        <v>4539398.0420714999</v>
      </c>
      <c r="AA36" s="169">
        <f t="shared" ref="AA36" si="45">Z36+AA34</f>
        <v>4948283.3295722995</v>
      </c>
      <c r="AB36" s="169">
        <f t="shared" ref="AB36" si="46">AA36+AB34</f>
        <v>5378158.1266564596</v>
      </c>
      <c r="AC36" s="169">
        <f t="shared" ref="AC36" si="47">AB36+AC34</f>
        <v>5808032.9237406198</v>
      </c>
      <c r="AD36" s="169">
        <f>AC36+AD34</f>
        <v>6060615.0010912251</v>
      </c>
      <c r="AE36" s="138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</row>
    <row r="37" spans="2:62" s="201" customFormat="1" ht="10" customHeight="1" x14ac:dyDescent="0.2">
      <c r="B37" s="197"/>
      <c r="C37" s="198"/>
      <c r="D37" s="198">
        <f>IF(D36&lt;0,1,0)</f>
        <v>1</v>
      </c>
      <c r="E37" s="198">
        <f t="shared" ref="E37:O37" si="48">IF(E36&lt;0,1,0)</f>
        <v>1</v>
      </c>
      <c r="F37" s="198">
        <f t="shared" si="48"/>
        <v>1</v>
      </c>
      <c r="G37" s="198">
        <f t="shared" si="48"/>
        <v>1</v>
      </c>
      <c r="H37" s="198">
        <f t="shared" si="48"/>
        <v>1</v>
      </c>
      <c r="I37" s="198">
        <f t="shared" si="48"/>
        <v>1</v>
      </c>
      <c r="J37" s="198">
        <f t="shared" si="48"/>
        <v>1</v>
      </c>
      <c r="K37" s="198">
        <f t="shared" si="48"/>
        <v>1</v>
      </c>
      <c r="L37" s="198">
        <f t="shared" si="48"/>
        <v>0</v>
      </c>
      <c r="M37" s="198">
        <f t="shared" si="48"/>
        <v>0</v>
      </c>
      <c r="N37" s="198">
        <f t="shared" si="48"/>
        <v>0</v>
      </c>
      <c r="O37" s="198">
        <f t="shared" si="48"/>
        <v>0</v>
      </c>
      <c r="P37" s="198">
        <f>IF(P36&lt;0,1,0)</f>
        <v>0</v>
      </c>
      <c r="Q37" s="199"/>
      <c r="R37" s="199"/>
      <c r="S37" s="198">
        <f t="shared" ref="S37:AD37" si="49">IF(S36&lt;0,1,0)</f>
        <v>0</v>
      </c>
      <c r="T37" s="198">
        <f t="shared" si="49"/>
        <v>0</v>
      </c>
      <c r="U37" s="198">
        <f t="shared" si="49"/>
        <v>0</v>
      </c>
      <c r="V37" s="198">
        <f t="shared" si="49"/>
        <v>0</v>
      </c>
      <c r="W37" s="198">
        <f t="shared" si="49"/>
        <v>0</v>
      </c>
      <c r="X37" s="198">
        <f t="shared" si="49"/>
        <v>0</v>
      </c>
      <c r="Y37" s="198">
        <f t="shared" si="49"/>
        <v>0</v>
      </c>
      <c r="Z37" s="198">
        <f t="shared" si="49"/>
        <v>0</v>
      </c>
      <c r="AA37" s="198">
        <f t="shared" si="49"/>
        <v>0</v>
      </c>
      <c r="AB37" s="198">
        <f t="shared" si="49"/>
        <v>0</v>
      </c>
      <c r="AC37" s="198">
        <f t="shared" si="49"/>
        <v>0</v>
      </c>
      <c r="AD37" s="198">
        <f t="shared" si="49"/>
        <v>0</v>
      </c>
      <c r="AE37" s="200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</row>
    <row r="38" spans="2:62" s="134" customFormat="1" ht="10" customHeight="1" thickBot="1" x14ac:dyDescent="0.25">
      <c r="B38" s="131"/>
      <c r="C38" s="132"/>
      <c r="D38" s="132"/>
      <c r="E38" s="139"/>
      <c r="F38" s="190"/>
      <c r="G38" s="139"/>
      <c r="H38" s="139"/>
      <c r="I38" s="139"/>
      <c r="J38" s="139"/>
      <c r="K38" s="139"/>
      <c r="L38" s="139"/>
      <c r="M38" s="139"/>
      <c r="N38" s="139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33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</row>
    <row r="39" spans="2:62" s="135" customFormat="1" x14ac:dyDescent="0.15">
      <c r="C39" s="136"/>
      <c r="D39" s="136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</row>
    <row r="41" spans="2:62" x14ac:dyDescent="0.15">
      <c r="E41" s="155"/>
      <c r="F41" s="155"/>
    </row>
    <row r="99" spans="3:44" s="207" customFormat="1" x14ac:dyDescent="0.15">
      <c r="C99" s="267"/>
      <c r="D99" s="267"/>
    </row>
    <row r="100" spans="3:44" s="207" customFormat="1" x14ac:dyDescent="0.15">
      <c r="C100" s="268" t="s">
        <v>108</v>
      </c>
      <c r="E100" s="214">
        <f>MONTH(E6)</f>
        <v>3</v>
      </c>
      <c r="F100" s="214">
        <f t="shared" ref="F100:P100" si="50">MONTH(F6)</f>
        <v>4</v>
      </c>
      <c r="G100" s="214">
        <f t="shared" si="50"/>
        <v>5</v>
      </c>
      <c r="H100" s="214">
        <f t="shared" si="50"/>
        <v>6</v>
      </c>
      <c r="I100" s="214">
        <f t="shared" si="50"/>
        <v>7</v>
      </c>
      <c r="J100" s="214">
        <f t="shared" si="50"/>
        <v>8</v>
      </c>
      <c r="K100" s="214">
        <f t="shared" si="50"/>
        <v>9</v>
      </c>
      <c r="L100" s="214">
        <f t="shared" si="50"/>
        <v>10</v>
      </c>
      <c r="M100" s="214">
        <f t="shared" si="50"/>
        <v>11</v>
      </c>
      <c r="N100" s="214">
        <f t="shared" si="50"/>
        <v>12</v>
      </c>
      <c r="O100" s="214">
        <f t="shared" si="50"/>
        <v>1</v>
      </c>
      <c r="P100" s="214">
        <f t="shared" si="50"/>
        <v>2</v>
      </c>
      <c r="S100" s="214">
        <f>MONTH(S6)</f>
        <v>3</v>
      </c>
      <c r="T100" s="214">
        <f t="shared" ref="T100:AD100" si="51">MONTH(T6)</f>
        <v>4</v>
      </c>
      <c r="U100" s="214">
        <f t="shared" si="51"/>
        <v>5</v>
      </c>
      <c r="V100" s="214">
        <f t="shared" si="51"/>
        <v>6</v>
      </c>
      <c r="W100" s="214">
        <f t="shared" si="51"/>
        <v>7</v>
      </c>
      <c r="X100" s="214">
        <f t="shared" si="51"/>
        <v>8</v>
      </c>
      <c r="Y100" s="214">
        <f t="shared" si="51"/>
        <v>9</v>
      </c>
      <c r="Z100" s="214">
        <f t="shared" si="51"/>
        <v>10</v>
      </c>
      <c r="AA100" s="214">
        <f t="shared" si="51"/>
        <v>11</v>
      </c>
      <c r="AB100" s="214">
        <f t="shared" si="51"/>
        <v>12</v>
      </c>
      <c r="AC100" s="214">
        <f t="shared" si="51"/>
        <v>1</v>
      </c>
      <c r="AD100" s="214">
        <f t="shared" si="51"/>
        <v>2</v>
      </c>
    </row>
    <row r="101" spans="3:44" s="207" customFormat="1" x14ac:dyDescent="0.15">
      <c r="C101" s="268" t="s">
        <v>107</v>
      </c>
      <c r="D101" s="267"/>
      <c r="E101" s="214">
        <f>IF(E100=1,31,
IF(E100=2,28,
IF(E100=3,31,
IF(E100=4,30,
IF(E100=5,31,
IF(E100=6,30,
IF(E100=7,31,
IF(E100=8,31,
IF(E100=9,30,
IF(E100=10,31,
IF(E100=11,30,
IF(E100=12,31,))))))))))))</f>
        <v>31</v>
      </c>
      <c r="F101" s="214">
        <f t="shared" ref="F101:P101" si="52">IF(F100=1,31,
IF(F100=2,28,
IF(F100=3,31,
IF(F100=4,30,
IF(F100=5,31,
IF(F100=6,30,
IF(F100=7,31,
IF(F100=8,31,
IF(F100=9,30,
IF(F100=10,31,
IF(F100=11,30,
IF(F100=12,31,))))))))))))</f>
        <v>30</v>
      </c>
      <c r="G101" s="214">
        <f t="shared" si="52"/>
        <v>31</v>
      </c>
      <c r="H101" s="214">
        <f t="shared" si="52"/>
        <v>30</v>
      </c>
      <c r="I101" s="214">
        <f t="shared" si="52"/>
        <v>31</v>
      </c>
      <c r="J101" s="214">
        <f t="shared" si="52"/>
        <v>31</v>
      </c>
      <c r="K101" s="214">
        <f t="shared" si="52"/>
        <v>30</v>
      </c>
      <c r="L101" s="214">
        <f t="shared" si="52"/>
        <v>31</v>
      </c>
      <c r="M101" s="214">
        <f t="shared" si="52"/>
        <v>30</v>
      </c>
      <c r="N101" s="214">
        <f t="shared" si="52"/>
        <v>31</v>
      </c>
      <c r="O101" s="214">
        <f t="shared" si="52"/>
        <v>31</v>
      </c>
      <c r="P101" s="214">
        <f t="shared" si="52"/>
        <v>28</v>
      </c>
      <c r="S101" s="214">
        <f t="shared" ref="S101" si="53">IF(S100=1,31,
IF(S100=2,28,
IF(S100=3,31,
IF(S100=4,30,
IF(S100=5,31,
IF(S100=6,30,
IF(S100=7,31,
IF(S100=8,31,
IF(S100=9,30,
IF(S100=10,31,
IF(S100=11,30,
IF(S100=12,31,))))))))))))</f>
        <v>31</v>
      </c>
      <c r="T101" s="214">
        <f t="shared" ref="T101" si="54">IF(T100=1,31,
IF(T100=2,28,
IF(T100=3,31,
IF(T100=4,30,
IF(T100=5,31,
IF(T100=6,30,
IF(T100=7,31,
IF(T100=8,31,
IF(T100=9,30,
IF(T100=10,31,
IF(T100=11,30,
IF(T100=12,31,))))))))))))</f>
        <v>30</v>
      </c>
      <c r="U101" s="214">
        <f t="shared" ref="U101" si="55">IF(U100=1,31,
IF(U100=2,28,
IF(U100=3,31,
IF(U100=4,30,
IF(U100=5,31,
IF(U100=6,30,
IF(U100=7,31,
IF(U100=8,31,
IF(U100=9,30,
IF(U100=10,31,
IF(U100=11,30,
IF(U100=12,31,))))))))))))</f>
        <v>31</v>
      </c>
      <c r="V101" s="214">
        <f t="shared" ref="V101" si="56">IF(V100=1,31,
IF(V100=2,28,
IF(V100=3,31,
IF(V100=4,30,
IF(V100=5,31,
IF(V100=6,30,
IF(V100=7,31,
IF(V100=8,31,
IF(V100=9,30,
IF(V100=10,31,
IF(V100=11,30,
IF(V100=12,31,))))))))))))</f>
        <v>30</v>
      </c>
      <c r="W101" s="214">
        <f t="shared" ref="W101" si="57">IF(W100=1,31,
IF(W100=2,28,
IF(W100=3,31,
IF(W100=4,30,
IF(W100=5,31,
IF(W100=6,30,
IF(W100=7,31,
IF(W100=8,31,
IF(W100=9,30,
IF(W100=10,31,
IF(W100=11,30,
IF(W100=12,31,))))))))))))</f>
        <v>31</v>
      </c>
      <c r="X101" s="214">
        <f t="shared" ref="X101" si="58">IF(X100=1,31,
IF(X100=2,28,
IF(X100=3,31,
IF(X100=4,30,
IF(X100=5,31,
IF(X100=6,30,
IF(X100=7,31,
IF(X100=8,31,
IF(X100=9,30,
IF(X100=10,31,
IF(X100=11,30,
IF(X100=12,31,))))))))))))</f>
        <v>31</v>
      </c>
      <c r="Y101" s="214">
        <f t="shared" ref="Y101" si="59">IF(Y100=1,31,
IF(Y100=2,28,
IF(Y100=3,31,
IF(Y100=4,30,
IF(Y100=5,31,
IF(Y100=6,30,
IF(Y100=7,31,
IF(Y100=8,31,
IF(Y100=9,30,
IF(Y100=10,31,
IF(Y100=11,30,
IF(Y100=12,31,))))))))))))</f>
        <v>30</v>
      </c>
      <c r="Z101" s="214">
        <f t="shared" ref="Z101" si="60">IF(Z100=1,31,
IF(Z100=2,28,
IF(Z100=3,31,
IF(Z100=4,30,
IF(Z100=5,31,
IF(Z100=6,30,
IF(Z100=7,31,
IF(Z100=8,31,
IF(Z100=9,30,
IF(Z100=10,31,
IF(Z100=11,30,
IF(Z100=12,31,))))))))))))</f>
        <v>31</v>
      </c>
      <c r="AA101" s="214">
        <f t="shared" ref="AA101" si="61">IF(AA100=1,31,
IF(AA100=2,28,
IF(AA100=3,31,
IF(AA100=4,30,
IF(AA100=5,31,
IF(AA100=6,30,
IF(AA100=7,31,
IF(AA100=8,31,
IF(AA100=9,30,
IF(AA100=10,31,
IF(AA100=11,30,
IF(AA100=12,31,))))))))))))</f>
        <v>30</v>
      </c>
      <c r="AB101" s="214">
        <f t="shared" ref="AB101" si="62">IF(AB100=1,31,
IF(AB100=2,28,
IF(AB100=3,31,
IF(AB100=4,30,
IF(AB100=5,31,
IF(AB100=6,30,
IF(AB100=7,31,
IF(AB100=8,31,
IF(AB100=9,30,
IF(AB100=10,31,
IF(AB100=11,30,
IF(AB100=12,31,))))))))))))</f>
        <v>31</v>
      </c>
      <c r="AC101" s="214">
        <f t="shared" ref="AC101" si="63">IF(AC100=1,31,
IF(AC100=2,28,
IF(AC100=3,31,
IF(AC100=4,30,
IF(AC100=5,31,
IF(AC100=6,30,
IF(AC100=7,31,
IF(AC100=8,31,
IF(AC100=9,30,
IF(AC100=10,31,
IF(AC100=11,30,
IF(AC100=12,31,))))))))))))</f>
        <v>31</v>
      </c>
      <c r="AD101" s="214">
        <f t="shared" ref="AD101" si="64">IF(AD100=1,31,
IF(AD100=2,28,
IF(AD100=3,31,
IF(AD100=4,30,
IF(AD100=5,31,
IF(AD100=6,30,
IF(AD100=7,31,
IF(AD100=8,31,
IF(AD100=9,30,
IF(AD100=10,31,
IF(AD100=11,30,
IF(AD100=12,31,))))))))))))</f>
        <v>28</v>
      </c>
    </row>
    <row r="102" spans="3:44" s="207" customFormat="1" x14ac:dyDescent="0.15">
      <c r="C102" s="267"/>
      <c r="D102" s="267"/>
    </row>
    <row r="103" spans="3:44" s="207" customFormat="1" x14ac:dyDescent="0.15">
      <c r="C103" s="269"/>
      <c r="D103" s="269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</row>
    <row r="104" spans="3:44" s="207" customFormat="1" x14ac:dyDescent="0.15">
      <c r="C104" s="271" t="s">
        <v>106</v>
      </c>
      <c r="D104" s="272"/>
      <c r="E104" s="273">
        <v>0.8</v>
      </c>
      <c r="F104" s="274">
        <v>1.2</v>
      </c>
      <c r="G104" s="274">
        <v>1.25</v>
      </c>
      <c r="H104" s="274">
        <v>1.3</v>
      </c>
      <c r="I104" s="274">
        <v>1.35</v>
      </c>
      <c r="J104" s="274">
        <v>1.4</v>
      </c>
      <c r="K104" s="274">
        <v>1.45</v>
      </c>
      <c r="L104" s="274">
        <v>1.5</v>
      </c>
      <c r="M104" s="274">
        <v>1.55</v>
      </c>
      <c r="N104" s="274">
        <v>1.6</v>
      </c>
      <c r="O104" s="274">
        <v>1.65</v>
      </c>
      <c r="P104" s="274">
        <v>1.7</v>
      </c>
      <c r="S104" s="273">
        <v>1.75</v>
      </c>
      <c r="T104" s="274">
        <v>1.8</v>
      </c>
      <c r="U104" s="273">
        <v>1.85</v>
      </c>
      <c r="V104" s="274">
        <v>1.9</v>
      </c>
      <c r="W104" s="273">
        <v>1.95</v>
      </c>
      <c r="X104" s="274">
        <v>2</v>
      </c>
      <c r="Y104" s="273">
        <v>2</v>
      </c>
      <c r="Z104" s="274">
        <v>2</v>
      </c>
      <c r="AA104" s="273">
        <v>2</v>
      </c>
      <c r="AB104" s="274">
        <v>2</v>
      </c>
      <c r="AC104" s="273">
        <v>2</v>
      </c>
      <c r="AD104" s="274">
        <v>2</v>
      </c>
    </row>
    <row r="105" spans="3:44" s="207" customFormat="1" x14ac:dyDescent="0.15">
      <c r="C105" s="267"/>
      <c r="D105" s="267"/>
    </row>
    <row r="106" spans="3:44" x14ac:dyDescent="0.15"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3:44" x14ac:dyDescent="0.15"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</sheetData>
  <mergeCells count="4">
    <mergeCell ref="C6:C7"/>
    <mergeCell ref="E3:P3"/>
    <mergeCell ref="C34:D34"/>
    <mergeCell ref="C35:D35"/>
  </mergeCells>
  <conditionalFormatting sqref="D13:D14 D16:D31">
    <cfRule type="dataBar" priority="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{A821382F-9DF0-0042-A7C5-876719AD7E49}</x14:id>
        </ext>
      </extLst>
    </cfRule>
  </conditionalFormatting>
  <conditionalFormatting sqref="D12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{7607BC55-49C6-8B4A-A278-6E54D872AE9E}</x14:id>
        </ext>
      </extLst>
    </cfRule>
  </conditionalFormatting>
  <conditionalFormatting sqref="D16:D31 D13:D14">
    <cfRule type="dataBar" priority="1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{7D2F5B53-D2D9-0D41-A056-BE8F87F684FC}</x14:id>
        </ext>
      </extLst>
    </cfRule>
  </conditionalFormatting>
  <conditionalFormatting sqref="D16:D31 D13:D14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{16D50750-CE4B-CF4B-8F90-565F3546FCF9}</x14:id>
        </ext>
      </extLst>
    </cfRule>
  </conditionalFormatting>
  <conditionalFormatting sqref="D33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{0030850A-72D3-FF4E-9E33-D19F1684E262}</x14:id>
        </ext>
      </extLst>
    </cfRule>
  </conditionalFormatting>
  <conditionalFormatting sqref="D33">
    <cfRule type="dataBar" priority="1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{2D24EFED-F1E9-DC4E-BFD8-B764A62AA04A}</x14:id>
        </ext>
      </extLst>
    </cfRule>
  </conditionalFormatting>
  <conditionalFormatting sqref="D33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{F9E1D78F-BA68-4E43-A2EA-7DA15A3C6170}</x14:id>
        </ext>
      </extLst>
    </cfRule>
  </conditionalFormatting>
  <conditionalFormatting sqref="D13:D14 D16:D31 D33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{95C22C2E-2299-C749-BDBB-4E685F94859D}</x14:id>
        </ext>
      </extLst>
    </cfRule>
  </conditionalFormatting>
  <conditionalFormatting sqref="D12:D14 D16:D31 D33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{BE73BA1C-59F2-4F47-82AC-699D7F2D2BAE}</x14:id>
        </ext>
      </extLst>
    </cfRule>
  </conditionalFormatting>
  <conditionalFormatting sqref="C34:R34">
    <cfRule type="cellIs" dxfId="2" priority="4" operator="lessThan">
      <formula>0</formula>
    </cfRule>
  </conditionalFormatting>
  <conditionalFormatting sqref="S34:AD34">
    <cfRule type="cellIs" dxfId="1" priority="3" operator="lessThan">
      <formula>0</formula>
    </cfRule>
  </conditionalFormatting>
  <conditionalFormatting sqref="A36:XFD36">
    <cfRule type="cellIs" dxfId="0" priority="1" operator="lessThan">
      <formula>0</formula>
    </cfRule>
  </conditionalFormatting>
  <dataValidations disablePrompts="1" count="1">
    <dataValidation type="list" allowBlank="1" showInputMessage="1" showErrorMessage="1" sqref="P38:AD38" xr:uid="{00000000-0002-0000-0400-000000000000}">
      <formula1>"ЕНВД, УСН 6%"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21382F-9DF0-0042-A7C5-876719AD7E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D13:D14 D16:D31</xm:sqref>
        </x14:conditionalFormatting>
        <x14:conditionalFormatting xmlns:xm="http://schemas.microsoft.com/office/excel/2006/main">
          <x14:cfRule type="dataBar" id="{7607BC55-49C6-8B4A-A278-6E54D872AE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7D2F5B53-D2D9-0D41-A056-BE8F87F684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D16:D31 D13:D14</xm:sqref>
        </x14:conditionalFormatting>
        <x14:conditionalFormatting xmlns:xm="http://schemas.microsoft.com/office/excel/2006/main">
          <x14:cfRule type="dataBar" id="{16D50750-CE4B-CF4B-8F90-565F3546FCF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D16:D31 D13:D14</xm:sqref>
        </x14:conditionalFormatting>
        <x14:conditionalFormatting xmlns:xm="http://schemas.microsoft.com/office/excel/2006/main">
          <x14:cfRule type="dataBar" id="{0030850A-72D3-FF4E-9E33-D19F1684E2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</xm:sqref>
        </x14:conditionalFormatting>
        <x14:conditionalFormatting xmlns:xm="http://schemas.microsoft.com/office/excel/2006/main">
          <x14:cfRule type="dataBar" id="{2D24EFED-F1E9-DC4E-BFD8-B764A62AA0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</xm:sqref>
        </x14:conditionalFormatting>
        <x14:conditionalFormatting xmlns:xm="http://schemas.microsoft.com/office/excel/2006/main">
          <x14:cfRule type="dataBar" id="{F9E1D78F-BA68-4E43-A2EA-7DA15A3C617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D33</xm:sqref>
        </x14:conditionalFormatting>
        <x14:conditionalFormatting xmlns:xm="http://schemas.microsoft.com/office/excel/2006/main">
          <x14:cfRule type="dataBar" id="{95C22C2E-2299-C749-BDBB-4E685F9485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D13:D14 D16:D31 D33</xm:sqref>
        </x14:conditionalFormatting>
        <x14:conditionalFormatting xmlns:xm="http://schemas.microsoft.com/office/excel/2006/main">
          <x14:cfRule type="dataBar" id="{BE73BA1C-59F2-4F47-82AC-699D7F2D2BA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D12:D14 D16:D31 D33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Исходные данные</vt:lpstr>
      <vt:lpstr>Стартовые инвестиции</vt:lpstr>
      <vt:lpstr> Выручка в первый месяц</vt:lpstr>
      <vt:lpstr>Финансовая модель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2020-02-06T00:43:30Z</dcterms:modified>
</cp:coreProperties>
</file>