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Хлеба&amp;Зрелищ\Dropbox\Кофе\Сметы на открытие\ОЛЬГА\"/>
    </mc:Choice>
  </mc:AlternateContent>
  <bookViews>
    <workbookView xWindow="0" yWindow="0" windowWidth="20490" windowHeight="7650" activeTab="2"/>
  </bookViews>
  <sheets>
    <sheet name="Разовые" sheetId="6" r:id="rId1"/>
    <sheet name="Постоянные затраты" sheetId="2" r:id="rId2"/>
    <sheet name="Расчет окупаемости " sheetId="10" r:id="rId3"/>
    <sheet name="Смета Факт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0" l="1"/>
  <c r="AE6" i="10"/>
  <c r="AF6" i="10"/>
  <c r="AD7" i="10"/>
  <c r="AD20" i="10" s="1"/>
  <c r="AE7" i="10"/>
  <c r="AF7" i="10"/>
  <c r="AF20" i="10" s="1"/>
  <c r="AD8" i="10"/>
  <c r="AE8" i="10"/>
  <c r="AF8" i="10"/>
  <c r="AD9" i="10"/>
  <c r="AE9" i="10"/>
  <c r="AF9" i="10"/>
  <c r="AD10" i="10"/>
  <c r="AE10" i="10"/>
  <c r="AF10" i="10"/>
  <c r="AD13" i="10"/>
  <c r="AE13" i="10"/>
  <c r="AF13" i="10"/>
  <c r="AD14" i="10"/>
  <c r="AE14" i="10"/>
  <c r="AF14" i="10"/>
  <c r="AD15" i="10"/>
  <c r="AE15" i="10"/>
  <c r="AF15" i="10"/>
  <c r="AD16" i="10"/>
  <c r="AE16" i="10"/>
  <c r="AF16" i="10"/>
  <c r="AD17" i="10"/>
  <c r="AE17" i="10"/>
  <c r="AF17" i="10"/>
  <c r="AD18" i="10"/>
  <c r="AE18" i="10"/>
  <c r="AF18" i="10"/>
  <c r="AD19" i="10"/>
  <c r="AE19" i="10"/>
  <c r="AF19" i="10"/>
  <c r="AE20" i="10"/>
  <c r="AD23" i="10"/>
  <c r="AE23" i="10"/>
  <c r="AE24" i="10" s="1"/>
  <c r="AF23" i="10"/>
  <c r="AD24" i="10"/>
  <c r="AF24" i="10"/>
  <c r="AE25" i="10"/>
  <c r="AD28" i="10"/>
  <c r="AF28" i="10"/>
  <c r="AD29" i="10"/>
  <c r="AE29" i="10"/>
  <c r="AF29" i="10"/>
  <c r="AD30" i="10"/>
  <c r="AE30" i="10"/>
  <c r="AF30" i="10"/>
  <c r="AB6" i="10"/>
  <c r="AC6" i="10"/>
  <c r="AB7" i="10"/>
  <c r="AC7" i="10"/>
  <c r="AB8" i="10"/>
  <c r="AC8" i="10"/>
  <c r="AB9" i="10"/>
  <c r="AC9" i="10"/>
  <c r="AB10" i="10"/>
  <c r="AC10" i="10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3" i="10"/>
  <c r="AC23" i="10"/>
  <c r="AB24" i="10"/>
  <c r="AC24" i="10"/>
  <c r="AB25" i="10"/>
  <c r="AC25" i="10"/>
  <c r="AB27" i="10"/>
  <c r="AC27" i="10"/>
  <c r="AB28" i="10"/>
  <c r="AC28" i="10"/>
  <c r="AB29" i="10"/>
  <c r="AC29" i="10"/>
  <c r="AB30" i="10"/>
  <c r="AC30" i="10"/>
  <c r="G27" i="10"/>
  <c r="H27" i="10"/>
  <c r="I27" i="10" s="1"/>
  <c r="F27" i="10"/>
  <c r="E27" i="10"/>
  <c r="AE21" i="10" l="1"/>
  <c r="AD21" i="10"/>
  <c r="AD26" i="10" s="1"/>
  <c r="AF21" i="10"/>
  <c r="AF26" i="10" s="1"/>
  <c r="AE26" i="10"/>
  <c r="AE28" i="10"/>
  <c r="AF25" i="10"/>
  <c r="AD25" i="10"/>
  <c r="AD27" i="10" s="1"/>
  <c r="AE27" i="10" s="1"/>
  <c r="AF27" i="10" l="1"/>
  <c r="C5" i="10" l="1"/>
  <c r="E7" i="2" l="1"/>
  <c r="E15" i="2" l="1"/>
  <c r="X6" i="10" l="1"/>
  <c r="Y6" i="10"/>
  <c r="Z6" i="10"/>
  <c r="AA6" i="10"/>
  <c r="X7" i="10"/>
  <c r="Y7" i="10"/>
  <c r="Z7" i="10"/>
  <c r="AA7" i="10"/>
  <c r="X8" i="10"/>
  <c r="Y8" i="10"/>
  <c r="Z8" i="10"/>
  <c r="AA8" i="10"/>
  <c r="X9" i="10"/>
  <c r="Y9" i="10"/>
  <c r="Z9" i="10"/>
  <c r="AA9" i="10"/>
  <c r="X10" i="10"/>
  <c r="Y10" i="10"/>
  <c r="Z10" i="10"/>
  <c r="AA10" i="10"/>
  <c r="X13" i="10"/>
  <c r="Y13" i="10"/>
  <c r="Z13" i="10"/>
  <c r="AA13" i="10"/>
  <c r="X14" i="10"/>
  <c r="Y14" i="10"/>
  <c r="Z14" i="10"/>
  <c r="AA14" i="10"/>
  <c r="X15" i="10"/>
  <c r="Y15" i="10"/>
  <c r="Z15" i="10"/>
  <c r="AA15" i="10"/>
  <c r="X16" i="10"/>
  <c r="Y16" i="10"/>
  <c r="Z16" i="10"/>
  <c r="AA16" i="10"/>
  <c r="X17" i="10"/>
  <c r="Y17" i="10"/>
  <c r="Z17" i="10"/>
  <c r="AA17" i="10"/>
  <c r="X18" i="10"/>
  <c r="Y18" i="10"/>
  <c r="Z18" i="10"/>
  <c r="AA18" i="10"/>
  <c r="X23" i="10"/>
  <c r="X28" i="10" s="1"/>
  <c r="Y23" i="10"/>
  <c r="Y28" i="10" s="1"/>
  <c r="Z23" i="10"/>
  <c r="Z28" i="10" s="1"/>
  <c r="AA23" i="10"/>
  <c r="AA28" i="10" s="1"/>
  <c r="E20" i="2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D14" i="10"/>
  <c r="E14" i="10"/>
  <c r="C14" i="10"/>
  <c r="E21" i="2"/>
  <c r="F25" i="2"/>
  <c r="X19" i="10" s="1"/>
  <c r="E18" i="2"/>
  <c r="E17" i="2"/>
  <c r="E16" i="2"/>
  <c r="E24" i="2"/>
  <c r="E23" i="2"/>
  <c r="B50" i="6"/>
  <c r="G25" i="6"/>
  <c r="B41" i="6"/>
  <c r="B42" i="6" s="1"/>
  <c r="B43" i="6" s="1"/>
  <c r="B44" i="6" s="1"/>
  <c r="B45" i="6" s="1"/>
  <c r="G37" i="6"/>
  <c r="X20" i="10" l="1"/>
  <c r="X25" i="10"/>
  <c r="AA19" i="10"/>
  <c r="Y19" i="10"/>
  <c r="Z19" i="10"/>
  <c r="B46" i="6"/>
  <c r="B47" i="6" s="1"/>
  <c r="B48" i="6" s="1"/>
  <c r="B49" i="6" s="1"/>
  <c r="Y20" i="10" l="1"/>
  <c r="Y25" i="10"/>
  <c r="Z20" i="10"/>
  <c r="Z25" i="10"/>
  <c r="AA20" i="10"/>
  <c r="AA25" i="10"/>
  <c r="F48" i="11"/>
  <c r="E48" i="11"/>
  <c r="D48" i="1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C21" i="10" l="1"/>
  <c r="AC26" i="10" s="1"/>
  <c r="AB21" i="10"/>
  <c r="AB26" i="10" s="1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C7" i="10"/>
  <c r="U6" i="10" l="1"/>
  <c r="V6" i="10"/>
  <c r="W6" i="10"/>
  <c r="U8" i="10"/>
  <c r="V8" i="10"/>
  <c r="W8" i="10"/>
  <c r="U17" i="10"/>
  <c r="V17" i="10"/>
  <c r="W17" i="10"/>
  <c r="U18" i="10"/>
  <c r="V18" i="10"/>
  <c r="W18" i="10"/>
  <c r="P18" i="10"/>
  <c r="Q18" i="10"/>
  <c r="R18" i="10"/>
  <c r="S18" i="10"/>
  <c r="T18" i="10"/>
  <c r="O18" i="10"/>
  <c r="P17" i="10"/>
  <c r="Q17" i="10"/>
  <c r="R17" i="10"/>
  <c r="S17" i="10"/>
  <c r="T17" i="10"/>
  <c r="O17" i="10"/>
  <c r="P8" i="10"/>
  <c r="Q8" i="10"/>
  <c r="R8" i="10"/>
  <c r="S8" i="10"/>
  <c r="T8" i="10"/>
  <c r="O8" i="10"/>
  <c r="P6" i="10"/>
  <c r="Q6" i="10"/>
  <c r="R6" i="10"/>
  <c r="S6" i="10"/>
  <c r="T6" i="10"/>
  <c r="O6" i="10"/>
  <c r="E22" i="2"/>
  <c r="E19" i="2"/>
  <c r="E33" i="2" l="1"/>
  <c r="N18" i="10"/>
  <c r="M18" i="10"/>
  <c r="L18" i="10"/>
  <c r="K18" i="10"/>
  <c r="N17" i="10"/>
  <c r="M17" i="10"/>
  <c r="L17" i="10"/>
  <c r="K17" i="10"/>
  <c r="N8" i="10"/>
  <c r="M8" i="10"/>
  <c r="L8" i="10"/>
  <c r="K8" i="10"/>
  <c r="N6" i="10"/>
  <c r="M6" i="10"/>
  <c r="L6" i="10"/>
  <c r="K6" i="10"/>
  <c r="J18" i="10"/>
  <c r="I18" i="10"/>
  <c r="H18" i="10"/>
  <c r="G18" i="10"/>
  <c r="F18" i="10"/>
  <c r="E18" i="10"/>
  <c r="D18" i="10"/>
  <c r="J17" i="10"/>
  <c r="I17" i="10"/>
  <c r="H17" i="10"/>
  <c r="G17" i="10"/>
  <c r="F17" i="10"/>
  <c r="E17" i="10"/>
  <c r="D17" i="10"/>
  <c r="J8" i="10"/>
  <c r="I8" i="10"/>
  <c r="H8" i="10"/>
  <c r="G8" i="10"/>
  <c r="F8" i="10"/>
  <c r="E8" i="10"/>
  <c r="D8" i="10"/>
  <c r="J6" i="10"/>
  <c r="I6" i="10"/>
  <c r="H6" i="10"/>
  <c r="G6" i="10"/>
  <c r="F6" i="10"/>
  <c r="E6" i="10"/>
  <c r="D6" i="10"/>
  <c r="C6" i="10"/>
  <c r="C18" i="10"/>
  <c r="C17" i="10"/>
  <c r="C8" i="10"/>
  <c r="L19" i="10" l="1"/>
  <c r="R19" i="10"/>
  <c r="S19" i="10"/>
  <c r="P19" i="10"/>
  <c r="T19" i="10"/>
  <c r="O19" i="10"/>
  <c r="V19" i="10"/>
  <c r="U19" i="10"/>
  <c r="W19" i="10"/>
  <c r="Q19" i="10"/>
  <c r="M19" i="10"/>
  <c r="E19" i="10"/>
  <c r="I19" i="10"/>
  <c r="F19" i="10"/>
  <c r="J19" i="10"/>
  <c r="N19" i="10"/>
  <c r="C19" i="10"/>
  <c r="G19" i="10"/>
  <c r="K19" i="10"/>
  <c r="D19" i="10"/>
  <c r="H19" i="10"/>
  <c r="G44" i="6" l="1"/>
  <c r="G51" i="6" s="1"/>
  <c r="E28" i="2" l="1"/>
  <c r="E8" i="2" l="1"/>
  <c r="O23" i="10"/>
  <c r="W23" i="10"/>
  <c r="W28" i="10" s="1"/>
  <c r="T23" i="10"/>
  <c r="T28" i="10" s="1"/>
  <c r="U23" i="10"/>
  <c r="U28" i="10" s="1"/>
  <c r="Q23" i="10"/>
  <c r="R23" i="10"/>
  <c r="S23" i="10"/>
  <c r="V23" i="10"/>
  <c r="V28" i="10" s="1"/>
  <c r="P23" i="10"/>
  <c r="E13" i="2"/>
  <c r="L23" i="10"/>
  <c r="G23" i="10"/>
  <c r="C23" i="10"/>
  <c r="K23" i="10"/>
  <c r="J23" i="10"/>
  <c r="N23" i="10"/>
  <c r="I23" i="10"/>
  <c r="E23" i="10"/>
  <c r="M23" i="10"/>
  <c r="H23" i="10"/>
  <c r="D23" i="10"/>
  <c r="F23" i="10"/>
  <c r="D30" i="10" l="1"/>
  <c r="F30" i="10"/>
  <c r="H30" i="10"/>
  <c r="J30" i="10"/>
  <c r="L30" i="10"/>
  <c r="N30" i="10"/>
  <c r="P30" i="10"/>
  <c r="R30" i="10"/>
  <c r="T30" i="10"/>
  <c r="V30" i="10"/>
  <c r="X30" i="10"/>
  <c r="Z30" i="10"/>
  <c r="C30" i="10"/>
  <c r="F29" i="10"/>
  <c r="H29" i="10"/>
  <c r="J29" i="10"/>
  <c r="L29" i="10"/>
  <c r="N29" i="10"/>
  <c r="P29" i="10"/>
  <c r="R29" i="10"/>
  <c r="T29" i="10"/>
  <c r="V29" i="10"/>
  <c r="X29" i="10"/>
  <c r="Z29" i="10"/>
  <c r="D29" i="10"/>
  <c r="E30" i="10"/>
  <c r="G30" i="10"/>
  <c r="I30" i="10"/>
  <c r="K30" i="10"/>
  <c r="M30" i="10"/>
  <c r="O30" i="10"/>
  <c r="Q30" i="10"/>
  <c r="S30" i="10"/>
  <c r="U30" i="10"/>
  <c r="W30" i="10"/>
  <c r="Y30" i="10"/>
  <c r="AA30" i="10"/>
  <c r="E29" i="10"/>
  <c r="G29" i="10"/>
  <c r="I29" i="10"/>
  <c r="K29" i="10"/>
  <c r="M29" i="10"/>
  <c r="O29" i="10"/>
  <c r="Q29" i="10"/>
  <c r="S29" i="10"/>
  <c r="U29" i="10"/>
  <c r="W29" i="10"/>
  <c r="Y29" i="10"/>
  <c r="AA29" i="10"/>
  <c r="C29" i="10"/>
  <c r="F28" i="10"/>
  <c r="H28" i="10"/>
  <c r="E28" i="10"/>
  <c r="N28" i="10"/>
  <c r="K28" i="10"/>
  <c r="G28" i="10"/>
  <c r="R28" i="10"/>
  <c r="D28" i="10"/>
  <c r="M28" i="10"/>
  <c r="I28" i="10"/>
  <c r="J28" i="10"/>
  <c r="L28" i="10"/>
  <c r="P28" i="10"/>
  <c r="S28" i="10"/>
  <c r="Q28" i="10"/>
  <c r="O28" i="10"/>
  <c r="X24" i="10"/>
  <c r="Z24" i="10"/>
  <c r="Y24" i="10"/>
  <c r="AA24" i="10"/>
  <c r="C28" i="10"/>
  <c r="V10" i="10"/>
  <c r="P10" i="10"/>
  <c r="R10" i="10"/>
  <c r="T10" i="10"/>
  <c r="O10" i="10"/>
  <c r="U10" i="10"/>
  <c r="W10" i="10"/>
  <c r="Q10" i="10"/>
  <c r="S10" i="10"/>
  <c r="N10" i="10"/>
  <c r="L10" i="10"/>
  <c r="J10" i="10"/>
  <c r="H10" i="10"/>
  <c r="F10" i="10"/>
  <c r="E10" i="10"/>
  <c r="M10" i="10"/>
  <c r="K10" i="10"/>
  <c r="I10" i="10"/>
  <c r="G10" i="10"/>
  <c r="D10" i="10"/>
  <c r="C10" i="10"/>
  <c r="U9" i="10"/>
  <c r="W9" i="10"/>
  <c r="Q9" i="10"/>
  <c r="S9" i="10"/>
  <c r="V9" i="10"/>
  <c r="P9" i="10"/>
  <c r="R9" i="10"/>
  <c r="T9" i="10"/>
  <c r="O9" i="10"/>
  <c r="N9" i="10"/>
  <c r="L9" i="10"/>
  <c r="I9" i="10"/>
  <c r="G9" i="10"/>
  <c r="E9" i="10"/>
  <c r="C9" i="10"/>
  <c r="M9" i="10"/>
  <c r="K9" i="10"/>
  <c r="J9" i="10"/>
  <c r="H9" i="10"/>
  <c r="F9" i="10"/>
  <c r="D9" i="10"/>
  <c r="P24" i="10"/>
  <c r="Q24" i="10"/>
  <c r="S24" i="10"/>
  <c r="T24" i="10"/>
  <c r="R24" i="10"/>
  <c r="U24" i="10"/>
  <c r="W24" i="10"/>
  <c r="P16" i="10"/>
  <c r="R16" i="10"/>
  <c r="Q16" i="10"/>
  <c r="S16" i="10"/>
  <c r="T16" i="10"/>
  <c r="U16" i="10"/>
  <c r="W16" i="10"/>
  <c r="O16" i="10"/>
  <c r="V16" i="10"/>
  <c r="V24" i="10"/>
  <c r="O24" i="10"/>
  <c r="E24" i="10"/>
  <c r="C24" i="10"/>
  <c r="D24" i="10"/>
  <c r="F24" i="10"/>
  <c r="G24" i="10"/>
  <c r="K24" i="10"/>
  <c r="M24" i="10"/>
  <c r="L24" i="10"/>
  <c r="J24" i="10"/>
  <c r="I24" i="10"/>
  <c r="N24" i="10"/>
  <c r="H24" i="10"/>
  <c r="C16" i="10"/>
  <c r="L16" i="10"/>
  <c r="I16" i="10"/>
  <c r="E16" i="10"/>
  <c r="K16" i="10"/>
  <c r="D16" i="10"/>
  <c r="N16" i="10"/>
  <c r="G16" i="10"/>
  <c r="M16" i="10"/>
  <c r="J16" i="10"/>
  <c r="F16" i="10"/>
  <c r="H16" i="10"/>
  <c r="Q13" i="10" l="1"/>
  <c r="R13" i="10"/>
  <c r="P13" i="10"/>
  <c r="S13" i="10"/>
  <c r="T13" i="10"/>
  <c r="W13" i="10"/>
  <c r="U13" i="10"/>
  <c r="V13" i="10"/>
  <c r="O13" i="10"/>
  <c r="C13" i="10"/>
  <c r="L13" i="10"/>
  <c r="G13" i="10"/>
  <c r="K13" i="10"/>
  <c r="J13" i="10"/>
  <c r="N13" i="10"/>
  <c r="I13" i="10"/>
  <c r="E13" i="10"/>
  <c r="M13" i="10"/>
  <c r="H13" i="10"/>
  <c r="D13" i="10"/>
  <c r="F13" i="10"/>
  <c r="G27" i="6" l="1"/>
  <c r="G52" i="6" l="1"/>
  <c r="E10" i="2" l="1"/>
  <c r="W15" i="10" l="1"/>
  <c r="L15" i="10"/>
  <c r="M15" i="10"/>
  <c r="P15" i="10"/>
  <c r="G15" i="10"/>
  <c r="H15" i="10"/>
  <c r="N15" i="10"/>
  <c r="D15" i="10"/>
  <c r="F15" i="10"/>
  <c r="V15" i="10"/>
  <c r="O15" i="10"/>
  <c r="R15" i="10"/>
  <c r="S15" i="10"/>
  <c r="K15" i="10"/>
  <c r="E15" i="10"/>
  <c r="Q15" i="10"/>
  <c r="T15" i="10"/>
  <c r="J15" i="10"/>
  <c r="U15" i="10"/>
  <c r="I15" i="10"/>
  <c r="C15" i="10"/>
  <c r="E26" i="2"/>
  <c r="V20" i="10" l="1"/>
  <c r="V25" i="10"/>
  <c r="R25" i="10"/>
  <c r="R20" i="10"/>
  <c r="O20" i="10"/>
  <c r="O25" i="10"/>
  <c r="U20" i="10"/>
  <c r="U25" i="10"/>
  <c r="N20" i="10"/>
  <c r="N25" i="10"/>
  <c r="T20" i="10"/>
  <c r="T25" i="10"/>
  <c r="Q20" i="10"/>
  <c r="Q25" i="10"/>
  <c r="P20" i="10"/>
  <c r="P25" i="10"/>
  <c r="M25" i="10"/>
  <c r="M20" i="10"/>
  <c r="K25" i="10"/>
  <c r="K20" i="10"/>
  <c r="L25" i="10"/>
  <c r="L20" i="10"/>
  <c r="S20" i="10"/>
  <c r="S25" i="10"/>
  <c r="W20" i="10"/>
  <c r="W25" i="10"/>
  <c r="E31" i="2"/>
  <c r="G53" i="6"/>
  <c r="D20" i="10" l="1"/>
  <c r="D25" i="10"/>
  <c r="F20" i="10"/>
  <c r="F25" i="10"/>
  <c r="H20" i="10"/>
  <c r="H25" i="10"/>
  <c r="C25" i="10"/>
  <c r="C20" i="10"/>
  <c r="E20" i="10"/>
  <c r="E25" i="10"/>
  <c r="G20" i="10"/>
  <c r="G25" i="10"/>
  <c r="J20" i="10"/>
  <c r="J25" i="10"/>
  <c r="I25" i="10"/>
  <c r="I20" i="10"/>
  <c r="J27" i="10" l="1"/>
  <c r="K27" i="10" s="1"/>
  <c r="L27" i="10" s="1"/>
  <c r="M27" i="10" s="1"/>
  <c r="N27" i="10" s="1"/>
  <c r="O27" i="10" s="1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X21" i="10"/>
  <c r="X26" i="10" s="1"/>
  <c r="Z21" i="10"/>
  <c r="Z26" i="10" s="1"/>
  <c r="Y21" i="10"/>
  <c r="Y26" i="10" s="1"/>
  <c r="AA21" i="10"/>
  <c r="AA26" i="10" s="1"/>
  <c r="P21" i="10"/>
  <c r="P26" i="10" s="1"/>
  <c r="Q21" i="10"/>
  <c r="Q26" i="10" s="1"/>
  <c r="R21" i="10"/>
  <c r="R26" i="10" s="1"/>
  <c r="S21" i="10"/>
  <c r="S26" i="10" s="1"/>
  <c r="T21" i="10"/>
  <c r="T26" i="10" s="1"/>
  <c r="V21" i="10"/>
  <c r="V26" i="10" s="1"/>
  <c r="W21" i="10"/>
  <c r="W26" i="10" s="1"/>
  <c r="U21" i="10"/>
  <c r="U26" i="10" s="1"/>
  <c r="O21" i="10"/>
  <c r="O26" i="10" s="1"/>
  <c r="F21" i="10"/>
  <c r="F26" i="10" s="1"/>
  <c r="C21" i="10"/>
  <c r="C26" i="10" s="1"/>
  <c r="N21" i="10"/>
  <c r="N26" i="10" s="1"/>
  <c r="G21" i="10"/>
  <c r="G26" i="10" s="1"/>
  <c r="E21" i="10"/>
  <c r="E26" i="10" s="1"/>
  <c r="M21" i="10"/>
  <c r="M26" i="10" s="1"/>
  <c r="D21" i="10"/>
  <c r="D26" i="10" s="1"/>
  <c r="I21" i="10"/>
  <c r="I26" i="10" s="1"/>
  <c r="K21" i="10"/>
  <c r="K26" i="10" s="1"/>
  <c r="H21" i="10"/>
  <c r="H26" i="10" s="1"/>
  <c r="J21" i="10"/>
  <c r="J26" i="10" s="1"/>
  <c r="L21" i="10"/>
  <c r="L26" i="10" s="1"/>
</calcChain>
</file>

<file path=xl/sharedStrings.xml><?xml version="1.0" encoding="utf-8"?>
<sst xmlns="http://schemas.openxmlformats.org/spreadsheetml/2006/main" count="236" uniqueCount="191">
  <si>
    <t>№</t>
  </si>
  <si>
    <t>Наименование</t>
  </si>
  <si>
    <t>Марка</t>
  </si>
  <si>
    <t>кВт</t>
  </si>
  <si>
    <t>К-во</t>
  </si>
  <si>
    <t>Цена руб, всего</t>
  </si>
  <si>
    <t>Расходы</t>
  </si>
  <si>
    <t>Аренда ПО</t>
  </si>
  <si>
    <t>Налоги</t>
  </si>
  <si>
    <t>фиксированные страховые взносы за себя 31,1% от МРОТ (11163р)</t>
  </si>
  <si>
    <t>страховые взносы за сотрудников (15% от дохода)</t>
  </si>
  <si>
    <t>НДФЛ за сотрудников (13%)</t>
  </si>
  <si>
    <t>ФОТ</t>
  </si>
  <si>
    <t>Статья</t>
  </si>
  <si>
    <t>Доходы</t>
  </si>
  <si>
    <t>Оборудование</t>
  </si>
  <si>
    <t>Инвентарь</t>
  </si>
  <si>
    <t>Дополнительно</t>
  </si>
  <si>
    <t>Стоимость</t>
  </si>
  <si>
    <t>Эквайринг</t>
  </si>
  <si>
    <t>Чистая прибыль при заданном объеме закупки</t>
  </si>
  <si>
    <t>Торговая наценка: (цена продажи - себестоимость)/себестоимость*100</t>
  </si>
  <si>
    <t>Пояснение</t>
  </si>
  <si>
    <t>Коммунальные платежи</t>
  </si>
  <si>
    <t>Хоз расходы</t>
  </si>
  <si>
    <t>ИТОГО</t>
  </si>
  <si>
    <t>Разовые расходы</t>
  </si>
  <si>
    <t>Кофемашина+кофемолка</t>
  </si>
  <si>
    <t xml:space="preserve">Видеонаблюдение </t>
  </si>
  <si>
    <t>Барный холодильник Birusa</t>
  </si>
  <si>
    <t>Питчер</t>
  </si>
  <si>
    <t xml:space="preserve">Униформа (фартук) </t>
  </si>
  <si>
    <t>Депозит</t>
  </si>
  <si>
    <t>Разработка Логотипа</t>
  </si>
  <si>
    <t>Визуализация + Дизайн-проект</t>
  </si>
  <si>
    <t>Итого</t>
  </si>
  <si>
    <t>Бариста 1</t>
  </si>
  <si>
    <t>Бариста 2</t>
  </si>
  <si>
    <t>трубочки, салфетки, сахар, размешиватели, подставки под кофе</t>
  </si>
  <si>
    <t>Стаканы 0,25</t>
  </si>
  <si>
    <t>Стаканы 0,35</t>
  </si>
  <si>
    <t>Стаканы 0,45</t>
  </si>
  <si>
    <t>Крышки</t>
  </si>
  <si>
    <t>Оборот в месяц</t>
  </si>
  <si>
    <t>Молоко</t>
  </si>
  <si>
    <t>Топинги</t>
  </si>
  <si>
    <t>Мощ., кВт</t>
  </si>
  <si>
    <t>Комментарии</t>
  </si>
  <si>
    <t>Simonelli Appia II</t>
  </si>
  <si>
    <t xml:space="preserve">Очиститель воды </t>
  </si>
  <si>
    <t>Миндальное  молоко</t>
  </si>
  <si>
    <t>Средний чек</t>
  </si>
  <si>
    <t>Необходимое число продаж в день при данном среднем чеке</t>
  </si>
  <si>
    <t>Количество продаж в час</t>
  </si>
  <si>
    <t>Аренда кофемашины</t>
  </si>
  <si>
    <t>Кофе</t>
  </si>
  <si>
    <t>килограмм кофе в месяц</t>
  </si>
  <si>
    <t xml:space="preserve"> пачек молока</t>
  </si>
  <si>
    <t>JoinPoster</t>
  </si>
  <si>
    <t>Какао</t>
  </si>
  <si>
    <t>Число продаж в месяц требуемое для обеспечения выручки при среднем чеке 600р</t>
  </si>
  <si>
    <t>Общая чистая прибыль/убыток</t>
  </si>
  <si>
    <t>Прибыль</t>
  </si>
  <si>
    <t>ВЫРУЧКА НАРАСТАЮЩИМ ИТОГОМ</t>
  </si>
  <si>
    <t>Выручка</t>
  </si>
  <si>
    <t>---</t>
  </si>
  <si>
    <t>100% целевого</t>
  </si>
  <si>
    <t>80% целевого</t>
  </si>
  <si>
    <t>50% целевого</t>
  </si>
  <si>
    <t>20% целевого</t>
  </si>
  <si>
    <t>ДОХОДЫ</t>
  </si>
  <si>
    <t>РАСХОДЫ НАРАСТАЮЩИМ ИТОГОМ</t>
  </si>
  <si>
    <t>ИТОГО РАСХОДЫ</t>
  </si>
  <si>
    <t>Закупка ингредиентов</t>
  </si>
  <si>
    <t>Бухгалтер</t>
  </si>
  <si>
    <t>РАСХОДЫ</t>
  </si>
  <si>
    <t>Месяц 13</t>
  </si>
  <si>
    <t>Месяц 12</t>
  </si>
  <si>
    <t>Месяц 11</t>
  </si>
  <si>
    <t>Месяц 10</t>
  </si>
  <si>
    <t>Месяц 9</t>
  </si>
  <si>
    <t>Месяц 8</t>
  </si>
  <si>
    <t>Месяц 7</t>
  </si>
  <si>
    <t>Месяц 6</t>
  </si>
  <si>
    <t>Месяц 5</t>
  </si>
  <si>
    <t>Месяц 4</t>
  </si>
  <si>
    <t>Месяц 3</t>
  </si>
  <si>
    <t>Месяц 2</t>
  </si>
  <si>
    <t>Месяц 1</t>
  </si>
  <si>
    <t>PosterPOS</t>
  </si>
  <si>
    <t>Светящийся лайтбокс для привлечения с улицы</t>
  </si>
  <si>
    <t>Дизайн Акрилайта</t>
  </si>
  <si>
    <t>Печать на акрилайт А1</t>
  </si>
  <si>
    <t>Раковина+смеситель</t>
  </si>
  <si>
    <t xml:space="preserve">Весы </t>
  </si>
  <si>
    <t>Таймер</t>
  </si>
  <si>
    <t>Джигер</t>
  </si>
  <si>
    <t>Промо-компания</t>
  </si>
  <si>
    <t>Бэйджи</t>
  </si>
  <si>
    <t>Изготовление меню</t>
  </si>
  <si>
    <t>Черное пластиковое с нанесением и подсветкой</t>
  </si>
  <si>
    <t xml:space="preserve">    Заказчик:                       _______________/_______________</t>
  </si>
  <si>
    <t xml:space="preserve">    Исполнитель: Сабитов А.К. /_______________</t>
  </si>
  <si>
    <t>Приложение №1</t>
  </si>
  <si>
    <t>1,59% от оборота</t>
  </si>
  <si>
    <t>ИТОГО ингридиенты</t>
  </si>
  <si>
    <t>Poster</t>
  </si>
  <si>
    <t>Аренда Кофемашины</t>
  </si>
  <si>
    <t>Управляющий</t>
  </si>
  <si>
    <t>Кофемолка Fiorenzato F64 электронная</t>
  </si>
  <si>
    <t>ККТ АТОЛ 11Ф с ФН на 15 месяцев</t>
  </si>
  <si>
    <t xml:space="preserve">CRM </t>
  </si>
  <si>
    <t>Договор с ОФД на 13 месяцев</t>
  </si>
  <si>
    <t>TaxCom</t>
  </si>
  <si>
    <t>Планшет Huawei 10'</t>
  </si>
  <si>
    <t>Денежный ящик</t>
  </si>
  <si>
    <t>Онлайн камера с микрофоном</t>
  </si>
  <si>
    <t>Дизайн меню</t>
  </si>
  <si>
    <t>Роутер keenetik и модем YOTA</t>
  </si>
  <si>
    <t xml:space="preserve">Сиропы и топпинги </t>
  </si>
  <si>
    <t xml:space="preserve">Услуги по открытию </t>
  </si>
  <si>
    <t>Месяц 14</t>
  </si>
  <si>
    <t>Месяц 15</t>
  </si>
  <si>
    <t>Месяц 16</t>
  </si>
  <si>
    <t>Месяц 17</t>
  </si>
  <si>
    <t>Месяц 18</t>
  </si>
  <si>
    <t>Месяц 19</t>
  </si>
  <si>
    <t>Месяц 20</t>
  </si>
  <si>
    <t>Месяц 21</t>
  </si>
  <si>
    <t>Аренда</t>
  </si>
  <si>
    <t>Стойка+рабочие поверхности</t>
  </si>
  <si>
    <t>PosterBox</t>
  </si>
  <si>
    <t>Для работы ККТ с Автоматизацией</t>
  </si>
  <si>
    <t>шт</t>
  </si>
  <si>
    <t>Цена</t>
  </si>
  <si>
    <t>Оплата Факт</t>
  </si>
  <si>
    <t>Дата</t>
  </si>
  <si>
    <t>Стоимость расчитывается по дизайн-проекту</t>
  </si>
  <si>
    <t>Аквафор ОСМО 50 исполнение 5</t>
  </si>
  <si>
    <t>Смягчает и очищает воддуЕсли подключились к водопроводу</t>
  </si>
  <si>
    <t>Соковыжималка Цитрусовая+гранат</t>
  </si>
  <si>
    <t>Foodatlas MJE-1</t>
  </si>
  <si>
    <t>Свежевыжатые соки + миксы</t>
  </si>
  <si>
    <t xml:space="preserve">Блендер </t>
  </si>
  <si>
    <t>HURAKAN HKN-BLW2</t>
  </si>
  <si>
    <t>Для Смузи</t>
  </si>
  <si>
    <t>Использовать как POS терминал</t>
  </si>
  <si>
    <t>снеж МЛК-250</t>
  </si>
  <si>
    <t xml:space="preserve">Морозильный ларь </t>
  </si>
  <si>
    <t>Акрилайт А1</t>
  </si>
  <si>
    <t>Услуга по созданию системы автоматизации под ключ</t>
  </si>
  <si>
    <t>Hurakan HKN-XFT133</t>
  </si>
  <si>
    <t>Конвекционная печь</t>
  </si>
  <si>
    <t>Для выпечки и пр</t>
  </si>
  <si>
    <t>Темпер</t>
  </si>
  <si>
    <t>Телевизор</t>
  </si>
  <si>
    <t>Емкости для специй</t>
  </si>
  <si>
    <t>ИКЕА 365+ ИГЭРДИГ</t>
  </si>
  <si>
    <t>Предметы интерьера</t>
  </si>
  <si>
    <t>декоративные украшения</t>
  </si>
  <si>
    <t>Дизайн Карточки 7-ой кофе</t>
  </si>
  <si>
    <t>Инвентарь хозяйственный</t>
  </si>
  <si>
    <t>Дизайн листовок, тейбл токеров 2 шт</t>
  </si>
  <si>
    <t>мусорное ведро, швабра, ножницы,емкости для сыпучих продуктов и т.д.</t>
  </si>
  <si>
    <t>Стоимость покупки аренды</t>
  </si>
  <si>
    <t>Две недели, три дня в неделю, по 4 часа по раздаче листовок</t>
  </si>
  <si>
    <t>Гриль</t>
  </si>
  <si>
    <t>ENDEVER Grillmaster 220</t>
  </si>
  <si>
    <t>Телевизор Thomson T32RTL5140</t>
  </si>
  <si>
    <t xml:space="preserve">по Договору оказания услуг </t>
  </si>
  <si>
    <t>Аренда помещения 10 кв.м.</t>
  </si>
  <si>
    <t>пачек молока</t>
  </si>
  <si>
    <t>Число продаж в день требуемое для обеспечения выручки при среднем чеке 180р</t>
  </si>
  <si>
    <t>Сливки</t>
  </si>
  <si>
    <t>пачек сливок</t>
  </si>
  <si>
    <t>Число продаж в день требуемое для обеспечения выручки при среднем чеке 200р</t>
  </si>
  <si>
    <t>налог патентная система</t>
  </si>
  <si>
    <t>За сотрудников взносы</t>
  </si>
  <si>
    <t>Налог - патент</t>
  </si>
  <si>
    <t>Месяц 22</t>
  </si>
  <si>
    <t>Месяц 23</t>
  </si>
  <si>
    <t>Месяц 24</t>
  </si>
  <si>
    <t>Месяц 25</t>
  </si>
  <si>
    <t>от 7000р в зависимости от сложности</t>
  </si>
  <si>
    <t>Расходы на открытие и два месяца развития</t>
  </si>
  <si>
    <t>Возврат средств Инвестру 50%</t>
  </si>
  <si>
    <t>Месяц 26</t>
  </si>
  <si>
    <t>Месяц 27</t>
  </si>
  <si>
    <t>Месяц 28</t>
  </si>
  <si>
    <t>Месяц 29</t>
  </si>
  <si>
    <t>Месяц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</si>
</sst>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₽-419]_-;\-* #,##0.00\ [$₽-419]_-;_-* &quot;-&quot;??\ [$₽-419]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1" xfId="0" applyBorder="1" applyAlignment="1">
      <alignment wrapText="1"/>
    </xf>
    <xf numFmtId="0" fontId="0" fillId="0" borderId="18" xfId="0" applyBorder="1"/>
    <xf numFmtId="44" fontId="0" fillId="0" borderId="38" xfId="1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3" fillId="5" borderId="1" xfId="0" applyNumberFormat="1" applyFont="1" applyFill="1" applyBorder="1"/>
    <xf numFmtId="0" fontId="4" fillId="0" borderId="23" xfId="0" applyFont="1" applyBorder="1"/>
    <xf numFmtId="0" fontId="4" fillId="0" borderId="18" xfId="0" applyFont="1" applyBorder="1"/>
    <xf numFmtId="0" fontId="4" fillId="0" borderId="19" xfId="0" applyFont="1" applyBorder="1"/>
    <xf numFmtId="164" fontId="3" fillId="0" borderId="22" xfId="0" applyNumberFormat="1" applyFont="1" applyBorder="1"/>
    <xf numFmtId="164" fontId="3" fillId="0" borderId="33" xfId="0" applyNumberFormat="1" applyFont="1" applyBorder="1"/>
    <xf numFmtId="0" fontId="3" fillId="0" borderId="24" xfId="0" applyFont="1" applyBorder="1"/>
    <xf numFmtId="0" fontId="3" fillId="0" borderId="21" xfId="0" applyFont="1" applyBorder="1"/>
    <xf numFmtId="0" fontId="6" fillId="0" borderId="21" xfId="0" applyFont="1" applyBorder="1"/>
    <xf numFmtId="164" fontId="6" fillId="0" borderId="21" xfId="0" applyNumberFormat="1" applyFont="1" applyBorder="1"/>
    <xf numFmtId="0" fontId="3" fillId="0" borderId="22" xfId="0" applyFont="1" applyBorder="1"/>
    <xf numFmtId="0" fontId="0" fillId="0" borderId="0" xfId="0" applyAlignment="1">
      <alignment wrapText="1"/>
    </xf>
    <xf numFmtId="0" fontId="3" fillId="0" borderId="0" xfId="0" applyFont="1"/>
    <xf numFmtId="44" fontId="7" fillId="6" borderId="1" xfId="0" applyNumberFormat="1" applyFont="1" applyFill="1" applyBorder="1"/>
    <xf numFmtId="44" fontId="7" fillId="6" borderId="8" xfId="0" applyNumberFormat="1" applyFont="1" applyFill="1" applyBorder="1"/>
    <xf numFmtId="2" fontId="0" fillId="0" borderId="6" xfId="0" applyNumberFormat="1" applyBorder="1" applyAlignment="1">
      <alignment vertical="center"/>
    </xf>
    <xf numFmtId="44" fontId="2" fillId="7" borderId="1" xfId="1" applyFont="1" applyFill="1" applyBorder="1"/>
    <xf numFmtId="44" fontId="2" fillId="7" borderId="6" xfId="1" applyFont="1" applyFill="1" applyBorder="1"/>
    <xf numFmtId="44" fontId="7" fillId="6" borderId="6" xfId="0" applyNumberFormat="1" applyFont="1" applyFill="1" applyBorder="1"/>
    <xf numFmtId="44" fontId="7" fillId="6" borderId="4" xfId="0" applyNumberFormat="1" applyFont="1" applyFill="1" applyBorder="1"/>
    <xf numFmtId="44" fontId="0" fillId="0" borderId="6" xfId="1" applyFont="1" applyBorder="1"/>
    <xf numFmtId="0" fontId="7" fillId="7" borderId="1" xfId="0" quotePrefix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6" xfId="0" applyFont="1" applyFill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" xfId="0" applyBorder="1" applyAlignment="1">
      <alignment horizontal="right" wrapText="1"/>
    </xf>
    <xf numFmtId="44" fontId="0" fillId="0" borderId="18" xfId="0" applyNumberFormat="1" applyBorder="1"/>
    <xf numFmtId="44" fontId="0" fillId="0" borderId="23" xfId="0" applyNumberFormat="1" applyBorder="1"/>
    <xf numFmtId="0" fontId="0" fillId="8" borderId="21" xfId="0" applyFill="1" applyBorder="1"/>
    <xf numFmtId="0" fontId="0" fillId="8" borderId="35" xfId="0" applyFill="1" applyBorder="1"/>
    <xf numFmtId="0" fontId="3" fillId="0" borderId="9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7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justify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8" xfId="0" applyFill="1" applyBorder="1"/>
    <xf numFmtId="44" fontId="0" fillId="0" borderId="18" xfId="0" applyNumberFormat="1" applyFill="1" applyBorder="1"/>
    <xf numFmtId="44" fontId="0" fillId="0" borderId="31" xfId="1" applyFont="1" applyBorder="1"/>
    <xf numFmtId="44" fontId="0" fillId="0" borderId="32" xfId="1" applyFont="1" applyBorder="1"/>
    <xf numFmtId="44" fontId="0" fillId="0" borderId="1" xfId="1" applyFont="1" applyBorder="1" applyAlignment="1">
      <alignment horizontal="center" vertical="center"/>
    </xf>
    <xf numFmtId="44" fontId="2" fillId="7" borderId="2" xfId="1" applyFont="1" applyFill="1" applyBorder="1"/>
    <xf numFmtId="44" fontId="7" fillId="6" borderId="5" xfId="0" applyNumberFormat="1" applyFont="1" applyFill="1" applyBorder="1"/>
    <xf numFmtId="44" fontId="3" fillId="0" borderId="1" xfId="1" applyFont="1" applyFill="1" applyBorder="1"/>
    <xf numFmtId="164" fontId="3" fillId="0" borderId="1" xfId="0" applyNumberFormat="1" applyFont="1" applyFill="1" applyBorder="1"/>
    <xf numFmtId="0" fontId="3" fillId="0" borderId="9" xfId="0" applyFont="1" applyBorder="1"/>
    <xf numFmtId="0" fontId="3" fillId="0" borderId="2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26" xfId="0" applyFont="1" applyBorder="1"/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wrapText="1"/>
    </xf>
    <xf numFmtId="44" fontId="3" fillId="0" borderId="47" xfId="1" applyFont="1" applyBorder="1"/>
    <xf numFmtId="0" fontId="3" fillId="0" borderId="46" xfId="0" applyFont="1" applyBorder="1"/>
    <xf numFmtId="0" fontId="3" fillId="0" borderId="18" xfId="0" applyFont="1" applyBorder="1" applyAlignment="1">
      <alignment wrapText="1"/>
    </xf>
    <xf numFmtId="44" fontId="3" fillId="0" borderId="40" xfId="1" applyFont="1" applyBorder="1"/>
    <xf numFmtId="0" fontId="3" fillId="0" borderId="19" xfId="0" applyFont="1" applyBorder="1"/>
    <xf numFmtId="44" fontId="3" fillId="0" borderId="2" xfId="1" applyFont="1" applyBorder="1"/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wrapText="1"/>
    </xf>
    <xf numFmtId="44" fontId="3" fillId="0" borderId="42" xfId="1" applyFont="1" applyBorder="1" applyAlignment="1">
      <alignment horizontal="center" vertical="center"/>
    </xf>
    <xf numFmtId="0" fontId="3" fillId="0" borderId="43" xfId="0" applyFont="1" applyBorder="1"/>
    <xf numFmtId="44" fontId="11" fillId="0" borderId="27" xfId="1" applyFont="1" applyFill="1" applyBorder="1"/>
    <xf numFmtId="9" fontId="3" fillId="0" borderId="26" xfId="2" applyFont="1" applyFill="1" applyBorder="1" applyAlignment="1">
      <alignment wrapText="1"/>
    </xf>
    <xf numFmtId="9" fontId="3" fillId="0" borderId="1" xfId="2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164" fontId="3" fillId="0" borderId="38" xfId="0" applyNumberFormat="1" applyFont="1" applyBorder="1"/>
    <xf numFmtId="164" fontId="3" fillId="0" borderId="25" xfId="0" applyNumberFormat="1" applyFont="1" applyBorder="1"/>
    <xf numFmtId="164" fontId="3" fillId="0" borderId="28" xfId="0" applyNumberFormat="1" applyFont="1" applyBorder="1"/>
    <xf numFmtId="44" fontId="3" fillId="0" borderId="18" xfId="1" applyFont="1" applyBorder="1"/>
    <xf numFmtId="44" fontId="3" fillId="0" borderId="54" xfId="1" applyFont="1" applyFill="1" applyBorder="1"/>
    <xf numFmtId="44" fontId="11" fillId="0" borderId="46" xfId="2" applyNumberFormat="1" applyFont="1" applyFill="1" applyBorder="1" applyAlignment="1">
      <alignment horizontal="right" wrapText="1"/>
    </xf>
    <xf numFmtId="44" fontId="3" fillId="0" borderId="18" xfId="1" applyFont="1" applyBorder="1" applyAlignment="1">
      <alignment horizontal="center" vertical="center"/>
    </xf>
    <xf numFmtId="9" fontId="3" fillId="0" borderId="7" xfId="2" applyFont="1" applyFill="1" applyBorder="1" applyAlignment="1">
      <alignment wrapText="1"/>
    </xf>
    <xf numFmtId="2" fontId="3" fillId="0" borderId="7" xfId="2" applyNumberFormat="1" applyFont="1" applyFill="1" applyBorder="1" applyAlignment="1">
      <alignment horizontal="right" wrapText="1"/>
    </xf>
    <xf numFmtId="1" fontId="3" fillId="0" borderId="7" xfId="2" applyNumberFormat="1" applyFont="1" applyFill="1" applyBorder="1" applyAlignment="1">
      <alignment wrapText="1"/>
    </xf>
    <xf numFmtId="0" fontId="3" fillId="0" borderId="5" xfId="0" applyFont="1" applyBorder="1"/>
    <xf numFmtId="164" fontId="3" fillId="0" borderId="5" xfId="0" applyNumberFormat="1" applyFont="1" applyBorder="1"/>
    <xf numFmtId="0" fontId="3" fillId="0" borderId="14" xfId="0" applyFont="1" applyBorder="1"/>
    <xf numFmtId="44" fontId="2" fillId="7" borderId="52" xfId="1" applyFont="1" applyFill="1" applyBorder="1"/>
    <xf numFmtId="0" fontId="13" fillId="0" borderId="18" xfId="0" applyFont="1" applyFill="1" applyBorder="1"/>
    <xf numFmtId="0" fontId="5" fillId="0" borderId="0" xfId="0" applyFont="1" applyFill="1" applyBorder="1" applyAlignment="1"/>
    <xf numFmtId="2" fontId="3" fillId="0" borderId="2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9" borderId="55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0" borderId="56" xfId="0" applyFont="1" applyBorder="1"/>
    <xf numFmtId="0" fontId="3" fillId="0" borderId="58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44" fontId="3" fillId="0" borderId="1" xfId="1" applyFont="1" applyBorder="1"/>
    <xf numFmtId="44" fontId="3" fillId="0" borderId="1" xfId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44" fontId="3" fillId="0" borderId="0" xfId="0" applyNumberFormat="1" applyFont="1"/>
    <xf numFmtId="14" fontId="3" fillId="0" borderId="7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5" borderId="59" xfId="0" applyFont="1" applyFill="1" applyBorder="1"/>
    <xf numFmtId="0" fontId="3" fillId="5" borderId="5" xfId="0" applyFont="1" applyFill="1" applyBorder="1" applyAlignment="1">
      <alignment horizontal="center" vertical="center"/>
    </xf>
    <xf numFmtId="44" fontId="3" fillId="5" borderId="5" xfId="1" applyFont="1" applyFill="1" applyBorder="1"/>
    <xf numFmtId="44" fontId="3" fillId="5" borderId="5" xfId="1" applyFont="1" applyFill="1" applyBorder="1" applyAlignment="1">
      <alignment horizontal="center" vertical="center"/>
    </xf>
    <xf numFmtId="14" fontId="3" fillId="5" borderId="14" xfId="0" applyNumberFormat="1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wrapText="1"/>
    </xf>
    <xf numFmtId="0" fontId="3" fillId="5" borderId="58" xfId="0" applyFont="1" applyFill="1" applyBorder="1"/>
    <xf numFmtId="44" fontId="3" fillId="0" borderId="5" xfId="1" applyFont="1" applyFill="1" applyBorder="1" applyAlignment="1">
      <alignment horizontal="center" vertical="center"/>
    </xf>
    <xf numFmtId="0" fontId="3" fillId="0" borderId="59" xfId="0" applyFont="1" applyBorder="1"/>
    <xf numFmtId="0" fontId="3" fillId="0" borderId="5" xfId="0" applyFont="1" applyBorder="1" applyAlignment="1">
      <alignment horizontal="center" vertical="center"/>
    </xf>
    <xf numFmtId="44" fontId="3" fillId="0" borderId="5" xfId="1" applyFont="1" applyBorder="1"/>
    <xf numFmtId="44" fontId="3" fillId="0" borderId="5" xfId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35" xfId="0" applyFont="1" applyBorder="1"/>
    <xf numFmtId="0" fontId="3" fillId="0" borderId="21" xfId="0" applyFont="1" applyBorder="1" applyAlignment="1">
      <alignment horizontal="center" vertical="center"/>
    </xf>
    <xf numFmtId="44" fontId="3" fillId="0" borderId="21" xfId="1" applyFont="1" applyBorder="1"/>
    <xf numFmtId="44" fontId="3" fillId="0" borderId="21" xfId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5" borderId="0" xfId="0" applyFont="1" applyFill="1" applyBorder="1"/>
    <xf numFmtId="0" fontId="3" fillId="0" borderId="0" xfId="0" applyFont="1" applyBorder="1" applyAlignment="1">
      <alignment horizontal="center" vertical="center"/>
    </xf>
    <xf numFmtId="44" fontId="3" fillId="0" borderId="0" xfId="1" applyFont="1" applyBorder="1"/>
    <xf numFmtId="14" fontId="3" fillId="0" borderId="0" xfId="0" applyNumberFormat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3" fillId="5" borderId="4" xfId="0" applyFont="1" applyFill="1" applyBorder="1"/>
    <xf numFmtId="0" fontId="3" fillId="5" borderId="1" xfId="0" applyFont="1" applyFill="1" applyBorder="1" applyAlignment="1">
      <alignment horizontal="center" vertical="center"/>
    </xf>
    <xf numFmtId="44" fontId="3" fillId="5" borderId="1" xfId="1" applyFont="1" applyFill="1" applyBorder="1"/>
    <xf numFmtId="44" fontId="3" fillId="5" borderId="1" xfId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" fillId="11" borderId="6" xfId="0" applyFont="1" applyFill="1" applyBorder="1"/>
    <xf numFmtId="0" fontId="3" fillId="12" borderId="6" xfId="0" applyFont="1" applyFill="1" applyBorder="1"/>
    <xf numFmtId="0" fontId="3" fillId="5" borderId="6" xfId="0" applyFont="1" applyFill="1" applyBorder="1"/>
    <xf numFmtId="0" fontId="3" fillId="5" borderId="1" xfId="0" applyFont="1" applyFill="1" applyBorder="1"/>
    <xf numFmtId="0" fontId="12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5" borderId="18" xfId="0" applyFont="1" applyFill="1" applyBorder="1"/>
    <xf numFmtId="0" fontId="14" fillId="5" borderId="18" xfId="0" applyFont="1" applyFill="1" applyBorder="1"/>
    <xf numFmtId="0" fontId="3" fillId="5" borderId="57" xfId="0" applyFont="1" applyFill="1" applyBorder="1"/>
    <xf numFmtId="0" fontId="3" fillId="5" borderId="16" xfId="0" applyFont="1" applyFill="1" applyBorder="1" applyAlignment="1">
      <alignment horizontal="center" vertical="center"/>
    </xf>
    <xf numFmtId="44" fontId="3" fillId="5" borderId="16" xfId="1" applyFont="1" applyFill="1" applyBorder="1" applyAlignment="1">
      <alignment horizontal="center"/>
    </xf>
    <xf numFmtId="44" fontId="3" fillId="5" borderId="16" xfId="1" applyFont="1" applyFill="1" applyBorder="1" applyAlignment="1">
      <alignment horizontal="center" vertical="center"/>
    </xf>
    <xf numFmtId="14" fontId="3" fillId="5" borderId="33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 vertical="center"/>
    </xf>
    <xf numFmtId="44" fontId="3" fillId="0" borderId="50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44" fontId="0" fillId="0" borderId="1" xfId="1" applyFont="1" applyBorder="1"/>
    <xf numFmtId="0" fontId="0" fillId="10" borderId="18" xfId="0" applyFill="1" applyBorder="1"/>
    <xf numFmtId="0" fontId="3" fillId="13" borderId="6" xfId="0" applyFont="1" applyFill="1" applyBorder="1"/>
    <xf numFmtId="0" fontId="3" fillId="0" borderId="7" xfId="0" applyFont="1" applyBorder="1" applyAlignment="1">
      <alignment horizontal="left" wrapText="1"/>
    </xf>
    <xf numFmtId="165" fontId="3" fillId="0" borderId="1" xfId="1" applyNumberFormat="1" applyFont="1" applyBorder="1"/>
    <xf numFmtId="0" fontId="5" fillId="3" borderId="3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2" fillId="7" borderId="6" xfId="0" applyFont="1" applyFill="1" applyBorder="1"/>
    <xf numFmtId="0" fontId="2" fillId="7" borderId="2" xfId="0" applyFont="1" applyFill="1" applyBorder="1"/>
    <xf numFmtId="0" fontId="7" fillId="6" borderId="8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6" borderId="6" xfId="0" applyFill="1" applyBorder="1"/>
    <xf numFmtId="0" fontId="0" fillId="6" borderId="2" xfId="0" applyFill="1" applyBorder="1"/>
    <xf numFmtId="0" fontId="7" fillId="7" borderId="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8" borderId="27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4" fontId="2" fillId="7" borderId="4" xfId="1" applyFont="1" applyFill="1" applyBorder="1"/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44" fontId="2" fillId="7" borderId="1" xfId="0" applyNumberFormat="1" applyFont="1" applyFill="1" applyBorder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topLeftCell="A40" zoomScaleNormal="100" workbookViewId="0">
      <selection activeCell="G53" sqref="G53"/>
    </sheetView>
  </sheetViews>
  <sheetFormatPr defaultRowHeight="15" x14ac:dyDescent="0.25"/>
  <cols>
    <col min="1" max="1" width="3.85546875" customWidth="1"/>
    <col min="2" max="2" width="3.85546875" bestFit="1" customWidth="1"/>
    <col min="3" max="3" width="38.42578125" customWidth="1"/>
    <col min="4" max="4" width="28.140625" customWidth="1"/>
    <col min="5" max="5" width="5.42578125" bestFit="1" customWidth="1"/>
    <col min="6" max="6" width="7.140625" bestFit="1" customWidth="1"/>
    <col min="7" max="7" width="19.7109375" bestFit="1" customWidth="1"/>
    <col min="8" max="8" width="12.7109375" customWidth="1"/>
    <col min="9" max="9" width="58.28515625" bestFit="1" customWidth="1"/>
    <col min="10" max="10" width="15" customWidth="1"/>
  </cols>
  <sheetData>
    <row r="1" spans="2:15" x14ac:dyDescent="0.25">
      <c r="I1" t="s">
        <v>103</v>
      </c>
    </row>
    <row r="2" spans="2:15" ht="21" thickBot="1" x14ac:dyDescent="0.35">
      <c r="B2" s="172" t="s">
        <v>26</v>
      </c>
      <c r="C2" s="173"/>
      <c r="D2" s="173"/>
      <c r="E2" s="173"/>
      <c r="F2" s="173"/>
      <c r="G2" s="173"/>
      <c r="H2" s="173"/>
      <c r="I2" s="173"/>
      <c r="J2" s="105"/>
      <c r="K2" s="105"/>
      <c r="L2" s="105"/>
      <c r="M2" s="105"/>
      <c r="N2" s="105"/>
      <c r="O2" s="4"/>
    </row>
    <row r="3" spans="2:15" ht="18.75" x14ac:dyDescent="0.3"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46</v>
      </c>
      <c r="I3" s="15" t="s">
        <v>47</v>
      </c>
      <c r="J3" s="6"/>
      <c r="K3" s="6"/>
      <c r="L3" s="6"/>
      <c r="M3" s="6"/>
      <c r="N3" s="6"/>
    </row>
    <row r="4" spans="2:15" ht="18.75" x14ac:dyDescent="0.3">
      <c r="B4" s="7"/>
      <c r="C4" s="178" t="s">
        <v>15</v>
      </c>
      <c r="D4" s="179"/>
      <c r="E4" s="179"/>
      <c r="F4" s="179"/>
      <c r="G4" s="179"/>
      <c r="H4" s="179"/>
      <c r="I4" s="180"/>
      <c r="J4" s="6"/>
      <c r="K4" s="6"/>
      <c r="L4" s="6"/>
      <c r="M4" s="6"/>
      <c r="N4" s="6"/>
    </row>
    <row r="5" spans="2:15" x14ac:dyDescent="0.25">
      <c r="B5" s="151">
        <v>1</v>
      </c>
      <c r="C5" s="5" t="s">
        <v>27</v>
      </c>
      <c r="D5" s="5" t="s">
        <v>48</v>
      </c>
      <c r="E5" s="5"/>
      <c r="F5" s="107"/>
      <c r="G5" s="9">
        <v>0</v>
      </c>
      <c r="H5" s="5" t="s">
        <v>129</v>
      </c>
      <c r="I5" s="47" t="s">
        <v>109</v>
      </c>
      <c r="J5" s="6"/>
      <c r="K5" s="6"/>
      <c r="L5" s="6"/>
      <c r="M5" s="6"/>
      <c r="N5" s="6"/>
    </row>
    <row r="6" spans="2:15" x14ac:dyDescent="0.25">
      <c r="B6" s="151">
        <v>2</v>
      </c>
      <c r="C6" s="5" t="s">
        <v>130</v>
      </c>
      <c r="D6" s="5"/>
      <c r="E6" s="5"/>
      <c r="F6" s="107"/>
      <c r="G6" s="9">
        <v>150000</v>
      </c>
      <c r="H6" s="5"/>
      <c r="I6" s="8" t="s">
        <v>137</v>
      </c>
      <c r="J6" s="6"/>
      <c r="K6" s="6"/>
      <c r="L6" s="6"/>
      <c r="M6" s="6"/>
      <c r="N6" s="6"/>
    </row>
    <row r="7" spans="2:15" ht="29.45" customHeight="1" x14ac:dyDescent="0.25">
      <c r="B7" s="151">
        <v>4</v>
      </c>
      <c r="C7" s="5" t="s">
        <v>49</v>
      </c>
      <c r="D7" s="47" t="s">
        <v>138</v>
      </c>
      <c r="E7" s="5"/>
      <c r="F7" s="107"/>
      <c r="G7" s="9">
        <v>5534</v>
      </c>
      <c r="H7" s="5"/>
      <c r="I7" s="49" t="s">
        <v>139</v>
      </c>
      <c r="J7" s="6"/>
      <c r="K7" s="6"/>
      <c r="L7" s="6"/>
      <c r="M7" s="6"/>
      <c r="N7" s="6"/>
    </row>
    <row r="8" spans="2:15" x14ac:dyDescent="0.25">
      <c r="B8" s="151">
        <v>5</v>
      </c>
      <c r="C8" s="5" t="s">
        <v>140</v>
      </c>
      <c r="D8" s="5" t="s">
        <v>141</v>
      </c>
      <c r="E8" s="5"/>
      <c r="F8" s="107"/>
      <c r="G8" s="64">
        <v>3900</v>
      </c>
      <c r="H8" s="5"/>
      <c r="I8" s="8" t="s">
        <v>142</v>
      </c>
      <c r="J8" s="6"/>
      <c r="K8" s="6"/>
      <c r="L8" s="6"/>
      <c r="M8" s="6"/>
      <c r="N8" s="6"/>
    </row>
    <row r="9" spans="2:15" x14ac:dyDescent="0.25">
      <c r="B9" s="151">
        <v>6</v>
      </c>
      <c r="C9" s="5" t="s">
        <v>143</v>
      </c>
      <c r="D9" s="5" t="s">
        <v>144</v>
      </c>
      <c r="E9" s="5"/>
      <c r="F9" s="107"/>
      <c r="G9" s="64">
        <v>6200</v>
      </c>
      <c r="H9" s="5"/>
      <c r="I9" s="65" t="s">
        <v>145</v>
      </c>
      <c r="J9" s="6"/>
      <c r="K9" s="6"/>
      <c r="L9" s="6"/>
      <c r="M9" s="6"/>
      <c r="N9" s="6"/>
    </row>
    <row r="10" spans="2:15" x14ac:dyDescent="0.25">
      <c r="B10" s="151">
        <v>7</v>
      </c>
      <c r="C10" s="5" t="s">
        <v>152</v>
      </c>
      <c r="D10" s="5" t="s">
        <v>151</v>
      </c>
      <c r="E10" s="5"/>
      <c r="F10" s="107"/>
      <c r="G10" s="64">
        <v>21300</v>
      </c>
      <c r="H10" s="5"/>
      <c r="I10" s="65" t="s">
        <v>153</v>
      </c>
      <c r="J10" s="6"/>
      <c r="K10" s="6"/>
      <c r="L10" s="6"/>
      <c r="M10" s="6"/>
      <c r="N10" s="6"/>
    </row>
    <row r="11" spans="2:15" x14ac:dyDescent="0.25">
      <c r="B11" s="151">
        <v>8</v>
      </c>
      <c r="C11" s="5" t="s">
        <v>111</v>
      </c>
      <c r="D11" s="5" t="s">
        <v>89</v>
      </c>
      <c r="E11" s="5"/>
      <c r="F11" s="107"/>
      <c r="G11" s="12">
        <v>35000</v>
      </c>
      <c r="H11" s="48"/>
      <c r="I11" s="46" t="s">
        <v>150</v>
      </c>
      <c r="J11" s="6"/>
      <c r="K11" s="6"/>
      <c r="L11" s="6"/>
      <c r="M11" s="6"/>
      <c r="N11" s="6"/>
    </row>
    <row r="12" spans="2:15" x14ac:dyDescent="0.25">
      <c r="B12" s="151">
        <v>9</v>
      </c>
      <c r="C12" s="5" t="s">
        <v>118</v>
      </c>
      <c r="D12" s="5"/>
      <c r="E12" s="5"/>
      <c r="F12" s="107"/>
      <c r="G12" s="12">
        <v>4500</v>
      </c>
      <c r="H12" s="48"/>
      <c r="I12" s="46"/>
      <c r="J12" s="6"/>
      <c r="K12" s="6"/>
      <c r="L12" s="6"/>
      <c r="M12" s="6"/>
      <c r="N12" s="6"/>
    </row>
    <row r="13" spans="2:15" x14ac:dyDescent="0.25">
      <c r="B13" s="151">
        <v>10</v>
      </c>
      <c r="C13" s="5" t="s">
        <v>110</v>
      </c>
      <c r="D13" s="5"/>
      <c r="E13" s="5"/>
      <c r="F13" s="107"/>
      <c r="G13" s="12">
        <v>23000</v>
      </c>
      <c r="H13" s="48"/>
      <c r="I13" s="46"/>
      <c r="J13" s="6"/>
      <c r="K13" s="6"/>
      <c r="L13" s="6"/>
      <c r="M13" s="6"/>
      <c r="N13" s="6"/>
    </row>
    <row r="14" spans="2:15" x14ac:dyDescent="0.25">
      <c r="B14" s="151">
        <v>11</v>
      </c>
      <c r="C14" s="5" t="s">
        <v>131</v>
      </c>
      <c r="D14" s="5"/>
      <c r="E14" s="5"/>
      <c r="F14" s="107"/>
      <c r="G14" s="12">
        <v>8500</v>
      </c>
      <c r="H14" s="48"/>
      <c r="I14" s="46" t="s">
        <v>132</v>
      </c>
      <c r="J14" s="6"/>
      <c r="K14" s="6"/>
      <c r="L14" s="6"/>
      <c r="M14" s="6"/>
      <c r="N14" s="6"/>
    </row>
    <row r="15" spans="2:15" x14ac:dyDescent="0.25">
      <c r="B15" s="151">
        <v>12</v>
      </c>
      <c r="C15" s="5" t="s">
        <v>112</v>
      </c>
      <c r="D15" s="5" t="s">
        <v>113</v>
      </c>
      <c r="E15" s="5"/>
      <c r="F15" s="107"/>
      <c r="G15" s="12">
        <v>3000</v>
      </c>
      <c r="H15" s="48"/>
      <c r="I15" s="46"/>
      <c r="J15" s="6"/>
      <c r="K15" s="6"/>
      <c r="L15" s="6"/>
      <c r="M15" s="6"/>
      <c r="N15" s="6"/>
    </row>
    <row r="16" spans="2:15" x14ac:dyDescent="0.25">
      <c r="B16" s="151">
        <v>13</v>
      </c>
      <c r="C16" s="5" t="s">
        <v>114</v>
      </c>
      <c r="D16" s="5"/>
      <c r="E16" s="5"/>
      <c r="F16" s="107"/>
      <c r="G16" s="12">
        <v>12000</v>
      </c>
      <c r="H16" s="48"/>
      <c r="I16" s="46" t="s">
        <v>146</v>
      </c>
      <c r="J16" s="6"/>
      <c r="K16" s="6"/>
      <c r="L16" s="6"/>
      <c r="M16" s="6"/>
      <c r="N16" s="6"/>
    </row>
    <row r="17" spans="2:14" x14ac:dyDescent="0.25">
      <c r="B17" s="151">
        <v>14</v>
      </c>
      <c r="C17" s="5" t="s">
        <v>115</v>
      </c>
      <c r="D17" s="5"/>
      <c r="E17" s="5"/>
      <c r="F17" s="107"/>
      <c r="G17" s="12">
        <v>2000</v>
      </c>
      <c r="H17" s="48"/>
      <c r="I17" s="46"/>
      <c r="J17" s="6"/>
      <c r="K17" s="6"/>
      <c r="L17" s="6"/>
      <c r="M17" s="6"/>
      <c r="N17" s="6"/>
    </row>
    <row r="18" spans="2:14" x14ac:dyDescent="0.25">
      <c r="B18" s="151">
        <v>15</v>
      </c>
      <c r="C18" s="5" t="s">
        <v>28</v>
      </c>
      <c r="D18" s="5"/>
      <c r="E18" s="5"/>
      <c r="F18" s="107">
        <v>2</v>
      </c>
      <c r="G18" s="9">
        <v>10000</v>
      </c>
      <c r="H18" s="5"/>
      <c r="I18" s="8" t="s">
        <v>116</v>
      </c>
      <c r="J18" s="6"/>
      <c r="K18" s="6"/>
      <c r="L18" s="6"/>
      <c r="M18" s="6"/>
      <c r="N18" s="6"/>
    </row>
    <row r="19" spans="2:14" x14ac:dyDescent="0.25">
      <c r="B19" s="151">
        <v>16</v>
      </c>
      <c r="C19" s="5" t="s">
        <v>29</v>
      </c>
      <c r="D19" s="5"/>
      <c r="E19" s="5"/>
      <c r="F19" s="107"/>
      <c r="G19" s="9">
        <v>10000</v>
      </c>
      <c r="H19" s="5"/>
      <c r="I19" s="8"/>
      <c r="J19" s="6"/>
      <c r="K19" s="6"/>
      <c r="L19" s="6"/>
      <c r="M19" s="6"/>
      <c r="N19" s="6"/>
    </row>
    <row r="20" spans="2:14" x14ac:dyDescent="0.25">
      <c r="B20" s="151">
        <v>17</v>
      </c>
      <c r="C20" s="5" t="s">
        <v>148</v>
      </c>
      <c r="D20" s="5" t="s">
        <v>147</v>
      </c>
      <c r="E20" s="5"/>
      <c r="F20" s="107"/>
      <c r="G20" s="9">
        <v>16100</v>
      </c>
      <c r="H20" s="5"/>
      <c r="I20" s="66"/>
      <c r="J20" s="6"/>
      <c r="K20" s="6"/>
      <c r="L20" s="6"/>
      <c r="M20" s="6"/>
      <c r="N20" s="6"/>
    </row>
    <row r="21" spans="2:14" x14ac:dyDescent="0.25">
      <c r="B21" s="151">
        <v>18</v>
      </c>
      <c r="C21" s="5" t="s">
        <v>149</v>
      </c>
      <c r="D21" s="5"/>
      <c r="E21" s="5"/>
      <c r="F21" s="107"/>
      <c r="G21" s="9">
        <v>12500</v>
      </c>
      <c r="H21" s="5"/>
      <c r="I21" s="47" t="s">
        <v>90</v>
      </c>
      <c r="J21" s="6"/>
      <c r="K21" s="6"/>
      <c r="L21" s="6"/>
      <c r="M21" s="6"/>
      <c r="N21" s="6"/>
    </row>
    <row r="22" spans="2:14" x14ac:dyDescent="0.25">
      <c r="B22" s="151">
        <v>19</v>
      </c>
      <c r="C22" s="5" t="s">
        <v>91</v>
      </c>
      <c r="D22" s="5"/>
      <c r="E22" s="5"/>
      <c r="F22" s="107"/>
      <c r="G22" s="9">
        <v>1000</v>
      </c>
      <c r="H22" s="5"/>
      <c r="I22" s="47"/>
      <c r="J22" s="6"/>
      <c r="K22" s="6"/>
      <c r="L22" s="6"/>
      <c r="M22" s="6"/>
      <c r="N22" s="6"/>
    </row>
    <row r="23" spans="2:14" x14ac:dyDescent="0.25">
      <c r="B23" s="151">
        <v>20</v>
      </c>
      <c r="C23" s="5" t="s">
        <v>92</v>
      </c>
      <c r="D23" s="5"/>
      <c r="E23" s="5"/>
      <c r="F23" s="107"/>
      <c r="G23" s="9">
        <v>1000</v>
      </c>
      <c r="H23" s="5"/>
      <c r="I23" s="47"/>
      <c r="J23" s="6"/>
      <c r="K23" s="6"/>
      <c r="L23" s="6"/>
      <c r="M23" s="6"/>
      <c r="N23" s="6"/>
    </row>
    <row r="24" spans="2:14" x14ac:dyDescent="0.25">
      <c r="B24" s="151">
        <v>21</v>
      </c>
      <c r="C24" s="5" t="s">
        <v>93</v>
      </c>
      <c r="D24" s="5"/>
      <c r="E24" s="5"/>
      <c r="F24" s="107"/>
      <c r="G24" s="9">
        <v>5000</v>
      </c>
      <c r="H24" s="5"/>
      <c r="I24" s="8"/>
      <c r="J24" s="6"/>
      <c r="K24" s="6"/>
      <c r="L24" s="6"/>
      <c r="M24" s="6"/>
      <c r="N24" s="6"/>
    </row>
    <row r="25" spans="2:14" ht="30" x14ac:dyDescent="0.25">
      <c r="B25" s="151">
        <v>22</v>
      </c>
      <c r="C25" s="5" t="s">
        <v>155</v>
      </c>
      <c r="D25" s="47" t="s">
        <v>168</v>
      </c>
      <c r="E25" s="5"/>
      <c r="F25" s="107">
        <v>2</v>
      </c>
      <c r="G25" s="9">
        <f>9546*F25</f>
        <v>19092</v>
      </c>
      <c r="H25" s="5"/>
      <c r="I25" s="8"/>
      <c r="J25" s="6"/>
      <c r="K25" s="6"/>
      <c r="L25" s="6"/>
      <c r="M25" s="6"/>
      <c r="N25" s="6"/>
    </row>
    <row r="26" spans="2:14" x14ac:dyDescent="0.25">
      <c r="B26" s="151">
        <v>23</v>
      </c>
      <c r="C26" s="153" t="s">
        <v>166</v>
      </c>
      <c r="D26" s="154" t="s">
        <v>167</v>
      </c>
      <c r="E26" s="5"/>
      <c r="F26" s="5"/>
      <c r="G26" s="64">
        <v>2500</v>
      </c>
      <c r="H26" s="5"/>
      <c r="I26" s="8"/>
      <c r="J26" s="6"/>
      <c r="K26" s="6"/>
      <c r="L26" s="6"/>
      <c r="M26" s="6"/>
      <c r="N26" s="6"/>
    </row>
    <row r="27" spans="2:14" x14ac:dyDescent="0.25">
      <c r="B27" s="7"/>
      <c r="C27" s="5"/>
      <c r="D27" s="5"/>
      <c r="E27" s="5"/>
      <c r="F27" s="10" t="s">
        <v>35</v>
      </c>
      <c r="G27" s="11">
        <f>SUM(G5:G24)</f>
        <v>330534</v>
      </c>
      <c r="H27" s="5"/>
      <c r="I27" s="8"/>
      <c r="J27" s="6"/>
      <c r="K27" s="6"/>
      <c r="L27" s="6"/>
      <c r="M27" s="6"/>
      <c r="N27" s="6"/>
    </row>
    <row r="28" spans="2:14" ht="18.75" x14ac:dyDescent="0.3">
      <c r="B28" s="7"/>
      <c r="C28" s="178" t="s">
        <v>16</v>
      </c>
      <c r="D28" s="179"/>
      <c r="E28" s="179"/>
      <c r="F28" s="179"/>
      <c r="G28" s="179"/>
      <c r="H28" s="179"/>
      <c r="I28" s="180"/>
      <c r="J28" s="6"/>
      <c r="K28" s="6"/>
      <c r="L28" s="6"/>
      <c r="M28" s="6"/>
      <c r="N28" s="6"/>
    </row>
    <row r="29" spans="2:14" x14ac:dyDescent="0.25">
      <c r="B29" s="152">
        <v>1</v>
      </c>
      <c r="C29" s="5" t="s">
        <v>30</v>
      </c>
      <c r="D29" s="5"/>
      <c r="E29" s="5"/>
      <c r="F29" s="107">
        <v>4</v>
      </c>
      <c r="G29" s="9">
        <v>3500</v>
      </c>
      <c r="H29" s="5"/>
      <c r="I29" s="8"/>
      <c r="J29" s="6"/>
      <c r="K29" s="6"/>
      <c r="L29" s="6"/>
      <c r="M29" s="6"/>
      <c r="N29" s="6"/>
    </row>
    <row r="30" spans="2:14" x14ac:dyDescent="0.25">
      <c r="B30" s="152">
        <v>2</v>
      </c>
      <c r="C30" s="5" t="s">
        <v>154</v>
      </c>
      <c r="D30" s="5"/>
      <c r="E30" s="5"/>
      <c r="F30" s="107">
        <v>1</v>
      </c>
      <c r="G30" s="9">
        <v>1200</v>
      </c>
      <c r="H30" s="5"/>
      <c r="I30" s="8"/>
      <c r="J30" s="6"/>
      <c r="K30" s="6"/>
      <c r="L30" s="6"/>
      <c r="M30" s="6"/>
      <c r="N30" s="6"/>
    </row>
    <row r="31" spans="2:14" x14ac:dyDescent="0.25">
      <c r="B31" s="152">
        <v>3</v>
      </c>
      <c r="C31" s="5" t="s">
        <v>31</v>
      </c>
      <c r="D31" s="5"/>
      <c r="E31" s="5"/>
      <c r="F31" s="107">
        <v>2</v>
      </c>
      <c r="G31" s="9">
        <v>5000</v>
      </c>
      <c r="H31" s="5"/>
      <c r="I31" s="8"/>
      <c r="J31" s="6"/>
      <c r="K31" s="6"/>
      <c r="L31" s="6"/>
      <c r="M31" s="6"/>
      <c r="N31" s="6"/>
    </row>
    <row r="32" spans="2:14" x14ac:dyDescent="0.25">
      <c r="B32" s="152">
        <v>4</v>
      </c>
      <c r="C32" s="5" t="s">
        <v>94</v>
      </c>
      <c r="D32" s="5"/>
      <c r="E32" s="5"/>
      <c r="F32" s="107">
        <v>1</v>
      </c>
      <c r="G32" s="9">
        <v>2500</v>
      </c>
      <c r="H32" s="5"/>
      <c r="I32" s="49"/>
      <c r="J32" s="6"/>
      <c r="K32" s="6"/>
      <c r="L32" s="6"/>
      <c r="M32" s="6"/>
      <c r="N32" s="6"/>
    </row>
    <row r="33" spans="2:14" x14ac:dyDescent="0.25">
      <c r="B33" s="152">
        <v>5</v>
      </c>
      <c r="C33" s="5" t="s">
        <v>95</v>
      </c>
      <c r="D33" s="5"/>
      <c r="E33" s="5"/>
      <c r="F33" s="107">
        <v>1</v>
      </c>
      <c r="G33" s="9">
        <v>250</v>
      </c>
      <c r="H33" s="5"/>
      <c r="I33" s="49"/>
      <c r="J33" s="6"/>
      <c r="K33" s="6"/>
      <c r="L33" s="6"/>
      <c r="M33" s="6"/>
      <c r="N33" s="6"/>
    </row>
    <row r="34" spans="2:14" x14ac:dyDescent="0.25">
      <c r="B34" s="152">
        <v>6</v>
      </c>
      <c r="C34" s="5" t="s">
        <v>96</v>
      </c>
      <c r="D34" s="5"/>
      <c r="E34" s="5"/>
      <c r="F34" s="107">
        <v>1</v>
      </c>
      <c r="G34" s="9">
        <v>200</v>
      </c>
      <c r="H34" s="5"/>
      <c r="I34" s="49"/>
      <c r="J34" s="6"/>
      <c r="K34" s="6"/>
      <c r="L34" s="6"/>
      <c r="M34" s="6"/>
      <c r="N34" s="6"/>
    </row>
    <row r="35" spans="2:14" x14ac:dyDescent="0.25">
      <c r="B35" s="152">
        <v>7</v>
      </c>
      <c r="C35" s="5" t="s">
        <v>119</v>
      </c>
      <c r="D35" s="107">
        <v>1883</v>
      </c>
      <c r="E35" s="5"/>
      <c r="F35" s="107">
        <v>14</v>
      </c>
      <c r="G35" s="9">
        <v>8600</v>
      </c>
      <c r="H35" s="5"/>
      <c r="I35" s="8"/>
      <c r="J35" s="6"/>
      <c r="K35" s="6"/>
      <c r="L35" s="6"/>
      <c r="M35" s="6"/>
      <c r="N35" s="6"/>
    </row>
    <row r="36" spans="2:14" x14ac:dyDescent="0.25">
      <c r="B36" s="152">
        <v>8</v>
      </c>
      <c r="C36" s="155" t="s">
        <v>156</v>
      </c>
      <c r="D36" s="156" t="s">
        <v>157</v>
      </c>
      <c r="E36" s="5"/>
      <c r="F36" s="107">
        <v>4</v>
      </c>
      <c r="G36" s="9">
        <v>199</v>
      </c>
      <c r="H36" s="5"/>
      <c r="I36" s="8"/>
      <c r="J36" s="6"/>
      <c r="K36" s="6"/>
      <c r="L36" s="6"/>
      <c r="M36" s="6"/>
      <c r="N36" s="6"/>
    </row>
    <row r="37" spans="2:14" x14ac:dyDescent="0.25">
      <c r="B37" s="7"/>
      <c r="C37" s="5"/>
      <c r="D37" s="5"/>
      <c r="E37" s="5"/>
      <c r="F37" s="10" t="s">
        <v>35</v>
      </c>
      <c r="G37" s="11">
        <f>SUM(G29:G36)</f>
        <v>21449</v>
      </c>
      <c r="H37" s="5"/>
      <c r="I37" s="8"/>
      <c r="J37" s="6"/>
      <c r="K37" s="6"/>
      <c r="L37" s="6"/>
      <c r="M37" s="6"/>
      <c r="N37" s="6"/>
    </row>
    <row r="38" spans="2:14" ht="18.75" x14ac:dyDescent="0.3">
      <c r="B38" s="7"/>
      <c r="C38" s="178" t="s">
        <v>17</v>
      </c>
      <c r="D38" s="179"/>
      <c r="E38" s="179"/>
      <c r="F38" s="179"/>
      <c r="G38" s="179"/>
      <c r="H38" s="179"/>
      <c r="I38" s="180"/>
      <c r="J38" s="6"/>
      <c r="K38" s="6"/>
      <c r="L38" s="6"/>
      <c r="M38" s="6"/>
      <c r="N38" s="6"/>
    </row>
    <row r="39" spans="2:14" x14ac:dyDescent="0.25">
      <c r="B39" s="169">
        <v>1</v>
      </c>
      <c r="C39" s="5" t="s">
        <v>32</v>
      </c>
      <c r="D39" s="5"/>
      <c r="E39" s="5"/>
      <c r="F39" s="107"/>
      <c r="G39" s="9">
        <v>100000</v>
      </c>
      <c r="H39" s="5"/>
      <c r="I39" s="8" t="s">
        <v>164</v>
      </c>
      <c r="J39" s="6"/>
      <c r="K39" s="6"/>
      <c r="L39" s="6"/>
      <c r="M39" s="6"/>
      <c r="N39" s="6"/>
    </row>
    <row r="40" spans="2:14" x14ac:dyDescent="0.25">
      <c r="B40" s="169">
        <v>2</v>
      </c>
      <c r="C40" s="5" t="s">
        <v>33</v>
      </c>
      <c r="D40" s="5"/>
      <c r="E40" s="5"/>
      <c r="F40" s="107"/>
      <c r="G40" s="9">
        <v>7000</v>
      </c>
      <c r="H40" s="5"/>
      <c r="I40" s="170" t="s">
        <v>183</v>
      </c>
      <c r="J40" s="6"/>
      <c r="K40" s="6"/>
      <c r="L40" s="6"/>
      <c r="M40" s="6"/>
      <c r="N40" s="6"/>
    </row>
    <row r="41" spans="2:14" x14ac:dyDescent="0.25">
      <c r="B41" s="169">
        <f>B40+1</f>
        <v>3</v>
      </c>
      <c r="C41" s="5" t="s">
        <v>34</v>
      </c>
      <c r="D41" s="5"/>
      <c r="E41" s="5"/>
      <c r="F41" s="107"/>
      <c r="G41" s="9">
        <v>15000</v>
      </c>
      <c r="H41" s="5"/>
      <c r="I41" s="8"/>
      <c r="J41" s="6"/>
      <c r="K41" s="6"/>
      <c r="L41" s="6"/>
      <c r="M41" s="6"/>
      <c r="N41" s="6"/>
    </row>
    <row r="42" spans="2:14" x14ac:dyDescent="0.25">
      <c r="B42" s="169">
        <f t="shared" ref="B42:B50" si="0">B41+1</f>
        <v>4</v>
      </c>
      <c r="C42" s="5" t="s">
        <v>158</v>
      </c>
      <c r="D42" s="5"/>
      <c r="E42" s="5"/>
      <c r="F42" s="107"/>
      <c r="G42" s="9">
        <v>10000</v>
      </c>
      <c r="H42" s="5"/>
      <c r="I42" s="8" t="s">
        <v>159</v>
      </c>
      <c r="J42" s="6"/>
      <c r="K42" s="6"/>
      <c r="L42" s="6"/>
      <c r="M42" s="6"/>
      <c r="N42" s="6"/>
    </row>
    <row r="43" spans="2:14" ht="30" x14ac:dyDescent="0.25">
      <c r="B43" s="169">
        <f t="shared" si="0"/>
        <v>5</v>
      </c>
      <c r="C43" s="47" t="s">
        <v>161</v>
      </c>
      <c r="D43" s="5"/>
      <c r="E43" s="5"/>
      <c r="F43" s="107"/>
      <c r="G43" s="9">
        <v>7000</v>
      </c>
      <c r="H43" s="5"/>
      <c r="I43" s="49" t="s">
        <v>163</v>
      </c>
      <c r="J43" s="6"/>
      <c r="K43" s="6"/>
      <c r="L43" s="6"/>
      <c r="M43" s="6"/>
      <c r="N43" s="6"/>
    </row>
    <row r="44" spans="2:14" x14ac:dyDescent="0.25">
      <c r="B44" s="169">
        <f t="shared" si="0"/>
        <v>6</v>
      </c>
      <c r="C44" s="5" t="s">
        <v>97</v>
      </c>
      <c r="D44" s="5"/>
      <c r="E44" s="5"/>
      <c r="F44" s="107"/>
      <c r="G44" s="9">
        <f>24*550</f>
        <v>13200</v>
      </c>
      <c r="H44" s="5"/>
      <c r="I44" s="47" t="s">
        <v>165</v>
      </c>
      <c r="J44" s="6"/>
      <c r="K44" s="6"/>
      <c r="L44" s="6"/>
      <c r="M44" s="6"/>
      <c r="N44" s="6"/>
    </row>
    <row r="45" spans="2:14" s="23" customFormat="1" ht="16.149999999999999" customHeight="1" x14ac:dyDescent="0.25">
      <c r="B45" s="169">
        <f t="shared" si="0"/>
        <v>7</v>
      </c>
      <c r="C45" s="47" t="s">
        <v>160</v>
      </c>
      <c r="D45" s="47"/>
      <c r="E45" s="47"/>
      <c r="F45" s="108"/>
      <c r="G45" s="50">
        <v>3500</v>
      </c>
      <c r="H45" s="47"/>
      <c r="I45" s="47"/>
      <c r="J45" s="51"/>
      <c r="K45" s="51"/>
      <c r="L45" s="51"/>
      <c r="M45" s="51"/>
      <c r="N45" s="51"/>
    </row>
    <row r="46" spans="2:14" s="23" customFormat="1" ht="16.149999999999999" customHeight="1" x14ac:dyDescent="0.25">
      <c r="B46" s="169">
        <f t="shared" si="0"/>
        <v>8</v>
      </c>
      <c r="C46" s="5" t="s">
        <v>162</v>
      </c>
      <c r="D46" s="47"/>
      <c r="E46" s="47"/>
      <c r="F46" s="108"/>
      <c r="G46" s="50">
        <v>4500</v>
      </c>
      <c r="H46" s="47"/>
      <c r="I46" s="47"/>
      <c r="J46" s="51"/>
      <c r="K46" s="51"/>
      <c r="L46" s="51"/>
      <c r="M46" s="51"/>
      <c r="N46" s="51"/>
    </row>
    <row r="47" spans="2:14" x14ac:dyDescent="0.25">
      <c r="B47" s="169">
        <f t="shared" si="0"/>
        <v>9</v>
      </c>
      <c r="C47" s="5" t="s">
        <v>98</v>
      </c>
      <c r="D47" s="5"/>
      <c r="E47" s="5"/>
      <c r="F47" s="107">
        <v>2</v>
      </c>
      <c r="G47" s="9">
        <v>500</v>
      </c>
      <c r="H47" s="5"/>
      <c r="I47" s="47"/>
      <c r="J47" s="6"/>
      <c r="K47" s="6"/>
      <c r="L47" s="6"/>
      <c r="M47" s="6"/>
      <c r="N47" s="6"/>
    </row>
    <row r="48" spans="2:14" x14ac:dyDescent="0.25">
      <c r="B48" s="169">
        <f t="shared" si="0"/>
        <v>10</v>
      </c>
      <c r="C48" s="5" t="s">
        <v>99</v>
      </c>
      <c r="D48" s="5"/>
      <c r="E48" s="5"/>
      <c r="F48" s="107"/>
      <c r="G48" s="9">
        <v>5000</v>
      </c>
      <c r="H48" s="5"/>
      <c r="I48" s="47" t="s">
        <v>100</v>
      </c>
      <c r="J48" s="6"/>
      <c r="K48" s="6"/>
      <c r="L48" s="6"/>
      <c r="M48" s="6"/>
      <c r="N48" s="6"/>
    </row>
    <row r="49" spans="2:14" x14ac:dyDescent="0.25">
      <c r="B49" s="169">
        <f t="shared" si="0"/>
        <v>11</v>
      </c>
      <c r="C49" s="5" t="s">
        <v>117</v>
      </c>
      <c r="D49" s="5"/>
      <c r="E49" s="5"/>
      <c r="F49" s="107"/>
      <c r="G49" s="9">
        <v>2000</v>
      </c>
      <c r="H49" s="5"/>
      <c r="I49" s="1"/>
      <c r="J49" s="6"/>
      <c r="K49" s="6"/>
      <c r="L49" s="6"/>
      <c r="M49" s="6"/>
      <c r="N49" s="6"/>
    </row>
    <row r="50" spans="2:14" x14ac:dyDescent="0.25">
      <c r="B50" s="169">
        <f t="shared" si="0"/>
        <v>12</v>
      </c>
      <c r="C50" s="100" t="s">
        <v>120</v>
      </c>
      <c r="D50" s="100"/>
      <c r="E50" s="100"/>
      <c r="F50" s="109"/>
      <c r="G50" s="101">
        <v>75000</v>
      </c>
      <c r="H50" s="100"/>
      <c r="I50" s="102" t="s">
        <v>169</v>
      </c>
      <c r="J50" s="6"/>
      <c r="K50" s="6"/>
      <c r="L50" s="6"/>
      <c r="M50" s="6"/>
      <c r="N50" s="6"/>
    </row>
    <row r="51" spans="2:14" ht="15.75" thickBot="1" x14ac:dyDescent="0.3">
      <c r="B51" s="18"/>
      <c r="C51" s="19"/>
      <c r="D51" s="19"/>
      <c r="E51" s="19"/>
      <c r="F51" s="20" t="s">
        <v>35</v>
      </c>
      <c r="G51" s="21">
        <f>SUM(G39:G50)</f>
        <v>242700</v>
      </c>
      <c r="H51" s="19"/>
      <c r="I51" s="22"/>
      <c r="J51" s="6"/>
      <c r="K51" s="6"/>
      <c r="L51" s="6"/>
      <c r="M51" s="6"/>
      <c r="N51" s="6"/>
    </row>
    <row r="52" spans="2:14" x14ac:dyDescent="0.25">
      <c r="B52" s="176" t="s">
        <v>25</v>
      </c>
      <c r="C52" s="177"/>
      <c r="D52" s="177"/>
      <c r="E52" s="177"/>
      <c r="F52" s="177"/>
      <c r="G52" s="17">
        <f>SUM(G37,G51,G27)</f>
        <v>594683</v>
      </c>
      <c r="H52" s="4"/>
      <c r="I52" s="4"/>
      <c r="J52" s="4"/>
      <c r="K52" s="4"/>
      <c r="L52" s="4"/>
      <c r="M52" s="4"/>
      <c r="N52" s="4"/>
    </row>
    <row r="53" spans="2:14" ht="15.75" thickBot="1" x14ac:dyDescent="0.3">
      <c r="B53" s="174" t="s">
        <v>25</v>
      </c>
      <c r="C53" s="175"/>
      <c r="D53" s="175"/>
      <c r="E53" s="175"/>
      <c r="F53" s="175"/>
      <c r="G53" s="16">
        <f>G52+'Постоянные затраты'!E26</f>
        <v>925208.84299999999</v>
      </c>
      <c r="H53" s="4"/>
      <c r="I53" s="4"/>
      <c r="J53" s="4"/>
      <c r="K53" s="4"/>
      <c r="L53" s="4"/>
      <c r="M53" s="4"/>
      <c r="N53" s="4"/>
    </row>
    <row r="55" spans="2:14" ht="31.5" x14ac:dyDescent="0.25">
      <c r="C55" s="52" t="s">
        <v>101</v>
      </c>
      <c r="I55" s="52" t="s">
        <v>102</v>
      </c>
    </row>
  </sheetData>
  <mergeCells count="6">
    <mergeCell ref="B2:I2"/>
    <mergeCell ref="B53:F53"/>
    <mergeCell ref="B52:F52"/>
    <mergeCell ref="C4:I4"/>
    <mergeCell ref="C28:I28"/>
    <mergeCell ref="C38:I38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opLeftCell="A16" zoomScaleNormal="100" workbookViewId="0">
      <selection activeCell="E32" sqref="E32"/>
    </sheetView>
  </sheetViews>
  <sheetFormatPr defaultColWidth="8.85546875" defaultRowHeight="15" x14ac:dyDescent="0.25"/>
  <cols>
    <col min="3" max="3" width="21.85546875" bestFit="1" customWidth="1"/>
    <col min="4" max="4" width="22.140625" customWidth="1"/>
    <col min="5" max="5" width="24.7109375" customWidth="1"/>
    <col min="6" max="6" width="46.7109375" customWidth="1"/>
    <col min="7" max="7" width="28.140625" customWidth="1"/>
  </cols>
  <sheetData>
    <row r="1" spans="2:7" ht="18.75" x14ac:dyDescent="0.25">
      <c r="B1" s="24"/>
      <c r="C1" s="181" t="s">
        <v>6</v>
      </c>
      <c r="D1" s="182"/>
      <c r="E1" s="182"/>
      <c r="F1" s="183"/>
    </row>
    <row r="2" spans="2:7" ht="19.5" thickBot="1" x14ac:dyDescent="0.3">
      <c r="B2" s="24"/>
      <c r="C2" s="189" t="s">
        <v>13</v>
      </c>
      <c r="D2" s="190"/>
      <c r="E2" s="67" t="s">
        <v>18</v>
      </c>
      <c r="F2" s="68" t="s">
        <v>22</v>
      </c>
    </row>
    <row r="3" spans="2:7" ht="15.75" thickBot="1" x14ac:dyDescent="0.3">
      <c r="B3" s="24"/>
      <c r="C3" s="197" t="s">
        <v>170</v>
      </c>
      <c r="D3" s="198"/>
      <c r="E3" s="90">
        <v>100000</v>
      </c>
      <c r="F3" s="69"/>
    </row>
    <row r="4" spans="2:7" ht="15.75" customHeight="1" thickBot="1" x14ac:dyDescent="0.3">
      <c r="B4" s="24"/>
      <c r="C4" s="187" t="s">
        <v>23</v>
      </c>
      <c r="D4" s="188"/>
      <c r="E4" s="91">
        <v>3000</v>
      </c>
      <c r="F4" s="69"/>
    </row>
    <row r="5" spans="2:7" ht="15.75" customHeight="1" thickBot="1" x14ac:dyDescent="0.3">
      <c r="B5" s="24"/>
      <c r="C5" s="187" t="s">
        <v>54</v>
      </c>
      <c r="D5" s="208"/>
      <c r="E5" s="92">
        <v>12000</v>
      </c>
      <c r="F5" s="69"/>
    </row>
    <row r="6" spans="2:7" ht="15.75" thickBot="1" x14ac:dyDescent="0.3">
      <c r="B6" s="24"/>
      <c r="C6" s="70" t="s">
        <v>7</v>
      </c>
      <c r="D6" s="71" t="s">
        <v>58</v>
      </c>
      <c r="E6" s="72">
        <v>3500</v>
      </c>
      <c r="F6" s="73"/>
    </row>
    <row r="7" spans="2:7" ht="15.75" thickBot="1" x14ac:dyDescent="0.3">
      <c r="B7" s="24"/>
      <c r="C7" s="191" t="s">
        <v>12</v>
      </c>
      <c r="D7" s="74" t="s">
        <v>36</v>
      </c>
      <c r="E7" s="75">
        <f>1500*15+E28*5%</f>
        <v>43425</v>
      </c>
      <c r="F7" s="76"/>
    </row>
    <row r="8" spans="2:7" ht="15.75" thickBot="1" x14ac:dyDescent="0.3">
      <c r="B8" s="24"/>
      <c r="C8" s="192"/>
      <c r="D8" s="47" t="s">
        <v>37</v>
      </c>
      <c r="E8" s="75">
        <f>1500*15+E28*5%</f>
        <v>43425</v>
      </c>
      <c r="F8" s="8"/>
    </row>
    <row r="9" spans="2:7" ht="30" x14ac:dyDescent="0.25">
      <c r="B9" s="24"/>
      <c r="C9" s="191" t="s">
        <v>8</v>
      </c>
      <c r="D9" s="74" t="s">
        <v>176</v>
      </c>
      <c r="E9" s="75">
        <v>20000</v>
      </c>
      <c r="F9" s="76"/>
    </row>
    <row r="10" spans="2:7" ht="60" x14ac:dyDescent="0.25">
      <c r="B10" s="24"/>
      <c r="C10" s="199"/>
      <c r="D10" s="47" t="s">
        <v>9</v>
      </c>
      <c r="E10" s="77">
        <f>11163*0.311</f>
        <v>3471.6930000000002</v>
      </c>
      <c r="F10" s="8"/>
    </row>
    <row r="11" spans="2:7" ht="45" x14ac:dyDescent="0.25">
      <c r="B11" s="24"/>
      <c r="C11" s="199"/>
      <c r="D11" s="47" t="s">
        <v>10</v>
      </c>
      <c r="E11" s="166">
        <v>12000</v>
      </c>
      <c r="F11" s="8"/>
    </row>
    <row r="12" spans="2:7" ht="30.75" thickBot="1" x14ac:dyDescent="0.3">
      <c r="B12" s="24"/>
      <c r="C12" s="192"/>
      <c r="D12" s="78" t="s">
        <v>11</v>
      </c>
      <c r="E12" s="166"/>
      <c r="F12" s="22"/>
    </row>
    <row r="13" spans="2:7" ht="15.75" thickBot="1" x14ac:dyDescent="0.3">
      <c r="B13" s="24"/>
      <c r="C13" s="79" t="s">
        <v>19</v>
      </c>
      <c r="D13" s="80" t="s">
        <v>104</v>
      </c>
      <c r="E13" s="165">
        <f>E28*0.0159</f>
        <v>6654.1500000000005</v>
      </c>
      <c r="F13" s="82"/>
    </row>
    <row r="14" spans="2:7" ht="45.75" thickBot="1" x14ac:dyDescent="0.3">
      <c r="B14" s="24"/>
      <c r="C14" s="79" t="s">
        <v>24</v>
      </c>
      <c r="D14" s="80" t="s">
        <v>38</v>
      </c>
      <c r="E14" s="81">
        <v>5000</v>
      </c>
      <c r="F14" s="82"/>
      <c r="G14" s="24"/>
    </row>
    <row r="15" spans="2:7" x14ac:dyDescent="0.25">
      <c r="B15" s="24"/>
      <c r="C15" s="209" t="s">
        <v>55</v>
      </c>
      <c r="D15" s="210"/>
      <c r="E15" s="96">
        <f>700*32.4</f>
        <v>22680</v>
      </c>
      <c r="F15" s="76">
        <v>32.4</v>
      </c>
      <c r="G15" s="24" t="s">
        <v>56</v>
      </c>
    </row>
    <row r="16" spans="2:7" x14ac:dyDescent="0.25">
      <c r="B16" s="24"/>
      <c r="C16" s="193" t="s">
        <v>39</v>
      </c>
      <c r="D16" s="194"/>
      <c r="E16" s="63">
        <f>3.5*800</f>
        <v>2800</v>
      </c>
      <c r="F16" s="97"/>
      <c r="G16" s="24"/>
    </row>
    <row r="17" spans="2:7" x14ac:dyDescent="0.25">
      <c r="B17" s="24"/>
      <c r="C17" s="193" t="s">
        <v>40</v>
      </c>
      <c r="D17" s="194"/>
      <c r="E17" s="63">
        <f>4.5*800</f>
        <v>3600</v>
      </c>
      <c r="F17" s="97"/>
      <c r="G17" s="24"/>
    </row>
    <row r="18" spans="2:7" x14ac:dyDescent="0.25">
      <c r="B18" s="24"/>
      <c r="C18" s="193" t="s">
        <v>41</v>
      </c>
      <c r="D18" s="194"/>
      <c r="E18" s="63">
        <f>6*800</f>
        <v>4800</v>
      </c>
      <c r="F18" s="97"/>
      <c r="G18" s="24"/>
    </row>
    <row r="19" spans="2:7" x14ac:dyDescent="0.25">
      <c r="B19" s="24"/>
      <c r="C19" s="193" t="s">
        <v>59</v>
      </c>
      <c r="D19" s="194"/>
      <c r="E19" s="63">
        <f>60*5</f>
        <v>300</v>
      </c>
      <c r="F19" s="98">
        <v>10</v>
      </c>
      <c r="G19" s="24"/>
    </row>
    <row r="20" spans="2:7" x14ac:dyDescent="0.25">
      <c r="B20" s="24"/>
      <c r="C20" s="193" t="s">
        <v>44</v>
      </c>
      <c r="D20" s="194"/>
      <c r="E20" s="63">
        <f>49*460-49*50</f>
        <v>20090</v>
      </c>
      <c r="F20" s="99">
        <v>410</v>
      </c>
      <c r="G20" s="24" t="s">
        <v>57</v>
      </c>
    </row>
    <row r="21" spans="2:7" x14ac:dyDescent="0.25">
      <c r="B21" s="24"/>
      <c r="C21" s="200" t="s">
        <v>173</v>
      </c>
      <c r="D21" s="201"/>
      <c r="E21" s="63">
        <f>50*120</f>
        <v>6000</v>
      </c>
      <c r="F21" s="99">
        <v>50</v>
      </c>
      <c r="G21" s="24" t="s">
        <v>174</v>
      </c>
    </row>
    <row r="22" spans="2:7" x14ac:dyDescent="0.25">
      <c r="B22" s="24"/>
      <c r="C22" s="193" t="s">
        <v>50</v>
      </c>
      <c r="D22" s="194"/>
      <c r="E22" s="63">
        <f>250*50</f>
        <v>12500</v>
      </c>
      <c r="F22" s="99">
        <v>50</v>
      </c>
      <c r="G22" s="24" t="s">
        <v>171</v>
      </c>
    </row>
    <row r="23" spans="2:7" x14ac:dyDescent="0.25">
      <c r="B23" s="24"/>
      <c r="C23" s="193" t="s">
        <v>45</v>
      </c>
      <c r="D23" s="194"/>
      <c r="E23" s="63">
        <f>2*600</f>
        <v>1200</v>
      </c>
      <c r="F23" s="97"/>
      <c r="G23" s="24"/>
    </row>
    <row r="24" spans="2:7" x14ac:dyDescent="0.25">
      <c r="B24" s="24"/>
      <c r="C24" s="193" t="s">
        <v>42</v>
      </c>
      <c r="D24" s="194"/>
      <c r="E24" s="63">
        <f>2400*1.7</f>
        <v>4080</v>
      </c>
      <c r="F24" s="97"/>
      <c r="G24" s="24"/>
    </row>
    <row r="25" spans="2:7" ht="16.5" thickBot="1" x14ac:dyDescent="0.3">
      <c r="B25" s="24"/>
      <c r="C25" s="217"/>
      <c r="D25" s="218"/>
      <c r="E25" s="94" t="s">
        <v>105</v>
      </c>
      <c r="F25" s="95">
        <f>SUM(E15:E24)</f>
        <v>78050</v>
      </c>
      <c r="G25" s="24"/>
    </row>
    <row r="26" spans="2:7" ht="19.5" thickBot="1" x14ac:dyDescent="0.3">
      <c r="B26" s="24"/>
      <c r="C26" s="195" t="s">
        <v>35</v>
      </c>
      <c r="D26" s="196"/>
      <c r="E26" s="83">
        <f>SUM(E3:E24)</f>
        <v>330525.84299999999</v>
      </c>
      <c r="F26" s="84"/>
      <c r="G26" s="24"/>
    </row>
    <row r="27" spans="2:7" ht="19.5" thickBot="1" x14ac:dyDescent="0.3">
      <c r="B27" s="24"/>
      <c r="C27" s="184" t="s">
        <v>14</v>
      </c>
      <c r="D27" s="185"/>
      <c r="E27" s="185"/>
      <c r="F27" s="186"/>
    </row>
    <row r="28" spans="2:7" x14ac:dyDescent="0.25">
      <c r="B28" s="24"/>
      <c r="C28" s="204" t="s">
        <v>43</v>
      </c>
      <c r="D28" s="205"/>
      <c r="E28" s="93">
        <f>E29*E32*31</f>
        <v>418500</v>
      </c>
      <c r="F28" s="76"/>
    </row>
    <row r="29" spans="2:7" x14ac:dyDescent="0.25">
      <c r="B29" s="24"/>
      <c r="C29" s="206" t="s">
        <v>51</v>
      </c>
      <c r="D29" s="207"/>
      <c r="E29" s="171">
        <v>180</v>
      </c>
      <c r="F29" s="8"/>
    </row>
    <row r="30" spans="2:7" ht="35.25" customHeight="1" x14ac:dyDescent="0.25">
      <c r="B30" s="24"/>
      <c r="C30" s="215" t="s">
        <v>21</v>
      </c>
      <c r="D30" s="216"/>
      <c r="E30" s="85">
        <v>3.5</v>
      </c>
      <c r="F30" s="86"/>
    </row>
    <row r="31" spans="2:7" ht="18.75" customHeight="1" x14ac:dyDescent="0.25">
      <c r="B31" s="24"/>
      <c r="C31" s="211" t="s">
        <v>20</v>
      </c>
      <c r="D31" s="212"/>
      <c r="E31" s="87">
        <f>E28-'Постоянные затраты'!E26</f>
        <v>87974.157000000007</v>
      </c>
      <c r="F31" s="88"/>
    </row>
    <row r="32" spans="2:7" ht="38.25" customHeight="1" x14ac:dyDescent="0.25">
      <c r="B32" s="24"/>
      <c r="C32" s="213" t="s">
        <v>52</v>
      </c>
      <c r="D32" s="214"/>
      <c r="E32" s="89">
        <v>75</v>
      </c>
      <c r="F32" s="86"/>
    </row>
    <row r="33" spans="2:6" ht="15.75" thickBot="1" x14ac:dyDescent="0.3">
      <c r="B33" s="24"/>
      <c r="C33" s="202" t="s">
        <v>53</v>
      </c>
      <c r="D33" s="203"/>
      <c r="E33" s="106">
        <f>E32/12</f>
        <v>6.25</v>
      </c>
      <c r="F33" s="22"/>
    </row>
  </sheetData>
  <mergeCells count="26">
    <mergeCell ref="C33:D33"/>
    <mergeCell ref="C28:D28"/>
    <mergeCell ref="C29:D29"/>
    <mergeCell ref="C5:D5"/>
    <mergeCell ref="C15:D15"/>
    <mergeCell ref="C31:D31"/>
    <mergeCell ref="C32:D32"/>
    <mergeCell ref="C30:D30"/>
    <mergeCell ref="C19:D19"/>
    <mergeCell ref="C23:D23"/>
    <mergeCell ref="C25:D25"/>
    <mergeCell ref="C1:F1"/>
    <mergeCell ref="C27:F27"/>
    <mergeCell ref="C4:D4"/>
    <mergeCell ref="C2:D2"/>
    <mergeCell ref="C7:C8"/>
    <mergeCell ref="C17:D17"/>
    <mergeCell ref="C18:D18"/>
    <mergeCell ref="C24:D24"/>
    <mergeCell ref="C26:D26"/>
    <mergeCell ref="C20:D20"/>
    <mergeCell ref="C22:D22"/>
    <mergeCell ref="C16:D16"/>
    <mergeCell ref="C3:D3"/>
    <mergeCell ref="C9:C12"/>
    <mergeCell ref="C21:D21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0"/>
  <sheetViews>
    <sheetView tabSelected="1" topLeftCell="K1" zoomScaleNormal="100" workbookViewId="0">
      <selection activeCell="Q15" sqref="Q15"/>
    </sheetView>
  </sheetViews>
  <sheetFormatPr defaultColWidth="8.85546875" defaultRowHeight="15" x14ac:dyDescent="0.25"/>
  <cols>
    <col min="1" max="1" width="12.28515625" bestFit="1" customWidth="1"/>
    <col min="2" max="2" width="28.42578125" bestFit="1" customWidth="1"/>
    <col min="3" max="3" width="21.85546875" customWidth="1"/>
    <col min="4" max="5" width="16.42578125" bestFit="1" customWidth="1"/>
    <col min="6" max="6" width="18.42578125" bestFit="1" customWidth="1"/>
    <col min="7" max="10" width="16.42578125" bestFit="1" customWidth="1"/>
    <col min="11" max="11" width="16.42578125" style="55" bestFit="1" customWidth="1"/>
    <col min="12" max="13" width="16.42578125" bestFit="1" customWidth="1"/>
    <col min="14" max="14" width="17.140625" customWidth="1"/>
    <col min="15" max="15" width="19.42578125" bestFit="1" customWidth="1"/>
    <col min="16" max="20" width="16.42578125" bestFit="1" customWidth="1"/>
    <col min="21" max="22" width="14.7109375" bestFit="1" customWidth="1"/>
    <col min="23" max="23" width="16.42578125" bestFit="1" customWidth="1"/>
    <col min="24" max="25" width="14.7109375" bestFit="1" customWidth="1"/>
    <col min="26" max="32" width="16.42578125" bestFit="1" customWidth="1"/>
  </cols>
  <sheetData>
    <row r="2" spans="1:32" ht="15.75" thickBot="1" x14ac:dyDescent="0.3"/>
    <row r="3" spans="1:32" ht="16.5" thickBot="1" x14ac:dyDescent="0.3">
      <c r="A3" s="241"/>
      <c r="B3" s="242"/>
      <c r="C3" s="2" t="s">
        <v>88</v>
      </c>
      <c r="D3" s="2" t="s">
        <v>87</v>
      </c>
      <c r="E3" s="2" t="s">
        <v>86</v>
      </c>
      <c r="F3" s="2" t="s">
        <v>85</v>
      </c>
      <c r="G3" s="2" t="s">
        <v>84</v>
      </c>
      <c r="H3" s="2" t="s">
        <v>83</v>
      </c>
      <c r="I3" s="2" t="s">
        <v>82</v>
      </c>
      <c r="J3" s="56" t="s">
        <v>81</v>
      </c>
      <c r="K3" s="56" t="s">
        <v>80</v>
      </c>
      <c r="L3" s="2" t="s">
        <v>79</v>
      </c>
      <c r="M3" s="158" t="s">
        <v>78</v>
      </c>
      <c r="N3" s="2" t="s">
        <v>77</v>
      </c>
      <c r="O3" s="168" t="s">
        <v>76</v>
      </c>
      <c r="P3" s="104" t="s">
        <v>121</v>
      </c>
      <c r="Q3" s="104" t="s">
        <v>122</v>
      </c>
      <c r="R3" s="104" t="s">
        <v>123</v>
      </c>
      <c r="S3" s="157" t="s">
        <v>124</v>
      </c>
      <c r="T3" s="104" t="s">
        <v>125</v>
      </c>
      <c r="U3" s="104" t="s">
        <v>126</v>
      </c>
      <c r="V3" s="104" t="s">
        <v>127</v>
      </c>
      <c r="W3" s="56" t="s">
        <v>128</v>
      </c>
      <c r="X3" s="56" t="s">
        <v>179</v>
      </c>
      <c r="Y3" s="56" t="s">
        <v>180</v>
      </c>
      <c r="Z3" s="56" t="s">
        <v>181</v>
      </c>
      <c r="AA3" s="56" t="s">
        <v>182</v>
      </c>
      <c r="AB3" s="56" t="s">
        <v>186</v>
      </c>
      <c r="AC3" s="56" t="s">
        <v>187</v>
      </c>
      <c r="AD3" s="56" t="s">
        <v>188</v>
      </c>
      <c r="AE3" s="56" t="s">
        <v>189</v>
      </c>
      <c r="AF3" s="168" t="s">
        <v>190</v>
      </c>
    </row>
    <row r="4" spans="1:32" ht="15.75" thickBot="1" x14ac:dyDescent="0.3">
      <c r="A4" s="243" t="s">
        <v>75</v>
      </c>
      <c r="B4" s="244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x14ac:dyDescent="0.25">
      <c r="A5" s="245" t="s">
        <v>184</v>
      </c>
      <c r="B5" s="246"/>
      <c r="C5" s="43">
        <f>Разовые!G52</f>
        <v>594683</v>
      </c>
      <c r="D5" s="42"/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57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/>
      <c r="AE5" s="42"/>
      <c r="AF5" s="42"/>
    </row>
    <row r="6" spans="1:32" x14ac:dyDescent="0.25">
      <c r="A6" s="239" t="s">
        <v>170</v>
      </c>
      <c r="B6" s="226"/>
      <c r="C6" s="32">
        <f>'Постоянные затраты'!E3</f>
        <v>100000</v>
      </c>
      <c r="D6" s="32">
        <f>'Постоянные затраты'!E3</f>
        <v>100000</v>
      </c>
      <c r="E6" s="32">
        <f>'Постоянные затраты'!E3</f>
        <v>100000</v>
      </c>
      <c r="F6" s="32">
        <f>'Постоянные затраты'!E3</f>
        <v>100000</v>
      </c>
      <c r="G6" s="32">
        <f>'Постоянные затраты'!E3</f>
        <v>100000</v>
      </c>
      <c r="H6" s="32">
        <f>'Постоянные затраты'!E3</f>
        <v>100000</v>
      </c>
      <c r="I6" s="32">
        <f>'Постоянные затраты'!E3</f>
        <v>100000</v>
      </c>
      <c r="J6" s="32">
        <f>'Постоянные затраты'!E3</f>
        <v>100000</v>
      </c>
      <c r="K6" s="32">
        <f>'Постоянные затраты'!E3</f>
        <v>100000</v>
      </c>
      <c r="L6" s="32">
        <f>'Постоянные затраты'!E3</f>
        <v>100000</v>
      </c>
      <c r="M6" s="32">
        <f>'Постоянные затраты'!E3</f>
        <v>100000</v>
      </c>
      <c r="N6" s="32">
        <f>'Постоянные затраты'!E3</f>
        <v>100000</v>
      </c>
      <c r="O6" s="32">
        <f>'Постоянные затраты'!$E3</f>
        <v>100000</v>
      </c>
      <c r="P6" s="32">
        <f>'Постоянные затраты'!$E3</f>
        <v>100000</v>
      </c>
      <c r="Q6" s="32">
        <f>'Постоянные затраты'!$E3</f>
        <v>100000</v>
      </c>
      <c r="R6" s="32">
        <f>'Постоянные затраты'!$E3</f>
        <v>100000</v>
      </c>
      <c r="S6" s="32">
        <f>'Постоянные затраты'!$E3</f>
        <v>100000</v>
      </c>
      <c r="T6" s="32">
        <f>'Постоянные затраты'!$E3</f>
        <v>100000</v>
      </c>
      <c r="U6" s="32">
        <f>'Постоянные затраты'!$E3</f>
        <v>100000</v>
      </c>
      <c r="V6" s="32">
        <f>'Постоянные затраты'!$E3</f>
        <v>100000</v>
      </c>
      <c r="W6" s="32">
        <f>'Постоянные затраты'!$E3</f>
        <v>100000</v>
      </c>
      <c r="X6" s="32">
        <f>'Постоянные затраты'!$E3</f>
        <v>100000</v>
      </c>
      <c r="Y6" s="32">
        <f>'Постоянные затраты'!$E3</f>
        <v>100000</v>
      </c>
      <c r="Z6" s="32">
        <f>'Постоянные затраты'!$E3</f>
        <v>100000</v>
      </c>
      <c r="AA6" s="32">
        <f>'Постоянные затраты'!$E3</f>
        <v>100000</v>
      </c>
      <c r="AB6" s="32">
        <f>'Постоянные затраты'!$E3</f>
        <v>100000</v>
      </c>
      <c r="AC6" s="32">
        <f>'Постоянные затраты'!$E3</f>
        <v>100000</v>
      </c>
      <c r="AD6" s="32">
        <f>'Постоянные затраты'!$E3</f>
        <v>100000</v>
      </c>
      <c r="AE6" s="32">
        <f>'Постоянные затраты'!$E3</f>
        <v>100000</v>
      </c>
      <c r="AF6" s="32">
        <f>'Постоянные затраты'!$E3</f>
        <v>100000</v>
      </c>
    </row>
    <row r="7" spans="1:32" ht="30.75" customHeight="1" x14ac:dyDescent="0.25">
      <c r="A7" s="247" t="s">
        <v>23</v>
      </c>
      <c r="B7" s="248"/>
      <c r="C7" s="167">
        <f>'Постоянные затраты'!$E4</f>
        <v>3000</v>
      </c>
      <c r="D7" s="167">
        <f>'Постоянные затраты'!$E4</f>
        <v>3000</v>
      </c>
      <c r="E7" s="167">
        <f>'Постоянные затраты'!$E4</f>
        <v>3000</v>
      </c>
      <c r="F7" s="167">
        <f>'Постоянные затраты'!$E4</f>
        <v>3000</v>
      </c>
      <c r="G7" s="167">
        <f>'Постоянные затраты'!$E4</f>
        <v>3000</v>
      </c>
      <c r="H7" s="167">
        <f>'Постоянные затраты'!$E4</f>
        <v>3000</v>
      </c>
      <c r="I7" s="167">
        <f>'Постоянные затраты'!$E4</f>
        <v>3000</v>
      </c>
      <c r="J7" s="167">
        <f>'Постоянные затраты'!$E4</f>
        <v>3000</v>
      </c>
      <c r="K7" s="167">
        <f>'Постоянные затраты'!$E4</f>
        <v>3000</v>
      </c>
      <c r="L7" s="167">
        <f>'Постоянные затраты'!$E4</f>
        <v>3000</v>
      </c>
      <c r="M7" s="167">
        <f>'Постоянные затраты'!$E4</f>
        <v>3000</v>
      </c>
      <c r="N7" s="167">
        <f>'Постоянные затраты'!$E4</f>
        <v>3000</v>
      </c>
      <c r="O7" s="167">
        <f>'Постоянные затраты'!$E4</f>
        <v>3000</v>
      </c>
      <c r="P7" s="167">
        <f>'Постоянные затраты'!$E4</f>
        <v>3000</v>
      </c>
      <c r="Q7" s="167">
        <f>'Постоянные затраты'!$E4</f>
        <v>3000</v>
      </c>
      <c r="R7" s="167">
        <f>'Постоянные затраты'!$E4</f>
        <v>3000</v>
      </c>
      <c r="S7" s="167">
        <f>'Постоянные затраты'!$E4</f>
        <v>3000</v>
      </c>
      <c r="T7" s="167">
        <f>'Постоянные затраты'!$E4</f>
        <v>3000</v>
      </c>
      <c r="U7" s="167">
        <f>'Постоянные затраты'!$E4</f>
        <v>3000</v>
      </c>
      <c r="V7" s="167">
        <f>'Постоянные затраты'!$E4</f>
        <v>3000</v>
      </c>
      <c r="W7" s="167">
        <f>'Постоянные затраты'!$E4</f>
        <v>3000</v>
      </c>
      <c r="X7" s="167">
        <f>'Постоянные затраты'!$E4</f>
        <v>3000</v>
      </c>
      <c r="Y7" s="167">
        <f>'Постоянные затраты'!$E4</f>
        <v>3000</v>
      </c>
      <c r="Z7" s="167">
        <f>'Постоянные затраты'!$E4</f>
        <v>3000</v>
      </c>
      <c r="AA7" s="167">
        <f>'Постоянные затраты'!$E4</f>
        <v>3000</v>
      </c>
      <c r="AB7" s="167">
        <f>'Постоянные затраты'!$E4</f>
        <v>3000</v>
      </c>
      <c r="AC7" s="167">
        <f>'Постоянные затраты'!$E4</f>
        <v>3000</v>
      </c>
      <c r="AD7" s="167">
        <f>'Постоянные затраты'!$E4</f>
        <v>3000</v>
      </c>
      <c r="AE7" s="167">
        <f>'Постоянные затраты'!$E4</f>
        <v>3000</v>
      </c>
      <c r="AF7" s="167">
        <f>'Постоянные затраты'!$E4</f>
        <v>3000</v>
      </c>
    </row>
    <row r="8" spans="1:32" x14ac:dyDescent="0.25">
      <c r="A8" s="39" t="s">
        <v>7</v>
      </c>
      <c r="B8" s="41" t="s">
        <v>106</v>
      </c>
      <c r="C8" s="32">
        <f>'Постоянные затраты'!E6</f>
        <v>3500</v>
      </c>
      <c r="D8" s="32">
        <f>'Постоянные затраты'!E6</f>
        <v>3500</v>
      </c>
      <c r="E8" s="32">
        <f>'Постоянные затраты'!E6</f>
        <v>3500</v>
      </c>
      <c r="F8" s="32">
        <f>'Постоянные затраты'!E6</f>
        <v>3500</v>
      </c>
      <c r="G8" s="32">
        <f>'Постоянные затраты'!E6</f>
        <v>3500</v>
      </c>
      <c r="H8" s="32">
        <f>'Постоянные затраты'!E6</f>
        <v>3500</v>
      </c>
      <c r="I8" s="32">
        <f>'Постоянные затраты'!E6</f>
        <v>3500</v>
      </c>
      <c r="J8" s="32">
        <f>'Постоянные затраты'!E6</f>
        <v>3500</v>
      </c>
      <c r="K8" s="32">
        <f>'Постоянные затраты'!E6</f>
        <v>3500</v>
      </c>
      <c r="L8" s="32">
        <f>'Постоянные затраты'!E6</f>
        <v>3500</v>
      </c>
      <c r="M8" s="32">
        <f>'Постоянные затраты'!E6</f>
        <v>3500</v>
      </c>
      <c r="N8" s="32">
        <f>'Постоянные затраты'!E6</f>
        <v>3500</v>
      </c>
      <c r="O8" s="32">
        <f>'Постоянные затраты'!$E6</f>
        <v>3500</v>
      </c>
      <c r="P8" s="32">
        <f>'Постоянные затраты'!$E6</f>
        <v>3500</v>
      </c>
      <c r="Q8" s="32">
        <f>'Постоянные затраты'!$E6</f>
        <v>3500</v>
      </c>
      <c r="R8" s="32">
        <f>'Постоянные затраты'!$E6</f>
        <v>3500</v>
      </c>
      <c r="S8" s="32">
        <f>'Постоянные затраты'!$E6</f>
        <v>3500</v>
      </c>
      <c r="T8" s="32">
        <f>'Постоянные затраты'!$E6</f>
        <v>3500</v>
      </c>
      <c r="U8" s="32">
        <f>'Постоянные затраты'!$E6</f>
        <v>3500</v>
      </c>
      <c r="V8" s="32">
        <f>'Постоянные затраты'!$E6</f>
        <v>3500</v>
      </c>
      <c r="W8" s="32">
        <f>'Постоянные затраты'!$E6</f>
        <v>3500</v>
      </c>
      <c r="X8" s="32">
        <f>'Постоянные затраты'!$E6</f>
        <v>3500</v>
      </c>
      <c r="Y8" s="32">
        <f>'Постоянные затраты'!$E6</f>
        <v>3500</v>
      </c>
      <c r="Z8" s="32">
        <f>'Постоянные затраты'!$E6</f>
        <v>3500</v>
      </c>
      <c r="AA8" s="32">
        <f>'Постоянные затраты'!$E6</f>
        <v>3500</v>
      </c>
      <c r="AB8" s="32">
        <f>'Постоянные затраты'!$E6</f>
        <v>3500</v>
      </c>
      <c r="AC8" s="32">
        <f>'Постоянные затраты'!$E6</f>
        <v>3500</v>
      </c>
      <c r="AD8" s="32">
        <f>'Постоянные затраты'!$E6</f>
        <v>3500</v>
      </c>
      <c r="AE8" s="32">
        <f>'Постоянные затраты'!$E6</f>
        <v>3500</v>
      </c>
      <c r="AF8" s="32">
        <f>'Постоянные затраты'!$E6</f>
        <v>3500</v>
      </c>
    </row>
    <row r="9" spans="1:32" x14ac:dyDescent="0.25">
      <c r="A9" s="223" t="s">
        <v>12</v>
      </c>
      <c r="B9" s="38" t="s">
        <v>36</v>
      </c>
      <c r="C9" s="32">
        <f>'Постоянные затраты'!E7</f>
        <v>43425</v>
      </c>
      <c r="D9" s="32">
        <f>'Постоянные затраты'!E7</f>
        <v>43425</v>
      </c>
      <c r="E9" s="32">
        <f>'Постоянные затраты'!E7</f>
        <v>43425</v>
      </c>
      <c r="F9" s="32">
        <f>'Постоянные затраты'!E7</f>
        <v>43425</v>
      </c>
      <c r="G9" s="32">
        <f>'Постоянные затраты'!E7</f>
        <v>43425</v>
      </c>
      <c r="H9" s="32">
        <f>'Постоянные затраты'!E7</f>
        <v>43425</v>
      </c>
      <c r="I9" s="32">
        <f>'Постоянные затраты'!E7</f>
        <v>43425</v>
      </c>
      <c r="J9" s="32">
        <f>'Постоянные затраты'!E7</f>
        <v>43425</v>
      </c>
      <c r="K9" s="32">
        <f>'Постоянные затраты'!E7</f>
        <v>43425</v>
      </c>
      <c r="L9" s="32">
        <f>'Постоянные затраты'!E7</f>
        <v>43425</v>
      </c>
      <c r="M9" s="32">
        <f>'Постоянные затраты'!E7</f>
        <v>43425</v>
      </c>
      <c r="N9" s="32">
        <f>'Постоянные затраты'!E7</f>
        <v>43425</v>
      </c>
      <c r="O9" s="32">
        <f>'Постоянные затраты'!$E7</f>
        <v>43425</v>
      </c>
      <c r="P9" s="32">
        <f>'Постоянные затраты'!$E7</f>
        <v>43425</v>
      </c>
      <c r="Q9" s="32">
        <f>'Постоянные затраты'!$E7</f>
        <v>43425</v>
      </c>
      <c r="R9" s="32">
        <f>'Постоянные затраты'!$E7</f>
        <v>43425</v>
      </c>
      <c r="S9" s="32">
        <f>'Постоянные затраты'!$E7</f>
        <v>43425</v>
      </c>
      <c r="T9" s="32">
        <f>'Постоянные затраты'!$E7</f>
        <v>43425</v>
      </c>
      <c r="U9" s="32">
        <f>'Постоянные затраты'!$E7</f>
        <v>43425</v>
      </c>
      <c r="V9" s="32">
        <f>'Постоянные затраты'!$E7</f>
        <v>43425</v>
      </c>
      <c r="W9" s="32">
        <f>'Постоянные затраты'!$E7</f>
        <v>43425</v>
      </c>
      <c r="X9" s="32">
        <f>'Постоянные затраты'!$E7</f>
        <v>43425</v>
      </c>
      <c r="Y9" s="32">
        <f>'Постоянные затраты'!$E7</f>
        <v>43425</v>
      </c>
      <c r="Z9" s="32">
        <f>'Постоянные затраты'!$E7</f>
        <v>43425</v>
      </c>
      <c r="AA9" s="32">
        <f>'Постоянные затраты'!$E7</f>
        <v>43425</v>
      </c>
      <c r="AB9" s="32">
        <f>'Постоянные затраты'!$E7</f>
        <v>43425</v>
      </c>
      <c r="AC9" s="32">
        <f>'Постоянные затраты'!$E7</f>
        <v>43425</v>
      </c>
      <c r="AD9" s="32">
        <f>'Постоянные затраты'!$E7</f>
        <v>43425</v>
      </c>
      <c r="AE9" s="32">
        <f>'Постоянные затраты'!$E7</f>
        <v>43425</v>
      </c>
      <c r="AF9" s="32">
        <f>'Постоянные затраты'!$E7</f>
        <v>43425</v>
      </c>
    </row>
    <row r="10" spans="1:32" x14ac:dyDescent="0.25">
      <c r="A10" s="224"/>
      <c r="B10" s="38" t="s">
        <v>37</v>
      </c>
      <c r="C10" s="32">
        <f>'Постоянные затраты'!E8</f>
        <v>43425</v>
      </c>
      <c r="D10" s="32">
        <f>'Постоянные затраты'!E8</f>
        <v>43425</v>
      </c>
      <c r="E10" s="32">
        <f>'Постоянные затраты'!E8</f>
        <v>43425</v>
      </c>
      <c r="F10" s="32">
        <f>'Постоянные затраты'!E8</f>
        <v>43425</v>
      </c>
      <c r="G10" s="32">
        <f>'Постоянные затраты'!E8</f>
        <v>43425</v>
      </c>
      <c r="H10" s="32">
        <f>'Постоянные затраты'!E8</f>
        <v>43425</v>
      </c>
      <c r="I10" s="32">
        <f>'Постоянные затраты'!E8</f>
        <v>43425</v>
      </c>
      <c r="J10" s="32">
        <f>'Постоянные затраты'!E8</f>
        <v>43425</v>
      </c>
      <c r="K10" s="32">
        <f>'Постоянные затраты'!E8</f>
        <v>43425</v>
      </c>
      <c r="L10" s="32">
        <f>'Постоянные затраты'!E8</f>
        <v>43425</v>
      </c>
      <c r="M10" s="32">
        <f>'Постоянные затраты'!E8</f>
        <v>43425</v>
      </c>
      <c r="N10" s="32">
        <f>'Постоянные затраты'!E8</f>
        <v>43425</v>
      </c>
      <c r="O10" s="32">
        <f>'Постоянные затраты'!$E8</f>
        <v>43425</v>
      </c>
      <c r="P10" s="32">
        <f>'Постоянные затраты'!$E8</f>
        <v>43425</v>
      </c>
      <c r="Q10" s="32">
        <f>'Постоянные затраты'!$E8</f>
        <v>43425</v>
      </c>
      <c r="R10" s="32">
        <f>'Постоянные затраты'!$E8</f>
        <v>43425</v>
      </c>
      <c r="S10" s="32">
        <f>'Постоянные затраты'!$E8</f>
        <v>43425</v>
      </c>
      <c r="T10" s="32">
        <f>'Постоянные затраты'!$E8</f>
        <v>43425</v>
      </c>
      <c r="U10" s="32">
        <f>'Постоянные затраты'!$E8</f>
        <v>43425</v>
      </c>
      <c r="V10" s="32">
        <f>'Постоянные затраты'!$E8</f>
        <v>43425</v>
      </c>
      <c r="W10" s="32">
        <f>'Постоянные затраты'!$E8</f>
        <v>43425</v>
      </c>
      <c r="X10" s="32">
        <f>'Постоянные затраты'!$E8</f>
        <v>43425</v>
      </c>
      <c r="Y10" s="32">
        <f>'Постоянные затраты'!$E8</f>
        <v>43425</v>
      </c>
      <c r="Z10" s="32">
        <f>'Постоянные затраты'!$E8</f>
        <v>43425</v>
      </c>
      <c r="AA10" s="32">
        <f>'Постоянные затраты'!$E8</f>
        <v>43425</v>
      </c>
      <c r="AB10" s="32">
        <f>'Постоянные затраты'!$E8</f>
        <v>43425</v>
      </c>
      <c r="AC10" s="32">
        <f>'Постоянные затраты'!$E8</f>
        <v>43425</v>
      </c>
      <c r="AD10" s="32">
        <f>'Постоянные затраты'!$E8</f>
        <v>43425</v>
      </c>
      <c r="AE10" s="32">
        <f>'Постоянные затраты'!$E8</f>
        <v>43425</v>
      </c>
      <c r="AF10" s="32">
        <f>'Постоянные затраты'!$E8</f>
        <v>43425</v>
      </c>
    </row>
    <row r="11" spans="1:32" x14ac:dyDescent="0.25">
      <c r="A11" s="224"/>
      <c r="B11" s="38" t="s">
        <v>74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</row>
    <row r="12" spans="1:32" x14ac:dyDescent="0.25">
      <c r="A12" s="225"/>
      <c r="B12" s="38" t="s">
        <v>108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</row>
    <row r="13" spans="1:32" x14ac:dyDescent="0.25">
      <c r="A13" s="239" t="s">
        <v>8</v>
      </c>
      <c r="B13" s="38" t="s">
        <v>178</v>
      </c>
      <c r="C13" s="32">
        <f>'Постоянные затраты'!E9</f>
        <v>20000</v>
      </c>
      <c r="D13" s="32">
        <f>'Постоянные затраты'!E9</f>
        <v>20000</v>
      </c>
      <c r="E13" s="32">
        <f>'Постоянные затраты'!E9</f>
        <v>20000</v>
      </c>
      <c r="F13" s="32">
        <f>'Постоянные затраты'!E9</f>
        <v>20000</v>
      </c>
      <c r="G13" s="32">
        <f>'Постоянные затраты'!E9</f>
        <v>20000</v>
      </c>
      <c r="H13" s="32">
        <f>'Постоянные затраты'!E9</f>
        <v>20000</v>
      </c>
      <c r="I13" s="32">
        <f>'Постоянные затраты'!E9</f>
        <v>20000</v>
      </c>
      <c r="J13" s="32">
        <f>'Постоянные затраты'!E9</f>
        <v>20000</v>
      </c>
      <c r="K13" s="32">
        <f>'Постоянные затраты'!E9</f>
        <v>20000</v>
      </c>
      <c r="L13" s="32">
        <f>'Постоянные затраты'!E9</f>
        <v>20000</v>
      </c>
      <c r="M13" s="32">
        <f>'Постоянные затраты'!E9</f>
        <v>20000</v>
      </c>
      <c r="N13" s="32">
        <f>'Постоянные затраты'!E9</f>
        <v>20000</v>
      </c>
      <c r="O13" s="32">
        <f>'Постоянные затраты'!$E9</f>
        <v>20000</v>
      </c>
      <c r="P13" s="32">
        <f>'Постоянные затраты'!$E9</f>
        <v>20000</v>
      </c>
      <c r="Q13" s="32">
        <f>'Постоянные затраты'!$E9</f>
        <v>20000</v>
      </c>
      <c r="R13" s="32">
        <f>'Постоянные затраты'!$E9</f>
        <v>20000</v>
      </c>
      <c r="S13" s="32">
        <f>'Постоянные затраты'!$E9</f>
        <v>20000</v>
      </c>
      <c r="T13" s="32">
        <f>'Постоянные затраты'!$E9</f>
        <v>20000</v>
      </c>
      <c r="U13" s="32">
        <f>'Постоянные затраты'!$E9</f>
        <v>20000</v>
      </c>
      <c r="V13" s="32">
        <f>'Постоянные затраты'!$E9</f>
        <v>20000</v>
      </c>
      <c r="W13" s="32">
        <f>'Постоянные затраты'!$E9</f>
        <v>20000</v>
      </c>
      <c r="X13" s="32">
        <f>'Постоянные затраты'!$E9</f>
        <v>20000</v>
      </c>
      <c r="Y13" s="32">
        <f>'Постоянные затраты'!$E9</f>
        <v>20000</v>
      </c>
      <c r="Z13" s="32">
        <f>'Постоянные затраты'!$E9</f>
        <v>20000</v>
      </c>
      <c r="AA13" s="32">
        <f>'Постоянные затраты'!$E9</f>
        <v>20000</v>
      </c>
      <c r="AB13" s="32">
        <f>'Постоянные затраты'!$E9</f>
        <v>20000</v>
      </c>
      <c r="AC13" s="32">
        <f>'Постоянные затраты'!$E9</f>
        <v>20000</v>
      </c>
      <c r="AD13" s="32">
        <f>'Постоянные затраты'!$E9</f>
        <v>20000</v>
      </c>
      <c r="AE13" s="32">
        <f>'Постоянные затраты'!$E9</f>
        <v>20000</v>
      </c>
      <c r="AF13" s="32">
        <f>'Постоянные затраты'!$E9</f>
        <v>20000</v>
      </c>
    </row>
    <row r="14" spans="1:32" x14ac:dyDescent="0.25">
      <c r="A14" s="239"/>
      <c r="B14" s="150" t="s">
        <v>177</v>
      </c>
      <c r="C14" s="32">
        <f>'Постоянные затраты'!$E11</f>
        <v>12000</v>
      </c>
      <c r="D14" s="32">
        <f>'Постоянные затраты'!$E11</f>
        <v>12000</v>
      </c>
      <c r="E14" s="32">
        <f>'Постоянные затраты'!$E11</f>
        <v>12000</v>
      </c>
      <c r="F14" s="32">
        <f>'Постоянные затраты'!$E11</f>
        <v>12000</v>
      </c>
      <c r="G14" s="32">
        <f>'Постоянные затраты'!$E11</f>
        <v>12000</v>
      </c>
      <c r="H14" s="32">
        <f>'Постоянные затраты'!$E11</f>
        <v>12000</v>
      </c>
      <c r="I14" s="32">
        <f>'Постоянные затраты'!$E11</f>
        <v>12000</v>
      </c>
      <c r="J14" s="32">
        <f>'Постоянные затраты'!$E11</f>
        <v>12000</v>
      </c>
      <c r="K14" s="32">
        <f>'Постоянные затраты'!$E11</f>
        <v>12000</v>
      </c>
      <c r="L14" s="32">
        <f>'Постоянные затраты'!$E11</f>
        <v>12000</v>
      </c>
      <c r="M14" s="32">
        <f>'Постоянные затраты'!$E11</f>
        <v>12000</v>
      </c>
      <c r="N14" s="32">
        <f>'Постоянные затраты'!$E11</f>
        <v>12000</v>
      </c>
      <c r="O14" s="32">
        <f>'Постоянные затраты'!$E11</f>
        <v>12000</v>
      </c>
      <c r="P14" s="32">
        <f>'Постоянные затраты'!$E11</f>
        <v>12000</v>
      </c>
      <c r="Q14" s="32">
        <f>'Постоянные затраты'!$E11</f>
        <v>12000</v>
      </c>
      <c r="R14" s="32">
        <f>'Постоянные затраты'!$E11</f>
        <v>12000</v>
      </c>
      <c r="S14" s="32">
        <f>'Постоянные затраты'!$E11</f>
        <v>12000</v>
      </c>
      <c r="T14" s="32">
        <f>'Постоянные затраты'!$E11</f>
        <v>12000</v>
      </c>
      <c r="U14" s="32">
        <f>'Постоянные затраты'!$E11</f>
        <v>12000</v>
      </c>
      <c r="V14" s="32">
        <f>'Постоянные затраты'!$E11</f>
        <v>12000</v>
      </c>
      <c r="W14" s="32">
        <f>'Постоянные затраты'!$E11</f>
        <v>12000</v>
      </c>
      <c r="X14" s="32">
        <f>'Постоянные затраты'!$E11</f>
        <v>12000</v>
      </c>
      <c r="Y14" s="32">
        <f>'Постоянные затраты'!$E11</f>
        <v>12000</v>
      </c>
      <c r="Z14" s="32">
        <f>'Постоянные затраты'!$E11</f>
        <v>12000</v>
      </c>
      <c r="AA14" s="32">
        <f>'Постоянные затраты'!$E11</f>
        <v>12000</v>
      </c>
      <c r="AB14" s="32">
        <f>'Постоянные затраты'!$E11</f>
        <v>12000</v>
      </c>
      <c r="AC14" s="32">
        <f>'Постоянные затраты'!$E11</f>
        <v>12000</v>
      </c>
      <c r="AD14" s="32">
        <f>'Постоянные затраты'!$E11</f>
        <v>12000</v>
      </c>
      <c r="AE14" s="32">
        <f>'Постоянные затраты'!$E11</f>
        <v>12000</v>
      </c>
      <c r="AF14" s="32">
        <f>'Постоянные затраты'!$E11</f>
        <v>12000</v>
      </c>
    </row>
    <row r="15" spans="1:32" ht="45" x14ac:dyDescent="0.25">
      <c r="A15" s="239"/>
      <c r="B15" s="38" t="s">
        <v>9</v>
      </c>
      <c r="C15" s="32">
        <f>'Постоянные затраты'!$E10</f>
        <v>3471.6930000000002</v>
      </c>
      <c r="D15" s="32">
        <f>'Постоянные затраты'!$E10</f>
        <v>3471.6930000000002</v>
      </c>
      <c r="E15" s="32">
        <f>'Постоянные затраты'!$E10</f>
        <v>3471.6930000000002</v>
      </c>
      <c r="F15" s="32">
        <f>'Постоянные затраты'!$E10</f>
        <v>3471.6930000000002</v>
      </c>
      <c r="G15" s="32">
        <f>'Постоянные затраты'!$E10</f>
        <v>3471.6930000000002</v>
      </c>
      <c r="H15" s="32">
        <f>'Постоянные затраты'!$E10</f>
        <v>3471.6930000000002</v>
      </c>
      <c r="I15" s="32">
        <f>'Постоянные затраты'!$E10</f>
        <v>3471.6930000000002</v>
      </c>
      <c r="J15" s="32">
        <f>'Постоянные затраты'!$E10</f>
        <v>3471.6930000000002</v>
      </c>
      <c r="K15" s="32">
        <f>'Постоянные затраты'!$E10</f>
        <v>3471.6930000000002</v>
      </c>
      <c r="L15" s="32">
        <f>'Постоянные затраты'!$E10</f>
        <v>3471.6930000000002</v>
      </c>
      <c r="M15" s="32">
        <f>'Постоянные затраты'!$E10</f>
        <v>3471.6930000000002</v>
      </c>
      <c r="N15" s="32">
        <f>'Постоянные затраты'!$E10</f>
        <v>3471.6930000000002</v>
      </c>
      <c r="O15" s="32">
        <f>'Постоянные затраты'!$E10</f>
        <v>3471.6930000000002</v>
      </c>
      <c r="P15" s="32">
        <f>'Постоянные затраты'!$E10</f>
        <v>3471.6930000000002</v>
      </c>
      <c r="Q15" s="32">
        <f>'Постоянные затраты'!$E10</f>
        <v>3471.6930000000002</v>
      </c>
      <c r="R15" s="32">
        <f>'Постоянные затраты'!$E10</f>
        <v>3471.6930000000002</v>
      </c>
      <c r="S15" s="32">
        <f>'Постоянные затраты'!$E10</f>
        <v>3471.6930000000002</v>
      </c>
      <c r="T15" s="32">
        <f>'Постоянные затраты'!$E10</f>
        <v>3471.6930000000002</v>
      </c>
      <c r="U15" s="32">
        <f>'Постоянные затраты'!$E10</f>
        <v>3471.6930000000002</v>
      </c>
      <c r="V15" s="32">
        <f>'Постоянные затраты'!$E10</f>
        <v>3471.6930000000002</v>
      </c>
      <c r="W15" s="32">
        <f>'Постоянные затраты'!$E10</f>
        <v>3471.6930000000002</v>
      </c>
      <c r="X15" s="32">
        <f>'Постоянные затраты'!$E10</f>
        <v>3471.6930000000002</v>
      </c>
      <c r="Y15" s="32">
        <f>'Постоянные затраты'!$E10</f>
        <v>3471.6930000000002</v>
      </c>
      <c r="Z15" s="32">
        <f>'Постоянные затраты'!$E10</f>
        <v>3471.6930000000002</v>
      </c>
      <c r="AA15" s="32">
        <f>'Постоянные затраты'!$E10</f>
        <v>3471.6930000000002</v>
      </c>
      <c r="AB15" s="32">
        <f>'Постоянные затраты'!$E10</f>
        <v>3471.6930000000002</v>
      </c>
      <c r="AC15" s="32">
        <f>'Постоянные затраты'!$E10</f>
        <v>3471.6930000000002</v>
      </c>
      <c r="AD15" s="32">
        <f>'Постоянные затраты'!$E10</f>
        <v>3471.6930000000002</v>
      </c>
      <c r="AE15" s="32">
        <f>'Постоянные затраты'!$E10</f>
        <v>3471.6930000000002</v>
      </c>
      <c r="AF15" s="32">
        <f>'Постоянные затраты'!$E10</f>
        <v>3471.6930000000002</v>
      </c>
    </row>
    <row r="16" spans="1:32" ht="15.75" thickBot="1" x14ac:dyDescent="0.3">
      <c r="A16" s="53" t="s">
        <v>19</v>
      </c>
      <c r="B16" s="38" t="s">
        <v>104</v>
      </c>
      <c r="C16" s="32">
        <f>'Постоянные затраты'!E13</f>
        <v>6654.1500000000005</v>
      </c>
      <c r="D16" s="32">
        <f>'Постоянные затраты'!E13</f>
        <v>6654.1500000000005</v>
      </c>
      <c r="E16" s="32">
        <f>'Постоянные затраты'!E13</f>
        <v>6654.1500000000005</v>
      </c>
      <c r="F16" s="32">
        <f>'Постоянные затраты'!E13</f>
        <v>6654.1500000000005</v>
      </c>
      <c r="G16" s="32">
        <f>'Постоянные затраты'!E13</f>
        <v>6654.1500000000005</v>
      </c>
      <c r="H16" s="32">
        <f>'Постоянные затраты'!E13</f>
        <v>6654.1500000000005</v>
      </c>
      <c r="I16" s="32">
        <f>'Постоянные затраты'!E13</f>
        <v>6654.1500000000005</v>
      </c>
      <c r="J16" s="32">
        <f>'Постоянные затраты'!E13</f>
        <v>6654.1500000000005</v>
      </c>
      <c r="K16" s="32">
        <f>'Постоянные затраты'!E13</f>
        <v>6654.1500000000005</v>
      </c>
      <c r="L16" s="32">
        <f>'Постоянные затраты'!E13</f>
        <v>6654.1500000000005</v>
      </c>
      <c r="M16" s="32">
        <f>'Постоянные затраты'!E13</f>
        <v>6654.1500000000005</v>
      </c>
      <c r="N16" s="58">
        <f>'Постоянные затраты'!E13</f>
        <v>6654.1500000000005</v>
      </c>
      <c r="O16" s="58">
        <f>'Постоянные затраты'!$E13</f>
        <v>6654.1500000000005</v>
      </c>
      <c r="P16" s="58">
        <f>'Постоянные затраты'!$E13</f>
        <v>6654.1500000000005</v>
      </c>
      <c r="Q16" s="58">
        <f>'Постоянные затраты'!$E13</f>
        <v>6654.1500000000005</v>
      </c>
      <c r="R16" s="58">
        <f>'Постоянные затраты'!$E13</f>
        <v>6654.1500000000005</v>
      </c>
      <c r="S16" s="58">
        <f>'Постоянные затраты'!$E13</f>
        <v>6654.1500000000005</v>
      </c>
      <c r="T16" s="58">
        <f>'Постоянные затраты'!$E13</f>
        <v>6654.1500000000005</v>
      </c>
      <c r="U16" s="58">
        <f>'Постоянные затраты'!$E13</f>
        <v>6654.1500000000005</v>
      </c>
      <c r="V16" s="58">
        <f>'Постоянные затраты'!$E13</f>
        <v>6654.1500000000005</v>
      </c>
      <c r="W16" s="58">
        <f>'Постоянные затраты'!$E13</f>
        <v>6654.1500000000005</v>
      </c>
      <c r="X16" s="58">
        <f>'Постоянные затраты'!$E13</f>
        <v>6654.1500000000005</v>
      </c>
      <c r="Y16" s="58">
        <f>'Постоянные затраты'!$E13</f>
        <v>6654.1500000000005</v>
      </c>
      <c r="Z16" s="58">
        <f>'Постоянные затраты'!$E13</f>
        <v>6654.1500000000005</v>
      </c>
      <c r="AA16" s="58">
        <f>'Постоянные затраты'!$E13</f>
        <v>6654.1500000000005</v>
      </c>
      <c r="AB16" s="58">
        <f>'Постоянные затраты'!$E13</f>
        <v>6654.1500000000005</v>
      </c>
      <c r="AC16" s="58">
        <f>'Постоянные затраты'!$E13</f>
        <v>6654.1500000000005</v>
      </c>
      <c r="AD16" s="58">
        <f>'Постоянные затраты'!$E13</f>
        <v>6654.1500000000005</v>
      </c>
      <c r="AE16" s="58">
        <f>'Постоянные затраты'!$E13</f>
        <v>6654.1500000000005</v>
      </c>
      <c r="AF16" s="58">
        <f>'Постоянные затраты'!$E13</f>
        <v>6654.1500000000005</v>
      </c>
    </row>
    <row r="17" spans="1:32" ht="45.75" thickBot="1" x14ac:dyDescent="0.3">
      <c r="A17" s="54" t="s">
        <v>24</v>
      </c>
      <c r="B17" s="40" t="s">
        <v>38</v>
      </c>
      <c r="C17" s="3">
        <f>'Постоянные затраты'!E14</f>
        <v>5000</v>
      </c>
      <c r="D17" s="3">
        <f>'Постоянные затраты'!E14</f>
        <v>5000</v>
      </c>
      <c r="E17" s="3">
        <f>'Постоянные затраты'!E14</f>
        <v>5000</v>
      </c>
      <c r="F17" s="3">
        <f>'Постоянные затраты'!E14</f>
        <v>5000</v>
      </c>
      <c r="G17" s="3">
        <f>'Постоянные затраты'!E14</f>
        <v>5000</v>
      </c>
      <c r="H17" s="3">
        <f>'Постоянные затраты'!E14</f>
        <v>5000</v>
      </c>
      <c r="I17" s="3">
        <f>'Постоянные затраты'!E14</f>
        <v>5000</v>
      </c>
      <c r="J17" s="3">
        <f>'Постоянные затраты'!E14</f>
        <v>5000</v>
      </c>
      <c r="K17" s="3">
        <f>'Постоянные затраты'!E14</f>
        <v>5000</v>
      </c>
      <c r="L17" s="3">
        <f>'Постоянные затраты'!E14</f>
        <v>5000</v>
      </c>
      <c r="M17" s="3">
        <f>'Постоянные затраты'!E14</f>
        <v>5000</v>
      </c>
      <c r="N17" s="60">
        <f>'Постоянные затраты'!E14</f>
        <v>5000</v>
      </c>
      <c r="O17" s="60">
        <f>'Постоянные затраты'!$E14</f>
        <v>5000</v>
      </c>
      <c r="P17" s="60">
        <f>'Постоянные затраты'!$E14</f>
        <v>5000</v>
      </c>
      <c r="Q17" s="60">
        <f>'Постоянные затраты'!$E14</f>
        <v>5000</v>
      </c>
      <c r="R17" s="60">
        <f>'Постоянные затраты'!$E14</f>
        <v>5000</v>
      </c>
      <c r="S17" s="60">
        <f>'Постоянные затраты'!$E14</f>
        <v>5000</v>
      </c>
      <c r="T17" s="60">
        <f>'Постоянные затраты'!$E14</f>
        <v>5000</v>
      </c>
      <c r="U17" s="60">
        <f>'Постоянные затраты'!$E14</f>
        <v>5000</v>
      </c>
      <c r="V17" s="60">
        <f>'Постоянные затраты'!$E14</f>
        <v>5000</v>
      </c>
      <c r="W17" s="60">
        <f>'Постоянные затраты'!$E14</f>
        <v>5000</v>
      </c>
      <c r="X17" s="60">
        <f>'Постоянные затраты'!$E14</f>
        <v>5000</v>
      </c>
      <c r="Y17" s="60">
        <f>'Постоянные затраты'!$E14</f>
        <v>5000</v>
      </c>
      <c r="Z17" s="60">
        <f>'Постоянные затраты'!$E14</f>
        <v>5000</v>
      </c>
      <c r="AA17" s="60">
        <f>'Постоянные затраты'!$E14</f>
        <v>5000</v>
      </c>
      <c r="AB17" s="60">
        <f>'Постоянные затраты'!$E14</f>
        <v>5000</v>
      </c>
      <c r="AC17" s="60">
        <f>'Постоянные затраты'!$E14</f>
        <v>5000</v>
      </c>
      <c r="AD17" s="60">
        <f>'Постоянные затраты'!$E14</f>
        <v>5000</v>
      </c>
      <c r="AE17" s="60">
        <f>'Постоянные затраты'!$E14</f>
        <v>5000</v>
      </c>
      <c r="AF17" s="60">
        <f>'Постоянные затраты'!$E14</f>
        <v>5000</v>
      </c>
    </row>
    <row r="18" spans="1:32" x14ac:dyDescent="0.25">
      <c r="A18" s="225" t="s">
        <v>107</v>
      </c>
      <c r="B18" s="226"/>
      <c r="C18" s="32">
        <f>'Постоянные затраты'!E5</f>
        <v>12000</v>
      </c>
      <c r="D18" s="32">
        <f>'Постоянные затраты'!E5</f>
        <v>12000</v>
      </c>
      <c r="E18" s="32">
        <f>'Постоянные затраты'!E5</f>
        <v>12000</v>
      </c>
      <c r="F18" s="32">
        <f>'Постоянные затраты'!E5</f>
        <v>12000</v>
      </c>
      <c r="G18" s="32">
        <f>'Постоянные затраты'!E5</f>
        <v>12000</v>
      </c>
      <c r="H18" s="32">
        <f>'Постоянные затраты'!E5</f>
        <v>12000</v>
      </c>
      <c r="I18" s="32">
        <f>'Постоянные затраты'!E5</f>
        <v>12000</v>
      </c>
      <c r="J18" s="32">
        <f>'Постоянные затраты'!E5</f>
        <v>12000</v>
      </c>
      <c r="K18" s="32">
        <f>'Постоянные затраты'!E5</f>
        <v>12000</v>
      </c>
      <c r="L18" s="32">
        <f>'Постоянные затраты'!E5</f>
        <v>12000</v>
      </c>
      <c r="M18" s="32">
        <f>'Постоянные затраты'!E5</f>
        <v>12000</v>
      </c>
      <c r="N18" s="59">
        <f>'Постоянные затраты'!E5</f>
        <v>12000</v>
      </c>
      <c r="O18" s="59">
        <f>'Постоянные затраты'!$E5</f>
        <v>12000</v>
      </c>
      <c r="P18" s="59">
        <f>'Постоянные затраты'!$E5</f>
        <v>12000</v>
      </c>
      <c r="Q18" s="59">
        <f>'Постоянные затраты'!$E5</f>
        <v>12000</v>
      </c>
      <c r="R18" s="59">
        <f>'Постоянные затраты'!$E5</f>
        <v>12000</v>
      </c>
      <c r="S18" s="59">
        <f>'Постоянные затраты'!$E5</f>
        <v>12000</v>
      </c>
      <c r="T18" s="59">
        <f>'Постоянные затраты'!$E5</f>
        <v>12000</v>
      </c>
      <c r="U18" s="59">
        <f>'Постоянные затраты'!$E5</f>
        <v>12000</v>
      </c>
      <c r="V18" s="59">
        <f>'Постоянные затраты'!$E5</f>
        <v>12000</v>
      </c>
      <c r="W18" s="59">
        <f>'Постоянные затраты'!$E5</f>
        <v>12000</v>
      </c>
      <c r="X18" s="59">
        <f>'Постоянные затраты'!$E5</f>
        <v>12000</v>
      </c>
      <c r="Y18" s="59">
        <f>'Постоянные затраты'!$E5</f>
        <v>12000</v>
      </c>
      <c r="Z18" s="59">
        <f>'Постоянные затраты'!$E5</f>
        <v>12000</v>
      </c>
      <c r="AA18" s="59">
        <f>'Постоянные затраты'!$E5</f>
        <v>12000</v>
      </c>
      <c r="AB18" s="59">
        <f>'Постоянные затраты'!$E5</f>
        <v>12000</v>
      </c>
      <c r="AC18" s="59">
        <f>'Постоянные затраты'!$E5</f>
        <v>12000</v>
      </c>
      <c r="AD18" s="59">
        <f>'Постоянные затраты'!$E5</f>
        <v>12000</v>
      </c>
      <c r="AE18" s="59">
        <f>'Постоянные затраты'!$E5</f>
        <v>12000</v>
      </c>
      <c r="AF18" s="59">
        <f>'Постоянные затраты'!$E5</f>
        <v>12000</v>
      </c>
    </row>
    <row r="19" spans="1:32" x14ac:dyDescent="0.25">
      <c r="A19" s="225" t="s">
        <v>73</v>
      </c>
      <c r="B19" s="240"/>
      <c r="C19" s="32">
        <f>('Постоянные затраты'!F25)*0.2</f>
        <v>15610</v>
      </c>
      <c r="D19" s="32">
        <f>('Постоянные затраты'!F25)*0.5</f>
        <v>39025</v>
      </c>
      <c r="E19" s="32">
        <f>('Постоянные затраты'!F25)*0.8</f>
        <v>62440</v>
      </c>
      <c r="F19" s="32">
        <f>('Постоянные затраты'!F25)</f>
        <v>78050</v>
      </c>
      <c r="G19" s="32">
        <f>('Постоянные затраты'!F25)</f>
        <v>78050</v>
      </c>
      <c r="H19" s="32">
        <f>('Постоянные затраты'!F25)</f>
        <v>78050</v>
      </c>
      <c r="I19" s="32">
        <f>('Постоянные затраты'!F25)</f>
        <v>78050</v>
      </c>
      <c r="J19" s="32">
        <f>('Постоянные затраты'!F25)</f>
        <v>78050</v>
      </c>
      <c r="K19" s="32">
        <f>('Постоянные затраты'!F25)</f>
        <v>78050</v>
      </c>
      <c r="L19" s="32">
        <f>('Постоянные затраты'!F25)</f>
        <v>78050</v>
      </c>
      <c r="M19" s="32">
        <f>('Постоянные затраты'!F25)</f>
        <v>78050</v>
      </c>
      <c r="N19" s="32">
        <f>('Постоянные затраты'!F25)</f>
        <v>78050</v>
      </c>
      <c r="O19" s="32">
        <f>('Постоянные затраты'!$F25)</f>
        <v>78050</v>
      </c>
      <c r="P19" s="32">
        <f>('Постоянные затраты'!$F25)</f>
        <v>78050</v>
      </c>
      <c r="Q19" s="32">
        <f>('Постоянные затраты'!$F25)</f>
        <v>78050</v>
      </c>
      <c r="R19" s="32">
        <f>('Постоянные затраты'!$F25)</f>
        <v>78050</v>
      </c>
      <c r="S19" s="32">
        <f>('Постоянные затраты'!$F25)</f>
        <v>78050</v>
      </c>
      <c r="T19" s="32">
        <f>('Постоянные затраты'!$F25)</f>
        <v>78050</v>
      </c>
      <c r="U19" s="32">
        <f>('Постоянные затраты'!$F25)</f>
        <v>78050</v>
      </c>
      <c r="V19" s="32">
        <f>('Постоянные затраты'!$F25)</f>
        <v>78050</v>
      </c>
      <c r="W19" s="32">
        <f>('Постоянные затраты'!$F25)</f>
        <v>78050</v>
      </c>
      <c r="X19" s="32">
        <f>('Постоянные затраты'!$F25)</f>
        <v>78050</v>
      </c>
      <c r="Y19" s="32">
        <f>('Постоянные затраты'!$F25)</f>
        <v>78050</v>
      </c>
      <c r="Z19" s="32">
        <f>('Постоянные затраты'!$F25)</f>
        <v>78050</v>
      </c>
      <c r="AA19" s="32">
        <f>('Постоянные затраты'!$F25)</f>
        <v>78050</v>
      </c>
      <c r="AB19" s="32">
        <f>('Постоянные затраты'!$F25)</f>
        <v>78050</v>
      </c>
      <c r="AC19" s="32">
        <f>('Постоянные затраты'!$F25)</f>
        <v>78050</v>
      </c>
      <c r="AD19" s="32">
        <f>('Постоянные затраты'!$F25)</f>
        <v>78050</v>
      </c>
      <c r="AE19" s="32">
        <f>('Постоянные затраты'!$F25)</f>
        <v>78050</v>
      </c>
      <c r="AF19" s="32">
        <f>('Постоянные затраты'!$F25)</f>
        <v>78050</v>
      </c>
    </row>
    <row r="20" spans="1:32" x14ac:dyDescent="0.25">
      <c r="A20" s="37"/>
      <c r="B20" s="36" t="s">
        <v>72</v>
      </c>
      <c r="C20" s="30">
        <f t="shared" ref="C20:O20" si="0">SUM(C5:C19)</f>
        <v>862768.84299999999</v>
      </c>
      <c r="D20" s="30">
        <f t="shared" si="0"/>
        <v>291500.84299999999</v>
      </c>
      <c r="E20" s="30">
        <f t="shared" si="0"/>
        <v>314915.84299999999</v>
      </c>
      <c r="F20" s="30">
        <f t="shared" si="0"/>
        <v>330525.84299999999</v>
      </c>
      <c r="G20" s="30">
        <f t="shared" si="0"/>
        <v>330525.84299999999</v>
      </c>
      <c r="H20" s="30">
        <f t="shared" si="0"/>
        <v>330525.84299999999</v>
      </c>
      <c r="I20" s="30">
        <f t="shared" si="0"/>
        <v>330525.84299999999</v>
      </c>
      <c r="J20" s="30">
        <f t="shared" si="0"/>
        <v>330525.84299999999</v>
      </c>
      <c r="K20" s="25">
        <f t="shared" si="0"/>
        <v>330525.84299999999</v>
      </c>
      <c r="L20" s="25">
        <f t="shared" si="0"/>
        <v>330525.84299999999</v>
      </c>
      <c r="M20" s="25">
        <f t="shared" si="0"/>
        <v>330525.84299999999</v>
      </c>
      <c r="N20" s="25">
        <f t="shared" si="0"/>
        <v>330525.84299999999</v>
      </c>
      <c r="O20" s="25">
        <f t="shared" si="0"/>
        <v>330525.84299999999</v>
      </c>
      <c r="P20" s="25">
        <f t="shared" ref="P20:T20" si="1">SUM(P5:P19)</f>
        <v>330525.84299999999</v>
      </c>
      <c r="Q20" s="25">
        <f t="shared" si="1"/>
        <v>330525.84299999999</v>
      </c>
      <c r="R20" s="25">
        <f t="shared" si="1"/>
        <v>330525.84299999999</v>
      </c>
      <c r="S20" s="25">
        <f t="shared" si="1"/>
        <v>330525.84299999999</v>
      </c>
      <c r="T20" s="25">
        <f t="shared" si="1"/>
        <v>330525.84299999999</v>
      </c>
      <c r="U20" s="25">
        <f t="shared" ref="U20" si="2">SUM(U5:U19)</f>
        <v>330525.84299999999</v>
      </c>
      <c r="V20" s="25">
        <f t="shared" ref="V20" si="3">SUM(V5:V19)</f>
        <v>330525.84299999999</v>
      </c>
      <c r="W20" s="25">
        <f t="shared" ref="W20:AA20" si="4">SUM(W5:W19)</f>
        <v>330525.84299999999</v>
      </c>
      <c r="X20" s="25">
        <f t="shared" si="4"/>
        <v>330525.84299999999</v>
      </c>
      <c r="Y20" s="25">
        <f t="shared" si="4"/>
        <v>330525.84299999999</v>
      </c>
      <c r="Z20" s="25">
        <f t="shared" si="4"/>
        <v>330525.84299999999</v>
      </c>
      <c r="AA20" s="25">
        <f t="shared" si="4"/>
        <v>330525.84299999999</v>
      </c>
      <c r="AB20" s="25">
        <f t="shared" ref="AB20:AC20" si="5">SUM(AB5:AB19)</f>
        <v>330525.84299999999</v>
      </c>
      <c r="AC20" s="25">
        <f t="shared" si="5"/>
        <v>330525.84299999999</v>
      </c>
      <c r="AD20" s="25">
        <f t="shared" ref="AD20:AF20" si="6">SUM(AD5:AD19)</f>
        <v>330525.84299999999</v>
      </c>
      <c r="AE20" s="25">
        <f t="shared" si="6"/>
        <v>330525.84299999999</v>
      </c>
      <c r="AF20" s="25">
        <f t="shared" si="6"/>
        <v>330525.84299999999</v>
      </c>
    </row>
    <row r="21" spans="1:32" x14ac:dyDescent="0.25">
      <c r="A21" s="231" t="s">
        <v>71</v>
      </c>
      <c r="B21" s="232"/>
      <c r="C21" s="26">
        <f>C20</f>
        <v>862768.84299999999</v>
      </c>
      <c r="D21" s="31">
        <f>SUM($C$20:D20)</f>
        <v>1154269.686</v>
      </c>
      <c r="E21" s="31">
        <f>SUM($C$20:E20)</f>
        <v>1469185.5290000001</v>
      </c>
      <c r="F21" s="31">
        <f>SUM($C$20:F20)</f>
        <v>1799711.372</v>
      </c>
      <c r="G21" s="31">
        <f>SUM($C$20:G20)</f>
        <v>2130237.2149999999</v>
      </c>
      <c r="H21" s="31">
        <f>SUM($C$20:H20)</f>
        <v>2460763.0579999997</v>
      </c>
      <c r="I21" s="31">
        <f>SUM($C$20:I20)</f>
        <v>2791288.9009999996</v>
      </c>
      <c r="J21" s="31">
        <f>SUM($C$20:J20)</f>
        <v>3121814.7439999995</v>
      </c>
      <c r="K21" s="31">
        <f>SUM($C$20:K20)</f>
        <v>3452340.5869999994</v>
      </c>
      <c r="L21" s="31">
        <f>SUM($C$20:L20)</f>
        <v>3782866.4299999992</v>
      </c>
      <c r="M21" s="31">
        <f>SUM($C$20:M20)</f>
        <v>4113392.2729999991</v>
      </c>
      <c r="N21" s="31">
        <f>SUM($C$20:N20)</f>
        <v>4443918.1159999995</v>
      </c>
      <c r="O21" s="31">
        <f>SUM($C$20:O20)</f>
        <v>4774443.9589999998</v>
      </c>
      <c r="P21" s="31">
        <f>SUM($C$20:P20)</f>
        <v>5104969.8020000001</v>
      </c>
      <c r="Q21" s="31">
        <f>SUM($C$20:Q20)</f>
        <v>5435495.6450000005</v>
      </c>
      <c r="R21" s="31">
        <f>SUM($C$20:R20)</f>
        <v>5766021.4880000008</v>
      </c>
      <c r="S21" s="31">
        <f>SUM($C$20:S20)</f>
        <v>6096547.3310000012</v>
      </c>
      <c r="T21" s="31">
        <f>SUM($C$20:T20)</f>
        <v>6427073.1740000015</v>
      </c>
      <c r="U21" s="31">
        <f>SUM($C$20:U20)</f>
        <v>6757599.0170000019</v>
      </c>
      <c r="V21" s="31">
        <f>SUM($C$20:V20)</f>
        <v>7088124.8600000022</v>
      </c>
      <c r="W21" s="31">
        <f>SUM($C$20:W20)</f>
        <v>7418650.7030000025</v>
      </c>
      <c r="X21" s="31">
        <f>SUM($C$20:X20)</f>
        <v>7749176.5460000029</v>
      </c>
      <c r="Y21" s="31">
        <f>SUM($C$20:Y20)</f>
        <v>8079702.3890000032</v>
      </c>
      <c r="Z21" s="31">
        <f>SUM($C$20:Z20)</f>
        <v>8410228.2320000026</v>
      </c>
      <c r="AA21" s="31">
        <f>SUM($C$20:AA20)</f>
        <v>8740754.075000003</v>
      </c>
      <c r="AB21" s="31">
        <f>SUM($C$20:AB20)</f>
        <v>9071279.9180000033</v>
      </c>
      <c r="AC21" s="31">
        <f>SUM($C$20:AC20)</f>
        <v>9401805.7610000037</v>
      </c>
      <c r="AD21" s="31">
        <f>SUM($C$20:AD20)</f>
        <v>9732331.604000004</v>
      </c>
      <c r="AE21" s="31">
        <f>SUM($C$20:AE20)</f>
        <v>10062857.447000004</v>
      </c>
      <c r="AF21" s="31">
        <f>SUM($C$20:AF20)</f>
        <v>10393383.290000005</v>
      </c>
    </row>
    <row r="22" spans="1:32" x14ac:dyDescent="0.25">
      <c r="A22" s="235" t="s">
        <v>70</v>
      </c>
      <c r="B22" s="236"/>
      <c r="C22" s="35" t="s">
        <v>69</v>
      </c>
      <c r="D22" s="34" t="s">
        <v>68</v>
      </c>
      <c r="E22" s="34" t="s">
        <v>67</v>
      </c>
      <c r="F22" s="34" t="s">
        <v>66</v>
      </c>
      <c r="G22" s="33" t="s">
        <v>65</v>
      </c>
      <c r="H22" s="33" t="s">
        <v>65</v>
      </c>
      <c r="I22" s="33" t="s">
        <v>65</v>
      </c>
      <c r="J22" s="33" t="s">
        <v>65</v>
      </c>
      <c r="K22" s="33" t="s">
        <v>65</v>
      </c>
      <c r="L22" s="33" t="s">
        <v>65</v>
      </c>
      <c r="M22" s="33" t="s">
        <v>65</v>
      </c>
      <c r="N22" s="33" t="s">
        <v>65</v>
      </c>
      <c r="O22" s="33" t="s">
        <v>65</v>
      </c>
      <c r="P22" s="33" t="s">
        <v>65</v>
      </c>
      <c r="Q22" s="33" t="s">
        <v>65</v>
      </c>
      <c r="R22" s="33" t="s">
        <v>65</v>
      </c>
      <c r="S22" s="33" t="s">
        <v>65</v>
      </c>
      <c r="T22" s="33" t="s">
        <v>65</v>
      </c>
      <c r="U22" s="33" t="s">
        <v>65</v>
      </c>
      <c r="V22" s="33" t="s">
        <v>65</v>
      </c>
      <c r="W22" s="33" t="s">
        <v>65</v>
      </c>
      <c r="X22" s="33" t="s">
        <v>65</v>
      </c>
      <c r="Y22" s="33" t="s">
        <v>65</v>
      </c>
      <c r="Z22" s="33" t="s">
        <v>65</v>
      </c>
      <c r="AA22" s="33" t="s">
        <v>65</v>
      </c>
      <c r="AB22" s="33" t="s">
        <v>65</v>
      </c>
      <c r="AC22" s="33" t="s">
        <v>65</v>
      </c>
      <c r="AD22" s="33" t="s">
        <v>65</v>
      </c>
      <c r="AE22" s="33" t="s">
        <v>65</v>
      </c>
      <c r="AF22" s="33" t="s">
        <v>65</v>
      </c>
    </row>
    <row r="23" spans="1:32" x14ac:dyDescent="0.25">
      <c r="A23" s="227" t="s">
        <v>64</v>
      </c>
      <c r="B23" s="228"/>
      <c r="C23" s="32">
        <f>('Постоянные затраты'!E28)*0.2</f>
        <v>83700</v>
      </c>
      <c r="D23" s="32">
        <f>('Постоянные затраты'!E28)*0.5</f>
        <v>209250</v>
      </c>
      <c r="E23" s="32">
        <f>('Постоянные затраты'!E28)*0.8</f>
        <v>334800</v>
      </c>
      <c r="F23" s="32">
        <f>('Постоянные затраты'!E28)</f>
        <v>418500</v>
      </c>
      <c r="G23" s="32">
        <f>('Постоянные затраты'!E28)</f>
        <v>418500</v>
      </c>
      <c r="H23" s="32">
        <f>('Постоянные затраты'!E28)</f>
        <v>418500</v>
      </c>
      <c r="I23" s="32">
        <f>('Постоянные затраты'!E28)</f>
        <v>418500</v>
      </c>
      <c r="J23" s="32">
        <f>('Постоянные затраты'!E28)</f>
        <v>418500</v>
      </c>
      <c r="K23" s="32">
        <f>('Постоянные затраты'!E28)</f>
        <v>418500</v>
      </c>
      <c r="L23" s="32">
        <f>('Постоянные затраты'!E28)</f>
        <v>418500</v>
      </c>
      <c r="M23" s="32">
        <f>('Постоянные затраты'!E28)</f>
        <v>418500</v>
      </c>
      <c r="N23" s="32">
        <f>('Постоянные затраты'!E28)</f>
        <v>418500</v>
      </c>
      <c r="O23" s="32">
        <f>('Постоянные затраты'!$E28)</f>
        <v>418500</v>
      </c>
      <c r="P23" s="32">
        <f>('Постоянные затраты'!$E28)</f>
        <v>418500</v>
      </c>
      <c r="Q23" s="32">
        <f>('Постоянные затраты'!$E28)</f>
        <v>418500</v>
      </c>
      <c r="R23" s="32">
        <f>('Постоянные затраты'!$E28)</f>
        <v>418500</v>
      </c>
      <c r="S23" s="32">
        <f>('Постоянные затраты'!$E28)</f>
        <v>418500</v>
      </c>
      <c r="T23" s="32">
        <f>('Постоянные затраты'!$E28)</f>
        <v>418500</v>
      </c>
      <c r="U23" s="32">
        <f>('Постоянные затраты'!$E28)</f>
        <v>418500</v>
      </c>
      <c r="V23" s="32">
        <f>('Постоянные затраты'!$E28)</f>
        <v>418500</v>
      </c>
      <c r="W23" s="32">
        <f>('Постоянные затраты'!$E28)</f>
        <v>418500</v>
      </c>
      <c r="X23" s="32">
        <f>('Постоянные затраты'!$E28)</f>
        <v>418500</v>
      </c>
      <c r="Y23" s="32">
        <f>('Постоянные затраты'!$E28)</f>
        <v>418500</v>
      </c>
      <c r="Z23" s="32">
        <f>('Постоянные затраты'!$E28)</f>
        <v>418500</v>
      </c>
      <c r="AA23" s="32">
        <f>('Постоянные затраты'!$E28)</f>
        <v>418500</v>
      </c>
      <c r="AB23" s="32">
        <f>('Постоянные затраты'!$E28)</f>
        <v>418500</v>
      </c>
      <c r="AC23" s="32">
        <f>('Постоянные затраты'!$E28)</f>
        <v>418500</v>
      </c>
      <c r="AD23" s="32">
        <f>('Постоянные затраты'!$E28)</f>
        <v>418500</v>
      </c>
      <c r="AE23" s="32">
        <f>('Постоянные затраты'!$E28)</f>
        <v>418500</v>
      </c>
      <c r="AF23" s="32">
        <f>('Постоянные затраты'!$E28)</f>
        <v>418500</v>
      </c>
    </row>
    <row r="24" spans="1:32" x14ac:dyDescent="0.25">
      <c r="A24" s="233" t="s">
        <v>63</v>
      </c>
      <c r="B24" s="234"/>
      <c r="C24" s="26">
        <f>C23</f>
        <v>83700</v>
      </c>
      <c r="D24" s="25">
        <f>SUM($C23:D$23)</f>
        <v>292950</v>
      </c>
      <c r="E24" s="31">
        <f>SUM($C23:E$23)</f>
        <v>627750</v>
      </c>
      <c r="F24" s="31">
        <f>SUM($C23:F$23)</f>
        <v>1046250</v>
      </c>
      <c r="G24" s="31">
        <f>SUM($C23:G$23)</f>
        <v>1464750</v>
      </c>
      <c r="H24" s="31">
        <f>SUM($C23:H$23)</f>
        <v>1883250</v>
      </c>
      <c r="I24" s="31">
        <f>SUM($C23:I$23)</f>
        <v>2301750</v>
      </c>
      <c r="J24" s="31">
        <f>SUM($C23:J$23)</f>
        <v>2720250</v>
      </c>
      <c r="K24" s="31">
        <f>SUM($C23:K$23)</f>
        <v>3138750</v>
      </c>
      <c r="L24" s="31">
        <f>SUM($C23:L$23)</f>
        <v>3557250</v>
      </c>
      <c r="M24" s="31">
        <f>SUM($C23:M$23)</f>
        <v>3975750</v>
      </c>
      <c r="N24" s="31">
        <f>SUM($C23:N$23)</f>
        <v>4394250</v>
      </c>
      <c r="O24" s="31">
        <f>SUM($C23:O$23)</f>
        <v>4812750</v>
      </c>
      <c r="P24" s="31">
        <f>SUM($C23:P$23)</f>
        <v>5231250</v>
      </c>
      <c r="Q24" s="31">
        <f>SUM($C23:Q$23)</f>
        <v>5649750</v>
      </c>
      <c r="R24" s="31">
        <f>SUM($C23:R$23)</f>
        <v>6068250</v>
      </c>
      <c r="S24" s="31">
        <f>SUM($C23:S$23)</f>
        <v>6486750</v>
      </c>
      <c r="T24" s="31">
        <f>SUM($C23:T$23)</f>
        <v>6905250</v>
      </c>
      <c r="U24" s="31">
        <f>SUM($C23:U$23)</f>
        <v>7323750</v>
      </c>
      <c r="V24" s="31">
        <f>SUM($C23:V$23)</f>
        <v>7742250</v>
      </c>
      <c r="W24" s="31">
        <f>SUM($C23:W$23)</f>
        <v>8160750</v>
      </c>
      <c r="X24" s="31">
        <f>SUM($C23:X$23)</f>
        <v>8579250</v>
      </c>
      <c r="Y24" s="31">
        <f>SUM($C23:Y$23)</f>
        <v>8997750</v>
      </c>
      <c r="Z24" s="31">
        <f>SUM($C23:Z$23)</f>
        <v>9416250</v>
      </c>
      <c r="AA24" s="31">
        <f>SUM($C23:AA$23)</f>
        <v>9834750</v>
      </c>
      <c r="AB24" s="31">
        <f>SUM($C23:AB$23)</f>
        <v>10253250</v>
      </c>
      <c r="AC24" s="31">
        <f>SUM($C23:AC$23)</f>
        <v>10671750</v>
      </c>
      <c r="AD24" s="31">
        <f>SUM($C23:AD$23)</f>
        <v>11090250</v>
      </c>
      <c r="AE24" s="31">
        <f>SUM($C23:AE$23)</f>
        <v>11508750</v>
      </c>
      <c r="AF24" s="31">
        <f>SUM($C23:AF$23)</f>
        <v>11927250</v>
      </c>
    </row>
    <row r="25" spans="1:32" ht="15.75" thickBot="1" x14ac:dyDescent="0.3">
      <c r="A25" s="237" t="s">
        <v>62</v>
      </c>
      <c r="B25" s="238"/>
      <c r="C25" s="30">
        <f t="shared" ref="C25:O25" si="7">C23-SUM(C6:C19)</f>
        <v>-184385.84299999999</v>
      </c>
      <c r="D25" s="25">
        <f t="shared" si="7"/>
        <v>-82250.842999999993</v>
      </c>
      <c r="E25" s="25">
        <f t="shared" si="7"/>
        <v>19884.157000000007</v>
      </c>
      <c r="F25" s="25">
        <f t="shared" si="7"/>
        <v>87974.157000000007</v>
      </c>
      <c r="G25" s="25">
        <f t="shared" si="7"/>
        <v>87974.157000000007</v>
      </c>
      <c r="H25" s="25">
        <f t="shared" si="7"/>
        <v>87974.157000000007</v>
      </c>
      <c r="I25" s="25">
        <f t="shared" si="7"/>
        <v>87974.157000000007</v>
      </c>
      <c r="J25" s="25">
        <f t="shared" si="7"/>
        <v>87974.157000000007</v>
      </c>
      <c r="K25" s="25">
        <f t="shared" si="7"/>
        <v>87974.157000000007</v>
      </c>
      <c r="L25" s="25">
        <f t="shared" si="7"/>
        <v>87974.157000000007</v>
      </c>
      <c r="M25" s="25">
        <f t="shared" si="7"/>
        <v>87974.157000000007</v>
      </c>
      <c r="N25" s="25">
        <f t="shared" si="7"/>
        <v>87974.157000000007</v>
      </c>
      <c r="O25" s="62">
        <f t="shared" si="7"/>
        <v>87974.157000000007</v>
      </c>
      <c r="P25" s="62">
        <f t="shared" ref="P25:W25" si="8">P23-SUM(P6:P19)</f>
        <v>87974.157000000007</v>
      </c>
      <c r="Q25" s="62">
        <f t="shared" si="8"/>
        <v>87974.157000000007</v>
      </c>
      <c r="R25" s="62">
        <f t="shared" si="8"/>
        <v>87974.157000000007</v>
      </c>
      <c r="S25" s="62">
        <f t="shared" si="8"/>
        <v>87974.157000000007</v>
      </c>
      <c r="T25" s="62">
        <f t="shared" si="8"/>
        <v>87974.157000000007</v>
      </c>
      <c r="U25" s="62">
        <f t="shared" si="8"/>
        <v>87974.157000000007</v>
      </c>
      <c r="V25" s="62">
        <f t="shared" si="8"/>
        <v>87974.157000000007</v>
      </c>
      <c r="W25" s="62">
        <f t="shared" si="8"/>
        <v>87974.157000000007</v>
      </c>
      <c r="X25" s="62">
        <f t="shared" ref="X25:AA25" si="9">X23-SUM(X6:X19)</f>
        <v>87974.157000000007</v>
      </c>
      <c r="Y25" s="62">
        <f t="shared" si="9"/>
        <v>87974.157000000007</v>
      </c>
      <c r="Z25" s="62">
        <f t="shared" si="9"/>
        <v>87974.157000000007</v>
      </c>
      <c r="AA25" s="62">
        <f t="shared" si="9"/>
        <v>87974.157000000007</v>
      </c>
      <c r="AB25" s="62">
        <f t="shared" ref="AB25:AC25" si="10">AB23-SUM(AB6:AB19)</f>
        <v>87974.157000000007</v>
      </c>
      <c r="AC25" s="62">
        <f t="shared" si="10"/>
        <v>87974.157000000007</v>
      </c>
      <c r="AD25" s="62">
        <f t="shared" ref="AD25:AF25" si="11">AD23-SUM(AD6:AD19)</f>
        <v>87974.157000000007</v>
      </c>
      <c r="AE25" s="62">
        <f t="shared" si="11"/>
        <v>87974.157000000007</v>
      </c>
      <c r="AF25" s="62">
        <f t="shared" si="11"/>
        <v>87974.157000000007</v>
      </c>
    </row>
    <row r="26" spans="1:32" ht="16.5" thickBot="1" x14ac:dyDescent="0.3">
      <c r="A26" s="229" t="s">
        <v>61</v>
      </c>
      <c r="B26" s="230"/>
      <c r="C26" s="29">
        <f t="shared" ref="C26:N26" si="12">C24-C21</f>
        <v>-779068.84299999999</v>
      </c>
      <c r="D26" s="28">
        <f t="shared" si="12"/>
        <v>-861319.68599999999</v>
      </c>
      <c r="E26" s="28">
        <f t="shared" si="12"/>
        <v>-841435.5290000001</v>
      </c>
      <c r="F26" s="28">
        <f t="shared" si="12"/>
        <v>-753461.37199999997</v>
      </c>
      <c r="G26" s="28">
        <f t="shared" si="12"/>
        <v>-665487.21499999985</v>
      </c>
      <c r="H26" s="28">
        <f t="shared" si="12"/>
        <v>-577513.05799999973</v>
      </c>
      <c r="I26" s="28">
        <f t="shared" si="12"/>
        <v>-489538.90099999961</v>
      </c>
      <c r="J26" s="28">
        <f t="shared" si="12"/>
        <v>-401564.74399999948</v>
      </c>
      <c r="K26" s="28">
        <f t="shared" si="12"/>
        <v>-313590.58699999936</v>
      </c>
      <c r="L26" s="28">
        <f t="shared" si="12"/>
        <v>-225616.42999999924</v>
      </c>
      <c r="M26" s="28">
        <f t="shared" si="12"/>
        <v>-137642.27299999911</v>
      </c>
      <c r="N26" s="61">
        <f t="shared" si="12"/>
        <v>-49668.115999999456</v>
      </c>
      <c r="O26" s="103">
        <f t="shared" ref="O26:W26" si="13">O24-O21</f>
        <v>38306.041000000201</v>
      </c>
      <c r="P26" s="103">
        <f t="shared" si="13"/>
        <v>126280.19799999986</v>
      </c>
      <c r="Q26" s="103">
        <f t="shared" si="13"/>
        <v>214254.35499999952</v>
      </c>
      <c r="R26" s="103">
        <f t="shared" si="13"/>
        <v>302228.51199999917</v>
      </c>
      <c r="S26" s="103">
        <f t="shared" si="13"/>
        <v>390202.66899999883</v>
      </c>
      <c r="T26" s="103">
        <f t="shared" si="13"/>
        <v>478176.82599999849</v>
      </c>
      <c r="U26" s="103">
        <f t="shared" si="13"/>
        <v>566150.98299999814</v>
      </c>
      <c r="V26" s="103">
        <f t="shared" si="13"/>
        <v>654125.1399999978</v>
      </c>
      <c r="W26" s="103">
        <f t="shared" si="13"/>
        <v>742099.29699999746</v>
      </c>
      <c r="X26" s="103">
        <f t="shared" ref="X26:AA26" si="14">X24-X21</f>
        <v>830073.45399999712</v>
      </c>
      <c r="Y26" s="103">
        <f t="shared" si="14"/>
        <v>918047.61099999677</v>
      </c>
      <c r="Z26" s="103">
        <f t="shared" si="14"/>
        <v>1006021.7679999974</v>
      </c>
      <c r="AA26" s="103">
        <f t="shared" si="14"/>
        <v>1093995.924999997</v>
      </c>
      <c r="AB26" s="103">
        <f t="shared" ref="AB26:AC26" si="15">AB24-AB21</f>
        <v>1181970.0819999967</v>
      </c>
      <c r="AC26" s="103">
        <f t="shared" si="15"/>
        <v>1269944.2389999963</v>
      </c>
      <c r="AD26" s="103">
        <f t="shared" ref="AD26:AF26" si="16">AD24-AD21</f>
        <v>1357918.395999996</v>
      </c>
      <c r="AE26" s="103">
        <f t="shared" si="16"/>
        <v>1445892.5529999956</v>
      </c>
      <c r="AF26" s="103">
        <f t="shared" si="16"/>
        <v>1533866.7099999953</v>
      </c>
    </row>
    <row r="27" spans="1:32" ht="15.75" x14ac:dyDescent="0.25">
      <c r="A27" s="250" t="s">
        <v>185</v>
      </c>
      <c r="B27" s="251"/>
      <c r="C27" s="29"/>
      <c r="D27" s="29"/>
      <c r="E27" s="252">
        <f>C25+D25-Разовые!G53+(E25*0.5)</f>
        <v>-1181903.4505</v>
      </c>
      <c r="F27" s="249">
        <f>E27+F25*0.5</f>
        <v>-1137916.372</v>
      </c>
      <c r="G27" s="249">
        <f>F27+G25*0.5</f>
        <v>-1093929.2934999999</v>
      </c>
      <c r="H27" s="249">
        <f t="shared" ref="H27:AC27" si="17">G27+H25*0.5</f>
        <v>-1049942.2149999999</v>
      </c>
      <c r="I27" s="249">
        <f t="shared" si="17"/>
        <v>-1005955.1364999998</v>
      </c>
      <c r="J27" s="249">
        <f t="shared" si="17"/>
        <v>-961968.05799999973</v>
      </c>
      <c r="K27" s="249">
        <f t="shared" si="17"/>
        <v>-917980.97949999967</v>
      </c>
      <c r="L27" s="249">
        <f t="shared" si="17"/>
        <v>-873993.90099999961</v>
      </c>
      <c r="M27" s="249">
        <f t="shared" si="17"/>
        <v>-830006.82249999954</v>
      </c>
      <c r="N27" s="249">
        <f t="shared" si="17"/>
        <v>-786019.74399999948</v>
      </c>
      <c r="O27" s="249">
        <f t="shared" si="17"/>
        <v>-742032.66549999942</v>
      </c>
      <c r="P27" s="249">
        <f t="shared" si="17"/>
        <v>-698045.58699999936</v>
      </c>
      <c r="Q27" s="249">
        <f t="shared" si="17"/>
        <v>-654058.5084999993</v>
      </c>
      <c r="R27" s="249">
        <f t="shared" si="17"/>
        <v>-610071.42999999924</v>
      </c>
      <c r="S27" s="249">
        <f t="shared" si="17"/>
        <v>-566084.35149999917</v>
      </c>
      <c r="T27" s="249">
        <f t="shared" si="17"/>
        <v>-522097.27299999917</v>
      </c>
      <c r="U27" s="249">
        <f t="shared" si="17"/>
        <v>-478110.19449999917</v>
      </c>
      <c r="V27" s="249">
        <f t="shared" si="17"/>
        <v>-434123.11599999917</v>
      </c>
      <c r="W27" s="249">
        <f t="shared" si="17"/>
        <v>-390136.03749999916</v>
      </c>
      <c r="X27" s="249">
        <f t="shared" si="17"/>
        <v>-346148.95899999916</v>
      </c>
      <c r="Y27" s="249">
        <f t="shared" si="17"/>
        <v>-302161.88049999916</v>
      </c>
      <c r="Z27" s="249">
        <f t="shared" si="17"/>
        <v>-258174.80199999915</v>
      </c>
      <c r="AA27" s="249">
        <f t="shared" si="17"/>
        <v>-214187.72349999915</v>
      </c>
      <c r="AB27" s="249">
        <f t="shared" ref="AB27" si="18">AA27+AB25*0.5</f>
        <v>-170200.64499999915</v>
      </c>
      <c r="AC27" s="249">
        <f t="shared" ref="AC27" si="19">AB27+AC25*0.5</f>
        <v>-126213.56649999914</v>
      </c>
      <c r="AD27" s="249">
        <f t="shared" ref="AD27" si="20">AC27+AD25*0.5</f>
        <v>-82226.487999999139</v>
      </c>
      <c r="AE27" s="249">
        <f t="shared" ref="AE27" si="21">AD27+AE25*0.5</f>
        <v>-38239.409499999136</v>
      </c>
      <c r="AF27" s="249">
        <f t="shared" ref="AF27" si="22">AE27+AF25*0.5</f>
        <v>5747.6690000008675</v>
      </c>
    </row>
    <row r="28" spans="1:32" ht="45" customHeight="1" x14ac:dyDescent="0.25">
      <c r="A28" s="219" t="s">
        <v>172</v>
      </c>
      <c r="B28" s="220"/>
      <c r="C28" s="27">
        <f>C23/180/30</f>
        <v>15.5</v>
      </c>
      <c r="D28" s="27">
        <f t="shared" ref="D28:AA28" si="23">D23/180/30</f>
        <v>38.75</v>
      </c>
      <c r="E28" s="27">
        <f t="shared" si="23"/>
        <v>62</v>
      </c>
      <c r="F28" s="27">
        <f t="shared" si="23"/>
        <v>77.5</v>
      </c>
      <c r="G28" s="27">
        <f t="shared" si="23"/>
        <v>77.5</v>
      </c>
      <c r="H28" s="27">
        <f t="shared" si="23"/>
        <v>77.5</v>
      </c>
      <c r="I28" s="27">
        <f t="shared" si="23"/>
        <v>77.5</v>
      </c>
      <c r="J28" s="27">
        <f t="shared" si="23"/>
        <v>77.5</v>
      </c>
      <c r="K28" s="27">
        <f t="shared" si="23"/>
        <v>77.5</v>
      </c>
      <c r="L28" s="27">
        <f t="shared" si="23"/>
        <v>77.5</v>
      </c>
      <c r="M28" s="27">
        <f t="shared" si="23"/>
        <v>77.5</v>
      </c>
      <c r="N28" s="27">
        <f t="shared" si="23"/>
        <v>77.5</v>
      </c>
      <c r="O28" s="27">
        <f t="shared" si="23"/>
        <v>77.5</v>
      </c>
      <c r="P28" s="27">
        <f t="shared" si="23"/>
        <v>77.5</v>
      </c>
      <c r="Q28" s="27">
        <f t="shared" si="23"/>
        <v>77.5</v>
      </c>
      <c r="R28" s="27">
        <f t="shared" si="23"/>
        <v>77.5</v>
      </c>
      <c r="S28" s="27">
        <f t="shared" si="23"/>
        <v>77.5</v>
      </c>
      <c r="T28" s="27">
        <f t="shared" si="23"/>
        <v>77.5</v>
      </c>
      <c r="U28" s="27">
        <f t="shared" si="23"/>
        <v>77.5</v>
      </c>
      <c r="V28" s="27">
        <f t="shared" si="23"/>
        <v>77.5</v>
      </c>
      <c r="W28" s="27">
        <f t="shared" si="23"/>
        <v>77.5</v>
      </c>
      <c r="X28" s="27">
        <f t="shared" si="23"/>
        <v>77.5</v>
      </c>
      <c r="Y28" s="27">
        <f t="shared" si="23"/>
        <v>77.5</v>
      </c>
      <c r="Z28" s="27">
        <f t="shared" si="23"/>
        <v>77.5</v>
      </c>
      <c r="AA28" s="27">
        <f t="shared" si="23"/>
        <v>77.5</v>
      </c>
      <c r="AB28" s="27">
        <f t="shared" ref="AB28:AC28" si="24">AB23/180/30</f>
        <v>77.5</v>
      </c>
      <c r="AC28" s="27">
        <f t="shared" si="24"/>
        <v>77.5</v>
      </c>
      <c r="AD28" s="27">
        <f t="shared" ref="AD28:AF28" si="25">AD23/180/30</f>
        <v>77.5</v>
      </c>
      <c r="AE28" s="27">
        <f t="shared" si="25"/>
        <v>77.5</v>
      </c>
      <c r="AF28" s="27">
        <f t="shared" si="25"/>
        <v>77.5</v>
      </c>
    </row>
    <row r="29" spans="1:32" ht="27.75" customHeight="1" x14ac:dyDescent="0.25">
      <c r="A29" s="219" t="s">
        <v>60</v>
      </c>
      <c r="B29" s="220"/>
      <c r="C29" s="27">
        <f>$C23/180</f>
        <v>465</v>
      </c>
      <c r="D29" s="27">
        <f>$C23/180</f>
        <v>465</v>
      </c>
      <c r="E29" s="27">
        <f t="shared" ref="E29:AA29" si="26">$C23/180</f>
        <v>465</v>
      </c>
      <c r="F29" s="27">
        <f t="shared" si="26"/>
        <v>465</v>
      </c>
      <c r="G29" s="27">
        <f t="shared" si="26"/>
        <v>465</v>
      </c>
      <c r="H29" s="27">
        <f t="shared" si="26"/>
        <v>465</v>
      </c>
      <c r="I29" s="27">
        <f t="shared" si="26"/>
        <v>465</v>
      </c>
      <c r="J29" s="27">
        <f t="shared" si="26"/>
        <v>465</v>
      </c>
      <c r="K29" s="27">
        <f t="shared" si="26"/>
        <v>465</v>
      </c>
      <c r="L29" s="27">
        <f t="shared" si="26"/>
        <v>465</v>
      </c>
      <c r="M29" s="27">
        <f t="shared" si="26"/>
        <v>465</v>
      </c>
      <c r="N29" s="27">
        <f t="shared" si="26"/>
        <v>465</v>
      </c>
      <c r="O29" s="27">
        <f t="shared" si="26"/>
        <v>465</v>
      </c>
      <c r="P29" s="27">
        <f t="shared" si="26"/>
        <v>465</v>
      </c>
      <c r="Q29" s="27">
        <f t="shared" si="26"/>
        <v>465</v>
      </c>
      <c r="R29" s="27">
        <f t="shared" si="26"/>
        <v>465</v>
      </c>
      <c r="S29" s="27">
        <f t="shared" si="26"/>
        <v>465</v>
      </c>
      <c r="T29" s="27">
        <f t="shared" si="26"/>
        <v>465</v>
      </c>
      <c r="U29" s="27">
        <f t="shared" si="26"/>
        <v>465</v>
      </c>
      <c r="V29" s="27">
        <f t="shared" si="26"/>
        <v>465</v>
      </c>
      <c r="W29" s="27">
        <f t="shared" si="26"/>
        <v>465</v>
      </c>
      <c r="X29" s="27">
        <f t="shared" si="26"/>
        <v>465</v>
      </c>
      <c r="Y29" s="27">
        <f t="shared" si="26"/>
        <v>465</v>
      </c>
      <c r="Z29" s="27">
        <f t="shared" si="26"/>
        <v>465</v>
      </c>
      <c r="AA29" s="27">
        <f t="shared" si="26"/>
        <v>465</v>
      </c>
      <c r="AB29" s="27">
        <f t="shared" ref="AB29:AC29" si="27">$C23/180</f>
        <v>465</v>
      </c>
      <c r="AC29" s="27">
        <f t="shared" si="27"/>
        <v>465</v>
      </c>
      <c r="AD29" s="27">
        <f t="shared" ref="AD29:AF29" si="28">$C23/180</f>
        <v>465</v>
      </c>
      <c r="AE29" s="27">
        <f t="shared" si="28"/>
        <v>465</v>
      </c>
      <c r="AF29" s="27">
        <f t="shared" si="28"/>
        <v>465</v>
      </c>
    </row>
    <row r="30" spans="1:32" ht="46.15" customHeight="1" x14ac:dyDescent="0.25">
      <c r="A30" s="221" t="s">
        <v>175</v>
      </c>
      <c r="B30" s="222"/>
      <c r="C30" s="27">
        <f>$C23/200/30</f>
        <v>13.95</v>
      </c>
      <c r="D30" s="27">
        <f t="shared" ref="D30:AA30" si="29">$C23/200/30</f>
        <v>13.95</v>
      </c>
      <c r="E30" s="27">
        <f t="shared" si="29"/>
        <v>13.95</v>
      </c>
      <c r="F30" s="27">
        <f t="shared" si="29"/>
        <v>13.95</v>
      </c>
      <c r="G30" s="27">
        <f t="shared" si="29"/>
        <v>13.95</v>
      </c>
      <c r="H30" s="27">
        <f t="shared" si="29"/>
        <v>13.95</v>
      </c>
      <c r="I30" s="27">
        <f t="shared" si="29"/>
        <v>13.95</v>
      </c>
      <c r="J30" s="27">
        <f t="shared" si="29"/>
        <v>13.95</v>
      </c>
      <c r="K30" s="27">
        <f t="shared" si="29"/>
        <v>13.95</v>
      </c>
      <c r="L30" s="27">
        <f t="shared" si="29"/>
        <v>13.95</v>
      </c>
      <c r="M30" s="27">
        <f t="shared" si="29"/>
        <v>13.95</v>
      </c>
      <c r="N30" s="27">
        <f t="shared" si="29"/>
        <v>13.95</v>
      </c>
      <c r="O30" s="27">
        <f t="shared" si="29"/>
        <v>13.95</v>
      </c>
      <c r="P30" s="27">
        <f t="shared" si="29"/>
        <v>13.95</v>
      </c>
      <c r="Q30" s="27">
        <f t="shared" si="29"/>
        <v>13.95</v>
      </c>
      <c r="R30" s="27">
        <f t="shared" si="29"/>
        <v>13.95</v>
      </c>
      <c r="S30" s="27">
        <f t="shared" si="29"/>
        <v>13.95</v>
      </c>
      <c r="T30" s="27">
        <f t="shared" si="29"/>
        <v>13.95</v>
      </c>
      <c r="U30" s="27">
        <f t="shared" si="29"/>
        <v>13.95</v>
      </c>
      <c r="V30" s="27">
        <f t="shared" si="29"/>
        <v>13.95</v>
      </c>
      <c r="W30" s="27">
        <f t="shared" si="29"/>
        <v>13.95</v>
      </c>
      <c r="X30" s="27">
        <f t="shared" si="29"/>
        <v>13.95</v>
      </c>
      <c r="Y30" s="27">
        <f t="shared" si="29"/>
        <v>13.95</v>
      </c>
      <c r="Z30" s="27">
        <f t="shared" si="29"/>
        <v>13.95</v>
      </c>
      <c r="AA30" s="27">
        <f t="shared" si="29"/>
        <v>13.95</v>
      </c>
      <c r="AB30" s="27">
        <f t="shared" ref="AB30:AC30" si="30">$C23/200/30</f>
        <v>13.95</v>
      </c>
      <c r="AC30" s="27">
        <f t="shared" si="30"/>
        <v>13.95</v>
      </c>
      <c r="AD30" s="27">
        <f t="shared" ref="AD30:AF30" si="31">$C23/200/30</f>
        <v>13.95</v>
      </c>
      <c r="AE30" s="27">
        <f t="shared" si="31"/>
        <v>13.95</v>
      </c>
      <c r="AF30" s="27">
        <f t="shared" si="31"/>
        <v>13.95</v>
      </c>
    </row>
  </sheetData>
  <mergeCells count="19">
    <mergeCell ref="A6:B6"/>
    <mergeCell ref="A13:A15"/>
    <mergeCell ref="A19:B19"/>
    <mergeCell ref="A3:B3"/>
    <mergeCell ref="A4:B4"/>
    <mergeCell ref="A5:B5"/>
    <mergeCell ref="A7:B7"/>
    <mergeCell ref="A28:B28"/>
    <mergeCell ref="A30:B30"/>
    <mergeCell ref="A29:B29"/>
    <mergeCell ref="A9:A12"/>
    <mergeCell ref="A18:B18"/>
    <mergeCell ref="A23:B23"/>
    <mergeCell ref="A26:B26"/>
    <mergeCell ref="A21:B21"/>
    <mergeCell ref="A24:B24"/>
    <mergeCell ref="A22:B22"/>
    <mergeCell ref="A25:B25"/>
    <mergeCell ref="A27:B27"/>
  </mergeCells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C16" sqref="C16"/>
    </sheetView>
  </sheetViews>
  <sheetFormatPr defaultRowHeight="15" x14ac:dyDescent="0.25"/>
  <cols>
    <col min="1" max="1" width="5.28515625" customWidth="1"/>
    <col min="2" max="2" width="37" bestFit="1" customWidth="1"/>
    <col min="3" max="3" width="14" customWidth="1"/>
    <col min="4" max="5" width="13.140625" bestFit="1" customWidth="1"/>
    <col min="6" max="6" width="15.85546875" customWidth="1"/>
    <col min="7" max="7" width="15.42578125" customWidth="1"/>
    <col min="9" max="9" width="13.140625" bestFit="1" customWidth="1"/>
  </cols>
  <sheetData>
    <row r="1" spans="1:9" ht="15.75" thickBot="1" x14ac:dyDescent="0.3">
      <c r="A1" s="24"/>
      <c r="B1" s="24"/>
      <c r="C1" s="24"/>
      <c r="D1" s="24"/>
      <c r="E1" s="24"/>
      <c r="F1" s="24"/>
      <c r="G1" s="24"/>
      <c r="H1" s="24"/>
      <c r="I1" s="24"/>
    </row>
    <row r="2" spans="1:9" ht="15.75" thickBot="1" x14ac:dyDescent="0.3">
      <c r="A2" s="110" t="s">
        <v>0</v>
      </c>
      <c r="B2" s="111" t="s">
        <v>1</v>
      </c>
      <c r="C2" s="111" t="s">
        <v>133</v>
      </c>
      <c r="D2" s="111" t="s">
        <v>134</v>
      </c>
      <c r="E2" s="111" t="s">
        <v>18</v>
      </c>
      <c r="F2" s="111" t="s">
        <v>135</v>
      </c>
      <c r="G2" s="112" t="s">
        <v>136</v>
      </c>
      <c r="H2" s="24"/>
      <c r="I2" s="24"/>
    </row>
    <row r="3" spans="1:9" x14ac:dyDescent="0.25">
      <c r="A3" s="113">
        <v>1</v>
      </c>
      <c r="B3" s="159"/>
      <c r="C3" s="160"/>
      <c r="D3" s="161"/>
      <c r="E3" s="161"/>
      <c r="F3" s="162"/>
      <c r="G3" s="163"/>
      <c r="H3" s="24"/>
      <c r="I3" s="24"/>
    </row>
    <row r="4" spans="1:9" x14ac:dyDescent="0.25">
      <c r="A4" s="114">
        <f>1+A3</f>
        <v>2</v>
      </c>
      <c r="B4" s="159"/>
      <c r="C4" s="160"/>
      <c r="D4" s="161"/>
      <c r="E4" s="161"/>
      <c r="F4" s="162"/>
      <c r="G4" s="163"/>
      <c r="H4" s="24"/>
      <c r="I4" s="24"/>
    </row>
    <row r="5" spans="1:9" x14ac:dyDescent="0.25">
      <c r="A5" s="114">
        <f t="shared" ref="A5:A47" si="0">1+A4</f>
        <v>3</v>
      </c>
      <c r="B5" s="146"/>
      <c r="C5" s="147"/>
      <c r="D5" s="148"/>
      <c r="E5" s="148"/>
      <c r="F5" s="149"/>
      <c r="G5" s="164"/>
      <c r="H5" s="24"/>
      <c r="I5" s="24"/>
    </row>
    <row r="6" spans="1:9" x14ac:dyDescent="0.25">
      <c r="A6" s="114">
        <f t="shared" si="0"/>
        <v>4</v>
      </c>
      <c r="B6" s="146"/>
      <c r="C6" s="147"/>
      <c r="D6" s="148"/>
      <c r="E6" s="148"/>
      <c r="F6" s="149"/>
      <c r="G6" s="164"/>
      <c r="H6" s="24"/>
      <c r="I6" s="24"/>
    </row>
    <row r="7" spans="1:9" x14ac:dyDescent="0.25">
      <c r="A7" s="114">
        <f t="shared" si="0"/>
        <v>5</v>
      </c>
      <c r="B7" s="146"/>
      <c r="C7" s="147"/>
      <c r="D7" s="148"/>
      <c r="E7" s="148"/>
      <c r="F7" s="149"/>
      <c r="G7" s="164"/>
      <c r="H7" s="24"/>
      <c r="I7" s="24"/>
    </row>
    <row r="8" spans="1:9" x14ac:dyDescent="0.25">
      <c r="A8" s="114">
        <f t="shared" si="0"/>
        <v>6</v>
      </c>
      <c r="B8" s="146"/>
      <c r="C8" s="147"/>
      <c r="D8" s="148"/>
      <c r="E8" s="148"/>
      <c r="F8" s="148"/>
      <c r="G8" s="164"/>
      <c r="H8" s="24"/>
      <c r="I8" s="24"/>
    </row>
    <row r="9" spans="1:9" x14ac:dyDescent="0.25">
      <c r="A9" s="114">
        <f t="shared" si="0"/>
        <v>7</v>
      </c>
      <c r="B9" s="146"/>
      <c r="C9" s="147"/>
      <c r="D9" s="148"/>
      <c r="E9" s="148"/>
      <c r="F9" s="148"/>
      <c r="G9" s="164"/>
      <c r="H9" s="24"/>
      <c r="I9" s="24"/>
    </row>
    <row r="10" spans="1:9" x14ac:dyDescent="0.25">
      <c r="A10" s="114">
        <f t="shared" si="0"/>
        <v>8</v>
      </c>
      <c r="B10" s="146"/>
      <c r="C10" s="147"/>
      <c r="D10" s="148"/>
      <c r="E10" s="148"/>
      <c r="F10" s="149"/>
      <c r="G10" s="164"/>
      <c r="H10" s="24"/>
      <c r="I10" s="120"/>
    </row>
    <row r="11" spans="1:9" x14ac:dyDescent="0.25">
      <c r="A11" s="114">
        <f t="shared" si="0"/>
        <v>9</v>
      </c>
      <c r="B11" s="146"/>
      <c r="C11" s="147"/>
      <c r="D11" s="148"/>
      <c r="E11" s="148"/>
      <c r="F11" s="148"/>
      <c r="G11" s="164"/>
      <c r="H11" s="24"/>
      <c r="I11" s="120"/>
    </row>
    <row r="12" spans="1:9" x14ac:dyDescent="0.25">
      <c r="A12" s="114">
        <f t="shared" si="0"/>
        <v>10</v>
      </c>
      <c r="B12" s="146"/>
      <c r="C12" s="147"/>
      <c r="D12" s="148"/>
      <c r="E12" s="148"/>
      <c r="F12" s="148"/>
      <c r="G12" s="164"/>
      <c r="H12" s="24"/>
      <c r="I12" s="24"/>
    </row>
    <row r="13" spans="1:9" x14ac:dyDescent="0.25">
      <c r="A13" s="114">
        <f>1+A12</f>
        <v>11</v>
      </c>
      <c r="B13" s="146"/>
      <c r="C13" s="147"/>
      <c r="D13" s="148"/>
      <c r="E13" s="148"/>
      <c r="F13" s="149"/>
      <c r="G13" s="119"/>
      <c r="H13" s="24"/>
      <c r="I13" s="24"/>
    </row>
    <row r="14" spans="1:9" x14ac:dyDescent="0.25">
      <c r="A14" s="114">
        <f t="shared" si="0"/>
        <v>12</v>
      </c>
      <c r="B14" s="146"/>
      <c r="C14" s="147"/>
      <c r="D14" s="148"/>
      <c r="E14" s="148"/>
      <c r="F14" s="149"/>
      <c r="G14" s="119"/>
      <c r="H14" s="24"/>
      <c r="I14" s="24"/>
    </row>
    <row r="15" spans="1:9" x14ac:dyDescent="0.25">
      <c r="A15" s="114">
        <f t="shared" si="0"/>
        <v>13</v>
      </c>
      <c r="B15" s="146"/>
      <c r="C15" s="147"/>
      <c r="D15" s="148"/>
      <c r="E15" s="148"/>
      <c r="F15" s="149"/>
      <c r="G15" s="121"/>
      <c r="H15" s="24"/>
      <c r="I15" s="24"/>
    </row>
    <row r="16" spans="1:9" x14ac:dyDescent="0.25">
      <c r="A16" s="114">
        <f t="shared" si="0"/>
        <v>14</v>
      </c>
      <c r="B16" s="146"/>
      <c r="C16" s="147"/>
      <c r="D16" s="148"/>
      <c r="E16" s="148"/>
      <c r="F16" s="149"/>
      <c r="G16" s="119"/>
      <c r="H16" s="24"/>
      <c r="I16" s="24"/>
    </row>
    <row r="17" spans="1:9" x14ac:dyDescent="0.25">
      <c r="A17" s="114">
        <f t="shared" si="0"/>
        <v>15</v>
      </c>
      <c r="B17" s="146"/>
      <c r="C17" s="147"/>
      <c r="D17" s="148"/>
      <c r="E17" s="148"/>
      <c r="F17" s="149"/>
      <c r="G17" s="119"/>
      <c r="H17" s="24"/>
      <c r="I17" s="24"/>
    </row>
    <row r="18" spans="1:9" x14ac:dyDescent="0.25">
      <c r="A18" s="114">
        <f t="shared" si="0"/>
        <v>16</v>
      </c>
      <c r="B18" s="146"/>
      <c r="C18" s="147"/>
      <c r="D18" s="148"/>
      <c r="E18" s="148"/>
      <c r="F18" s="149"/>
      <c r="G18" s="119"/>
      <c r="H18" s="24"/>
      <c r="I18" s="24"/>
    </row>
    <row r="19" spans="1:9" x14ac:dyDescent="0.25">
      <c r="A19" s="114">
        <f t="shared" si="0"/>
        <v>17</v>
      </c>
      <c r="B19" s="115"/>
      <c r="C19" s="116"/>
      <c r="D19" s="117"/>
      <c r="E19" s="117"/>
      <c r="F19" s="118"/>
      <c r="G19" s="119"/>
      <c r="H19" s="24"/>
      <c r="I19" s="24"/>
    </row>
    <row r="20" spans="1:9" x14ac:dyDescent="0.25">
      <c r="A20" s="114">
        <f t="shared" si="0"/>
        <v>18</v>
      </c>
      <c r="B20" s="115"/>
      <c r="C20" s="116"/>
      <c r="D20" s="117"/>
      <c r="E20" s="117"/>
      <c r="F20" s="118"/>
      <c r="G20" s="119"/>
      <c r="H20" s="24"/>
      <c r="I20" s="24"/>
    </row>
    <row r="21" spans="1:9" x14ac:dyDescent="0.25">
      <c r="A21" s="114">
        <f t="shared" si="0"/>
        <v>19</v>
      </c>
      <c r="B21" s="115"/>
      <c r="C21" s="116"/>
      <c r="D21" s="117"/>
      <c r="E21" s="117"/>
      <c r="F21" s="118"/>
      <c r="G21" s="119"/>
      <c r="H21" s="24"/>
      <c r="I21" s="24"/>
    </row>
    <row r="22" spans="1:9" x14ac:dyDescent="0.25">
      <c r="A22" s="114">
        <f t="shared" si="0"/>
        <v>20</v>
      </c>
      <c r="B22" s="115"/>
      <c r="C22" s="116"/>
      <c r="D22" s="117"/>
      <c r="E22" s="117"/>
      <c r="F22" s="122"/>
      <c r="G22" s="121"/>
      <c r="H22" s="24"/>
      <c r="I22" s="24"/>
    </row>
    <row r="23" spans="1:9" x14ac:dyDescent="0.25">
      <c r="A23" s="114">
        <f t="shared" si="0"/>
        <v>21</v>
      </c>
      <c r="B23" s="115"/>
      <c r="C23" s="116"/>
      <c r="D23" s="117"/>
      <c r="E23" s="117"/>
      <c r="F23" s="118"/>
      <c r="G23" s="119"/>
      <c r="H23" s="24"/>
      <c r="I23" s="24"/>
    </row>
    <row r="24" spans="1:9" x14ac:dyDescent="0.25">
      <c r="A24" s="114">
        <f t="shared" si="0"/>
        <v>22</v>
      </c>
      <c r="B24" s="123"/>
      <c r="C24" s="124"/>
      <c r="D24" s="125"/>
      <c r="E24" s="125"/>
      <c r="F24" s="126"/>
      <c r="G24" s="127"/>
      <c r="H24" s="24"/>
      <c r="I24" s="24"/>
    </row>
    <row r="25" spans="1:9" x14ac:dyDescent="0.25">
      <c r="A25" s="114">
        <f t="shared" si="0"/>
        <v>23</v>
      </c>
      <c r="B25" s="123"/>
      <c r="C25" s="124"/>
      <c r="D25" s="125"/>
      <c r="E25" s="125"/>
      <c r="F25" s="126"/>
      <c r="G25" s="127"/>
      <c r="H25" s="24"/>
      <c r="I25" s="24"/>
    </row>
    <row r="26" spans="1:9" x14ac:dyDescent="0.25">
      <c r="A26" s="114">
        <f t="shared" si="0"/>
        <v>24</v>
      </c>
      <c r="B26" s="123"/>
      <c r="C26" s="124"/>
      <c r="D26" s="125"/>
      <c r="E26" s="125"/>
      <c r="F26" s="126"/>
      <c r="G26" s="127"/>
      <c r="H26" s="24"/>
      <c r="I26" s="24"/>
    </row>
    <row r="27" spans="1:9" x14ac:dyDescent="0.25">
      <c r="A27" s="114">
        <f t="shared" si="0"/>
        <v>25</v>
      </c>
      <c r="B27" s="123"/>
      <c r="C27" s="124"/>
      <c r="D27" s="125"/>
      <c r="E27" s="125"/>
      <c r="F27" s="126"/>
      <c r="G27" s="127"/>
      <c r="H27" s="24"/>
      <c r="I27" s="24"/>
    </row>
    <row r="28" spans="1:9" x14ac:dyDescent="0.25">
      <c r="A28" s="114">
        <f t="shared" si="0"/>
        <v>26</v>
      </c>
      <c r="B28" s="123"/>
      <c r="C28" s="124"/>
      <c r="D28" s="125"/>
      <c r="E28" s="125"/>
      <c r="F28" s="126"/>
      <c r="G28" s="127"/>
      <c r="H28" s="24"/>
      <c r="I28" s="24"/>
    </row>
    <row r="29" spans="1:9" x14ac:dyDescent="0.25">
      <c r="A29" s="114">
        <f t="shared" si="0"/>
        <v>27</v>
      </c>
      <c r="B29" s="123"/>
      <c r="C29" s="124"/>
      <c r="D29" s="125"/>
      <c r="E29" s="125"/>
      <c r="F29" s="126"/>
      <c r="G29" s="127"/>
      <c r="H29" s="24"/>
      <c r="I29" s="24"/>
    </row>
    <row r="30" spans="1:9" x14ac:dyDescent="0.25">
      <c r="A30" s="114">
        <f t="shared" si="0"/>
        <v>28</v>
      </c>
      <c r="B30" s="128"/>
      <c r="C30" s="124"/>
      <c r="D30" s="125"/>
      <c r="E30" s="125"/>
      <c r="F30" s="126"/>
      <c r="G30" s="127"/>
      <c r="H30" s="24"/>
      <c r="I30" s="24"/>
    </row>
    <row r="31" spans="1:9" x14ac:dyDescent="0.25">
      <c r="A31" s="114">
        <f t="shared" si="0"/>
        <v>29</v>
      </c>
      <c r="B31" s="123"/>
      <c r="C31" s="124"/>
      <c r="D31" s="125"/>
      <c r="E31" s="125"/>
      <c r="F31" s="126"/>
      <c r="G31" s="127"/>
      <c r="H31" s="24"/>
      <c r="I31" s="24"/>
    </row>
    <row r="32" spans="1:9" x14ac:dyDescent="0.25">
      <c r="A32" s="129">
        <f t="shared" si="0"/>
        <v>30</v>
      </c>
      <c r="B32" s="123"/>
      <c r="C32" s="124"/>
      <c r="D32" s="125"/>
      <c r="E32" s="125"/>
      <c r="F32" s="126"/>
      <c r="G32" s="127"/>
      <c r="H32" s="24"/>
      <c r="I32" s="24"/>
    </row>
    <row r="33" spans="1:9" x14ac:dyDescent="0.25">
      <c r="A33" s="129">
        <f t="shared" si="0"/>
        <v>31</v>
      </c>
      <c r="B33" s="123"/>
      <c r="C33" s="124"/>
      <c r="D33" s="125"/>
      <c r="E33" s="125"/>
      <c r="F33" s="130"/>
      <c r="G33" s="127"/>
      <c r="H33" s="24"/>
      <c r="I33" s="24"/>
    </row>
    <row r="34" spans="1:9" x14ac:dyDescent="0.25">
      <c r="A34" s="129">
        <f t="shared" si="0"/>
        <v>32</v>
      </c>
      <c r="B34" s="123"/>
      <c r="C34" s="124"/>
      <c r="D34" s="125"/>
      <c r="E34" s="125"/>
      <c r="F34" s="126"/>
      <c r="G34" s="127"/>
      <c r="H34" s="24"/>
      <c r="I34" s="24"/>
    </row>
    <row r="35" spans="1:9" x14ac:dyDescent="0.25">
      <c r="A35" s="129">
        <f t="shared" si="0"/>
        <v>33</v>
      </c>
      <c r="B35" s="123"/>
      <c r="C35" s="124"/>
      <c r="D35" s="125"/>
      <c r="E35" s="125"/>
      <c r="F35" s="126"/>
      <c r="G35" s="127"/>
      <c r="H35" s="24"/>
      <c r="I35" s="24"/>
    </row>
    <row r="36" spans="1:9" x14ac:dyDescent="0.25">
      <c r="A36" s="129">
        <f t="shared" si="0"/>
        <v>34</v>
      </c>
      <c r="B36" s="131"/>
      <c r="C36" s="132"/>
      <c r="D36" s="133"/>
      <c r="E36" s="133"/>
      <c r="F36" s="134"/>
      <c r="G36" s="135"/>
      <c r="H36" s="24"/>
      <c r="I36" s="24"/>
    </row>
    <row r="37" spans="1:9" x14ac:dyDescent="0.25">
      <c r="A37" s="129">
        <f t="shared" si="0"/>
        <v>35</v>
      </c>
      <c r="B37" s="131"/>
      <c r="C37" s="132"/>
      <c r="D37" s="133"/>
      <c r="E37" s="133"/>
      <c r="F37" s="134"/>
      <c r="G37" s="135"/>
      <c r="H37" s="24"/>
      <c r="I37" s="24"/>
    </row>
    <row r="38" spans="1:9" x14ac:dyDescent="0.25">
      <c r="A38" s="129">
        <f t="shared" si="0"/>
        <v>36</v>
      </c>
      <c r="B38" s="131"/>
      <c r="C38" s="132"/>
      <c r="D38" s="133"/>
      <c r="E38" s="133"/>
      <c r="F38" s="134"/>
      <c r="G38" s="135"/>
      <c r="H38" s="24"/>
      <c r="I38" s="24"/>
    </row>
    <row r="39" spans="1:9" x14ac:dyDescent="0.25">
      <c r="A39" s="129">
        <f t="shared" si="0"/>
        <v>37</v>
      </c>
      <c r="B39" s="131"/>
      <c r="C39" s="132"/>
      <c r="D39" s="133"/>
      <c r="E39" s="133"/>
      <c r="F39" s="134"/>
      <c r="G39" s="135"/>
      <c r="H39" s="24"/>
      <c r="I39" s="24"/>
    </row>
    <row r="40" spans="1:9" x14ac:dyDescent="0.25">
      <c r="A40" s="129">
        <f t="shared" si="0"/>
        <v>38</v>
      </c>
      <c r="B40" s="131"/>
      <c r="C40" s="132"/>
      <c r="D40" s="133"/>
      <c r="E40" s="133"/>
      <c r="F40" s="130"/>
      <c r="G40" s="135"/>
      <c r="H40" s="24"/>
      <c r="I40" s="24"/>
    </row>
    <row r="41" spans="1:9" x14ac:dyDescent="0.25">
      <c r="A41" s="129">
        <f t="shared" si="0"/>
        <v>39</v>
      </c>
      <c r="B41" s="131"/>
      <c r="C41" s="132"/>
      <c r="D41" s="133"/>
      <c r="E41" s="133"/>
      <c r="F41" s="130"/>
      <c r="G41" s="135"/>
      <c r="H41" s="24"/>
      <c r="I41" s="24"/>
    </row>
    <row r="42" spans="1:9" x14ac:dyDescent="0.25">
      <c r="A42" s="129">
        <f t="shared" si="0"/>
        <v>40</v>
      </c>
      <c r="B42" s="131"/>
      <c r="C42" s="132"/>
      <c r="D42" s="133"/>
      <c r="E42" s="133"/>
      <c r="F42" s="130"/>
      <c r="G42" s="135"/>
      <c r="H42" s="24"/>
      <c r="I42" s="24"/>
    </row>
    <row r="43" spans="1:9" x14ac:dyDescent="0.25">
      <c r="A43" s="129">
        <f t="shared" si="0"/>
        <v>41</v>
      </c>
      <c r="B43" s="131"/>
      <c r="C43" s="132"/>
      <c r="D43" s="133"/>
      <c r="E43" s="133"/>
      <c r="F43" s="130"/>
      <c r="G43" s="135"/>
      <c r="H43" s="24"/>
      <c r="I43" s="24"/>
    </row>
    <row r="44" spans="1:9" x14ac:dyDescent="0.25">
      <c r="A44" s="129">
        <f t="shared" si="0"/>
        <v>42</v>
      </c>
      <c r="B44" s="131"/>
      <c r="C44" s="132"/>
      <c r="D44" s="133"/>
      <c r="E44" s="133"/>
      <c r="F44" s="130"/>
      <c r="G44" s="135"/>
      <c r="H44" s="24"/>
      <c r="I44" s="24"/>
    </row>
    <row r="45" spans="1:9" x14ac:dyDescent="0.25">
      <c r="A45" s="129">
        <f t="shared" si="0"/>
        <v>43</v>
      </c>
      <c r="B45" s="131"/>
      <c r="C45" s="132"/>
      <c r="D45" s="133"/>
      <c r="E45" s="133"/>
      <c r="F45" s="130"/>
      <c r="G45" s="135"/>
      <c r="H45" s="24"/>
      <c r="I45" s="120"/>
    </row>
    <row r="46" spans="1:9" x14ac:dyDescent="0.25">
      <c r="A46" s="129">
        <f t="shared" si="0"/>
        <v>44</v>
      </c>
      <c r="B46" s="131"/>
      <c r="C46" s="132"/>
      <c r="D46" s="133"/>
      <c r="E46" s="133"/>
      <c r="F46" s="130"/>
      <c r="G46" s="135"/>
      <c r="H46" s="24"/>
      <c r="I46" s="24"/>
    </row>
    <row r="47" spans="1:9" ht="15.75" thickBot="1" x14ac:dyDescent="0.3">
      <c r="A47" s="129">
        <f t="shared" si="0"/>
        <v>45</v>
      </c>
      <c r="B47" s="136"/>
      <c r="C47" s="137"/>
      <c r="D47" s="138"/>
      <c r="E47" s="138"/>
      <c r="F47" s="139"/>
      <c r="G47" s="140"/>
      <c r="H47" s="24"/>
      <c r="I47" s="24"/>
    </row>
    <row r="48" spans="1:9" x14ac:dyDescent="0.25">
      <c r="A48" s="141"/>
      <c r="B48" s="6" t="s">
        <v>25</v>
      </c>
      <c r="C48" s="142"/>
      <c r="D48" s="143">
        <f>SUM(D3:D47)</f>
        <v>0</v>
      </c>
      <c r="E48" s="143">
        <f t="shared" ref="E48:F48" si="1">SUM(E3:E47)</f>
        <v>0</v>
      </c>
      <c r="F48" s="143">
        <f t="shared" si="1"/>
        <v>0</v>
      </c>
      <c r="G48" s="144"/>
      <c r="H48" s="24"/>
      <c r="I48" s="24"/>
    </row>
    <row r="49" spans="1:9" x14ac:dyDescent="0.25">
      <c r="A49" s="141"/>
      <c r="B49" s="6"/>
      <c r="C49" s="142"/>
      <c r="D49" s="143"/>
      <c r="E49" s="143"/>
      <c r="F49" s="145"/>
      <c r="G49" s="144"/>
      <c r="H49" s="24"/>
      <c r="I49" s="24"/>
    </row>
    <row r="50" spans="1:9" x14ac:dyDescent="0.25">
      <c r="A50" s="24"/>
      <c r="B50" s="24"/>
      <c r="C50" s="24"/>
      <c r="D50" s="24"/>
      <c r="E50" s="24"/>
      <c r="F50" s="24"/>
      <c r="G50" s="120"/>
      <c r="H50" s="24"/>
      <c r="I50" s="120"/>
    </row>
    <row r="51" spans="1:9" x14ac:dyDescent="0.25">
      <c r="A51" s="24"/>
      <c r="B51" s="24"/>
      <c r="C51" s="24"/>
      <c r="D51" s="24"/>
      <c r="E51" s="24"/>
      <c r="F51" s="24"/>
      <c r="G51" s="24"/>
      <c r="H51" s="24"/>
      <c r="I5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Разовые</vt:lpstr>
      <vt:lpstr>Постоянные затраты</vt:lpstr>
      <vt:lpstr>Расчет окупаемости </vt:lpstr>
      <vt:lpstr>Смета Факт</vt:lpstr>
    </vt:vector>
  </TitlesOfParts>
  <Company>OpenWay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Stefanko</dc:creator>
  <cp:lastModifiedBy>Соловьев Александр</cp:lastModifiedBy>
  <cp:lastPrinted>2019-04-12T20:04:13Z</cp:lastPrinted>
  <dcterms:created xsi:type="dcterms:W3CDTF">2018-06-19T10:15:13Z</dcterms:created>
  <dcterms:modified xsi:type="dcterms:W3CDTF">2019-09-09T10:27:56Z</dcterms:modified>
</cp:coreProperties>
</file>