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970" windowHeight="6045" activeTab="1"/>
  </bookViews>
  <sheets>
    <sheet name="Инструкции и допущения" sheetId="10" r:id="rId1"/>
    <sheet name="Входные данные и результаты" sheetId="9" r:id="rId2"/>
    <sheet name="CF" sheetId="7" r:id="rId3"/>
    <sheet name="PnL" sheetId="4" r:id="rId4"/>
    <sheet name="OPEX" sheetId="1" r:id="rId5"/>
    <sheet name="CAPEX" sheetId="2" r:id="rId6"/>
    <sheet name="справочники" sheetId="5" state="hidden" r:id="rId7"/>
    <sheet name="ФОТ" sheetId="6" r:id="rId8"/>
  </sheets>
  <externalReferences>
    <externalReference r:id="rId9"/>
  </externalReferences>
  <definedNames>
    <definedName name="_xlnm._FilterDatabase" localSheetId="5" hidden="1">CAPEX!$A$1:$G$19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/>
  <c r="C8"/>
  <c r="C7"/>
  <c r="D7" s="1"/>
  <c r="F6" i="4"/>
  <c r="L1" i="7"/>
  <c r="M1"/>
  <c r="N1"/>
  <c r="O1"/>
  <c r="P1"/>
  <c r="Q1"/>
  <c r="R1"/>
  <c r="S1"/>
  <c r="T1"/>
  <c r="U1"/>
  <c r="V1"/>
  <c r="W1"/>
  <c r="X1"/>
  <c r="Y1"/>
  <c r="K1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C15" i="1"/>
  <c r="C30"/>
  <c r="C40"/>
  <c r="C39"/>
  <c r="F16" i="9"/>
  <c r="F28" s="1"/>
  <c r="B7"/>
  <c r="Z18" i="7" l="1"/>
  <c r="Z19" s="1"/>
  <c r="AA18"/>
  <c r="AA19" s="1"/>
  <c r="AH18"/>
  <c r="AH19" s="1"/>
  <c r="AI18"/>
  <c r="AI19" s="1"/>
  <c r="AP18"/>
  <c r="AP19" s="1"/>
  <c r="AQ18"/>
  <c r="AQ19" s="1"/>
  <c r="AX18"/>
  <c r="AX19" s="1"/>
  <c r="AY18"/>
  <c r="AY19" s="1"/>
  <c r="BF18"/>
  <c r="BF19" s="1"/>
  <c r="BG18"/>
  <c r="BG19" s="1"/>
  <c r="BN18"/>
  <c r="BN19" s="1"/>
  <c r="BO18"/>
  <c r="BO19" s="1"/>
  <c r="R18"/>
  <c r="R19" s="1"/>
  <c r="S18"/>
  <c r="S19" s="1"/>
  <c r="L15"/>
  <c r="S15"/>
  <c r="T15"/>
  <c r="AA15"/>
  <c r="AB15"/>
  <c r="AI15"/>
  <c r="AJ15"/>
  <c r="AQ15"/>
  <c r="AR15"/>
  <c r="AY15"/>
  <c r="AZ15"/>
  <c r="BG15"/>
  <c r="BH15"/>
  <c r="BO15"/>
  <c r="BP15"/>
  <c r="K15"/>
  <c r="O7"/>
  <c r="P7"/>
  <c r="V7"/>
  <c r="W7"/>
  <c r="X7"/>
  <c r="AD7"/>
  <c r="AE7"/>
  <c r="AF7"/>
  <c r="AL7"/>
  <c r="AM7"/>
  <c r="AN7"/>
  <c r="AT7"/>
  <c r="AU7"/>
  <c r="AV7"/>
  <c r="BB7"/>
  <c r="BC7"/>
  <c r="BD7"/>
  <c r="BJ7"/>
  <c r="BK7"/>
  <c r="BL7"/>
  <c r="BR7"/>
  <c r="BS7"/>
  <c r="BT7"/>
  <c r="P26" i="4"/>
  <c r="BW20"/>
  <c r="BU18" i="7" s="1"/>
  <c r="BU19" s="1"/>
  <c r="BV20" i="4"/>
  <c r="BT18" i="7" s="1"/>
  <c r="BT19" s="1"/>
  <c r="BU20" i="4"/>
  <c r="BS18" i="7" s="1"/>
  <c r="BS19" s="1"/>
  <c r="BT20" i="4"/>
  <c r="BR18" i="7" s="1"/>
  <c r="BR19" s="1"/>
  <c r="BS20" i="4"/>
  <c r="BQ18" i="7" s="1"/>
  <c r="BQ19" s="1"/>
  <c r="BR20" i="4"/>
  <c r="BP18" i="7" s="1"/>
  <c r="BP19" s="1"/>
  <c r="BQ20" i="4"/>
  <c r="BP20"/>
  <c r="BO20"/>
  <c r="BM18" i="7" s="1"/>
  <c r="BM19" s="1"/>
  <c r="BN20" i="4"/>
  <c r="BL18" i="7" s="1"/>
  <c r="BL19" s="1"/>
  <c r="BM20" i="4"/>
  <c r="BK18" i="7" s="1"/>
  <c r="BK19" s="1"/>
  <c r="BL20" i="4"/>
  <c r="BJ18" i="7" s="1"/>
  <c r="BJ19" s="1"/>
  <c r="BK20" i="4"/>
  <c r="BI18" i="7" s="1"/>
  <c r="BI19" s="1"/>
  <c r="BJ20" i="4"/>
  <c r="BH18" i="7" s="1"/>
  <c r="BH19" s="1"/>
  <c r="BI20" i="4"/>
  <c r="BH20"/>
  <c r="BG20"/>
  <c r="BE18" i="7" s="1"/>
  <c r="BE19" s="1"/>
  <c r="BF20" i="4"/>
  <c r="BD18" i="7" s="1"/>
  <c r="BD19" s="1"/>
  <c r="BE20" i="4"/>
  <c r="BC18" i="7" s="1"/>
  <c r="BC19" s="1"/>
  <c r="BD20" i="4"/>
  <c r="BB18" i="7" s="1"/>
  <c r="BB19" s="1"/>
  <c r="BC20" i="4"/>
  <c r="BA18" i="7" s="1"/>
  <c r="BA19" s="1"/>
  <c r="BB20" i="4"/>
  <c r="AZ18" i="7" s="1"/>
  <c r="AZ19" s="1"/>
  <c r="BA20" i="4"/>
  <c r="AZ20"/>
  <c r="AY20"/>
  <c r="AW18" i="7" s="1"/>
  <c r="AW19" s="1"/>
  <c r="AX20" i="4"/>
  <c r="AV18" i="7" s="1"/>
  <c r="AV19" s="1"/>
  <c r="AW20" i="4"/>
  <c r="AU18" i="7" s="1"/>
  <c r="AU19" s="1"/>
  <c r="AV20" i="4"/>
  <c r="AT18" i="7" s="1"/>
  <c r="AT19" s="1"/>
  <c r="AU20" i="4"/>
  <c r="AS18" i="7" s="1"/>
  <c r="AS19" s="1"/>
  <c r="AT20" i="4"/>
  <c r="AR18" i="7" s="1"/>
  <c r="AR19" s="1"/>
  <c r="AS20" i="4"/>
  <c r="AR20"/>
  <c r="AQ20"/>
  <c r="AO18" i="7" s="1"/>
  <c r="AO19" s="1"/>
  <c r="AP20" i="4"/>
  <c r="AN18" i="7" s="1"/>
  <c r="AN19" s="1"/>
  <c r="AO20" i="4"/>
  <c r="AM18" i="7" s="1"/>
  <c r="AM19" s="1"/>
  <c r="AN20" i="4"/>
  <c r="AL18" i="7" s="1"/>
  <c r="AL19" s="1"/>
  <c r="AM20" i="4"/>
  <c r="AK18" i="7" s="1"/>
  <c r="AK19" s="1"/>
  <c r="AL20" i="4"/>
  <c r="AJ18" i="7" s="1"/>
  <c r="AJ19" s="1"/>
  <c r="AK20" i="4"/>
  <c r="AJ20"/>
  <c r="AI20"/>
  <c r="AG18" i="7" s="1"/>
  <c r="AG19" s="1"/>
  <c r="AH20" i="4"/>
  <c r="AF18" i="7" s="1"/>
  <c r="AF19" s="1"/>
  <c r="AG20" i="4"/>
  <c r="AE18" i="7" s="1"/>
  <c r="AE19" s="1"/>
  <c r="AF20" i="4"/>
  <c r="AD18" i="7" s="1"/>
  <c r="AD19" s="1"/>
  <c r="AE20" i="4"/>
  <c r="AC18" i="7" s="1"/>
  <c r="AC19" s="1"/>
  <c r="AD20" i="4"/>
  <c r="AB18" i="7" s="1"/>
  <c r="AB19" s="1"/>
  <c r="AC20" i="4"/>
  <c r="AB20"/>
  <c r="AA20"/>
  <c r="Y18" i="7" s="1"/>
  <c r="Y19" s="1"/>
  <c r="Z20" i="4"/>
  <c r="X18" i="7" s="1"/>
  <c r="X19" s="1"/>
  <c r="Y20" i="4"/>
  <c r="W18" i="7" s="1"/>
  <c r="W19" s="1"/>
  <c r="X20" i="4"/>
  <c r="V18" i="7" s="1"/>
  <c r="V19" s="1"/>
  <c r="W20" i="4"/>
  <c r="U18" i="7" s="1"/>
  <c r="U19" s="1"/>
  <c r="V20" i="4"/>
  <c r="T18" i="7" s="1"/>
  <c r="T19" s="1"/>
  <c r="U20" i="4"/>
  <c r="T20"/>
  <c r="S20"/>
  <c r="Q18" i="7" s="1"/>
  <c r="Q19" s="1"/>
  <c r="R20" i="4"/>
  <c r="P18" i="7" s="1"/>
  <c r="P19" s="1"/>
  <c r="Q20" i="4"/>
  <c r="O18" i="7" s="1"/>
  <c r="O19" s="1"/>
  <c r="P20" i="4"/>
  <c r="N18" i="7" s="1"/>
  <c r="BW17" i="4"/>
  <c r="BU15" i="7" s="1"/>
  <c r="BV17" i="4"/>
  <c r="BT15" i="7" s="1"/>
  <c r="BU17" i="4"/>
  <c r="BS15" i="7" s="1"/>
  <c r="BT17" i="4"/>
  <c r="BR15" i="7" s="1"/>
  <c r="BS17" i="4"/>
  <c r="BQ15" i="7" s="1"/>
  <c r="BR17" i="4"/>
  <c r="BQ17"/>
  <c r="BP17"/>
  <c r="BN15" i="7" s="1"/>
  <c r="BO17" i="4"/>
  <c r="BM15" i="7" s="1"/>
  <c r="BN17" i="4"/>
  <c r="BL15" i="7" s="1"/>
  <c r="BM17" i="4"/>
  <c r="BK15" i="7" s="1"/>
  <c r="BL17" i="4"/>
  <c r="BJ15" i="7" s="1"/>
  <c r="BK17" i="4"/>
  <c r="BI15" i="7" s="1"/>
  <c r="BJ17" i="4"/>
  <c r="BI17"/>
  <c r="BH17"/>
  <c r="BF15" i="7" s="1"/>
  <c r="BG17" i="4"/>
  <c r="BE15" i="7" s="1"/>
  <c r="BF17" i="4"/>
  <c r="BD15" i="7" s="1"/>
  <c r="BE17" i="4"/>
  <c r="BC15" i="7" s="1"/>
  <c r="BD17" i="4"/>
  <c r="BB15" i="7" s="1"/>
  <c r="BC17" i="4"/>
  <c r="BA15" i="7" s="1"/>
  <c r="BB17" i="4"/>
  <c r="BA17"/>
  <c r="AZ17"/>
  <c r="AX15" i="7" s="1"/>
  <c r="AY17" i="4"/>
  <c r="AW15" i="7" s="1"/>
  <c r="AX17" i="4"/>
  <c r="AV15" i="7" s="1"/>
  <c r="AW17" i="4"/>
  <c r="AU15" i="7" s="1"/>
  <c r="AV17" i="4"/>
  <c r="AT15" i="7" s="1"/>
  <c r="AU17" i="4"/>
  <c r="AS15" i="7" s="1"/>
  <c r="AT17" i="4"/>
  <c r="AS17"/>
  <c r="AR17"/>
  <c r="AP15" i="7" s="1"/>
  <c r="AQ17" i="4"/>
  <c r="AO15" i="7" s="1"/>
  <c r="AP17" i="4"/>
  <c r="AN15" i="7" s="1"/>
  <c r="AO17" i="4"/>
  <c r="AM15" i="7" s="1"/>
  <c r="AN17" i="4"/>
  <c r="AL15" i="7" s="1"/>
  <c r="AM17" i="4"/>
  <c r="AK15" i="7" s="1"/>
  <c r="AL17" i="4"/>
  <c r="AK17"/>
  <c r="AJ17"/>
  <c r="AH15" i="7" s="1"/>
  <c r="AI17" i="4"/>
  <c r="AG15" i="7" s="1"/>
  <c r="AH17" i="4"/>
  <c r="AF15" i="7" s="1"/>
  <c r="AG17" i="4"/>
  <c r="AE15" i="7" s="1"/>
  <c r="AF17" i="4"/>
  <c r="AD15" i="7" s="1"/>
  <c r="AE17" i="4"/>
  <c r="AC15" i="7" s="1"/>
  <c r="AD17" i="4"/>
  <c r="AC17"/>
  <c r="AB17"/>
  <c r="Z15" i="7" s="1"/>
  <c r="AA17" i="4"/>
  <c r="Y15" i="7" s="1"/>
  <c r="Z17" i="4"/>
  <c r="X15" i="7" s="1"/>
  <c r="Y17" i="4"/>
  <c r="W15" i="7" s="1"/>
  <c r="X17" i="4"/>
  <c r="V15" i="7" s="1"/>
  <c r="W17" i="4"/>
  <c r="U15" i="7" s="1"/>
  <c r="V17" i="4"/>
  <c r="U17"/>
  <c r="T17"/>
  <c r="R15" i="7" s="1"/>
  <c r="S17" i="4"/>
  <c r="Q15" i="7" s="1"/>
  <c r="R17" i="4"/>
  <c r="P15" i="7" s="1"/>
  <c r="Q17" i="4"/>
  <c r="O15" i="7" s="1"/>
  <c r="P17" i="4"/>
  <c r="N15" i="7" s="1"/>
  <c r="O17" i="4"/>
  <c r="M15" i="7" s="1"/>
  <c r="N17" i="4"/>
  <c r="M17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BW6"/>
  <c r="BU7" i="7" s="1"/>
  <c r="BV6" i="4"/>
  <c r="BU6"/>
  <c r="BT6"/>
  <c r="BS6"/>
  <c r="BQ7" i="7" s="1"/>
  <c r="BR6" i="4"/>
  <c r="BP7" i="7" s="1"/>
  <c r="BQ6" i="4"/>
  <c r="BO7" i="7" s="1"/>
  <c r="BP6" i="4"/>
  <c r="BN7" i="7" s="1"/>
  <c r="BO6" i="4"/>
  <c r="BM7" i="7" s="1"/>
  <c r="BN6" i="4"/>
  <c r="BM6"/>
  <c r="BL6"/>
  <c r="BK6"/>
  <c r="BI7" i="7" s="1"/>
  <c r="BJ6" i="4"/>
  <c r="BH7" i="7" s="1"/>
  <c r="BI6" i="4"/>
  <c r="BG7" i="7" s="1"/>
  <c r="BH6" i="4"/>
  <c r="BF7" i="7" s="1"/>
  <c r="BG6" i="4"/>
  <c r="BE7" i="7" s="1"/>
  <c r="BF6" i="4"/>
  <c r="BE6"/>
  <c r="BD6"/>
  <c r="BC6"/>
  <c r="BA7" i="7" s="1"/>
  <c r="BB6" i="4"/>
  <c r="AZ7" i="7" s="1"/>
  <c r="BA6" i="4"/>
  <c r="AY7" i="7" s="1"/>
  <c r="AZ6" i="4"/>
  <c r="AX7" i="7" s="1"/>
  <c r="AY6" i="4"/>
  <c r="AW7" i="7" s="1"/>
  <c r="AX6" i="4"/>
  <c r="AW6"/>
  <c r="AV6"/>
  <c r="AU6"/>
  <c r="AS7" i="7" s="1"/>
  <c r="AT6" i="4"/>
  <c r="AR7" i="7" s="1"/>
  <c r="AS6" i="4"/>
  <c r="AQ7" i="7" s="1"/>
  <c r="AR6" i="4"/>
  <c r="AP7" i="7" s="1"/>
  <c r="AQ6" i="4"/>
  <c r="AO7" i="7" s="1"/>
  <c r="AP6" i="4"/>
  <c r="AO6"/>
  <c r="AN6"/>
  <c r="AM6"/>
  <c r="AK7" i="7" s="1"/>
  <c r="AL6" i="4"/>
  <c r="AJ7" i="7" s="1"/>
  <c r="AK6" i="4"/>
  <c r="AI7" i="7" s="1"/>
  <c r="AJ6" i="4"/>
  <c r="AH7" i="7" s="1"/>
  <c r="AI6" i="4"/>
  <c r="AG7" i="7" s="1"/>
  <c r="AH6" i="4"/>
  <c r="AG6"/>
  <c r="AF6"/>
  <c r="AE6"/>
  <c r="AC7" i="7" s="1"/>
  <c r="AD6" i="4"/>
  <c r="AB7" i="7" s="1"/>
  <c r="AC6" i="4"/>
  <c r="AA7" i="7" s="1"/>
  <c r="AB6" i="4"/>
  <c r="Z7" i="7" s="1"/>
  <c r="AA6" i="4"/>
  <c r="Y7" i="7" s="1"/>
  <c r="Z6" i="4"/>
  <c r="Y6"/>
  <c r="X6"/>
  <c r="W6"/>
  <c r="U7" i="7" s="1"/>
  <c r="V6" i="4"/>
  <c r="T7" i="7" s="1"/>
  <c r="U6" i="4"/>
  <c r="S7" i="7" s="1"/>
  <c r="T6" i="4"/>
  <c r="R7" i="7" s="1"/>
  <c r="S6" i="4"/>
  <c r="Q7" i="7" s="1"/>
  <c r="R6" i="4"/>
  <c r="Q6"/>
  <c r="P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AX4" i="7"/>
  <c r="AX1" s="1"/>
  <c r="AY4"/>
  <c r="AY1" s="1"/>
  <c r="AZ4"/>
  <c r="AZ1" s="1"/>
  <c r="BA4"/>
  <c r="BA1" s="1"/>
  <c r="BB4"/>
  <c r="BB1" s="1"/>
  <c r="BC4"/>
  <c r="BC1" s="1"/>
  <c r="BD4"/>
  <c r="BD1" s="1"/>
  <c r="BE4"/>
  <c r="BE1" s="1"/>
  <c r="BF4"/>
  <c r="BF1" s="1"/>
  <c r="BG4"/>
  <c r="BG1" s="1"/>
  <c r="BH4"/>
  <c r="BH1" s="1"/>
  <c r="BI4"/>
  <c r="BI1" s="1"/>
  <c r="BJ4"/>
  <c r="BJ1" s="1"/>
  <c r="BK4"/>
  <c r="BK1" s="1"/>
  <c r="BL4"/>
  <c r="BL1" s="1"/>
  <c r="BM4"/>
  <c r="BM1" s="1"/>
  <c r="BN4"/>
  <c r="BN1" s="1"/>
  <c r="BO4"/>
  <c r="BO1" s="1"/>
  <c r="BP4"/>
  <c r="BP1" s="1"/>
  <c r="BQ4"/>
  <c r="BQ1" s="1"/>
  <c r="BR4"/>
  <c r="BR1" s="1"/>
  <c r="BS4"/>
  <c r="BS1" s="1"/>
  <c r="BT4"/>
  <c r="BT1" s="1"/>
  <c r="BU4"/>
  <c r="BU1" s="1"/>
  <c r="K6"/>
  <c r="L6"/>
  <c r="M6"/>
  <c r="N19" l="1"/>
  <c r="O20" i="4"/>
  <c r="BD16" i="7"/>
  <c r="BS16"/>
  <c r="BK16"/>
  <c r="BC16"/>
  <c r="AU16"/>
  <c r="AM16"/>
  <c r="AE16"/>
  <c r="W16"/>
  <c r="O16"/>
  <c r="BR16"/>
  <c r="BJ16"/>
  <c r="BB16"/>
  <c r="AT16"/>
  <c r="AL16"/>
  <c r="AD16"/>
  <c r="V16"/>
  <c r="N16"/>
  <c r="AV16"/>
  <c r="X16"/>
  <c r="BI16"/>
  <c r="AS16"/>
  <c r="AC16"/>
  <c r="M16"/>
  <c r="BP16"/>
  <c r="BH16"/>
  <c r="AZ16"/>
  <c r="AR16"/>
  <c r="AJ16"/>
  <c r="AB16"/>
  <c r="T16"/>
  <c r="L16"/>
  <c r="BL16"/>
  <c r="P16"/>
  <c r="BO16"/>
  <c r="BG16"/>
  <c r="AY16"/>
  <c r="AQ16"/>
  <c r="AI16"/>
  <c r="AA16"/>
  <c r="S16"/>
  <c r="AF16"/>
  <c r="K16"/>
  <c r="BN16"/>
  <c r="BF16"/>
  <c r="AX16"/>
  <c r="AP16"/>
  <c r="AH16"/>
  <c r="Z16"/>
  <c r="R16"/>
  <c r="BT16"/>
  <c r="AN16"/>
  <c r="BQ16"/>
  <c r="BA16"/>
  <c r="AK16"/>
  <c r="U16"/>
  <c r="BU16"/>
  <c r="BM16"/>
  <c r="BE16"/>
  <c r="AW16"/>
  <c r="AO16"/>
  <c r="AG16"/>
  <c r="Y16"/>
  <c r="Q16"/>
  <c r="F10" i="4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M1"/>
  <c r="BN8" i="7"/>
  <c r="BP8"/>
  <c r="BQ8"/>
  <c r="AX8"/>
  <c r="BM18" i="4"/>
  <c r="BN18"/>
  <c r="BO18"/>
  <c r="BP18"/>
  <c r="BQ18"/>
  <c r="BR18"/>
  <c r="BP17" i="7" s="1"/>
  <c r="BP13" s="1"/>
  <c r="BS18" i="4"/>
  <c r="BT18"/>
  <c r="BR17" i="7" s="1"/>
  <c r="BR13" s="1"/>
  <c r="BU18" i="4"/>
  <c r="BV18"/>
  <c r="BW18"/>
  <c r="BM19"/>
  <c r="BN19"/>
  <c r="BO19"/>
  <c r="BP19"/>
  <c r="BQ19"/>
  <c r="BR19"/>
  <c r="BS19"/>
  <c r="BT19"/>
  <c r="BU19"/>
  <c r="BV19"/>
  <c r="BW19"/>
  <c r="BL19"/>
  <c r="BL18"/>
  <c r="BI8" i="7"/>
  <c r="AZ8"/>
  <c r="BA8"/>
  <c r="BH8"/>
  <c r="BA18" i="4"/>
  <c r="BB18"/>
  <c r="BC18"/>
  <c r="BD18"/>
  <c r="BE18"/>
  <c r="BF18"/>
  <c r="BG18"/>
  <c r="BH18"/>
  <c r="BF17" i="7" s="1"/>
  <c r="BF13" s="1"/>
  <c r="BI18" i="4"/>
  <c r="BJ18"/>
  <c r="BK18"/>
  <c r="BA19"/>
  <c r="BB19"/>
  <c r="BC19"/>
  <c r="BD19"/>
  <c r="BE19"/>
  <c r="BF19"/>
  <c r="BG19"/>
  <c r="BH19"/>
  <c r="BI19"/>
  <c r="BJ19"/>
  <c r="BK19"/>
  <c r="AZ19"/>
  <c r="AZ18"/>
  <c r="AX17" i="7" s="1"/>
  <c r="AX13" s="1"/>
  <c r="BJ17" l="1"/>
  <c r="BJ13" s="1"/>
  <c r="N20" i="4"/>
  <c r="M18" i="7"/>
  <c r="M19" s="1"/>
  <c r="F24" i="4"/>
  <c r="F13"/>
  <c r="F11"/>
  <c r="F9"/>
  <c r="F8"/>
  <c r="BD17" i="7"/>
  <c r="BD13" s="1"/>
  <c r="K11" i="4"/>
  <c r="J11"/>
  <c r="J19"/>
  <c r="J9"/>
  <c r="K9"/>
  <c r="BQ16"/>
  <c r="J10"/>
  <c r="BE17" i="7"/>
  <c r="BE13" s="1"/>
  <c r="K10" i="4"/>
  <c r="K19"/>
  <c r="BQ17" i="7"/>
  <c r="BQ13" s="1"/>
  <c r="BD8"/>
  <c r="J6" i="4"/>
  <c r="J18"/>
  <c r="AZ16"/>
  <c r="BB17" i="7"/>
  <c r="BB13" s="1"/>
  <c r="BE8" i="4"/>
  <c r="BN17" i="7"/>
  <c r="BN13" s="1"/>
  <c r="BO8"/>
  <c r="J20" i="4"/>
  <c r="BI17" i="7"/>
  <c r="BI13" s="1"/>
  <c r="BA17"/>
  <c r="BA13" s="1"/>
  <c r="BG8" i="4"/>
  <c r="BG8" i="7"/>
  <c r="AY8"/>
  <c r="BU17"/>
  <c r="BU13" s="1"/>
  <c r="BM17"/>
  <c r="BM13" s="1"/>
  <c r="BK8"/>
  <c r="K17" i="4"/>
  <c r="BH17" i="7"/>
  <c r="BH13" s="1"/>
  <c r="AZ17"/>
  <c r="AZ13" s="1"/>
  <c r="BF8" i="4"/>
  <c r="BF8" i="7"/>
  <c r="BT17"/>
  <c r="BT13" s="1"/>
  <c r="BL17"/>
  <c r="BL13" s="1"/>
  <c r="BU8"/>
  <c r="BM8"/>
  <c r="J17" i="4"/>
  <c r="BS8" i="7"/>
  <c r="BC8"/>
  <c r="BR8"/>
  <c r="BB8"/>
  <c r="BC17"/>
  <c r="BC13" s="1"/>
  <c r="BO17"/>
  <c r="BO13" s="1"/>
  <c r="K20" i="4"/>
  <c r="BH8"/>
  <c r="BF9" i="7" s="1"/>
  <c r="BF10" s="1"/>
  <c r="K6" i="4"/>
  <c r="BG17" i="7"/>
  <c r="BG13" s="1"/>
  <c r="AY17"/>
  <c r="AY13" s="1"/>
  <c r="BE8"/>
  <c r="BJ8"/>
  <c r="BS17"/>
  <c r="BS13" s="1"/>
  <c r="BK17"/>
  <c r="BK13" s="1"/>
  <c r="BT8"/>
  <c r="BL8"/>
  <c r="K18" i="4"/>
  <c r="BF16"/>
  <c r="BR16"/>
  <c r="BR8"/>
  <c r="BP9" i="7" s="1"/>
  <c r="BP10" s="1"/>
  <c r="BQ8" i="4"/>
  <c r="BO9" i="7" s="1"/>
  <c r="BO10" s="1"/>
  <c r="BO16" i="4"/>
  <c r="BP16"/>
  <c r="BN16"/>
  <c r="BE16"/>
  <c r="BK16"/>
  <c r="BH16"/>
  <c r="BD8"/>
  <c r="BB9" i="7" s="1"/>
  <c r="BB10" s="1"/>
  <c r="BJ8" i="4"/>
  <c r="BH9" i="7" s="1"/>
  <c r="BH10" s="1"/>
  <c r="BB8" i="4"/>
  <c r="AZ9" i="7" s="1"/>
  <c r="AZ10" s="1"/>
  <c r="BT8" i="4"/>
  <c r="BR9" i="7" s="1"/>
  <c r="BR10" s="1"/>
  <c r="BG16" i="4"/>
  <c r="BK8"/>
  <c r="BI9" i="7" s="1"/>
  <c r="BI10" s="1"/>
  <c r="BC8" i="4"/>
  <c r="BA9" i="7" s="1"/>
  <c r="BA10" s="1"/>
  <c r="BI8" i="4"/>
  <c r="BG9" i="7" s="1"/>
  <c r="BG10" s="1"/>
  <c r="BA8" i="4"/>
  <c r="AY9" i="7" s="1"/>
  <c r="AY10" s="1"/>
  <c r="BS8" i="4"/>
  <c r="BQ9" i="7" s="1"/>
  <c r="BQ10" s="1"/>
  <c r="BW16" i="4"/>
  <c r="BV16"/>
  <c r="BC16"/>
  <c r="BU16"/>
  <c r="BM16"/>
  <c r="BD16"/>
  <c r="BJ16"/>
  <c r="BB16"/>
  <c r="BT16"/>
  <c r="BP8"/>
  <c r="BN9" i="7" s="1"/>
  <c r="BN10" s="1"/>
  <c r="BV8" i="4"/>
  <c r="BT9" i="7" s="1"/>
  <c r="BT10" s="1"/>
  <c r="BN8" i="4"/>
  <c r="BI16"/>
  <c r="BA16"/>
  <c r="BS16"/>
  <c r="BW8"/>
  <c r="BU9" i="7" s="1"/>
  <c r="BU10" s="1"/>
  <c r="BO8" i="4"/>
  <c r="BM9" i="7" s="1"/>
  <c r="BM10" s="1"/>
  <c r="BU8" i="4"/>
  <c r="BS9" i="7" s="1"/>
  <c r="BS10" s="1"/>
  <c r="BM8" i="4"/>
  <c r="BK9" i="7" s="1"/>
  <c r="BK10" s="1"/>
  <c r="BL16" i="4"/>
  <c r="BL8"/>
  <c r="BJ9" i="7" s="1"/>
  <c r="BJ10" s="1"/>
  <c r="AZ8" i="4"/>
  <c r="AX9" i="7" s="1"/>
  <c r="AX10" s="1"/>
  <c r="BE9" l="1"/>
  <c r="BE10" s="1"/>
  <c r="BF6"/>
  <c r="BL9"/>
  <c r="BL10" s="1"/>
  <c r="BC9"/>
  <c r="BC10" s="1"/>
  <c r="M20" i="4"/>
  <c r="K18" i="7" s="1"/>
  <c r="L18"/>
  <c r="L19" s="1"/>
  <c r="BD9"/>
  <c r="BD10" s="1"/>
  <c r="BF13" i="4"/>
  <c r="BE13"/>
  <c r="BE22" s="1"/>
  <c r="BN13"/>
  <c r="BL13"/>
  <c r="BJ6" i="7"/>
  <c r="BJ21" s="1"/>
  <c r="K8" i="4"/>
  <c r="K16"/>
  <c r="BB13"/>
  <c r="AZ6" i="7"/>
  <c r="AZ21" s="1"/>
  <c r="BA13" i="4"/>
  <c r="AY6" i="7"/>
  <c r="AY21" s="1"/>
  <c r="BQ13" i="4"/>
  <c r="BO6" i="7"/>
  <c r="BO21" s="1"/>
  <c r="BU13" i="4"/>
  <c r="BS6" i="7"/>
  <c r="BS21" s="1"/>
  <c r="BV13" i="4"/>
  <c r="BT6" i="7"/>
  <c r="BT21" s="1"/>
  <c r="BC13" i="4"/>
  <c r="BA6" i="7"/>
  <c r="BA21" s="1"/>
  <c r="BF21"/>
  <c r="BO13" i="4"/>
  <c r="BM6" i="7"/>
  <c r="BM21" s="1"/>
  <c r="BP13" i="4"/>
  <c r="BN6" i="7"/>
  <c r="BN21" s="1"/>
  <c r="BH13" i="4"/>
  <c r="BK13"/>
  <c r="BI6" i="7"/>
  <c r="BI21" s="1"/>
  <c r="BW13" i="4"/>
  <c r="BU6" i="7"/>
  <c r="BU21" s="1"/>
  <c r="BS13" i="4"/>
  <c r="BQ6" i="7"/>
  <c r="BQ21" s="1"/>
  <c r="BJ13" i="4"/>
  <c r="BH6" i="7"/>
  <c r="BH21" s="1"/>
  <c r="J16" i="4"/>
  <c r="BM13"/>
  <c r="BK6" i="7"/>
  <c r="BK21" s="1"/>
  <c r="BI13" i="4"/>
  <c r="BG6" i="7"/>
  <c r="BG21" s="1"/>
  <c r="BD13" i="4"/>
  <c r="BB6" i="7"/>
  <c r="BB21" s="1"/>
  <c r="BR13" i="4"/>
  <c r="BP6" i="7"/>
  <c r="BP21" s="1"/>
  <c r="AZ13" i="4"/>
  <c r="AX6" i="7"/>
  <c r="J8" i="4"/>
  <c r="BG13"/>
  <c r="BT13"/>
  <c r="BR6" i="7"/>
  <c r="BR21" s="1"/>
  <c r="BS22" i="4"/>
  <c r="BP22"/>
  <c r="K19" i="7" l="1"/>
  <c r="BC6"/>
  <c r="BC21" s="1"/>
  <c r="BL6"/>
  <c r="BL21" s="1"/>
  <c r="BD6"/>
  <c r="BD21" s="1"/>
  <c r="BE6"/>
  <c r="BE21" s="1"/>
  <c r="BF22" i="4"/>
  <c r="BF25" s="1"/>
  <c r="BJ22"/>
  <c r="BJ25" s="1"/>
  <c r="BK22"/>
  <c r="BK25" s="1"/>
  <c r="BC22"/>
  <c r="BC25" s="1"/>
  <c r="BA22"/>
  <c r="BA25" s="1"/>
  <c r="BD22"/>
  <c r="BD25" s="1"/>
  <c r="BH22"/>
  <c r="BH25" s="1"/>
  <c r="BN22"/>
  <c r="BN25" s="1"/>
  <c r="BU22"/>
  <c r="BU25" s="1"/>
  <c r="BB22"/>
  <c r="BB25" s="1"/>
  <c r="BR22"/>
  <c r="BR25" s="1"/>
  <c r="BV22"/>
  <c r="BV25" s="1"/>
  <c r="BI22"/>
  <c r="BI25" s="1"/>
  <c r="BM22"/>
  <c r="BM25" s="1"/>
  <c r="BW22"/>
  <c r="BW25" s="1"/>
  <c r="BO22"/>
  <c r="BO25" s="1"/>
  <c r="BT22"/>
  <c r="BT25" s="1"/>
  <c r="BG22"/>
  <c r="BG25" s="1"/>
  <c r="BQ22"/>
  <c r="BQ25" s="1"/>
  <c r="BS25"/>
  <c r="BE25"/>
  <c r="BP25"/>
  <c r="AZ22"/>
  <c r="J13"/>
  <c r="BL22"/>
  <c r="K13"/>
  <c r="AX21" i="7"/>
  <c r="K22" i="4" l="1"/>
  <c r="BL25"/>
  <c r="J22"/>
  <c r="AZ25"/>
  <c r="AA4" i="7" l="1"/>
  <c r="AA1" s="1"/>
  <c r="AB4"/>
  <c r="AB1" s="1"/>
  <c r="AC4"/>
  <c r="AC1" s="1"/>
  <c r="AD4"/>
  <c r="AD1" s="1"/>
  <c r="AE4"/>
  <c r="AE1" s="1"/>
  <c r="AF4"/>
  <c r="AF1" s="1"/>
  <c r="AG4"/>
  <c r="AG1" s="1"/>
  <c r="AH4"/>
  <c r="AH1" s="1"/>
  <c r="AI4"/>
  <c r="AI1" s="1"/>
  <c r="AJ4"/>
  <c r="AJ1" s="1"/>
  <c r="AK4"/>
  <c r="AK1" s="1"/>
  <c r="AL4"/>
  <c r="AL1" s="1"/>
  <c r="AM4"/>
  <c r="AM1" s="1"/>
  <c r="AN4"/>
  <c r="AN1" s="1"/>
  <c r="AO4"/>
  <c r="AO1" s="1"/>
  <c r="AP4"/>
  <c r="AP1" s="1"/>
  <c r="AQ4"/>
  <c r="AQ1" s="1"/>
  <c r="AR4"/>
  <c r="AR1" s="1"/>
  <c r="AS4"/>
  <c r="AS1" s="1"/>
  <c r="AT4"/>
  <c r="AT1" s="1"/>
  <c r="AU4"/>
  <c r="AU1" s="1"/>
  <c r="AV4"/>
  <c r="AV1" s="1"/>
  <c r="AW4"/>
  <c r="AW1" s="1"/>
  <c r="Z4"/>
  <c r="Z1" s="1"/>
  <c r="AO19" i="4"/>
  <c r="AP19"/>
  <c r="AQ19"/>
  <c r="AR19"/>
  <c r="AS19"/>
  <c r="AT19"/>
  <c r="AU19"/>
  <c r="AV19"/>
  <c r="AW19"/>
  <c r="AX19"/>
  <c r="AY19"/>
  <c r="AN19"/>
  <c r="AC19"/>
  <c r="AD19"/>
  <c r="AE19"/>
  <c r="AF19"/>
  <c r="AG19"/>
  <c r="AH19"/>
  <c r="AI19"/>
  <c r="AJ19"/>
  <c r="AK19"/>
  <c r="AL19"/>
  <c r="AM19"/>
  <c r="AB19"/>
  <c r="O8" i="7"/>
  <c r="N19" i="4"/>
  <c r="O19"/>
  <c r="M19"/>
  <c r="N18"/>
  <c r="O18"/>
  <c r="M18"/>
  <c r="H31" i="7" l="1"/>
  <c r="H29" s="1"/>
  <c r="G31"/>
  <c r="G29" s="1"/>
  <c r="F31"/>
  <c r="F29" s="1"/>
  <c r="I31"/>
  <c r="H17"/>
  <c r="I8"/>
  <c r="H8"/>
  <c r="G18"/>
  <c r="I27"/>
  <c r="F26"/>
  <c r="G15"/>
  <c r="I24"/>
  <c r="D8"/>
  <c r="G16"/>
  <c r="I25"/>
  <c r="G25"/>
  <c r="F7"/>
  <c r="G26"/>
  <c r="H15"/>
  <c r="I13"/>
  <c r="G23"/>
  <c r="G24"/>
  <c r="H25"/>
  <c r="H7"/>
  <c r="E24"/>
  <c r="H26"/>
  <c r="I15"/>
  <c r="E25"/>
  <c r="H23"/>
  <c r="G7"/>
  <c r="I10"/>
  <c r="H21"/>
  <c r="F27"/>
  <c r="E23"/>
  <c r="F23"/>
  <c r="D7"/>
  <c r="H10"/>
  <c r="I19"/>
  <c r="F18"/>
  <c r="D9"/>
  <c r="E26"/>
  <c r="I17"/>
  <c r="F25"/>
  <c r="I23"/>
  <c r="D11"/>
  <c r="I26"/>
  <c r="F19"/>
  <c r="H24"/>
  <c r="H18"/>
  <c r="F24"/>
  <c r="H9"/>
  <c r="I6"/>
  <c r="I21"/>
  <c r="H16"/>
  <c r="H6"/>
  <c r="H13"/>
  <c r="I9"/>
  <c r="F16"/>
  <c r="G19"/>
  <c r="F15"/>
  <c r="I7"/>
  <c r="I18"/>
  <c r="H19"/>
  <c r="G27"/>
  <c r="D10"/>
  <c r="H27"/>
  <c r="I16"/>
  <c r="E27"/>
  <c r="D6"/>
  <c r="D15"/>
  <c r="E18"/>
  <c r="E7"/>
  <c r="E15"/>
  <c r="E16"/>
  <c r="E19"/>
  <c r="D16"/>
  <c r="D18"/>
  <c r="D19"/>
  <c r="F19" i="4"/>
  <c r="H6"/>
  <c r="I17"/>
  <c r="F17"/>
  <c r="H17"/>
  <c r="I19"/>
  <c r="F18"/>
  <c r="H19"/>
  <c r="I20"/>
  <c r="H20"/>
  <c r="G17"/>
  <c r="I6"/>
  <c r="AG8" i="7"/>
  <c r="AU8"/>
  <c r="AF8"/>
  <c r="AT8"/>
  <c r="AE8"/>
  <c r="AS8"/>
  <c r="AR8"/>
  <c r="AC8"/>
  <c r="AN8"/>
  <c r="AB8"/>
  <c r="AI8"/>
  <c r="AL8"/>
  <c r="AW8"/>
  <c r="AO8"/>
  <c r="AD8"/>
  <c r="AK8"/>
  <c r="AQ8"/>
  <c r="AJ8"/>
  <c r="AP8"/>
  <c r="AA8"/>
  <c r="AH8"/>
  <c r="AM8"/>
  <c r="AV8"/>
  <c r="L17"/>
  <c r="L13" s="1"/>
  <c r="K17"/>
  <c r="M17"/>
  <c r="M13" s="1"/>
  <c r="I38" l="1"/>
  <c r="H38"/>
  <c r="H34"/>
  <c r="G8"/>
  <c r="K13"/>
  <c r="D13" s="1"/>
  <c r="D17"/>
  <c r="D17" i="4"/>
  <c r="E3" i="6" l="1"/>
  <c r="E4"/>
  <c r="E5"/>
  <c r="E6"/>
  <c r="E7"/>
  <c r="E8"/>
  <c r="E9"/>
  <c r="E10"/>
  <c r="E11"/>
  <c r="E12"/>
  <c r="E2"/>
  <c r="E13" s="1"/>
  <c r="U19" i="4" l="1"/>
  <c r="Q19"/>
  <c r="Y19"/>
  <c r="R19"/>
  <c r="Z19"/>
  <c r="S19"/>
  <c r="AA19"/>
  <c r="T19"/>
  <c r="P19"/>
  <c r="V19"/>
  <c r="W19"/>
  <c r="X19"/>
  <c r="G19" l="1"/>
  <c r="D19" s="1"/>
  <c r="C21" i="1"/>
  <c r="D8" i="6"/>
  <c r="D12"/>
  <c r="D11"/>
  <c r="D10"/>
  <c r="D9"/>
  <c r="D7"/>
  <c r="D6"/>
  <c r="D5"/>
  <c r="D4"/>
  <c r="D3"/>
  <c r="D2"/>
  <c r="C33" i="1"/>
  <c r="P8" i="7" l="1"/>
  <c r="G6" i="4"/>
  <c r="D6" s="1"/>
  <c r="G20"/>
  <c r="W8" i="7"/>
  <c r="R8"/>
  <c r="Q8"/>
  <c r="Z8"/>
  <c r="F8" s="1"/>
  <c r="X8"/>
  <c r="Y8"/>
  <c r="V8"/>
  <c r="U8"/>
  <c r="T8"/>
  <c r="S8"/>
  <c r="D13" i="6"/>
  <c r="C36" i="1" s="1"/>
  <c r="S18" i="4" s="1"/>
  <c r="E21" i="1"/>
  <c r="E8" i="7" l="1"/>
  <c r="H11" i="4"/>
  <c r="G11"/>
  <c r="O16"/>
  <c r="O22" s="1"/>
  <c r="I11"/>
  <c r="D11" s="1"/>
  <c r="AS18"/>
  <c r="AQ17" i="7" s="1"/>
  <c r="AQ13" s="1"/>
  <c r="AN18" i="4"/>
  <c r="AF18"/>
  <c r="AD17" i="7" s="1"/>
  <c r="AD13" s="1"/>
  <c r="AB18" i="4"/>
  <c r="AG18"/>
  <c r="AE17" i="7" s="1"/>
  <c r="AE13" s="1"/>
  <c r="AI18" i="4"/>
  <c r="AG17" i="7" s="1"/>
  <c r="AG13" s="1"/>
  <c r="AT18" i="4"/>
  <c r="AR17" i="7" s="1"/>
  <c r="AR13" s="1"/>
  <c r="AV18" i="4"/>
  <c r="AT17" i="7" s="1"/>
  <c r="AT13" s="1"/>
  <c r="AU18" i="4"/>
  <c r="AS17" i="7" s="1"/>
  <c r="AS13" s="1"/>
  <c r="AH18" i="4"/>
  <c r="AF17" i="7" s="1"/>
  <c r="AF13" s="1"/>
  <c r="AP18" i="4"/>
  <c r="AN17" i="7" s="1"/>
  <c r="AN13" s="1"/>
  <c r="AX18" i="4"/>
  <c r="AV17" i="7" s="1"/>
  <c r="AV13" s="1"/>
  <c r="AC18" i="4"/>
  <c r="AA17" i="7" s="1"/>
  <c r="AA13" s="1"/>
  <c r="AK18" i="4"/>
  <c r="AI17" i="7" s="1"/>
  <c r="AI13" s="1"/>
  <c r="AQ18" i="4"/>
  <c r="AO17" i="7" s="1"/>
  <c r="AO13" s="1"/>
  <c r="AY18" i="4"/>
  <c r="AW17" i="7" s="1"/>
  <c r="AW13" s="1"/>
  <c r="AD18" i="4"/>
  <c r="AB17" i="7" s="1"/>
  <c r="AB13" s="1"/>
  <c r="AL18" i="4"/>
  <c r="AJ17" i="7" s="1"/>
  <c r="AJ13" s="1"/>
  <c r="AR18" i="4"/>
  <c r="AP17" i="7" s="1"/>
  <c r="AP13" s="1"/>
  <c r="AJ18" i="4"/>
  <c r="AH17" i="7" s="1"/>
  <c r="AH13" s="1"/>
  <c r="AM18" i="4"/>
  <c r="AK17" i="7" s="1"/>
  <c r="AK13" s="1"/>
  <c r="AW18" i="4"/>
  <c r="AU17" i="7" s="1"/>
  <c r="AU13" s="1"/>
  <c r="AE18" i="4"/>
  <c r="AC17" i="7" s="1"/>
  <c r="AC13" s="1"/>
  <c r="AO18" i="4"/>
  <c r="AM17" i="7" s="1"/>
  <c r="AM13" s="1"/>
  <c r="S16" i="4"/>
  <c r="Q17" i="7"/>
  <c r="Q18" i="4"/>
  <c r="Y18"/>
  <c r="Z18"/>
  <c r="P18"/>
  <c r="AC16"/>
  <c r="R18"/>
  <c r="AA18"/>
  <c r="V18"/>
  <c r="T18"/>
  <c r="W18"/>
  <c r="U18"/>
  <c r="X18"/>
  <c r="C16" i="1"/>
  <c r="C31"/>
  <c r="E31" s="1"/>
  <c r="C22"/>
  <c r="Q13" i="7" l="1"/>
  <c r="AU16" i="4"/>
  <c r="AP16"/>
  <c r="AH16"/>
  <c r="Z17" i="7"/>
  <c r="H18" i="4"/>
  <c r="I18"/>
  <c r="AS16"/>
  <c r="N16"/>
  <c r="N22" s="1"/>
  <c r="N17" i="7"/>
  <c r="G18" i="4"/>
  <c r="M21" i="7"/>
  <c r="M38" s="1"/>
  <c r="AL16" i="4"/>
  <c r="AD16"/>
  <c r="AF16"/>
  <c r="AR16"/>
  <c r="AI16"/>
  <c r="AK16"/>
  <c r="AG16"/>
  <c r="AJ16"/>
  <c r="AX16"/>
  <c r="AB16"/>
  <c r="AM16"/>
  <c r="AT16"/>
  <c r="AW16"/>
  <c r="R16"/>
  <c r="P17" i="7"/>
  <c r="P13" s="1"/>
  <c r="X16" i="4"/>
  <c r="V17" i="7"/>
  <c r="V13" s="1"/>
  <c r="U16" i="4"/>
  <c r="S17" i="7"/>
  <c r="S13" s="1"/>
  <c r="AQ16" i="4"/>
  <c r="Y16"/>
  <c r="W17" i="7"/>
  <c r="W13" s="1"/>
  <c r="AY16" i="4"/>
  <c r="Q16"/>
  <c r="O17" i="7"/>
  <c r="O13" s="1"/>
  <c r="AA16" i="4"/>
  <c r="Y17" i="7"/>
  <c r="Y13" s="1"/>
  <c r="Z16" i="4"/>
  <c r="X17" i="7"/>
  <c r="X13" s="1"/>
  <c r="AO16" i="4"/>
  <c r="AL17" i="7"/>
  <c r="AN16" i="4"/>
  <c r="W16"/>
  <c r="U17" i="7"/>
  <c r="U13" s="1"/>
  <c r="T16" i="4"/>
  <c r="R17" i="7"/>
  <c r="R13" s="1"/>
  <c r="V16" i="4"/>
  <c r="T17" i="7"/>
  <c r="T13" s="1"/>
  <c r="AE16" i="4"/>
  <c r="AV16"/>
  <c r="P16"/>
  <c r="E30" i="1"/>
  <c r="Z13" i="7" l="1"/>
  <c r="F13" s="1"/>
  <c r="F17"/>
  <c r="AL13"/>
  <c r="G13" s="1"/>
  <c r="G17"/>
  <c r="N13"/>
  <c r="E13" s="1"/>
  <c r="E17"/>
  <c r="D18" i="4"/>
  <c r="AP8"/>
  <c r="AN9" i="7" s="1"/>
  <c r="AN10" s="1"/>
  <c r="AC8" i="4"/>
  <c r="AA9" i="7" s="1"/>
  <c r="AA10" s="1"/>
  <c r="G10" i="4"/>
  <c r="H9"/>
  <c r="L21" i="7"/>
  <c r="L38" s="1"/>
  <c r="I10" i="4"/>
  <c r="H16"/>
  <c r="F20"/>
  <c r="D20" s="1"/>
  <c r="M16"/>
  <c r="G16"/>
  <c r="W8"/>
  <c r="U9" i="7" s="1"/>
  <c r="U10" s="1"/>
  <c r="I16" i="4"/>
  <c r="H10"/>
  <c r="G9"/>
  <c r="I9"/>
  <c r="AR8"/>
  <c r="AN8"/>
  <c r="AL9" i="7" s="1"/>
  <c r="AS8" i="4"/>
  <c r="AP13"/>
  <c r="AF8"/>
  <c r="AD9" i="7" s="1"/>
  <c r="AD10" s="1"/>
  <c r="AX8" i="4"/>
  <c r="AV9" i="7" s="1"/>
  <c r="AV10" s="1"/>
  <c r="AD8" i="4"/>
  <c r="AB9" i="7" s="1"/>
  <c r="AB10" s="1"/>
  <c r="AK8" i="4"/>
  <c r="AI9" i="7" s="1"/>
  <c r="AI10" s="1"/>
  <c r="AH8" i="4"/>
  <c r="AF9" i="7" s="1"/>
  <c r="AF10" s="1"/>
  <c r="AJ8" i="4"/>
  <c r="AH9" i="7" s="1"/>
  <c r="AH10" s="1"/>
  <c r="AW8" i="4"/>
  <c r="AU9" i="7" s="1"/>
  <c r="AU10" s="1"/>
  <c r="AU8" i="4"/>
  <c r="AS9" i="7" s="1"/>
  <c r="AS10" s="1"/>
  <c r="AY8" i="4"/>
  <c r="AW9" i="7" s="1"/>
  <c r="AW10" s="1"/>
  <c r="AO8" i="4"/>
  <c r="AM9" i="7" s="1"/>
  <c r="AM10" s="1"/>
  <c r="AM8" i="4"/>
  <c r="AK9" i="7" s="1"/>
  <c r="AK10" s="1"/>
  <c r="AB8" i="4"/>
  <c r="Z9" i="7" s="1"/>
  <c r="AQ8" i="4"/>
  <c r="AO9" i="7" s="1"/>
  <c r="AO10" s="1"/>
  <c r="AG8" i="4"/>
  <c r="AE9" i="7" s="1"/>
  <c r="AE10" s="1"/>
  <c r="AE8" i="4"/>
  <c r="AC9" i="7" s="1"/>
  <c r="AC10" s="1"/>
  <c r="AC13" i="4"/>
  <c r="AV8"/>
  <c r="AT9" i="7" s="1"/>
  <c r="AT10" s="1"/>
  <c r="AN13" i="4"/>
  <c r="AI8"/>
  <c r="AG9" i="7" s="1"/>
  <c r="AG10" s="1"/>
  <c r="AL8" i="4"/>
  <c r="AJ9" i="7" s="1"/>
  <c r="AJ10" s="1"/>
  <c r="AT8" i="4"/>
  <c r="AR9" i="7" s="1"/>
  <c r="AR10" s="1"/>
  <c r="P8" i="4"/>
  <c r="N9" i="7" s="1"/>
  <c r="X8" i="4"/>
  <c r="V9" i="7" s="1"/>
  <c r="V10" s="1"/>
  <c r="Y8" i="4"/>
  <c r="W9" i="7" s="1"/>
  <c r="W10" s="1"/>
  <c r="R8" i="4"/>
  <c r="P9" i="7" s="1"/>
  <c r="P10" s="1"/>
  <c r="V8" i="4"/>
  <c r="T9" i="7" s="1"/>
  <c r="T10" s="1"/>
  <c r="Q8" i="4"/>
  <c r="O9" i="7" s="1"/>
  <c r="O10" s="1"/>
  <c r="Z8" i="4"/>
  <c r="X9" i="7" s="1"/>
  <c r="X10" s="1"/>
  <c r="AA8" i="4"/>
  <c r="Y9" i="7" s="1"/>
  <c r="Y10" s="1"/>
  <c r="S8" i="4"/>
  <c r="Q9" i="7" s="1"/>
  <c r="T8" i="4"/>
  <c r="R9" i="7" s="1"/>
  <c r="R10" s="1"/>
  <c r="U8" i="4"/>
  <c r="S9" i="7" s="1"/>
  <c r="S10" s="1"/>
  <c r="Z10" l="1"/>
  <c r="F10" s="1"/>
  <c r="F9"/>
  <c r="N10"/>
  <c r="E9"/>
  <c r="AL10"/>
  <c r="AS13" i="4"/>
  <c r="AQ9" i="7"/>
  <c r="AQ10" s="1"/>
  <c r="Q10"/>
  <c r="T11" s="1"/>
  <c r="Q6"/>
  <c r="Q21" s="1"/>
  <c r="W13" i="4"/>
  <c r="W22" s="1"/>
  <c r="W25" s="1"/>
  <c r="AR13"/>
  <c r="AR22" s="1"/>
  <c r="AR25" s="1"/>
  <c r="AP9" i="7"/>
  <c r="AP10" s="1"/>
  <c r="AC22" i="4"/>
  <c r="AP22"/>
  <c r="AS22"/>
  <c r="AS25" s="1"/>
  <c r="AC25"/>
  <c r="AP25"/>
  <c r="D9"/>
  <c r="H8"/>
  <c r="AN22"/>
  <c r="G8"/>
  <c r="I8"/>
  <c r="M22"/>
  <c r="F16"/>
  <c r="D16" s="1"/>
  <c r="D10"/>
  <c r="AL6" i="7"/>
  <c r="AN6"/>
  <c r="AN21" s="1"/>
  <c r="AA6"/>
  <c r="AA21" s="1"/>
  <c r="U6"/>
  <c r="U21" s="1"/>
  <c r="P13" i="4"/>
  <c r="AG13"/>
  <c r="AI13"/>
  <c r="AQ13"/>
  <c r="AF13"/>
  <c r="AT13"/>
  <c r="AE13"/>
  <c r="AO13"/>
  <c r="AX13"/>
  <c r="AL13"/>
  <c r="AH13"/>
  <c r="AV13"/>
  <c r="AB13"/>
  <c r="AU13"/>
  <c r="AW13"/>
  <c r="AK13"/>
  <c r="AY13"/>
  <c r="AM13"/>
  <c r="AJ13"/>
  <c r="AD13"/>
  <c r="Z13"/>
  <c r="S13"/>
  <c r="AA13"/>
  <c r="Q13"/>
  <c r="O6" i="7"/>
  <c r="U13" i="4"/>
  <c r="V13"/>
  <c r="R13"/>
  <c r="Y13"/>
  <c r="T13"/>
  <c r="X13"/>
  <c r="AQ6" i="7" l="1"/>
  <c r="AQ21" s="1"/>
  <c r="G10"/>
  <c r="AL21"/>
  <c r="G9"/>
  <c r="E10"/>
  <c r="AP6"/>
  <c r="AP21" s="1"/>
  <c r="Q22" i="4"/>
  <c r="X22"/>
  <c r="Y22"/>
  <c r="Y25" s="1"/>
  <c r="AJ22"/>
  <c r="AJ25" s="1"/>
  <c r="AI22"/>
  <c r="AI25" s="1"/>
  <c r="AW22"/>
  <c r="AW25" s="1"/>
  <c r="AM22"/>
  <c r="AM25" s="1"/>
  <c r="AU22"/>
  <c r="AU25" s="1"/>
  <c r="AT22"/>
  <c r="AV22"/>
  <c r="AQ22"/>
  <c r="AQ25" s="1"/>
  <c r="R22"/>
  <c r="R25" s="1"/>
  <c r="AH22"/>
  <c r="AH25" s="1"/>
  <c r="S22"/>
  <c r="S25" s="1"/>
  <c r="AL22"/>
  <c r="AL25" s="1"/>
  <c r="AG22"/>
  <c r="AG25" s="1"/>
  <c r="AD22"/>
  <c r="AO22"/>
  <c r="AE22"/>
  <c r="AE25" s="1"/>
  <c r="AF22"/>
  <c r="AF25" s="1"/>
  <c r="AK22"/>
  <c r="AK25" s="1"/>
  <c r="AA22"/>
  <c r="AA25" s="1"/>
  <c r="V22"/>
  <c r="V25" s="1"/>
  <c r="T22"/>
  <c r="T25" s="1"/>
  <c r="U22"/>
  <c r="Z22"/>
  <c r="AY22"/>
  <c r="AY25" s="1"/>
  <c r="AX22"/>
  <c r="AX25" s="1"/>
  <c r="X25"/>
  <c r="AT25"/>
  <c r="U25"/>
  <c r="Q25"/>
  <c r="AD25"/>
  <c r="AV25"/>
  <c r="AO25"/>
  <c r="AN25"/>
  <c r="Z25"/>
  <c r="D8"/>
  <c r="I13"/>
  <c r="AB22"/>
  <c r="H13"/>
  <c r="N6" i="7"/>
  <c r="P22" i="4"/>
  <c r="G13"/>
  <c r="F22"/>
  <c r="AK6" i="7"/>
  <c r="AK21" s="1"/>
  <c r="AS6"/>
  <c r="AS21" s="1"/>
  <c r="AR6"/>
  <c r="AR21" s="1"/>
  <c r="R6"/>
  <c r="R21" s="1"/>
  <c r="AW6"/>
  <c r="AW21" s="1"/>
  <c r="AV6"/>
  <c r="AV21" s="1"/>
  <c r="Z6"/>
  <c r="O21"/>
  <c r="AT6"/>
  <c r="AT21" s="1"/>
  <c r="AM6"/>
  <c r="AM21" s="1"/>
  <c r="W6"/>
  <c r="W21" s="1"/>
  <c r="Y6"/>
  <c r="Y21" s="1"/>
  <c r="AU6"/>
  <c r="AU21" s="1"/>
  <c r="AF6"/>
  <c r="AF21" s="1"/>
  <c r="S6"/>
  <c r="S21" s="1"/>
  <c r="AH6"/>
  <c r="AH21" s="1"/>
  <c r="AC6"/>
  <c r="AC21" s="1"/>
  <c r="AG6"/>
  <c r="AG21" s="1"/>
  <c r="X6"/>
  <c r="X21" s="1"/>
  <c r="AD6"/>
  <c r="AD21" s="1"/>
  <c r="AB6"/>
  <c r="AB21" s="1"/>
  <c r="AI6"/>
  <c r="AI21" s="1"/>
  <c r="AO6"/>
  <c r="AO21" s="1"/>
  <c r="P6"/>
  <c r="P21" s="1"/>
  <c r="V6"/>
  <c r="V21" s="1"/>
  <c r="T6"/>
  <c r="T21" s="1"/>
  <c r="AJ6"/>
  <c r="AJ21" s="1"/>
  <c r="AE6"/>
  <c r="AE21" s="1"/>
  <c r="I9" i="2"/>
  <c r="I10"/>
  <c r="I2"/>
  <c r="H5"/>
  <c r="H9"/>
  <c r="H18"/>
  <c r="G18"/>
  <c r="G19"/>
  <c r="I19" s="1"/>
  <c r="G11"/>
  <c r="H11" s="1"/>
  <c r="G12"/>
  <c r="I12" s="1"/>
  <c r="G13"/>
  <c r="I13" s="1"/>
  <c r="G14"/>
  <c r="I14" s="1"/>
  <c r="G15"/>
  <c r="I15" s="1"/>
  <c r="G16"/>
  <c r="I16" s="1"/>
  <c r="G17"/>
  <c r="I17" s="1"/>
  <c r="G3"/>
  <c r="I3" s="1"/>
  <c r="G4"/>
  <c r="I4" s="1"/>
  <c r="G5"/>
  <c r="I5" s="1"/>
  <c r="G6"/>
  <c r="I6" s="1"/>
  <c r="G7"/>
  <c r="H7" s="1"/>
  <c r="G8"/>
  <c r="I8" s="1"/>
  <c r="G9"/>
  <c r="G10"/>
  <c r="G2"/>
  <c r="H2" s="1"/>
  <c r="N21" i="7" l="1"/>
  <c r="N38" s="1"/>
  <c r="E6"/>
  <c r="Z21"/>
  <c r="F6"/>
  <c r="G21"/>
  <c r="G6"/>
  <c r="I22" i="4"/>
  <c r="AE11" i="7"/>
  <c r="H22" i="4"/>
  <c r="AB25"/>
  <c r="G22"/>
  <c r="P25"/>
  <c r="AD11" i="7"/>
  <c r="AL11"/>
  <c r="D13" i="4"/>
  <c r="BJ11" i="7"/>
  <c r="BK11"/>
  <c r="BL11"/>
  <c r="AP11"/>
  <c r="AQ11"/>
  <c r="AO11"/>
  <c r="AK11"/>
  <c r="AJ11"/>
  <c r="AI11"/>
  <c r="BB11"/>
  <c r="BA11"/>
  <c r="BC11"/>
  <c r="BO11"/>
  <c r="BM11"/>
  <c r="BN11"/>
  <c r="W11"/>
  <c r="Y11"/>
  <c r="X11"/>
  <c r="AW11"/>
  <c r="AV11"/>
  <c r="AU11"/>
  <c r="AM11"/>
  <c r="BG11"/>
  <c r="BH11"/>
  <c r="BI11"/>
  <c r="AN11"/>
  <c r="BR11"/>
  <c r="BP11"/>
  <c r="BQ11"/>
  <c r="U11"/>
  <c r="V11"/>
  <c r="AZ11"/>
  <c r="AY11"/>
  <c r="AX11"/>
  <c r="AH11"/>
  <c r="AF11"/>
  <c r="AG11"/>
  <c r="AR11"/>
  <c r="AS11"/>
  <c r="AT11"/>
  <c r="AC11"/>
  <c r="BF11"/>
  <c r="BE11"/>
  <c r="BD11"/>
  <c r="BS11"/>
  <c r="BT11"/>
  <c r="BU11"/>
  <c r="AA11"/>
  <c r="Z11"/>
  <c r="AB11"/>
  <c r="H19" i="2"/>
  <c r="I20"/>
  <c r="H17"/>
  <c r="H16"/>
  <c r="H6"/>
  <c r="H15"/>
  <c r="H14"/>
  <c r="H4"/>
  <c r="H13"/>
  <c r="H3"/>
  <c r="G20"/>
  <c r="H12"/>
  <c r="G34" i="7" l="1"/>
  <c r="G38"/>
  <c r="E21"/>
  <c r="E38" s="1"/>
  <c r="K26"/>
  <c r="G11"/>
  <c r="H11"/>
  <c r="F11"/>
  <c r="I11"/>
  <c r="F21"/>
  <c r="D22" i="4"/>
  <c r="BS24"/>
  <c r="BC24"/>
  <c r="BK24"/>
  <c r="BT24"/>
  <c r="BD24"/>
  <c r="AZ24"/>
  <c r="BN24"/>
  <c r="BV24"/>
  <c r="BF24"/>
  <c r="BP24"/>
  <c r="BH24"/>
  <c r="BQ24"/>
  <c r="BL24"/>
  <c r="BA24"/>
  <c r="BI24"/>
  <c r="BR24"/>
  <c r="BB24"/>
  <c r="BJ24"/>
  <c r="BM24"/>
  <c r="BU24"/>
  <c r="BE24"/>
  <c r="BO24"/>
  <c r="BW24"/>
  <c r="BG24"/>
  <c r="P24"/>
  <c r="K21" i="7"/>
  <c r="D21" s="1"/>
  <c r="AF24" i="4"/>
  <c r="AN24"/>
  <c r="AV24"/>
  <c r="AO24"/>
  <c r="AW24"/>
  <c r="AH24"/>
  <c r="AX24"/>
  <c r="AY24"/>
  <c r="AS24"/>
  <c r="AL24"/>
  <c r="AU24"/>
  <c r="AG24"/>
  <c r="AI24"/>
  <c r="AJ24"/>
  <c r="AC24"/>
  <c r="AT24"/>
  <c r="AP24"/>
  <c r="AQ24"/>
  <c r="AR24"/>
  <c r="AM24"/>
  <c r="AB24"/>
  <c r="AK24"/>
  <c r="AD24"/>
  <c r="AE24"/>
  <c r="H20" i="2"/>
  <c r="W24" i="4"/>
  <c r="R24"/>
  <c r="AA24"/>
  <c r="T24"/>
  <c r="U24"/>
  <c r="V24"/>
  <c r="X24"/>
  <c r="Q24"/>
  <c r="Y24"/>
  <c r="Z24"/>
  <c r="S24"/>
  <c r="K38" i="7" l="1"/>
  <c r="F34"/>
  <c r="F38"/>
  <c r="K36"/>
  <c r="K27"/>
  <c r="D27" s="1"/>
  <c r="D26"/>
  <c r="H24" i="4"/>
  <c r="J24"/>
  <c r="I24"/>
  <c r="K24"/>
  <c r="G24"/>
  <c r="D38" i="7" l="1"/>
  <c r="L36"/>
  <c r="M36" s="1"/>
  <c r="N36" s="1"/>
  <c r="D24" i="4"/>
  <c r="F18" i="9" l="1"/>
  <c r="K24" i="7"/>
  <c r="K23" s="1"/>
  <c r="D24"/>
  <c r="P32" l="1"/>
  <c r="P29" s="1"/>
  <c r="O32"/>
  <c r="K25"/>
  <c r="P38" l="1"/>
  <c r="O36"/>
  <c r="P36" s="1"/>
  <c r="O38"/>
  <c r="Q32"/>
  <c r="K31"/>
  <c r="D23"/>
  <c r="D31" s="1"/>
  <c r="D29" s="1"/>
  <c r="D34" s="1"/>
  <c r="R11"/>
  <c r="D25"/>
  <c r="S11"/>
  <c r="Q11"/>
  <c r="R32" l="1"/>
  <c r="R38" s="1"/>
  <c r="Q38"/>
  <c r="Q29"/>
  <c r="Q36"/>
  <c r="M27" i="4"/>
  <c r="M29" s="1"/>
  <c r="K29" i="7"/>
  <c r="K34" s="1"/>
  <c r="E11"/>
  <c r="R36" l="1"/>
  <c r="S32"/>
  <c r="T32" s="1"/>
  <c r="R29"/>
  <c r="L31"/>
  <c r="S36" l="1"/>
  <c r="S29"/>
  <c r="S38"/>
  <c r="T36"/>
  <c r="U32"/>
  <c r="T38"/>
  <c r="L29"/>
  <c r="L34" s="1"/>
  <c r="N27" i="4"/>
  <c r="T29" i="7"/>
  <c r="U36" l="1"/>
  <c r="U29"/>
  <c r="U38"/>
  <c r="V32"/>
  <c r="N29" i="4"/>
  <c r="V36" i="7" l="1"/>
  <c r="W32"/>
  <c r="X32" s="1"/>
  <c r="V38"/>
  <c r="V29"/>
  <c r="M31"/>
  <c r="W36" l="1"/>
  <c r="X36" s="1"/>
  <c r="Y32"/>
  <c r="X38"/>
  <c r="W38"/>
  <c r="W29"/>
  <c r="X29"/>
  <c r="M29"/>
  <c r="M34" s="1"/>
  <c r="O27" i="4"/>
  <c r="Y36" i="7" l="1"/>
  <c r="Z32"/>
  <c r="Y38"/>
  <c r="D36"/>
  <c r="Y29"/>
  <c r="O29" i="4"/>
  <c r="F29" s="1"/>
  <c r="N31" i="7"/>
  <c r="N29" s="1"/>
  <c r="N34" s="1"/>
  <c r="AA32" l="1"/>
  <c r="AA38" s="1"/>
  <c r="Z38"/>
  <c r="Z36"/>
  <c r="Z29"/>
  <c r="P27" i="4"/>
  <c r="AA36" i="7" l="1"/>
  <c r="AB32"/>
  <c r="AB36" s="1"/>
  <c r="AA29"/>
  <c r="P29" i="4"/>
  <c r="AB38" i="7" l="1"/>
  <c r="AC32"/>
  <c r="AC36" s="1"/>
  <c r="AB29"/>
  <c r="O31"/>
  <c r="AC38" l="1"/>
  <c r="AD32"/>
  <c r="AE32" s="1"/>
  <c r="Q27" i="4"/>
  <c r="R27" s="1"/>
  <c r="O29" i="7"/>
  <c r="O34" s="1"/>
  <c r="AC29"/>
  <c r="E31"/>
  <c r="E29" s="1"/>
  <c r="E34" s="1"/>
  <c r="AD36" l="1"/>
  <c r="AD38"/>
  <c r="AE36"/>
  <c r="Q29" i="4"/>
  <c r="AF32" i="7"/>
  <c r="AE38"/>
  <c r="P34"/>
  <c r="Q34" s="1"/>
  <c r="R34" s="1"/>
  <c r="S34" s="1"/>
  <c r="T34" s="1"/>
  <c r="U34" s="1"/>
  <c r="V34" s="1"/>
  <c r="W34" s="1"/>
  <c r="X34" s="1"/>
  <c r="Y34" s="1"/>
  <c r="Z34" s="1"/>
  <c r="AA34" s="1"/>
  <c r="AB34" s="1"/>
  <c r="AC34" s="1"/>
  <c r="AD34" s="1"/>
  <c r="S27" i="4"/>
  <c r="S29" s="1"/>
  <c r="R29"/>
  <c r="AD29" i="7"/>
  <c r="AG32" l="1"/>
  <c r="AF38"/>
  <c r="T27" i="4"/>
  <c r="T29" s="1"/>
  <c r="AF36" i="7"/>
  <c r="E36"/>
  <c r="AE29"/>
  <c r="AE34" s="1"/>
  <c r="U27" i="4" l="1"/>
  <c r="U29" s="1"/>
  <c r="AG36" i="7"/>
  <c r="AH32"/>
  <c r="AG38"/>
  <c r="AF29"/>
  <c r="AF34" s="1"/>
  <c r="V27" i="4" l="1"/>
  <c r="V29" s="1"/>
  <c r="AI32" i="7"/>
  <c r="AH38"/>
  <c r="AH36"/>
  <c r="AG29"/>
  <c r="AG34" s="1"/>
  <c r="W27" i="4" l="1"/>
  <c r="W29" s="1"/>
  <c r="AI36" i="7"/>
  <c r="AJ32"/>
  <c r="AI38"/>
  <c r="AH29"/>
  <c r="AH34" s="1"/>
  <c r="X27" i="4" l="1"/>
  <c r="X29" s="1"/>
  <c r="AK32" i="7"/>
  <c r="AJ38"/>
  <c r="AJ36"/>
  <c r="AI29"/>
  <c r="AI34" s="1"/>
  <c r="Y27" i="4" l="1"/>
  <c r="Z27" s="1"/>
  <c r="AK36" i="7"/>
  <c r="AL32"/>
  <c r="AK38"/>
  <c r="AJ29"/>
  <c r="AJ34" s="1"/>
  <c r="Y29" i="4" l="1"/>
  <c r="AM32" i="7"/>
  <c r="AL38"/>
  <c r="AL36"/>
  <c r="Z29" i="4"/>
  <c r="AA27"/>
  <c r="AK29" i="7"/>
  <c r="AK34" s="1"/>
  <c r="AM36" l="1"/>
  <c r="AN32"/>
  <c r="AM38"/>
  <c r="AB27" i="4"/>
  <c r="AA29"/>
  <c r="AL29" i="7"/>
  <c r="AL34" s="1"/>
  <c r="AO32" l="1"/>
  <c r="AN38"/>
  <c r="AN36"/>
  <c r="AB29" i="4"/>
  <c r="AC27"/>
  <c r="AM29" i="7"/>
  <c r="AM34" s="1"/>
  <c r="AO36" l="1"/>
  <c r="AP32"/>
  <c r="AO38"/>
  <c r="AD27" i="4"/>
  <c r="AC29"/>
  <c r="F36" i="7"/>
  <c r="AN29"/>
  <c r="AN34" s="1"/>
  <c r="AQ32" l="1"/>
  <c r="AP38"/>
  <c r="AP36"/>
  <c r="AQ36" s="1"/>
  <c r="AE27" i="4"/>
  <c r="AD29"/>
  <c r="AO29" i="7"/>
  <c r="AO34" s="1"/>
  <c r="AR32" l="1"/>
  <c r="AQ38"/>
  <c r="AF27" i="4"/>
  <c r="AE29"/>
  <c r="AP29" i="7"/>
  <c r="AP34" s="1"/>
  <c r="AS32" l="1"/>
  <c r="AR38"/>
  <c r="AR36"/>
  <c r="AS36" s="1"/>
  <c r="AF29" i="4"/>
  <c r="AG27"/>
  <c r="AQ29" i="7"/>
  <c r="AQ34" s="1"/>
  <c r="AT32" l="1"/>
  <c r="AS38"/>
  <c r="AH27" i="4"/>
  <c r="AG29"/>
  <c r="AR29" i="7"/>
  <c r="AR34" s="1"/>
  <c r="AU32" l="1"/>
  <c r="AT38"/>
  <c r="AT36"/>
  <c r="AU36" s="1"/>
  <c r="AI27" i="4"/>
  <c r="AH29"/>
  <c r="AS29" i="7"/>
  <c r="AS34" s="1"/>
  <c r="AV32" l="1"/>
  <c r="AU38"/>
  <c r="AI29" i="4"/>
  <c r="AJ27"/>
  <c r="AT29" i="7"/>
  <c r="AT34" s="1"/>
  <c r="AW32" l="1"/>
  <c r="AV38"/>
  <c r="AV36"/>
  <c r="AW36" s="1"/>
  <c r="AK27" i="4"/>
  <c r="AJ29"/>
  <c r="AU29" i="7"/>
  <c r="AU34" s="1"/>
  <c r="AX32" l="1"/>
  <c r="AW38"/>
  <c r="AL27" i="4"/>
  <c r="AK29"/>
  <c r="AV29" i="7"/>
  <c r="AV34" s="1"/>
  <c r="AY32" l="1"/>
  <c r="AX38"/>
  <c r="AX36"/>
  <c r="AY36" s="1"/>
  <c r="AM27" i="4"/>
  <c r="AL29"/>
  <c r="AW29" i="7"/>
  <c r="AW34" s="1"/>
  <c r="AZ32" l="1"/>
  <c r="AY38"/>
  <c r="AM29" i="4"/>
  <c r="AN27"/>
  <c r="AX29" i="7"/>
  <c r="AX34" s="1"/>
  <c r="BA32" l="1"/>
  <c r="AZ38"/>
  <c r="AZ36"/>
  <c r="BA36" s="1"/>
  <c r="AO27" i="4"/>
  <c r="AN29"/>
  <c r="AY29" i="7"/>
  <c r="AY34" s="1"/>
  <c r="BB32" l="1"/>
  <c r="BA38"/>
  <c r="AO29" i="4"/>
  <c r="AP27"/>
  <c r="AZ29" i="7"/>
  <c r="AZ34" s="1"/>
  <c r="BC32" l="1"/>
  <c r="BB38"/>
  <c r="BB36"/>
  <c r="BC36" s="1"/>
  <c r="AQ27" i="4"/>
  <c r="AP29"/>
  <c r="BA29" i="7"/>
  <c r="BA34" s="1"/>
  <c r="BD32" l="1"/>
  <c r="BC38"/>
  <c r="AQ29" i="4"/>
  <c r="AR27"/>
  <c r="BB29" i="7"/>
  <c r="BB34" s="1"/>
  <c r="BE32" l="1"/>
  <c r="BD38"/>
  <c r="BD36"/>
  <c r="BE36" s="1"/>
  <c r="AS27" i="4"/>
  <c r="AR29"/>
  <c r="BC29" i="7"/>
  <c r="BC34" s="1"/>
  <c r="BF32" l="1"/>
  <c r="BE38"/>
  <c r="AS29" i="4"/>
  <c r="AT27"/>
  <c r="BD29" i="7"/>
  <c r="BD34" s="1"/>
  <c r="BG32" l="1"/>
  <c r="BF38"/>
  <c r="BF36"/>
  <c r="BG36" s="1"/>
  <c r="AT29" i="4"/>
  <c r="AU27"/>
  <c r="BE29" i="7"/>
  <c r="BE34" s="1"/>
  <c r="BH32" l="1"/>
  <c r="BG38"/>
  <c r="AU29" i="4"/>
  <c r="AV27"/>
  <c r="BF29" i="7"/>
  <c r="BF34" s="1"/>
  <c r="BI32" l="1"/>
  <c r="BH38"/>
  <c r="BH36"/>
  <c r="BI36" s="1"/>
  <c r="AW27" i="4"/>
  <c r="AV29"/>
  <c r="BG29" i="7"/>
  <c r="BG34" s="1"/>
  <c r="BJ32" l="1"/>
  <c r="BI38"/>
  <c r="AW29" i="4"/>
  <c r="AX27"/>
  <c r="BH29" i="7"/>
  <c r="BH34" s="1"/>
  <c r="BK32" l="1"/>
  <c r="BJ38"/>
  <c r="BJ36"/>
  <c r="BK36" s="1"/>
  <c r="AY27" i="4"/>
  <c r="AX29"/>
  <c r="BI29" i="7"/>
  <c r="BI34" s="1"/>
  <c r="BL32" l="1"/>
  <c r="BK38"/>
  <c r="AZ27" i="4"/>
  <c r="AY29"/>
  <c r="BJ29" i="7"/>
  <c r="BM32" l="1"/>
  <c r="BL38"/>
  <c r="BL36"/>
  <c r="BM36" s="1"/>
  <c r="BA27" i="4"/>
  <c r="AZ29"/>
  <c r="BJ34" i="7"/>
  <c r="BK29"/>
  <c r="BK34" l="1"/>
  <c r="BN32"/>
  <c r="BM38"/>
  <c r="BB27" i="4"/>
  <c r="BA29"/>
  <c r="BL29" i="7"/>
  <c r="BO32" l="1"/>
  <c r="BN38"/>
  <c r="BN36"/>
  <c r="BO36" s="1"/>
  <c r="BB29" i="4"/>
  <c r="BC27"/>
  <c r="BL34" i="7"/>
  <c r="BM29"/>
  <c r="BM34" l="1"/>
  <c r="BP32"/>
  <c r="BO38"/>
  <c r="BD27" i="4"/>
  <c r="BC29"/>
  <c r="BN29" i="7"/>
  <c r="BQ32" l="1"/>
  <c r="BP38"/>
  <c r="BP36"/>
  <c r="BQ36" s="1"/>
  <c r="BD29" i="4"/>
  <c r="BE27"/>
  <c r="BN34" i="7"/>
  <c r="BO29"/>
  <c r="BO34" l="1"/>
  <c r="BR32"/>
  <c r="BQ38"/>
  <c r="BE29" i="4"/>
  <c r="BF27"/>
  <c r="BP29" i="7"/>
  <c r="BS32" l="1"/>
  <c r="BR38"/>
  <c r="BR36"/>
  <c r="BS36" s="1"/>
  <c r="BF29" i="4"/>
  <c r="BG27"/>
  <c r="BP34" i="7"/>
  <c r="BQ29"/>
  <c r="BQ34" l="1"/>
  <c r="BT32"/>
  <c r="BS38"/>
  <c r="BH27" i="4"/>
  <c r="BG29"/>
  <c r="BR29" i="7"/>
  <c r="BU32" l="1"/>
  <c r="BT38"/>
  <c r="BT36"/>
  <c r="BU36" s="1"/>
  <c r="D40" s="1"/>
  <c r="M11" i="9" s="1"/>
  <c r="BI27" i="4"/>
  <c r="BH29"/>
  <c r="BR34" i="7"/>
  <c r="BS29"/>
  <c r="BS34" l="1"/>
  <c r="BV32"/>
  <c r="BU38"/>
  <c r="M7" i="9" s="1"/>
  <c r="BI29" i="4"/>
  <c r="BJ27"/>
  <c r="BT29" i="7"/>
  <c r="M9" i="9" l="1"/>
  <c r="M13"/>
  <c r="BJ29" i="4"/>
  <c r="BK27"/>
  <c r="BK29" s="1"/>
  <c r="BT34" i="7"/>
  <c r="BU29"/>
  <c r="I29" s="1"/>
  <c r="BL27" i="4" l="1"/>
  <c r="I34" i="7"/>
  <c r="BU34"/>
  <c r="BL29" i="4" l="1"/>
  <c r="BM27"/>
  <c r="G36" i="7"/>
  <c r="H36"/>
  <c r="I36"/>
  <c r="BM29" i="4" l="1"/>
  <c r="BN27"/>
  <c r="BO27" l="1"/>
  <c r="BO29" s="1"/>
  <c r="BN29"/>
  <c r="BP27" l="1"/>
  <c r="BQ27" l="1"/>
  <c r="BP29"/>
  <c r="BQ29" l="1"/>
  <c r="BR27"/>
  <c r="BS27" l="1"/>
  <c r="BR29"/>
  <c r="BS29" l="1"/>
  <c r="BT27"/>
  <c r="BT29" l="1"/>
  <c r="BU27"/>
  <c r="BU29" s="1"/>
  <c r="BV27" l="1"/>
  <c r="BV29" s="1"/>
  <c r="G29"/>
  <c r="H29"/>
  <c r="I29"/>
  <c r="J29"/>
  <c r="BW27" l="1"/>
  <c r="BW29" s="1"/>
  <c r="K29" s="1"/>
  <c r="D29" s="1"/>
</calcChain>
</file>

<file path=xl/comments1.xml><?xml version="1.0" encoding="utf-8"?>
<comments xmlns="http://schemas.openxmlformats.org/spreadsheetml/2006/main">
  <authors>
    <author>Дмитрий</author>
  </authors>
  <commentList>
    <comment ref="F5" authorId="0">
      <text>
        <r>
          <rPr>
            <sz val="9"/>
            <color indexed="81"/>
            <rFont val="Tahoma"/>
            <family val="2"/>
            <charset val="204"/>
          </rPr>
          <t xml:space="preserve"> не менять, исходим из срока полезного использования оборудования</t>
        </r>
      </text>
    </comment>
    <comment ref="F26" authorId="0">
      <text>
        <r>
          <rPr>
            <sz val="9"/>
            <color indexed="81"/>
            <rFont val="Tahoma"/>
            <family val="2"/>
            <charset val="204"/>
          </rPr>
          <t>не более пяти</t>
        </r>
      </text>
    </comment>
  </commentList>
</comments>
</file>

<file path=xl/comments2.xml><?xml version="1.0" encoding="utf-8"?>
<comments xmlns="http://schemas.openxmlformats.org/spreadsheetml/2006/main">
  <authors>
    <author>Дмитрий</author>
  </authors>
  <commentList>
    <comment ref="B31" authorId="0">
      <text>
        <r>
          <rPr>
            <sz val="9"/>
            <color indexed="81"/>
            <rFont val="Tahoma"/>
            <family val="2"/>
            <charset val="204"/>
          </rPr>
          <t>для финансирования оборотного капитала</t>
        </r>
      </text>
    </comment>
  </commentList>
</comments>
</file>

<file path=xl/comments3.xml><?xml version="1.0" encoding="utf-8"?>
<comments xmlns="http://schemas.openxmlformats.org/spreadsheetml/2006/main">
  <authors>
    <author>Дмитрий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срок полезного использования не изменять</t>
        </r>
      </text>
    </comment>
  </commentList>
</comments>
</file>

<file path=xl/sharedStrings.xml><?xml version="1.0" encoding="utf-8"?>
<sst xmlns="http://schemas.openxmlformats.org/spreadsheetml/2006/main" count="270" uniqueCount="229">
  <si>
    <t>№</t>
  </si>
  <si>
    <t>Наименование</t>
  </si>
  <si>
    <t>назначение</t>
  </si>
  <si>
    <t>Модель\марка</t>
  </si>
  <si>
    <t>Кол-во</t>
  </si>
  <si>
    <t>Цена\шт.</t>
  </si>
  <si>
    <t xml:space="preserve">Сумма  </t>
  </si>
  <si>
    <t>4-хсторонний станок  б\у</t>
  </si>
  <si>
    <t>профилирование бруска</t>
  </si>
  <si>
    <t>Beaver 420-520</t>
  </si>
  <si>
    <t>профилирования фанеры</t>
  </si>
  <si>
    <t>Форматно-раскроечный станок  б\у</t>
  </si>
  <si>
    <t>для деления фанеры</t>
  </si>
  <si>
    <t>ROJEK PF 400 S</t>
  </si>
  <si>
    <t>Торцовочный станок</t>
  </si>
  <si>
    <t xml:space="preserve"> Торцовка фанеры , бруска,заготовок для сращивания</t>
  </si>
  <si>
    <t>PATRIOT MS 305</t>
  </si>
  <si>
    <t xml:space="preserve"> Винтовой компрессор  с осушителем</t>
  </si>
  <si>
    <t>Подача сжатого воздуха</t>
  </si>
  <si>
    <t>COMARO LB 15-500 E</t>
  </si>
  <si>
    <t xml:space="preserve">Пресс для  бруса\щита    </t>
  </si>
  <si>
    <t>Прессование балки после сборки</t>
  </si>
  <si>
    <t>ВП-1 пр (L-4,5 м. Н- 1.2 м.,S-100)</t>
  </si>
  <si>
    <t xml:space="preserve"> Комплект : поточный пресс с клеемазом и торцовкой </t>
  </si>
  <si>
    <t>Нанесение клея, прессование, торцовка</t>
  </si>
  <si>
    <t>Пресс гидровлический горизонтальный БДК200-4,станок нанесения клея в паз СНК 100,рольганги</t>
  </si>
  <si>
    <t>Торцовочный станок для балки  ( шириной пропила более 200 мм)</t>
  </si>
  <si>
    <t>Торцовка балки</t>
  </si>
  <si>
    <t xml:space="preserve">СТ-1-450  </t>
  </si>
  <si>
    <t xml:space="preserve">  Станок для окраски балки</t>
  </si>
  <si>
    <t>Покраска балки</t>
  </si>
  <si>
    <t>Рапидо 250\6 ООО «Тигруп»</t>
  </si>
  <si>
    <t>Красконагнетальный бак  40 л.</t>
  </si>
  <si>
    <t>покраска вручную краскопультами</t>
  </si>
  <si>
    <t>Атаком</t>
  </si>
  <si>
    <t>Сращивание заготовок</t>
  </si>
  <si>
    <t>Завод СЗДО г.Кимры</t>
  </si>
  <si>
    <t xml:space="preserve">пресс ПС-3(L-4,5),клеемаз </t>
  </si>
  <si>
    <t xml:space="preserve">Торцовочный станок  с протяжкой </t>
  </si>
  <si>
    <t xml:space="preserve"> для зарезки углов под 45 гр.</t>
  </si>
  <si>
    <t>Погрузчик  3тн.б\у</t>
  </si>
  <si>
    <t>Рохля</t>
  </si>
  <si>
    <t>Перемещение подукции и заготовок в цехе</t>
  </si>
  <si>
    <t>Внутрицеховая аспирация с бункером</t>
  </si>
  <si>
    <t>Удаление опилок</t>
  </si>
  <si>
    <t>Под заказ</t>
  </si>
  <si>
    <t>Покрасочная камера с водяной завесой б\у</t>
  </si>
  <si>
    <t>Удаление испарений после покраски</t>
  </si>
  <si>
    <t>патриот W 4000</t>
  </si>
  <si>
    <t xml:space="preserve">Заточной станок для дисковых пил </t>
  </si>
  <si>
    <t>Заточка пил</t>
  </si>
  <si>
    <t>СЗТП 600 т</t>
  </si>
  <si>
    <t xml:space="preserve">шипорез ШС- 3
В комплекте  линия сращивания </t>
  </si>
  <si>
    <t>Вариант закупки 2</t>
  </si>
  <si>
    <t>Объём производства</t>
  </si>
  <si>
    <t>м.п.</t>
  </si>
  <si>
    <t xml:space="preserve">м.п. </t>
  </si>
  <si>
    <t>Длина одной балки</t>
  </si>
  <si>
    <t xml:space="preserve">1.Фанера </t>
  </si>
  <si>
    <t>16666шт .\10 шт.(из 1 листа фанеры 1525 х 3050 выходит 10 шт.заготовок 150 х 3000) = 1667 листов</t>
  </si>
  <si>
    <t>-  по 3550 руб.(сорт4\4) = 5920000 руб.</t>
  </si>
  <si>
    <r>
      <t xml:space="preserve">-  2650 руб (строит) =  </t>
    </r>
    <r>
      <rPr>
        <b/>
        <i/>
        <sz val="14"/>
        <color rgb="FF000000"/>
        <rFont val="Arial"/>
        <family val="2"/>
        <charset val="204"/>
      </rPr>
      <t>4 418 000 руб.</t>
    </r>
  </si>
  <si>
    <t xml:space="preserve">2.Брусок </t>
  </si>
  <si>
    <t>Для производства  50000 п.м.балки  требуется 100 000 п.м.бруска размером 40х 80 х 3000  или  320 куб.м.Количество входящего пиломатериала ( 44 х 84 х 100000 ) – 370 куб.м.</t>
  </si>
  <si>
    <r>
      <t xml:space="preserve">Итого стоимость бруска 370 х 12000 руб\куб = </t>
    </r>
    <r>
      <rPr>
        <b/>
        <i/>
        <sz val="14"/>
        <color rgb="FF000000"/>
        <rFont val="Arial"/>
        <family val="2"/>
        <charset val="204"/>
      </rPr>
      <t>4 440 00 руб.</t>
    </r>
  </si>
  <si>
    <t xml:space="preserve">3.Клей </t>
  </si>
  <si>
    <r>
      <t xml:space="preserve">Расход клея на 1 кв.м. – оринт. 80-100 гр. 4 (стороны паза) х13 мм.(глубина паза) х 100000 п.м. = 5200 кв.м. х 100гр.= 520 кг. х 170 руб.=  </t>
    </r>
    <r>
      <rPr>
        <b/>
        <i/>
        <sz val="14"/>
        <color rgb="FF000000"/>
        <rFont val="Arial"/>
        <family val="2"/>
        <charset val="204"/>
      </rPr>
      <t>88 400руб.</t>
    </r>
  </si>
  <si>
    <t>4.Краска</t>
  </si>
  <si>
    <t>Расход краски на м.кв. – 150-200 гр. В одной балке 200 х 3000 = 0,6м2 + 56 х 2 х 3000(внутренняя поверхность)0.336 м2 + 80 х 2х3000(наружная поверхность)0,48 м2. Итого 1.416 м2 х  200гр. = 283 гр.\1 балка</t>
  </si>
  <si>
    <r>
      <t xml:space="preserve">16666шт. х 283 гр =  4700 кг. х 36 руб\кг. =  </t>
    </r>
    <r>
      <rPr>
        <b/>
        <i/>
        <sz val="14"/>
        <color rgb="FF000000"/>
        <rFont val="Arial"/>
        <family val="2"/>
        <charset val="204"/>
      </rPr>
      <t xml:space="preserve">170 000 </t>
    </r>
    <r>
      <rPr>
        <sz val="14"/>
        <color rgb="FF000000"/>
        <rFont val="Arial"/>
        <family val="2"/>
        <charset val="204"/>
      </rPr>
      <t>руб.</t>
    </r>
  </si>
  <si>
    <t>Объём производства в месяц</t>
  </si>
  <si>
    <t>балок</t>
  </si>
  <si>
    <t>руб/куб м</t>
  </si>
  <si>
    <t xml:space="preserve">фанера ФСФ 24 х 1525 х 3050 сорт ,строительная </t>
  </si>
  <si>
    <t>руб/лист</t>
  </si>
  <si>
    <t>клей KESTOKOL  D  350</t>
  </si>
  <si>
    <t>руб/литр</t>
  </si>
  <si>
    <t>Краска ВД-АК 0210 акриловая желтая для балок (опалубки) ЕВРОСТАНДАРТ</t>
  </si>
  <si>
    <t>руб/кг</t>
  </si>
  <si>
    <t>Из одного листа фанеры</t>
  </si>
  <si>
    <t>заготовок</t>
  </si>
  <si>
    <t xml:space="preserve">руб. </t>
  </si>
  <si>
    <t xml:space="preserve">фанера ФСФ 24 х 1525 х 3050 сорт ,4/4 </t>
  </si>
  <si>
    <t>Расход строительной фанеры на одну балку</t>
  </si>
  <si>
    <t>Расход фанеры 4/4 на одну балку</t>
  </si>
  <si>
    <t>куб.м. доски</t>
  </si>
  <si>
    <t>Для производства одного п.м. балки требуется</t>
  </si>
  <si>
    <t>на доски</t>
  </si>
  <si>
    <t>руб.</t>
  </si>
  <si>
    <t>Расход клея на 1 п.м. балки</t>
  </si>
  <si>
    <t>Расход краски на 1 м.п. балки</t>
  </si>
  <si>
    <t>ФОТ</t>
  </si>
  <si>
    <t>руб/мес.</t>
  </si>
  <si>
    <t>Стоимость продажи</t>
  </si>
  <si>
    <t>руб. п. м.</t>
  </si>
  <si>
    <t>Выручка</t>
  </si>
  <si>
    <t>январь</t>
  </si>
  <si>
    <t>Сезонность продаж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</si>
  <si>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</si>
  <si>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</si>
  <si>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</si>
  <si>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</si>
  <si>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</si>
  <si>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</si>
  <si>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</si>
  <si>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</si>
  <si>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</si>
  <si>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</si>
  <si>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</si>
  <si>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Вариант заупкт оборудования</t>
  </si>
  <si>
    <t>Вариант закупки 1</t>
  </si>
  <si>
    <t>Стоимость доски 1-2 сорт 44 х 84 х 6100 влажность до 12%</t>
  </si>
  <si>
    <t>&lt;-  если есть сезонность, проставить соответствующие коэффициенты</t>
  </si>
  <si>
    <t>Стандартный объём продаж в месяц</t>
  </si>
  <si>
    <t>Доска</t>
  </si>
  <si>
    <t>Фанера</t>
  </si>
  <si>
    <t>Вид фанеры</t>
  </si>
  <si>
    <t>строительная</t>
  </si>
  <si>
    <t>4/4</t>
  </si>
  <si>
    <t>Клей, краска</t>
  </si>
  <si>
    <t>Операция</t>
  </si>
  <si>
    <t>Кол. Человек</t>
  </si>
  <si>
    <t>Зарплата</t>
  </si>
  <si>
    <t>Итого затраты</t>
  </si>
  <si>
    <t>Форматно-раскроечный станок (фанера)</t>
  </si>
  <si>
    <t>Четырёхсторонний станок (фанера)</t>
  </si>
  <si>
    <t>Четырёхсторонний станок (брусок)</t>
  </si>
  <si>
    <t>Сборка и запрессовка</t>
  </si>
  <si>
    <t>Обрезка углов</t>
  </si>
  <si>
    <t>Погрузчик</t>
  </si>
  <si>
    <t>Начальник производства</t>
  </si>
  <si>
    <t>Наладчик</t>
  </si>
  <si>
    <t>Мастер смены</t>
  </si>
  <si>
    <t>см. лист ФОТ</t>
  </si>
  <si>
    <t>Непроизводственные расходы в месяц</t>
  </si>
  <si>
    <t>Аренда помещений</t>
  </si>
  <si>
    <t>Амортизация оборудования</t>
  </si>
  <si>
    <t>EBITDA</t>
  </si>
  <si>
    <t>Ставка дисконтирования</t>
  </si>
  <si>
    <t>годовых</t>
  </si>
  <si>
    <t>Итого</t>
  </si>
  <si>
    <t>Взносы соц. Страхование</t>
  </si>
  <si>
    <t>Статья</t>
  </si>
  <si>
    <t>Себестоимость</t>
  </si>
  <si>
    <t>Операционные расходы</t>
  </si>
  <si>
    <t>Срок полезного использования</t>
  </si>
  <si>
    <t>лет</t>
  </si>
  <si>
    <t>EBIT</t>
  </si>
  <si>
    <t>CASH FLOW (отчет о движении денежных средств, ДДС)</t>
  </si>
  <si>
    <t>P&amp;L (отчёт о прибылях и убытках)</t>
  </si>
  <si>
    <t>Выручка от клиентов</t>
  </si>
  <si>
    <t>Выйдут вместе с покупкой оборудования</t>
  </si>
  <si>
    <t>Валовая прибыль</t>
  </si>
  <si>
    <t>Инфляция</t>
  </si>
  <si>
    <t>в год</t>
  </si>
  <si>
    <t>подробнее на листе CAPEX</t>
  </si>
  <si>
    <t>аренда помещения</t>
  </si>
  <si>
    <t>руб/мес</t>
  </si>
  <si>
    <t>Итого по проекту</t>
  </si>
  <si>
    <t>Прочие непроизводственные расходы</t>
  </si>
  <si>
    <t>Оплата поставщикам сырья и материалов</t>
  </si>
  <si>
    <t>Оплата остальных расходов</t>
  </si>
  <si>
    <t>ФОТ+соц. Страх</t>
  </si>
  <si>
    <t>Прочие</t>
  </si>
  <si>
    <t>Денежный поток от основной деятельности</t>
  </si>
  <si>
    <t>месяцев</t>
  </si>
  <si>
    <t>система налогооблажения</t>
  </si>
  <si>
    <t>ОСН</t>
  </si>
  <si>
    <t>УСН, 6%</t>
  </si>
  <si>
    <t>В том числе НДС полученный</t>
  </si>
  <si>
    <t>в т.ч. НДС</t>
  </si>
  <si>
    <t>НДС к уплате/возмещению</t>
  </si>
  <si>
    <t>Налог на прибыль</t>
  </si>
  <si>
    <t>ЕНВД</t>
  </si>
  <si>
    <t>Система налогооблажения поставщиков материалов</t>
  </si>
  <si>
    <t>Срок окупаемости проекта (Payback Period)</t>
  </si>
  <si>
    <t>*</t>
  </si>
  <si>
    <t>показатель</t>
  </si>
  <si>
    <t>ед.изм.</t>
  </si>
  <si>
    <t>значение</t>
  </si>
  <si>
    <t>кол-во лет</t>
  </si>
  <si>
    <t>%</t>
  </si>
  <si>
    <t>срок проекта</t>
  </si>
  <si>
    <t>режим налогооблажения поставщиков материалов</t>
  </si>
  <si>
    <t xml:space="preserve">Инструкция по заполению </t>
  </si>
  <si>
    <t>1. Заполнить (скорреткировать) показатели в жёлтые ячейках на листе OPEX</t>
  </si>
  <si>
    <t>2. Выбрать систему налогооблажения на листе "Входные данные и результаты"</t>
  </si>
  <si>
    <t>IRR проекта</t>
  </si>
  <si>
    <t>NPV проекта</t>
  </si>
  <si>
    <t>Денежный поток от инвестиционной деятельности</t>
  </si>
  <si>
    <t>Оплата поставщикам ОС</t>
  </si>
  <si>
    <t>Денежный поток от операционной деятельности</t>
  </si>
  <si>
    <t>Денежный поток от финансовой деятельности</t>
  </si>
  <si>
    <t>Объём поступления кредитных средств</t>
  </si>
  <si>
    <t>Проценты по кредиту</t>
  </si>
  <si>
    <t xml:space="preserve">Финансирование </t>
  </si>
  <si>
    <t>Общий размер необходимых инвестиций</t>
  </si>
  <si>
    <t>Доля участия инвестора</t>
  </si>
  <si>
    <t>Доля кредитных средств</t>
  </si>
  <si>
    <t>%, годовых</t>
  </si>
  <si>
    <t>Вариант закупки оборудования</t>
  </si>
  <si>
    <t>Сумма кредитных средств</t>
  </si>
  <si>
    <t>Срок кредиторвания</t>
  </si>
  <si>
    <t>Сумма участия инвестора</t>
  </si>
  <si>
    <t>Инвестиционные вложения</t>
  </si>
  <si>
    <t>Стоимость капитала инвестора</t>
  </si>
  <si>
    <t>Общий накопленный денежный поток</t>
  </si>
  <si>
    <t>Выплата кредитных средств и процентов</t>
  </si>
  <si>
    <t>Если привлекается доля кредитных средств, то погашение происходит аннуитетными платежами</t>
  </si>
  <si>
    <t>Аннуитет</t>
  </si>
  <si>
    <t>Досрочное погашение</t>
  </si>
  <si>
    <t>Накопленный денежный поток для расчёта срока окупаемости проекта</t>
  </si>
  <si>
    <t>Срок окупаемости проекта (PP)</t>
  </si>
  <si>
    <t>Привлечене кредита влияет на период окупаемости, т.к. появляются дополнительные расходы в виде процентов по кредиту. А также необходимы доп. Ден средства для погашения тела кредита</t>
  </si>
  <si>
    <t>Стоимость капитала по проекту</t>
  </si>
  <si>
    <t>Денежный поток от опреационной деятельности, включая капитальные затраты</t>
  </si>
  <si>
    <t xml:space="preserve"> в месяц</t>
  </si>
  <si>
    <t>за 5 лет</t>
  </si>
  <si>
    <t>Индекс доходности (PI)</t>
  </si>
  <si>
    <t xml:space="preserve">Ввела показатель режима налогооблажения как для самой компании, так и поставщиков материалов для производства. 
Нужно выбрать из выпадающего списака на листе "входные данные". 
Также, сделала допущение, что 250 руб. за п.м. - цена с НДС и если мы будем на упрощёнке, то будем продавать по цене 250 руб. минус 20% НДС =200 руб. </t>
  </si>
  <si>
    <t>Стоимость капитала инвестора взяла 12%, как стандартную норму доходности при относительно безрисковых проектах. 
На самом деле, инвестор может её скорреткироать.</t>
  </si>
  <si>
    <t>Также, в качестве допущения: все платежи платятся сразу, без отсрочек. (как и нами за метириалы, так и нашими клиентами за готовую продукцию)</t>
  </si>
  <si>
    <t>В Первый месяц производства, у меня этоя январь 2020 года (спустя три месяца после начала установки оборудования, названия месяцев можно менять)
 мы потратим деньги на материалы, а выручку за готовую продукцию получим только в следующем месяцке</t>
  </si>
  <si>
    <t>Исходя из вводных обновятся, соответственно, основные показатели на листе результаты, а также отчёты на листах PnL (отчёт о прибылях и убытках) и CF (Отчёт о движении денежных средств)</t>
  </si>
  <si>
    <t>Комментарии</t>
  </si>
  <si>
    <t>Ставка по внешним инвестициям (банковский кредит)</t>
  </si>
  <si>
    <t>Включая НДС. PnL строится без учёта НДС</t>
  </si>
  <si>
    <t>Для большей гибкости, сделала так, что можно регулировать, какая доля необходимых денежных средств к нам поступит от инвестора. Остаток мы берём в кредит у банка. Это всё резулируется на листе со входными данными.</t>
  </si>
  <si>
    <t>На самом деле финансовые показатели получились очень высокими, посмотрите, пожалуйста, ещё раз вводные.
 Нет ли затрат, котрые мы могли забыть или упутить. Со стороны инвесторов может поступить такой вопрос.
И я бы посоветовала расшифровать "Прочие расходы" - 400 тыс без аренды более подробно, во избежание лишних вопросов.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</si>
</sst>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#,##0;\(#,##0\)"/>
    <numFmt numFmtId="167" formatCode="[$-419]mmmm\ yyyy;@"/>
    <numFmt numFmtId="168" formatCode="#,##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b/>
      <i/>
      <sz val="14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2" tint="-0.249977111117893"/>
      <name val="Calibri"/>
      <family val="2"/>
      <charset val="204"/>
      <scheme val="minor"/>
    </font>
    <font>
      <b/>
      <sz val="11"/>
      <color theme="2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theme="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b/>
      <sz val="9"/>
      <color theme="9" tint="-0.499984740745262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 tint="0.499984740745262"/>
      <name val="Calibri"/>
      <family val="2"/>
      <charset val="204"/>
      <scheme val="minor"/>
    </font>
    <font>
      <b/>
      <sz val="8"/>
      <color theme="1" tint="0.499984740745262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fgColor theme="8" tint="-0.499984740745262"/>
        <bgColor theme="0"/>
      </patternFill>
    </fill>
    <fill>
      <patternFill patternType="lightUp">
        <fgColor theme="8" tint="-0.499984740745262"/>
        <bgColor theme="0" tint="-4.9989318521683403E-2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theme="1" tint="0.34998626667073579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4" fontId="5" fillId="0" borderId="2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0" fillId="0" borderId="0" xfId="1" applyNumberFormat="1" applyFont="1"/>
    <xf numFmtId="164" fontId="5" fillId="2" borderId="1" xfId="1" applyNumberFormat="1" applyFont="1" applyFill="1" applyBorder="1" applyAlignment="1">
      <alignment vertical="center" wrapText="1"/>
    </xf>
    <xf numFmtId="164" fontId="5" fillId="2" borderId="2" xfId="1" applyNumberFormat="1" applyFont="1" applyFill="1" applyBorder="1" applyAlignment="1">
      <alignment vertical="center" wrapText="1"/>
    </xf>
    <xf numFmtId="164" fontId="6" fillId="0" borderId="2" xfId="1" applyNumberFormat="1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1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4" fillId="0" borderId="0" xfId="0" applyFont="1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9" fillId="0" borderId="0" xfId="3"/>
    <xf numFmtId="0" fontId="2" fillId="0" borderId="4" xfId="0" applyFont="1" applyBorder="1" applyAlignment="1">
      <alignment horizontal="right"/>
    </xf>
    <xf numFmtId="43" fontId="0" fillId="5" borderId="5" xfId="1" applyNumberFormat="1" applyFont="1" applyFill="1" applyBorder="1"/>
    <xf numFmtId="0" fontId="0" fillId="0" borderId="6" xfId="0" applyBorder="1"/>
    <xf numFmtId="43" fontId="0" fillId="6" borderId="5" xfId="1" applyNumberFormat="1" applyFont="1" applyFill="1" applyBorder="1"/>
    <xf numFmtId="0" fontId="2" fillId="0" borderId="0" xfId="0" applyFont="1" applyBorder="1" applyAlignment="1">
      <alignment horizontal="right"/>
    </xf>
    <xf numFmtId="16" fontId="0" fillId="0" borderId="0" xfId="0" quotePrefix="1" applyNumberFormat="1"/>
    <xf numFmtId="0" fontId="10" fillId="0" borderId="0" xfId="0" applyFont="1" applyAlignment="1">
      <alignment horizontal="right"/>
    </xf>
    <xf numFmtId="0" fontId="10" fillId="0" borderId="0" xfId="0" applyFont="1"/>
    <xf numFmtId="164" fontId="9" fillId="0" borderId="0" xfId="3" applyNumberFormat="1"/>
    <xf numFmtId="165" fontId="0" fillId="5" borderId="5" xfId="2" applyNumberFormat="1" applyFont="1" applyFill="1" applyBorder="1"/>
    <xf numFmtId="166" fontId="0" fillId="0" borderId="0" xfId="0" applyNumberFormat="1"/>
    <xf numFmtId="166" fontId="2" fillId="0" borderId="0" xfId="0" applyNumberFormat="1" applyFont="1"/>
    <xf numFmtId="166" fontId="10" fillId="0" borderId="0" xfId="0" applyNumberFormat="1" applyFont="1"/>
    <xf numFmtId="166" fontId="10" fillId="0" borderId="0" xfId="1" applyNumberFormat="1" applyFont="1"/>
    <xf numFmtId="166" fontId="0" fillId="0" borderId="0" xfId="1" applyNumberFormat="1" applyFont="1"/>
    <xf numFmtId="0" fontId="11" fillId="0" borderId="0" xfId="0" applyFont="1"/>
    <xf numFmtId="166" fontId="11" fillId="0" borderId="0" xfId="0" applyNumberFormat="1" applyFont="1"/>
    <xf numFmtId="0" fontId="11" fillId="0" borderId="0" xfId="0" applyFont="1" applyFill="1"/>
    <xf numFmtId="0" fontId="2" fillId="0" borderId="0" xfId="0" applyFont="1" applyFill="1"/>
    <xf numFmtId="0" fontId="10" fillId="0" borderId="0" xfId="0" applyFont="1" applyFill="1" applyAlignment="1">
      <alignment horizontal="right"/>
    </xf>
    <xf numFmtId="0" fontId="13" fillId="0" borderId="0" xfId="0" applyFont="1" applyFill="1" applyBorder="1"/>
    <xf numFmtId="0" fontId="0" fillId="0" borderId="0" xfId="0" applyFill="1"/>
    <xf numFmtId="0" fontId="13" fillId="0" borderId="0" xfId="0" applyFont="1"/>
    <xf numFmtId="0" fontId="13" fillId="7" borderId="0" xfId="0" applyFont="1" applyFill="1"/>
    <xf numFmtId="166" fontId="2" fillId="7" borderId="0" xfId="0" applyNumberFormat="1" applyFont="1" applyFill="1"/>
    <xf numFmtId="0" fontId="13" fillId="7" borderId="7" xfId="0" applyFont="1" applyFill="1" applyBorder="1"/>
    <xf numFmtId="164" fontId="13" fillId="7" borderId="7" xfId="1" applyNumberFormat="1" applyFont="1" applyFill="1" applyBorder="1"/>
    <xf numFmtId="164" fontId="13" fillId="7" borderId="7" xfId="1" applyNumberFormat="1" applyFont="1" applyFill="1" applyBorder="1" applyAlignment="1">
      <alignment horizontal="right" indent="2"/>
    </xf>
    <xf numFmtId="0" fontId="15" fillId="0" borderId="0" xfId="0" applyFont="1"/>
    <xf numFmtId="0" fontId="15" fillId="0" borderId="0" xfId="0" applyFont="1" applyFill="1"/>
    <xf numFmtId="166" fontId="15" fillId="0" borderId="0" xfId="0" applyNumberFormat="1" applyFont="1"/>
    <xf numFmtId="166" fontId="15" fillId="0" borderId="0" xfId="1" applyNumberFormat="1" applyFont="1"/>
    <xf numFmtId="167" fontId="14" fillId="3" borderId="0" xfId="0" applyNumberFormat="1" applyFont="1" applyFill="1" applyAlignment="1">
      <alignment vertical="center"/>
    </xf>
    <xf numFmtId="167" fontId="14" fillId="0" borderId="0" xfId="0" applyNumberFormat="1" applyFont="1" applyFill="1" applyAlignment="1">
      <alignment vertical="center"/>
    </xf>
    <xf numFmtId="167" fontId="13" fillId="0" borderId="0" xfId="0" applyNumberFormat="1" applyFont="1" applyAlignment="1">
      <alignment vertical="center"/>
    </xf>
    <xf numFmtId="0" fontId="13" fillId="0" borderId="0" xfId="0" applyFont="1" applyFill="1"/>
    <xf numFmtId="166" fontId="2" fillId="0" borderId="0" xfId="0" applyNumberFormat="1" applyFont="1" applyFill="1"/>
    <xf numFmtId="0" fontId="2" fillId="0" borderId="8" xfId="0" applyFont="1" applyBorder="1"/>
    <xf numFmtId="0" fontId="0" fillId="4" borderId="0" xfId="0" applyFill="1"/>
    <xf numFmtId="164" fontId="2" fillId="4" borderId="0" xfId="0" applyNumberFormat="1" applyFont="1" applyFill="1"/>
    <xf numFmtId="0" fontId="2" fillId="0" borderId="0" xfId="0" applyFont="1" applyBorder="1"/>
    <xf numFmtId="0" fontId="0" fillId="0" borderId="0" xfId="0" applyBorder="1" applyAlignment="1">
      <alignment horizontal="right"/>
    </xf>
    <xf numFmtId="164" fontId="0" fillId="5" borderId="5" xfId="1" applyNumberFormat="1" applyFont="1" applyFill="1" applyBorder="1"/>
    <xf numFmtId="166" fontId="17" fillId="0" borderId="0" xfId="0" applyNumberFormat="1" applyFont="1"/>
    <xf numFmtId="166" fontId="18" fillId="0" borderId="0" xfId="0" applyNumberFormat="1" applyFont="1"/>
    <xf numFmtId="0" fontId="16" fillId="0" borderId="0" xfId="0" applyFont="1"/>
    <xf numFmtId="0" fontId="2" fillId="0" borderId="0" xfId="0" applyFont="1" applyFill="1" applyBorder="1"/>
    <xf numFmtId="0" fontId="12" fillId="0" borderId="0" xfId="0" applyFont="1" applyFill="1"/>
    <xf numFmtId="167" fontId="14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5" fillId="0" borderId="0" xfId="0" applyFont="1" applyFill="1" applyBorder="1"/>
    <xf numFmtId="164" fontId="2" fillId="0" borderId="0" xfId="0" applyNumberFormat="1" applyFont="1" applyFill="1"/>
    <xf numFmtId="167" fontId="14" fillId="6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Alignment="1">
      <alignment vertical="center"/>
    </xf>
    <xf numFmtId="0" fontId="10" fillId="0" borderId="8" xfId="0" applyFont="1" applyBorder="1" applyAlignment="1">
      <alignment horizontal="right"/>
    </xf>
    <xf numFmtId="166" fontId="0" fillId="0" borderId="8" xfId="1" applyNumberFormat="1" applyFont="1" applyBorder="1"/>
    <xf numFmtId="0" fontId="0" fillId="0" borderId="0" xfId="0" applyFont="1"/>
    <xf numFmtId="0" fontId="19" fillId="7" borderId="0" xfId="0" applyFont="1" applyFill="1"/>
    <xf numFmtId="166" fontId="15" fillId="7" borderId="0" xfId="0" applyNumberFormat="1" applyFont="1" applyFill="1"/>
    <xf numFmtId="166" fontId="15" fillId="0" borderId="0" xfId="0" applyNumberFormat="1" applyFont="1" applyFill="1"/>
    <xf numFmtId="166" fontId="15" fillId="0" borderId="0" xfId="0" applyNumberFormat="1" applyFont="1" applyFill="1" applyAlignment="1">
      <alignment horizontal="center"/>
    </xf>
    <xf numFmtId="166" fontId="15" fillId="10" borderId="0" xfId="0" applyNumberFormat="1" applyFont="1" applyFill="1"/>
    <xf numFmtId="0" fontId="0" fillId="6" borderId="0" xfId="0" applyFill="1"/>
    <xf numFmtId="0" fontId="12" fillId="6" borderId="0" xfId="0" applyFont="1" applyFill="1"/>
    <xf numFmtId="166" fontId="2" fillId="6" borderId="0" xfId="0" applyNumberFormat="1" applyFont="1" applyFill="1" applyBorder="1"/>
    <xf numFmtId="0" fontId="2" fillId="6" borderId="0" xfId="0" applyFont="1" applyFill="1" applyBorder="1"/>
    <xf numFmtId="0" fontId="10" fillId="6" borderId="0" xfId="0" applyFont="1" applyFill="1" applyBorder="1" applyAlignment="1">
      <alignment horizontal="right"/>
    </xf>
    <xf numFmtId="0" fontId="15" fillId="6" borderId="0" xfId="0" applyFont="1" applyFill="1" applyBorder="1"/>
    <xf numFmtId="0" fontId="2" fillId="6" borderId="0" xfId="0" applyFont="1" applyFill="1"/>
    <xf numFmtId="164" fontId="2" fillId="6" borderId="0" xfId="0" applyNumberFormat="1" applyFont="1" applyFill="1"/>
    <xf numFmtId="0" fontId="20" fillId="0" borderId="0" xfId="0" applyNumberFormat="1" applyFont="1"/>
    <xf numFmtId="0" fontId="21" fillId="0" borderId="0" xfId="0" applyNumberFormat="1" applyFont="1"/>
    <xf numFmtId="0" fontId="14" fillId="3" borderId="9" xfId="0" applyNumberFormat="1" applyFont="1" applyFill="1" applyBorder="1" applyAlignment="1">
      <alignment vertical="center"/>
    </xf>
    <xf numFmtId="0" fontId="22" fillId="0" borderId="0" xfId="0" applyFont="1"/>
    <xf numFmtId="166" fontId="1" fillId="0" borderId="0" xfId="1" applyNumberFormat="1" applyFont="1"/>
    <xf numFmtId="0" fontId="23" fillId="6" borderId="0" xfId="0" applyFont="1" applyFill="1"/>
    <xf numFmtId="0" fontId="24" fillId="6" borderId="0" xfId="0" applyFont="1" applyFill="1" applyAlignment="1">
      <alignment horizontal="center" vertical="center"/>
    </xf>
    <xf numFmtId="0" fontId="24" fillId="11" borderId="0" xfId="0" applyFont="1" applyFill="1" applyAlignment="1">
      <alignment horizontal="center" vertical="center"/>
    </xf>
    <xf numFmtId="0" fontId="25" fillId="11" borderId="0" xfId="0" applyFont="1" applyFill="1"/>
    <xf numFmtId="0" fontId="25" fillId="6" borderId="0" xfId="0" applyFont="1" applyFill="1"/>
    <xf numFmtId="1" fontId="23" fillId="6" borderId="10" xfId="0" applyNumberFormat="1" applyFont="1" applyFill="1" applyBorder="1"/>
    <xf numFmtId="0" fontId="27" fillId="6" borderId="0" xfId="0" applyFont="1" applyFill="1" applyAlignment="1">
      <alignment horizontal="center" vertical="center"/>
    </xf>
    <xf numFmtId="0" fontId="25" fillId="6" borderId="11" xfId="0" applyFont="1" applyFill="1" applyBorder="1"/>
    <xf numFmtId="0" fontId="25" fillId="6" borderId="12" xfId="0" applyFont="1" applyFill="1" applyBorder="1"/>
    <xf numFmtId="3" fontId="23" fillId="6" borderId="10" xfId="0" applyNumberFormat="1" applyFont="1" applyFill="1" applyBorder="1"/>
    <xf numFmtId="0" fontId="28" fillId="6" borderId="0" xfId="0" applyFont="1" applyFill="1"/>
    <xf numFmtId="0" fontId="23" fillId="5" borderId="10" xfId="0" applyNumberFormat="1" applyFont="1" applyFill="1" applyBorder="1" applyAlignment="1">
      <alignment horizontal="center" vertical="center"/>
    </xf>
    <xf numFmtId="0" fontId="32" fillId="6" borderId="0" xfId="0" applyFont="1" applyFill="1" applyBorder="1"/>
    <xf numFmtId="0" fontId="23" fillId="4" borderId="13" xfId="0" applyFont="1" applyFill="1" applyBorder="1" applyAlignment="1">
      <alignment horizontal="right" indent="1"/>
    </xf>
    <xf numFmtId="0" fontId="33" fillId="6" borderId="0" xfId="0" applyFont="1" applyFill="1" applyBorder="1"/>
    <xf numFmtId="0" fontId="32" fillId="11" borderId="0" xfId="0" applyFont="1" applyFill="1" applyBorder="1"/>
    <xf numFmtId="0" fontId="23" fillId="12" borderId="13" xfId="0" applyFont="1" applyFill="1" applyBorder="1" applyAlignment="1">
      <alignment horizontal="right" indent="1"/>
    </xf>
    <xf numFmtId="165" fontId="23" fillId="9" borderId="14" xfId="0" applyNumberFormat="1" applyFont="1" applyFill="1" applyBorder="1" applyAlignment="1">
      <alignment horizontal="right" indent="1"/>
    </xf>
    <xf numFmtId="3" fontId="28" fillId="8" borderId="15" xfId="0" applyNumberFormat="1" applyFont="1" applyFill="1" applyBorder="1" applyAlignment="1">
      <alignment horizontal="right" indent="1"/>
    </xf>
    <xf numFmtId="0" fontId="25" fillId="0" borderId="0" xfId="0" applyFont="1"/>
    <xf numFmtId="0" fontId="32" fillId="0" borderId="0" xfId="0" applyFont="1" applyBorder="1"/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indent="1"/>
    </xf>
    <xf numFmtId="3" fontId="29" fillId="13" borderId="0" xfId="0" applyNumberFormat="1" applyFont="1" applyFill="1" applyAlignment="1">
      <alignment horizontal="right" indent="1"/>
    </xf>
    <xf numFmtId="0" fontId="33" fillId="0" borderId="0" xfId="0" applyFont="1" applyFill="1" applyBorder="1"/>
    <xf numFmtId="0" fontId="32" fillId="0" borderId="0" xfId="0" applyFont="1" applyFill="1" applyBorder="1"/>
    <xf numFmtId="43" fontId="0" fillId="0" borderId="0" xfId="1" applyFont="1"/>
    <xf numFmtId="0" fontId="19" fillId="0" borderId="0" xfId="0" applyFont="1"/>
    <xf numFmtId="0" fontId="19" fillId="0" borderId="0" xfId="0" applyFont="1" applyFill="1"/>
    <xf numFmtId="166" fontId="19" fillId="7" borderId="0" xfId="0" applyNumberFormat="1" applyFont="1" applyFill="1"/>
    <xf numFmtId="43" fontId="19" fillId="7" borderId="0" xfId="1" applyFont="1" applyFill="1"/>
    <xf numFmtId="165" fontId="23" fillId="5" borderId="10" xfId="0" applyNumberFormat="1" applyFont="1" applyFill="1" applyBorder="1"/>
    <xf numFmtId="0" fontId="14" fillId="3" borderId="0" xfId="0" applyNumberFormat="1" applyFont="1" applyFill="1" applyAlignment="1">
      <alignment vertical="center"/>
    </xf>
    <xf numFmtId="0" fontId="9" fillId="6" borderId="0" xfId="3" applyFill="1"/>
    <xf numFmtId="9" fontId="23" fillId="5" borderId="10" xfId="0" applyNumberFormat="1" applyFont="1" applyFill="1" applyBorder="1"/>
    <xf numFmtId="9" fontId="23" fillId="0" borderId="10" xfId="0" applyNumberFormat="1" applyFont="1" applyFill="1" applyBorder="1"/>
    <xf numFmtId="9" fontId="0" fillId="0" borderId="0" xfId="2" applyFont="1"/>
    <xf numFmtId="168" fontId="29" fillId="13" borderId="0" xfId="0" applyNumberFormat="1" applyFont="1" applyFill="1" applyAlignment="1">
      <alignment horizontal="right" indent="1"/>
    </xf>
    <xf numFmtId="0" fontId="25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indent="1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right" indent="1"/>
    </xf>
    <xf numFmtId="0" fontId="25" fillId="0" borderId="0" xfId="0" applyFont="1" applyFill="1" applyBorder="1"/>
    <xf numFmtId="0" fontId="23" fillId="0" borderId="0" xfId="0" applyFont="1" applyFill="1" applyBorder="1" applyAlignment="1">
      <alignment horizontal="right" indent="1"/>
    </xf>
    <xf numFmtId="0" fontId="28" fillId="0" borderId="0" xfId="0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indent="1"/>
    </xf>
    <xf numFmtId="165" fontId="23" fillId="0" borderId="0" xfId="0" applyNumberFormat="1" applyFont="1" applyFill="1" applyBorder="1" applyAlignment="1">
      <alignment horizontal="right" indent="1"/>
    </xf>
    <xf numFmtId="165" fontId="29" fillId="0" borderId="0" xfId="0" applyNumberFormat="1" applyFont="1" applyFill="1" applyBorder="1" applyAlignment="1">
      <alignment horizontal="right" indent="1"/>
    </xf>
    <xf numFmtId="0" fontId="34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right" indent="1"/>
    </xf>
    <xf numFmtId="3" fontId="28" fillId="0" borderId="0" xfId="0" applyNumberFormat="1" applyFont="1" applyFill="1" applyBorder="1" applyAlignment="1">
      <alignment horizontal="right" indent="1"/>
    </xf>
    <xf numFmtId="168" fontId="23" fillId="0" borderId="0" xfId="0" applyNumberFormat="1" applyFont="1" applyFill="1" applyBorder="1" applyAlignment="1">
      <alignment horizontal="right" indent="1"/>
    </xf>
    <xf numFmtId="10" fontId="23" fillId="0" borderId="0" xfId="0" applyNumberFormat="1" applyFont="1" applyFill="1" applyBorder="1" applyAlignment="1">
      <alignment horizontal="right" indent="1"/>
    </xf>
    <xf numFmtId="0" fontId="25" fillId="6" borderId="0" xfId="0" applyFont="1" applyFill="1" applyBorder="1"/>
    <xf numFmtId="0" fontId="24" fillId="6" borderId="0" xfId="0" applyFont="1" applyFill="1" applyBorder="1" applyAlignment="1">
      <alignment horizontal="center" vertical="center"/>
    </xf>
    <xf numFmtId="3" fontId="23" fillId="4" borderId="0" xfId="0" applyNumberFormat="1" applyFont="1" applyFill="1" applyBorder="1" applyAlignment="1">
      <alignment horizontal="right" indent="1"/>
    </xf>
    <xf numFmtId="3" fontId="23" fillId="0" borderId="0" xfId="0" applyNumberFormat="1" applyFont="1" applyBorder="1" applyAlignment="1">
      <alignment horizontal="right" indent="1"/>
    </xf>
    <xf numFmtId="0" fontId="0" fillId="0" borderId="0" xfId="0" applyAlignment="1">
      <alignment wrapText="1"/>
    </xf>
    <xf numFmtId="164" fontId="0" fillId="0" borderId="5" xfId="1" applyNumberFormat="1" applyFont="1" applyFill="1" applyBorder="1"/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4;&#1080;&#1090;&#1088;&#1080;&#1081;/Downloads/&#1048;&#1085;&#1074;&#1077;&#1089;&#1090;&#1084;&#1086;&#1076;&#1077;&#1083;&#1100;%20&#1091;&#1085;&#1080;&#1074;&#1077;&#1088;&#1089;&#1072;&#1083;&#1100;&#1085;&#1072;&#1103;%20&#1074;&#1077;&#1088;&#1089;&#1080;&#1103;%203.3%20&#1083;&#1077;&#1075;&#1082;&#1072;&#1103;%20&#1089;%20&#1072;&#1085;&#1072;&#1083;&#1080;&#1079;&#1086;&#1084;%20&#1095;&#1091;&#1074;&#1089;&#1090;&#1074;&#1080;&#1090;&#1077;&#1083;&#1100;&#1085;&#1086;&#1089;&#109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Отчеты"/>
      <sheetName val="sens"/>
      <sheetName val="Отчеты_М"/>
      <sheetName val="УсловияРасчеты"/>
      <sheetName val="справочники"/>
      <sheetName val="Г2"/>
      <sheetName val="О2"/>
      <sheetName val="У2"/>
      <sheetName val="Г3"/>
      <sheetName val="О3"/>
      <sheetName val="У3"/>
    </sheetNames>
    <sheetDataSet>
      <sheetData sheetId="0"/>
      <sheetData sheetId="1"/>
      <sheetData sheetId="2"/>
      <sheetData sheetId="3"/>
      <sheetData sheetId="4"/>
      <sheetData sheetId="5">
        <row r="6">
          <cell r="N6" t="str">
            <v>режим налогообложения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3"/>
  <sheetViews>
    <sheetView showGridLines="0" workbookViewId="0">
      <selection activeCell="D13" sqref="D13"/>
    </sheetView>
  </sheetViews>
  <sheetFormatPr defaultRowHeight="15"/>
  <cols>
    <col min="2" max="2" width="90.28515625" customWidth="1"/>
  </cols>
  <sheetData>
    <row r="2" spans="2:2" ht="18.75">
      <c r="B2" s="68" t="s">
        <v>184</v>
      </c>
    </row>
    <row r="4" spans="2:2">
      <c r="B4" s="22" t="s">
        <v>185</v>
      </c>
    </row>
    <row r="5" spans="2:2">
      <c r="B5" s="22" t="s">
        <v>186</v>
      </c>
    </row>
    <row r="7" spans="2:2">
      <c r="B7" t="s">
        <v>223</v>
      </c>
    </row>
    <row r="9" spans="2:2" ht="18.75">
      <c r="B9" s="68" t="s">
        <v>224</v>
      </c>
    </row>
    <row r="11" spans="2:2">
      <c r="B11" s="19" t="s">
        <v>195</v>
      </c>
    </row>
    <row r="12" spans="2:2">
      <c r="B12" t="s">
        <v>227</v>
      </c>
    </row>
    <row r="13" spans="2:2">
      <c r="B13" t="s">
        <v>208</v>
      </c>
    </row>
    <row r="14" spans="2:2">
      <c r="B14" t="s">
        <v>213</v>
      </c>
    </row>
    <row r="16" spans="2:2" ht="75" customHeight="1">
      <c r="B16" s="160" t="s">
        <v>219</v>
      </c>
    </row>
    <row r="18" spans="2:2" ht="45">
      <c r="B18" s="160" t="s">
        <v>220</v>
      </c>
    </row>
    <row r="20" spans="2:2" ht="26.25" customHeight="1">
      <c r="B20" t="s">
        <v>221</v>
      </c>
    </row>
    <row r="21" spans="2:2" ht="60">
      <c r="B21" s="160" t="s">
        <v>222</v>
      </c>
    </row>
    <row r="23" spans="2:2" ht="90">
      <c r="B23" s="160" t="s">
        <v>228</v>
      </c>
    </row>
  </sheetData>
  <hyperlinks>
    <hyperlink ref="B4" location="OPEX!A1" display="1. Заполнить (скорреткировать) показатели в жёлтые ячейках на листе OPEX"/>
    <hyperlink ref="B5" location="'Входные данные и результаты'!A1" display="2. Выбрать систему налогооблажения на листе &quot;Входные данные и результаты&quot;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88"/>
  <sheetViews>
    <sheetView showGridLines="0" tabSelected="1" workbookViewId="0">
      <selection activeCell="O22" sqref="O22"/>
    </sheetView>
  </sheetViews>
  <sheetFormatPr defaultRowHeight="15"/>
  <cols>
    <col min="2" max="2" width="41.7109375" customWidth="1"/>
    <col min="3" max="3" width="2.28515625" style="86" customWidth="1"/>
    <col min="4" max="4" width="6.28515625" customWidth="1"/>
    <col min="5" max="5" width="4.7109375" customWidth="1"/>
    <col min="6" max="6" width="16.140625" customWidth="1"/>
    <col min="9" max="9" width="42.7109375" style="137" bestFit="1" customWidth="1"/>
    <col min="10" max="10" width="1.7109375" style="137" customWidth="1"/>
    <col min="11" max="11" width="5.28515625" style="119" bestFit="1" customWidth="1"/>
    <col min="12" max="12" width="1.7109375" style="138" customWidth="1"/>
    <col min="13" max="13" width="15.7109375" style="139" customWidth="1"/>
    <col min="14" max="14" width="9.140625" style="15"/>
  </cols>
  <sheetData>
    <row r="1" spans="2:14" ht="12" customHeight="1">
      <c r="I1" s="118"/>
      <c r="J1" s="118"/>
      <c r="L1" s="120"/>
      <c r="M1" s="121"/>
    </row>
    <row r="2" spans="2:14">
      <c r="B2" s="99" t="s">
        <v>177</v>
      </c>
      <c r="C2" s="99"/>
      <c r="D2" s="99" t="s">
        <v>178</v>
      </c>
      <c r="E2" s="99"/>
      <c r="F2" s="99" t="s">
        <v>179</v>
      </c>
      <c r="I2" s="99" t="s">
        <v>177</v>
      </c>
      <c r="J2" s="99"/>
      <c r="K2" s="99" t="s">
        <v>178</v>
      </c>
      <c r="L2" s="120"/>
      <c r="M2" s="99" t="s">
        <v>179</v>
      </c>
    </row>
    <row r="3" spans="2:14" ht="7.5" customHeight="1">
      <c r="B3" s="102"/>
      <c r="C3" s="102"/>
      <c r="D3" s="102"/>
      <c r="E3" s="102"/>
      <c r="F3" s="102"/>
      <c r="I3" s="102"/>
      <c r="J3" s="102"/>
      <c r="K3" s="114"/>
      <c r="L3" s="101"/>
      <c r="M3" s="115"/>
    </row>
    <row r="4" spans="2:14" ht="5.25" customHeight="1">
      <c r="B4" s="103"/>
      <c r="C4" s="103"/>
      <c r="D4" s="103"/>
      <c r="E4" s="103"/>
      <c r="F4" s="103"/>
      <c r="I4" s="103"/>
      <c r="J4" s="103"/>
      <c r="K4" s="111"/>
      <c r="L4" s="100"/>
      <c r="M4" s="112"/>
    </row>
    <row r="5" spans="2:14" ht="15.75">
      <c r="B5" s="99" t="s">
        <v>182</v>
      </c>
      <c r="C5" s="99"/>
      <c r="D5" s="99" t="s">
        <v>146</v>
      </c>
      <c r="E5" s="99"/>
      <c r="F5" s="104">
        <v>5</v>
      </c>
      <c r="G5" s="30"/>
      <c r="I5" s="96" t="s">
        <v>196</v>
      </c>
      <c r="J5" s="103"/>
      <c r="K5" s="111" t="s">
        <v>88</v>
      </c>
      <c r="L5" s="100" t="s">
        <v>176</v>
      </c>
      <c r="M5" s="122">
        <v>17628700</v>
      </c>
    </row>
    <row r="6" spans="2:14">
      <c r="B6" s="105"/>
      <c r="C6" s="105"/>
      <c r="D6" s="105"/>
      <c r="E6" s="105"/>
      <c r="F6" s="105"/>
      <c r="I6" s="118"/>
      <c r="J6" s="118"/>
      <c r="L6" s="120"/>
      <c r="M6" s="121"/>
    </row>
    <row r="7" spans="2:14" ht="15.75">
      <c r="B7" s="99" t="str">
        <f>[1]справочники!$N$6</f>
        <v>режим налогообложения</v>
      </c>
      <c r="C7" s="99"/>
      <c r="D7" s="99"/>
      <c r="E7" s="99"/>
      <c r="F7" s="110" t="s">
        <v>167</v>
      </c>
      <c r="I7" s="96" t="s">
        <v>188</v>
      </c>
      <c r="J7" s="118"/>
      <c r="L7" s="120"/>
      <c r="M7" s="122">
        <f>NPV(F28/12,CF!$K$38:$BU$38)</f>
        <v>69934130.923671156</v>
      </c>
      <c r="N7" s="29" t="s">
        <v>217</v>
      </c>
    </row>
    <row r="8" spans="2:14">
      <c r="B8" s="99" t="s">
        <v>183</v>
      </c>
      <c r="C8" s="99"/>
      <c r="D8" s="99"/>
      <c r="E8" s="99"/>
      <c r="F8" s="110" t="s">
        <v>167</v>
      </c>
      <c r="I8" s="118"/>
      <c r="J8" s="118"/>
      <c r="L8" s="120"/>
      <c r="M8" s="121"/>
    </row>
    <row r="9" spans="2:14" ht="16.5" thickBot="1">
      <c r="B9" s="132" t="s">
        <v>200</v>
      </c>
      <c r="C9" s="103"/>
      <c r="D9" s="103"/>
      <c r="E9" s="103"/>
      <c r="F9" s="110" t="s">
        <v>110</v>
      </c>
      <c r="I9" s="96" t="s">
        <v>187</v>
      </c>
      <c r="J9" s="103"/>
      <c r="K9" s="111" t="s">
        <v>181</v>
      </c>
      <c r="L9" s="100"/>
      <c r="M9" s="116">
        <f>IFERROR(IRR(CF!K38:BU38),0)</f>
        <v>9.9969476590914527E-2</v>
      </c>
      <c r="N9" s="29" t="s">
        <v>216</v>
      </c>
    </row>
    <row r="10" spans="2:14">
      <c r="B10" s="106"/>
      <c r="C10" s="106"/>
      <c r="D10" s="106"/>
      <c r="E10" s="106"/>
      <c r="F10" s="106"/>
      <c r="I10" s="118"/>
      <c r="J10" s="118"/>
      <c r="L10" s="120"/>
      <c r="M10" s="121"/>
    </row>
    <row r="11" spans="2:14" ht="16.5" thickBot="1">
      <c r="B11" s="107"/>
      <c r="C11" s="107"/>
      <c r="D11" s="107"/>
      <c r="E11" s="107"/>
      <c r="F11" s="107"/>
      <c r="I11" s="96" t="s">
        <v>212</v>
      </c>
      <c r="J11" s="99"/>
      <c r="K11" s="113" t="s">
        <v>165</v>
      </c>
      <c r="L11" s="100"/>
      <c r="M11" s="117">
        <f>IF(CF!D40&gt;50,"не окупается",CF!D40)</f>
        <v>13</v>
      </c>
      <c r="N11" s="29" t="s">
        <v>165</v>
      </c>
    </row>
    <row r="12" spans="2:14" ht="15.75">
      <c r="B12" s="96" t="s">
        <v>197</v>
      </c>
      <c r="C12" s="109"/>
      <c r="D12" s="99" t="s">
        <v>181</v>
      </c>
      <c r="E12" s="99"/>
      <c r="F12" s="133">
        <v>1</v>
      </c>
      <c r="I12" s="118"/>
      <c r="J12" s="118"/>
      <c r="L12" s="120"/>
      <c r="M12" s="121"/>
    </row>
    <row r="13" spans="2:14" ht="15.75">
      <c r="B13" s="103"/>
      <c r="C13" s="103"/>
      <c r="D13" s="103"/>
      <c r="E13" s="103"/>
      <c r="F13" s="103"/>
      <c r="I13" s="96" t="s">
        <v>218</v>
      </c>
      <c r="J13" s="118"/>
      <c r="L13" s="120"/>
      <c r="M13" s="136">
        <f>M7/M5</f>
        <v>3.9670611516261074</v>
      </c>
    </row>
    <row r="14" spans="2:14" ht="15.75">
      <c r="B14" s="96" t="s">
        <v>203</v>
      </c>
      <c r="C14" s="109"/>
      <c r="D14" s="99" t="s">
        <v>88</v>
      </c>
      <c r="E14" s="99"/>
      <c r="F14" s="122">
        <v>17628700</v>
      </c>
      <c r="I14" s="118"/>
      <c r="J14" s="118"/>
      <c r="L14" s="120"/>
      <c r="M14" s="121"/>
    </row>
    <row r="15" spans="2:14">
      <c r="B15" s="103"/>
      <c r="C15" s="103"/>
      <c r="D15" s="103"/>
      <c r="E15" s="103"/>
      <c r="F15" s="103"/>
    </row>
    <row r="16" spans="2:14" ht="15.75">
      <c r="B16" s="96" t="s">
        <v>198</v>
      </c>
      <c r="C16" s="109"/>
      <c r="D16" s="99" t="s">
        <v>181</v>
      </c>
      <c r="E16" s="99"/>
      <c r="F16" s="134">
        <f>100%-F12</f>
        <v>0</v>
      </c>
      <c r="I16" s="140"/>
      <c r="J16" s="140"/>
      <c r="K16" s="123"/>
      <c r="L16" s="141"/>
      <c r="M16" s="142"/>
    </row>
    <row r="17" spans="2:13">
      <c r="B17" s="103"/>
      <c r="C17" s="103"/>
      <c r="D17" s="103"/>
      <c r="E17" s="103"/>
      <c r="F17" s="103"/>
      <c r="I17" s="143"/>
      <c r="J17" s="143"/>
      <c r="K17" s="124"/>
      <c r="L17" s="141"/>
      <c r="M17" s="142"/>
    </row>
    <row r="18" spans="2:13" ht="15.75">
      <c r="B18" s="96" t="s">
        <v>201</v>
      </c>
      <c r="C18" s="109"/>
      <c r="D18" s="99" t="s">
        <v>88</v>
      </c>
      <c r="E18" s="99"/>
      <c r="F18" s="122">
        <f>M5*F16</f>
        <v>0</v>
      </c>
      <c r="I18" s="143"/>
      <c r="J18" s="143"/>
      <c r="K18" s="124"/>
      <c r="L18" s="141"/>
      <c r="M18" s="144"/>
    </row>
    <row r="19" spans="2:13">
      <c r="B19" s="106"/>
      <c r="C19" s="106"/>
      <c r="D19" s="106"/>
      <c r="E19" s="106"/>
      <c r="F19" s="106"/>
      <c r="I19" s="143"/>
      <c r="J19" s="143"/>
      <c r="K19" s="124"/>
      <c r="L19" s="141"/>
      <c r="M19" s="142"/>
    </row>
    <row r="20" spans="2:13">
      <c r="B20" s="107"/>
      <c r="C20" s="107"/>
      <c r="D20" s="107"/>
      <c r="E20" s="107"/>
      <c r="F20" s="107"/>
      <c r="I20" s="143"/>
      <c r="J20" s="143"/>
      <c r="K20" s="124"/>
      <c r="L20" s="141"/>
      <c r="M20" s="144"/>
    </row>
    <row r="21" spans="2:13">
      <c r="B21" s="103"/>
      <c r="C21" s="103"/>
      <c r="D21" s="103"/>
      <c r="E21" s="103"/>
      <c r="F21" s="103"/>
      <c r="I21" s="143"/>
      <c r="J21" s="143"/>
      <c r="K21" s="124"/>
      <c r="L21" s="141"/>
      <c r="M21" s="144"/>
    </row>
    <row r="22" spans="2:13" ht="15.75">
      <c r="B22" s="96" t="s">
        <v>205</v>
      </c>
      <c r="C22" s="109"/>
      <c r="D22" s="99" t="s">
        <v>199</v>
      </c>
      <c r="E22" s="99"/>
      <c r="F22" s="130">
        <v>0.12</v>
      </c>
      <c r="I22" s="143"/>
      <c r="J22" s="143"/>
      <c r="K22" s="124"/>
      <c r="L22" s="141"/>
      <c r="M22" s="144"/>
    </row>
    <row r="23" spans="2:13">
      <c r="I23" s="143"/>
      <c r="J23" s="143"/>
      <c r="K23" s="124"/>
      <c r="L23" s="141"/>
      <c r="M23" s="144"/>
    </row>
    <row r="24" spans="2:13" ht="15.75">
      <c r="B24" s="96" t="s">
        <v>225</v>
      </c>
      <c r="C24" s="109"/>
      <c r="D24" s="99" t="s">
        <v>199</v>
      </c>
      <c r="E24" s="99"/>
      <c r="F24" s="130">
        <v>0.16</v>
      </c>
      <c r="I24" s="143"/>
      <c r="J24" s="143"/>
      <c r="K24" s="124"/>
      <c r="L24" s="141"/>
      <c r="M24" s="144"/>
    </row>
    <row r="25" spans="2:13">
      <c r="B25" s="103"/>
      <c r="C25" s="103"/>
      <c r="D25" s="103"/>
      <c r="E25" s="103"/>
      <c r="F25" s="103"/>
      <c r="I25" s="143"/>
      <c r="J25" s="143"/>
      <c r="K25" s="124"/>
      <c r="L25" s="141"/>
      <c r="M25" s="142"/>
    </row>
    <row r="26" spans="2:13" ht="15.75">
      <c r="B26" s="96" t="s">
        <v>202</v>
      </c>
      <c r="C26" s="109"/>
      <c r="D26" s="99" t="s">
        <v>180</v>
      </c>
      <c r="E26" s="99"/>
      <c r="F26" s="108">
        <v>2</v>
      </c>
      <c r="I26" s="143"/>
      <c r="J26" s="143"/>
      <c r="K26" s="124"/>
      <c r="L26" s="141"/>
      <c r="M26" s="142"/>
    </row>
    <row r="27" spans="2:13">
      <c r="G27" s="97"/>
      <c r="I27" s="140"/>
      <c r="J27" s="140"/>
      <c r="K27" s="123"/>
      <c r="L27" s="141"/>
      <c r="M27" s="142"/>
    </row>
    <row r="28" spans="2:13" ht="15.75">
      <c r="B28" s="96" t="s">
        <v>214</v>
      </c>
      <c r="D28" s="99" t="s">
        <v>199</v>
      </c>
      <c r="F28" s="134">
        <f>F22*F12+F16*F24</f>
        <v>0.12</v>
      </c>
      <c r="I28" s="143"/>
      <c r="J28" s="143"/>
      <c r="K28" s="124"/>
      <c r="L28" s="141"/>
      <c r="M28" s="142"/>
    </row>
    <row r="29" spans="2:13">
      <c r="F29" s="9"/>
      <c r="I29" s="143"/>
      <c r="J29" s="143"/>
      <c r="K29" s="124"/>
      <c r="L29" s="141"/>
      <c r="M29" s="144"/>
    </row>
    <row r="30" spans="2:13">
      <c r="F30" s="135"/>
      <c r="I30" s="143"/>
      <c r="J30" s="143"/>
      <c r="K30" s="124"/>
      <c r="L30" s="141"/>
      <c r="M30" s="142"/>
    </row>
    <row r="31" spans="2:13">
      <c r="F31" s="125"/>
      <c r="I31" s="143"/>
      <c r="J31" s="143"/>
      <c r="K31" s="124"/>
      <c r="L31" s="141"/>
      <c r="M31" s="142"/>
    </row>
    <row r="32" spans="2:13">
      <c r="I32" s="145"/>
      <c r="J32" s="140"/>
      <c r="K32" s="123"/>
      <c r="L32" s="141"/>
      <c r="M32" s="142"/>
    </row>
    <row r="33" spans="9:13">
      <c r="I33" s="143"/>
      <c r="J33" s="143"/>
      <c r="K33" s="124"/>
      <c r="L33" s="141"/>
      <c r="M33" s="142"/>
    </row>
    <row r="34" spans="9:13">
      <c r="I34" s="146"/>
      <c r="J34" s="146"/>
      <c r="K34" s="123"/>
      <c r="L34" s="147"/>
      <c r="M34" s="148"/>
    </row>
    <row r="35" spans="9:13">
      <c r="I35" s="143"/>
      <c r="J35" s="143"/>
      <c r="K35" s="124"/>
      <c r="L35" s="141"/>
      <c r="M35" s="142"/>
    </row>
    <row r="36" spans="9:13">
      <c r="I36" s="146"/>
      <c r="J36" s="146"/>
      <c r="K36" s="123"/>
      <c r="L36" s="147"/>
      <c r="M36" s="148"/>
    </row>
    <row r="37" spans="9:13">
      <c r="I37" s="143"/>
      <c r="J37" s="143"/>
      <c r="K37" s="124"/>
      <c r="L37" s="141"/>
      <c r="M37" s="142"/>
    </row>
    <row r="38" spans="9:13">
      <c r="I38" s="140"/>
      <c r="J38" s="140"/>
      <c r="K38" s="123"/>
      <c r="L38" s="141"/>
      <c r="M38" s="142"/>
    </row>
    <row r="39" spans="9:13">
      <c r="I39" s="143"/>
      <c r="J39" s="143"/>
      <c r="K39" s="124"/>
      <c r="L39" s="141"/>
      <c r="M39" s="142"/>
    </row>
    <row r="40" spans="9:13">
      <c r="I40" s="140"/>
      <c r="J40" s="143"/>
      <c r="K40" s="124"/>
      <c r="L40" s="141"/>
      <c r="M40" s="149"/>
    </row>
    <row r="41" spans="9:13">
      <c r="I41" s="143"/>
      <c r="J41" s="143"/>
      <c r="K41" s="124"/>
      <c r="L41" s="141"/>
      <c r="M41" s="142"/>
    </row>
    <row r="42" spans="9:13">
      <c r="I42" s="143"/>
      <c r="J42" s="143"/>
      <c r="K42" s="124"/>
      <c r="L42" s="141"/>
      <c r="M42" s="142"/>
    </row>
    <row r="43" spans="9:13">
      <c r="I43" s="140"/>
      <c r="J43" s="140"/>
      <c r="K43" s="123"/>
      <c r="L43" s="141"/>
      <c r="M43" s="142"/>
    </row>
    <row r="44" spans="9:13">
      <c r="I44" s="143"/>
      <c r="J44" s="143"/>
      <c r="K44" s="124"/>
      <c r="L44" s="141"/>
      <c r="M44" s="142"/>
    </row>
    <row r="45" spans="9:13">
      <c r="I45" s="145"/>
      <c r="J45" s="140"/>
      <c r="K45" s="123"/>
      <c r="L45" s="141"/>
      <c r="M45" s="142"/>
    </row>
    <row r="46" spans="9:13">
      <c r="I46" s="143"/>
      <c r="J46" s="143"/>
      <c r="K46" s="124"/>
      <c r="L46" s="141"/>
      <c r="M46" s="142"/>
    </row>
    <row r="47" spans="9:13">
      <c r="I47" s="140"/>
      <c r="J47" s="140"/>
      <c r="K47" s="123"/>
      <c r="L47" s="141"/>
      <c r="M47" s="142"/>
    </row>
    <row r="48" spans="9:13">
      <c r="I48" s="143"/>
      <c r="J48" s="143"/>
      <c r="K48" s="124"/>
      <c r="L48" s="141"/>
      <c r="M48" s="142"/>
    </row>
    <row r="49" spans="9:13">
      <c r="I49" s="140"/>
      <c r="J49" s="143"/>
      <c r="K49" s="124"/>
      <c r="L49" s="141"/>
      <c r="M49" s="149"/>
    </row>
    <row r="50" spans="9:13">
      <c r="I50" s="143"/>
      <c r="J50" s="143"/>
      <c r="K50" s="124"/>
      <c r="L50" s="141"/>
      <c r="M50" s="142"/>
    </row>
    <row r="51" spans="9:13">
      <c r="I51" s="143"/>
      <c r="J51" s="143"/>
      <c r="K51" s="124"/>
      <c r="L51" s="141"/>
      <c r="M51" s="142"/>
    </row>
    <row r="52" spans="9:13">
      <c r="I52" s="140"/>
      <c r="J52" s="140"/>
      <c r="K52" s="123"/>
      <c r="L52" s="141"/>
      <c r="M52" s="142"/>
    </row>
    <row r="53" spans="9:13">
      <c r="I53" s="143"/>
      <c r="J53" s="143"/>
      <c r="K53" s="124"/>
      <c r="L53" s="141"/>
      <c r="M53" s="142"/>
    </row>
    <row r="54" spans="9:13">
      <c r="I54" s="146"/>
      <c r="J54" s="143"/>
      <c r="K54" s="124"/>
      <c r="L54" s="141"/>
      <c r="M54" s="150"/>
    </row>
    <row r="55" spans="9:13">
      <c r="I55" s="143"/>
      <c r="J55" s="143"/>
      <c r="K55" s="124"/>
      <c r="L55" s="141"/>
      <c r="M55" s="142"/>
    </row>
    <row r="56" spans="9:13">
      <c r="I56" s="146"/>
      <c r="J56" s="143"/>
      <c r="K56" s="124"/>
      <c r="L56" s="141"/>
      <c r="M56" s="150"/>
    </row>
    <row r="57" spans="9:13">
      <c r="I57" s="143"/>
      <c r="J57" s="143"/>
      <c r="K57" s="124"/>
      <c r="L57" s="141"/>
      <c r="M57" s="142"/>
    </row>
    <row r="58" spans="9:13">
      <c r="I58" s="140"/>
      <c r="J58" s="140"/>
      <c r="K58" s="123"/>
      <c r="L58" s="141"/>
      <c r="M58" s="142"/>
    </row>
    <row r="59" spans="9:13">
      <c r="I59" s="143"/>
      <c r="J59" s="143"/>
      <c r="K59" s="124"/>
      <c r="L59" s="141"/>
      <c r="M59" s="142"/>
    </row>
    <row r="60" spans="9:13">
      <c r="I60" s="140"/>
      <c r="J60" s="143"/>
      <c r="K60" s="124"/>
      <c r="L60" s="141"/>
      <c r="M60" s="149"/>
    </row>
    <row r="61" spans="9:13">
      <c r="I61" s="143"/>
      <c r="J61" s="143"/>
      <c r="K61" s="124"/>
      <c r="L61" s="141"/>
      <c r="M61" s="142"/>
    </row>
    <row r="62" spans="9:13">
      <c r="I62" s="143"/>
      <c r="J62" s="143"/>
      <c r="K62" s="124"/>
      <c r="L62" s="141"/>
      <c r="M62" s="142"/>
    </row>
    <row r="63" spans="9:13">
      <c r="I63" s="145"/>
      <c r="J63" s="143"/>
      <c r="K63" s="124"/>
      <c r="L63" s="141"/>
      <c r="M63" s="150"/>
    </row>
    <row r="64" spans="9:13">
      <c r="I64" s="143"/>
      <c r="J64" s="143"/>
      <c r="K64" s="124"/>
      <c r="L64" s="141"/>
      <c r="M64" s="142"/>
    </row>
    <row r="65" spans="9:13">
      <c r="I65" s="143"/>
      <c r="J65" s="143"/>
      <c r="K65" s="124"/>
      <c r="L65" s="151"/>
      <c r="M65" s="152"/>
    </row>
    <row r="66" spans="9:13">
      <c r="I66" s="143"/>
      <c r="J66" s="143"/>
      <c r="K66" s="124"/>
      <c r="L66" s="141"/>
      <c r="M66" s="142"/>
    </row>
    <row r="67" spans="9:13">
      <c r="I67" s="140"/>
      <c r="J67" s="140"/>
      <c r="K67" s="123"/>
      <c r="L67" s="141"/>
      <c r="M67" s="142"/>
    </row>
    <row r="68" spans="9:13">
      <c r="I68" s="143"/>
      <c r="J68" s="143"/>
      <c r="K68" s="124"/>
      <c r="L68" s="141"/>
      <c r="M68" s="142"/>
    </row>
    <row r="69" spans="9:13">
      <c r="I69" s="140"/>
      <c r="J69" s="140"/>
      <c r="K69" s="123"/>
      <c r="L69" s="141"/>
      <c r="M69" s="142"/>
    </row>
    <row r="70" spans="9:13">
      <c r="I70" s="143"/>
      <c r="J70" s="143"/>
      <c r="K70" s="124"/>
      <c r="L70" s="141"/>
      <c r="M70" s="142"/>
    </row>
    <row r="71" spans="9:13">
      <c r="I71" s="143"/>
      <c r="J71" s="143"/>
      <c r="K71" s="124"/>
      <c r="L71" s="141"/>
      <c r="M71" s="142"/>
    </row>
    <row r="72" spans="9:13">
      <c r="I72" s="146"/>
      <c r="J72" s="143"/>
      <c r="K72" s="124"/>
      <c r="L72" s="141"/>
      <c r="M72" s="142"/>
    </row>
    <row r="73" spans="9:13">
      <c r="I73" s="143"/>
      <c r="J73" s="143"/>
      <c r="K73" s="124"/>
      <c r="L73" s="141"/>
      <c r="M73" s="142"/>
    </row>
    <row r="74" spans="9:13">
      <c r="I74" s="140"/>
      <c r="J74" s="140"/>
      <c r="K74" s="123"/>
      <c r="L74" s="141"/>
      <c r="M74" s="142"/>
    </row>
    <row r="75" spans="9:13">
      <c r="I75" s="143"/>
      <c r="J75" s="143"/>
      <c r="K75" s="124"/>
      <c r="L75" s="141"/>
      <c r="M75" s="142"/>
    </row>
    <row r="76" spans="9:13">
      <c r="I76" s="140"/>
      <c r="J76" s="140"/>
      <c r="K76" s="123"/>
      <c r="L76" s="141"/>
      <c r="M76" s="142"/>
    </row>
    <row r="77" spans="9:13">
      <c r="I77" s="143"/>
      <c r="J77" s="143"/>
      <c r="K77" s="124"/>
      <c r="L77" s="141"/>
      <c r="M77" s="142"/>
    </row>
    <row r="78" spans="9:13">
      <c r="I78" s="140"/>
      <c r="J78" s="140"/>
      <c r="K78" s="123"/>
      <c r="L78" s="141"/>
      <c r="M78" s="142"/>
    </row>
    <row r="79" spans="9:13">
      <c r="I79" s="143"/>
      <c r="J79" s="143"/>
      <c r="K79" s="124"/>
      <c r="L79" s="141"/>
      <c r="M79" s="142"/>
    </row>
    <row r="80" spans="9:13">
      <c r="I80" s="140"/>
      <c r="J80" s="140"/>
      <c r="K80" s="123"/>
      <c r="L80" s="141"/>
      <c r="M80" s="142"/>
    </row>
    <row r="81" spans="9:13">
      <c r="I81" s="143"/>
      <c r="J81" s="143"/>
      <c r="K81" s="124"/>
      <c r="L81" s="141"/>
      <c r="M81" s="142"/>
    </row>
    <row r="82" spans="9:13">
      <c r="I82" s="140"/>
      <c r="J82" s="140"/>
      <c r="K82" s="123"/>
      <c r="L82" s="141"/>
      <c r="M82" s="142"/>
    </row>
    <row r="83" spans="9:13">
      <c r="I83" s="143"/>
      <c r="J83" s="143"/>
      <c r="K83" s="124"/>
      <c r="L83" s="141"/>
      <c r="M83" s="142"/>
    </row>
    <row r="84" spans="9:13">
      <c r="I84" s="145"/>
      <c r="J84" s="140"/>
      <c r="K84" s="123"/>
      <c r="L84" s="141"/>
      <c r="M84" s="153"/>
    </row>
    <row r="85" spans="9:13">
      <c r="I85" s="143"/>
      <c r="J85" s="143"/>
      <c r="K85" s="124"/>
      <c r="L85" s="141"/>
      <c r="M85" s="142"/>
    </row>
    <row r="86" spans="9:13">
      <c r="I86" s="145"/>
      <c r="J86" s="140"/>
      <c r="K86" s="123"/>
      <c r="L86" s="141"/>
      <c r="M86" s="142"/>
    </row>
    <row r="87" spans="9:13">
      <c r="I87" s="143"/>
      <c r="J87" s="143"/>
      <c r="K87" s="124"/>
      <c r="L87" s="141"/>
      <c r="M87" s="142"/>
    </row>
    <row r="88" spans="9:13">
      <c r="I88" s="140"/>
      <c r="J88" s="140"/>
      <c r="K88" s="123"/>
      <c r="L88" s="141"/>
      <c r="M88" s="142"/>
    </row>
    <row r="89" spans="9:13">
      <c r="I89" s="143"/>
      <c r="J89" s="143"/>
      <c r="K89" s="124"/>
      <c r="L89" s="141"/>
      <c r="M89" s="142"/>
    </row>
    <row r="90" spans="9:13">
      <c r="I90" s="140"/>
      <c r="J90" s="140"/>
      <c r="K90" s="123"/>
      <c r="L90" s="141"/>
      <c r="M90" s="142"/>
    </row>
    <row r="91" spans="9:13">
      <c r="I91" s="143"/>
      <c r="J91" s="143"/>
      <c r="K91" s="124"/>
      <c r="L91" s="141"/>
      <c r="M91" s="142"/>
    </row>
    <row r="92" spans="9:13">
      <c r="I92" s="145"/>
      <c r="J92" s="140"/>
      <c r="K92" s="123"/>
      <c r="L92" s="141"/>
      <c r="M92" s="153"/>
    </row>
    <row r="93" spans="9:13">
      <c r="I93" s="143"/>
      <c r="J93" s="143"/>
      <c r="K93" s="124"/>
      <c r="L93" s="141"/>
      <c r="M93" s="142"/>
    </row>
    <row r="94" spans="9:13">
      <c r="I94" s="145"/>
      <c r="J94" s="140"/>
      <c r="K94" s="123"/>
      <c r="L94" s="141"/>
      <c r="M94" s="153"/>
    </row>
    <row r="95" spans="9:13">
      <c r="I95" s="143"/>
      <c r="J95" s="143"/>
      <c r="K95" s="124"/>
      <c r="L95" s="141"/>
      <c r="M95" s="142"/>
    </row>
    <row r="96" spans="9:13">
      <c r="I96" s="140"/>
      <c r="J96" s="140"/>
      <c r="K96" s="123"/>
      <c r="L96" s="141"/>
      <c r="M96" s="154"/>
    </row>
    <row r="97" spans="9:13">
      <c r="I97" s="143"/>
      <c r="J97" s="143"/>
      <c r="K97" s="124"/>
      <c r="L97" s="141"/>
      <c r="M97" s="142"/>
    </row>
    <row r="98" spans="9:13">
      <c r="I98" s="140"/>
      <c r="J98" s="140"/>
      <c r="K98" s="123"/>
      <c r="L98" s="141"/>
      <c r="M98" s="155"/>
    </row>
    <row r="99" spans="9:13">
      <c r="I99" s="143"/>
      <c r="J99" s="143"/>
      <c r="K99" s="124"/>
      <c r="L99" s="141"/>
      <c r="M99" s="142"/>
    </row>
    <row r="100" spans="9:13">
      <c r="I100" s="140"/>
      <c r="J100" s="140"/>
      <c r="K100" s="123"/>
      <c r="L100" s="141"/>
      <c r="M100" s="154"/>
    </row>
    <row r="101" spans="9:13">
      <c r="I101" s="143"/>
      <c r="J101" s="143"/>
      <c r="K101" s="124"/>
      <c r="L101" s="141"/>
      <c r="M101" s="142"/>
    </row>
    <row r="102" spans="9:13">
      <c r="I102" s="140"/>
      <c r="J102" s="140"/>
      <c r="K102" s="123"/>
      <c r="L102" s="141"/>
      <c r="M102" s="149"/>
    </row>
    <row r="103" spans="9:13">
      <c r="I103" s="143"/>
      <c r="J103" s="143"/>
      <c r="K103" s="124"/>
      <c r="L103" s="141"/>
      <c r="M103" s="142"/>
    </row>
    <row r="104" spans="9:13">
      <c r="I104" s="140"/>
      <c r="J104" s="140"/>
      <c r="K104" s="123"/>
      <c r="L104" s="141"/>
      <c r="M104" s="142"/>
    </row>
    <row r="105" spans="9:13">
      <c r="I105" s="143"/>
      <c r="J105" s="143"/>
      <c r="K105" s="124"/>
      <c r="L105" s="141"/>
      <c r="M105" s="142"/>
    </row>
    <row r="106" spans="9:13">
      <c r="I106" s="140"/>
      <c r="J106" s="140"/>
      <c r="K106" s="123"/>
      <c r="L106" s="141"/>
      <c r="M106" s="149"/>
    </row>
    <row r="107" spans="9:13">
      <c r="I107" s="143"/>
      <c r="J107" s="143"/>
      <c r="K107" s="124"/>
      <c r="L107" s="141"/>
      <c r="M107" s="142"/>
    </row>
    <row r="108" spans="9:13">
      <c r="I108" s="140"/>
      <c r="J108" s="140"/>
      <c r="K108" s="123"/>
      <c r="L108" s="141"/>
      <c r="M108" s="150"/>
    </row>
    <row r="109" spans="9:13">
      <c r="I109" s="143"/>
      <c r="J109" s="143"/>
      <c r="K109" s="124"/>
      <c r="L109" s="141"/>
      <c r="M109" s="142"/>
    </row>
    <row r="110" spans="9:13">
      <c r="I110" s="143"/>
      <c r="J110" s="143"/>
      <c r="K110" s="124"/>
      <c r="L110" s="141"/>
      <c r="M110" s="142"/>
    </row>
    <row r="111" spans="9:13">
      <c r="I111" s="156"/>
      <c r="J111" s="156"/>
      <c r="K111" s="111"/>
      <c r="L111" s="157"/>
      <c r="M111" s="158"/>
    </row>
    <row r="112" spans="9:13">
      <c r="I112" s="156"/>
      <c r="J112" s="156"/>
      <c r="K112" s="111"/>
      <c r="L112" s="157"/>
      <c r="M112" s="158"/>
    </row>
    <row r="113" spans="9:13">
      <c r="I113" s="156"/>
      <c r="J113" s="156"/>
      <c r="K113" s="111"/>
      <c r="L113" s="157"/>
      <c r="M113" s="158"/>
    </row>
    <row r="114" spans="9:13">
      <c r="I114" s="156"/>
      <c r="J114" s="156"/>
      <c r="K114" s="111"/>
      <c r="L114" s="157"/>
      <c r="M114" s="158"/>
    </row>
    <row r="115" spans="9:13">
      <c r="I115" s="156"/>
      <c r="J115" s="156"/>
      <c r="K115" s="111"/>
      <c r="L115" s="157"/>
      <c r="M115" s="158"/>
    </row>
    <row r="116" spans="9:13">
      <c r="I116" s="156"/>
      <c r="J116" s="156"/>
      <c r="K116" s="111"/>
      <c r="L116" s="157"/>
      <c r="M116" s="158"/>
    </row>
    <row r="117" spans="9:13">
      <c r="I117" s="156"/>
      <c r="J117" s="156"/>
      <c r="K117" s="111"/>
      <c r="L117" s="157"/>
      <c r="M117" s="158"/>
    </row>
    <row r="118" spans="9:13">
      <c r="I118" s="156"/>
      <c r="J118" s="156"/>
      <c r="K118" s="111"/>
      <c r="L118" s="157"/>
      <c r="M118" s="158"/>
    </row>
    <row r="119" spans="9:13">
      <c r="I119" s="156"/>
      <c r="J119" s="156"/>
      <c r="K119" s="111"/>
      <c r="L119" s="157"/>
      <c r="M119" s="158"/>
    </row>
    <row r="120" spans="9:13">
      <c r="I120" s="156"/>
      <c r="J120" s="156"/>
      <c r="K120" s="111"/>
      <c r="L120" s="157"/>
      <c r="M120" s="158"/>
    </row>
    <row r="121" spans="9:13">
      <c r="I121" s="156"/>
      <c r="J121" s="156"/>
      <c r="K121" s="111"/>
      <c r="L121" s="157"/>
      <c r="M121" s="158"/>
    </row>
    <row r="122" spans="9:13">
      <c r="M122" s="159"/>
    </row>
    <row r="123" spans="9:13">
      <c r="M123" s="159"/>
    </row>
    <row r="124" spans="9:13">
      <c r="M124" s="159"/>
    </row>
    <row r="125" spans="9:13">
      <c r="M125" s="159"/>
    </row>
    <row r="126" spans="9:13">
      <c r="M126" s="159"/>
    </row>
    <row r="127" spans="9:13">
      <c r="M127" s="159"/>
    </row>
    <row r="128" spans="9:13">
      <c r="M128" s="159"/>
    </row>
    <row r="129" spans="13:13">
      <c r="M129" s="159"/>
    </row>
    <row r="130" spans="13:13">
      <c r="M130" s="159"/>
    </row>
    <row r="131" spans="13:13">
      <c r="M131" s="159"/>
    </row>
    <row r="132" spans="13:13">
      <c r="M132" s="159"/>
    </row>
    <row r="133" spans="13:13">
      <c r="M133" s="159"/>
    </row>
    <row r="134" spans="13:13">
      <c r="M134" s="159"/>
    </row>
    <row r="135" spans="13:13">
      <c r="M135" s="159"/>
    </row>
    <row r="136" spans="13:13">
      <c r="M136" s="159"/>
    </row>
    <row r="137" spans="13:13">
      <c r="M137" s="159"/>
    </row>
    <row r="138" spans="13:13">
      <c r="M138" s="159"/>
    </row>
    <row r="139" spans="13:13">
      <c r="M139" s="159"/>
    </row>
    <row r="140" spans="13:13">
      <c r="M140" s="159"/>
    </row>
    <row r="141" spans="13:13">
      <c r="M141" s="159"/>
    </row>
    <row r="142" spans="13:13">
      <c r="M142" s="159"/>
    </row>
    <row r="143" spans="13:13">
      <c r="M143" s="159"/>
    </row>
    <row r="144" spans="13:13">
      <c r="M144" s="159"/>
    </row>
    <row r="145" spans="13:13">
      <c r="M145" s="159"/>
    </row>
    <row r="146" spans="13:13">
      <c r="M146" s="159"/>
    </row>
    <row r="147" spans="13:13">
      <c r="M147" s="159"/>
    </row>
    <row r="148" spans="13:13">
      <c r="M148" s="159"/>
    </row>
    <row r="149" spans="13:13">
      <c r="M149" s="159"/>
    </row>
    <row r="150" spans="13:13">
      <c r="M150" s="159"/>
    </row>
    <row r="151" spans="13:13">
      <c r="M151" s="159"/>
    </row>
    <row r="152" spans="13:13">
      <c r="M152" s="159"/>
    </row>
    <row r="153" spans="13:13">
      <c r="M153" s="159"/>
    </row>
    <row r="154" spans="13:13">
      <c r="M154" s="159"/>
    </row>
    <row r="155" spans="13:13">
      <c r="M155" s="159"/>
    </row>
    <row r="156" spans="13:13">
      <c r="M156" s="159"/>
    </row>
    <row r="157" spans="13:13">
      <c r="M157" s="159"/>
    </row>
    <row r="158" spans="13:13">
      <c r="M158" s="159"/>
    </row>
    <row r="159" spans="13:13">
      <c r="M159" s="159"/>
    </row>
    <row r="160" spans="13:13">
      <c r="M160" s="159"/>
    </row>
    <row r="161" spans="13:13">
      <c r="M161" s="159"/>
    </row>
    <row r="162" spans="13:13">
      <c r="M162" s="159"/>
    </row>
    <row r="163" spans="13:13">
      <c r="M163" s="159"/>
    </row>
    <row r="164" spans="13:13">
      <c r="M164" s="159"/>
    </row>
    <row r="165" spans="13:13">
      <c r="M165" s="159"/>
    </row>
    <row r="166" spans="13:13">
      <c r="M166" s="159"/>
    </row>
    <row r="167" spans="13:13">
      <c r="M167" s="159"/>
    </row>
    <row r="168" spans="13:13">
      <c r="M168" s="159"/>
    </row>
    <row r="169" spans="13:13">
      <c r="M169" s="159"/>
    </row>
    <row r="170" spans="13:13">
      <c r="M170" s="159"/>
    </row>
    <row r="171" spans="13:13">
      <c r="M171" s="159"/>
    </row>
    <row r="172" spans="13:13">
      <c r="M172" s="159"/>
    </row>
    <row r="173" spans="13:13">
      <c r="M173" s="159"/>
    </row>
    <row r="174" spans="13:13">
      <c r="M174" s="159"/>
    </row>
    <row r="175" spans="13:13">
      <c r="M175" s="159"/>
    </row>
    <row r="176" spans="13:13">
      <c r="M176" s="159"/>
    </row>
    <row r="177" spans="13:13">
      <c r="M177" s="159"/>
    </row>
    <row r="178" spans="13:13">
      <c r="M178" s="159"/>
    </row>
    <row r="179" spans="13:13">
      <c r="M179" s="159"/>
    </row>
    <row r="180" spans="13:13">
      <c r="M180" s="159"/>
    </row>
    <row r="181" spans="13:13">
      <c r="M181" s="159"/>
    </row>
    <row r="182" spans="13:13">
      <c r="M182" s="159"/>
    </row>
    <row r="183" spans="13:13">
      <c r="M183" s="159"/>
    </row>
    <row r="184" spans="13:13">
      <c r="M184" s="159"/>
    </row>
    <row r="185" spans="13:13">
      <c r="M185" s="159"/>
    </row>
    <row r="186" spans="13:13">
      <c r="M186" s="159"/>
    </row>
    <row r="187" spans="13:13">
      <c r="M187" s="159"/>
    </row>
    <row r="188" spans="13:13">
      <c r="M188" s="159"/>
    </row>
  </sheetData>
  <conditionalFormatting sqref="F5">
    <cfRule type="containsBlanks" dxfId="12" priority="15">
      <formula>LEN(TRIM(F5))=0</formula>
    </cfRule>
  </conditionalFormatting>
  <conditionalFormatting sqref="F16">
    <cfRule type="containsBlanks" dxfId="11" priority="10">
      <formula>LEN(TRIM(F16))=0</formula>
    </cfRule>
  </conditionalFormatting>
  <conditionalFormatting sqref="F7:F8">
    <cfRule type="containsBlanks" dxfId="10" priority="13">
      <formula>LEN(TRIM(F7))=0</formula>
    </cfRule>
  </conditionalFormatting>
  <conditionalFormatting sqref="F26">
    <cfRule type="containsBlanks" dxfId="9" priority="8">
      <formula>LEN(TRIM(F26))=0</formula>
    </cfRule>
  </conditionalFormatting>
  <conditionalFormatting sqref="F12">
    <cfRule type="containsBlanks" dxfId="8" priority="11">
      <formula>LEN(TRIM(F12))=0</formula>
    </cfRule>
  </conditionalFormatting>
  <conditionalFormatting sqref="F24">
    <cfRule type="containsBlanks" dxfId="7" priority="9">
      <formula>LEN(TRIM(F24))=0</formula>
    </cfRule>
  </conditionalFormatting>
  <conditionalFormatting sqref="F22">
    <cfRule type="containsBlanks" dxfId="6" priority="7">
      <formula>LEN(TRIM(F22))=0</formula>
    </cfRule>
  </conditionalFormatting>
  <conditionalFormatting sqref="M54">
    <cfRule type="containsBlanks" dxfId="5" priority="5">
      <formula>LEN(TRIM(M54))=0</formula>
    </cfRule>
  </conditionalFormatting>
  <conditionalFormatting sqref="M56">
    <cfRule type="containsBlanks" dxfId="4" priority="4">
      <formula>LEN(TRIM(M56))=0</formula>
    </cfRule>
  </conditionalFormatting>
  <conditionalFormatting sqref="M63">
    <cfRule type="containsBlanks" dxfId="3" priority="3">
      <formula>LEN(TRIM(M63))=0</formula>
    </cfRule>
  </conditionalFormatting>
  <conditionalFormatting sqref="F9">
    <cfRule type="containsBlanks" dxfId="2" priority="2">
      <formula>LEN(TRIM(F9))=0</formula>
    </cfRule>
  </conditionalFormatting>
  <conditionalFormatting sqref="F28">
    <cfRule type="containsBlanks" dxfId="1" priority="1">
      <formula>LEN(TRIM(F28))=0</formula>
    </cfRule>
  </conditionalFormatting>
  <dataValidations count="1">
    <dataValidation type="whole" allowBlank="1" showInputMessage="1" showErrorMessage="1" sqref="F5">
      <formula1>1</formula1>
      <formula2>11</formula2>
    </dataValidation>
  </dataValidations>
  <hyperlinks>
    <hyperlink ref="B9" location="CAPEX!A1" display="Вариант закупки оборудования"/>
  </hyperlinks>
  <pageMargins left="0.7" right="0.7" top="0.75" bottom="0.75" header="0.3" footer="0.3"/>
  <legacyDrawing r:id="rId1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справочники!$A$4:$A$5</xm:f>
          </x14:formula1>
          <xm:sqref>F7:F8</xm:sqref>
        </x14:dataValidation>
        <x14:dataValidation type="list" allowBlank="1" showInputMessage="1" showErrorMessage="1">
          <x14:formula1>
            <xm:f>CAPEX!$H$1:$I$1</xm:f>
          </x14:formula1>
          <xm:sqref>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J41"/>
  <sheetViews>
    <sheetView showGridLines="0" zoomScale="85" zoomScaleNormal="85" workbookViewId="0">
      <pane xSplit="3" ySplit="5" topLeftCell="BP12" activePane="bottomRight" state="frozen"/>
      <selection pane="topRight" activeCell="D1" sqref="D1"/>
      <selection pane="bottomLeft" activeCell="A6" sqref="A6"/>
      <selection pane="bottomRight" activeCell="Q34" sqref="Q34"/>
    </sheetView>
  </sheetViews>
  <sheetFormatPr defaultRowHeight="15" outlineLevelRow="1"/>
  <cols>
    <col min="1" max="1" width="6.28515625" customWidth="1"/>
    <col min="2" max="2" width="71.28515625" customWidth="1"/>
    <col min="3" max="3" width="2.140625" customWidth="1"/>
    <col min="4" max="9" width="17.42578125" customWidth="1"/>
    <col min="10" max="10" width="3.42578125" customWidth="1"/>
    <col min="11" max="15" width="17.42578125" customWidth="1"/>
    <col min="16" max="16" width="16.5703125" customWidth="1"/>
    <col min="17" max="17" width="17.42578125" customWidth="1"/>
    <col min="18" max="18" width="15" customWidth="1"/>
    <col min="19" max="19" width="15.85546875" customWidth="1"/>
    <col min="20" max="20" width="13.28515625" customWidth="1"/>
    <col min="21" max="21" width="13.7109375" customWidth="1"/>
    <col min="22" max="22" width="17.42578125" customWidth="1"/>
    <col min="23" max="23" width="15.7109375" customWidth="1"/>
    <col min="24" max="24" width="15.28515625" customWidth="1"/>
    <col min="25" max="25" width="17.42578125" customWidth="1"/>
    <col min="26" max="57" width="16.140625" customWidth="1"/>
    <col min="58" max="73" width="15.85546875" customWidth="1"/>
  </cols>
  <sheetData>
    <row r="1" spans="1:88" ht="21">
      <c r="A1" t="s">
        <v>148</v>
      </c>
      <c r="B1" s="68"/>
      <c r="C1" s="44"/>
      <c r="D1" s="94"/>
      <c r="E1" s="94"/>
      <c r="F1" s="94"/>
      <c r="G1" s="94"/>
      <c r="H1" s="94"/>
      <c r="I1" s="94"/>
      <c r="J1" s="94"/>
      <c r="K1" s="94">
        <f>YEAR(K4)</f>
        <v>2019</v>
      </c>
      <c r="L1" s="86">
        <f t="shared" ref="L1:BU1" si="0">YEAR(L4)</f>
        <v>2019</v>
      </c>
      <c r="M1" s="94">
        <f t="shared" si="0"/>
        <v>2019</v>
      </c>
      <c r="N1" s="94">
        <f t="shared" si="0"/>
        <v>2020</v>
      </c>
      <c r="O1" s="94">
        <f t="shared" si="0"/>
        <v>2020</v>
      </c>
      <c r="P1" s="95">
        <f t="shared" si="0"/>
        <v>2020</v>
      </c>
      <c r="Q1" s="94">
        <f t="shared" si="0"/>
        <v>2020</v>
      </c>
      <c r="R1" s="94">
        <f t="shared" si="0"/>
        <v>2020</v>
      </c>
      <c r="S1" s="94">
        <f t="shared" si="0"/>
        <v>2020</v>
      </c>
      <c r="T1" s="94">
        <f t="shared" si="0"/>
        <v>2020</v>
      </c>
      <c r="U1" s="94">
        <f t="shared" si="0"/>
        <v>2020</v>
      </c>
      <c r="V1" s="94">
        <f t="shared" si="0"/>
        <v>2020</v>
      </c>
      <c r="W1" s="94">
        <f t="shared" si="0"/>
        <v>2020</v>
      </c>
      <c r="X1" s="94">
        <f t="shared" si="0"/>
        <v>2020</v>
      </c>
      <c r="Y1" s="94">
        <f t="shared" si="0"/>
        <v>2020</v>
      </c>
      <c r="Z1" s="94">
        <f t="shared" si="0"/>
        <v>2021</v>
      </c>
      <c r="AA1" s="94">
        <f t="shared" si="0"/>
        <v>2021</v>
      </c>
      <c r="AB1" s="95">
        <f t="shared" si="0"/>
        <v>2021</v>
      </c>
      <c r="AC1" s="94">
        <f t="shared" si="0"/>
        <v>2021</v>
      </c>
      <c r="AD1" s="94">
        <f t="shared" si="0"/>
        <v>2021</v>
      </c>
      <c r="AE1" s="94">
        <f t="shared" si="0"/>
        <v>2021</v>
      </c>
      <c r="AF1" s="94">
        <f t="shared" si="0"/>
        <v>2021</v>
      </c>
      <c r="AG1" s="94">
        <f t="shared" si="0"/>
        <v>2021</v>
      </c>
      <c r="AH1" s="94">
        <f t="shared" si="0"/>
        <v>2021</v>
      </c>
      <c r="AI1" s="94">
        <f t="shared" si="0"/>
        <v>2021</v>
      </c>
      <c r="AJ1" s="94">
        <f t="shared" si="0"/>
        <v>2021</v>
      </c>
      <c r="AK1" s="94">
        <f t="shared" si="0"/>
        <v>2021</v>
      </c>
      <c r="AL1" s="94">
        <f t="shared" si="0"/>
        <v>2022</v>
      </c>
      <c r="AM1" s="94">
        <f t="shared" si="0"/>
        <v>2022</v>
      </c>
      <c r="AN1" s="95">
        <f t="shared" si="0"/>
        <v>2022</v>
      </c>
      <c r="AO1" s="94">
        <f t="shared" si="0"/>
        <v>2022</v>
      </c>
      <c r="AP1" s="94">
        <f t="shared" si="0"/>
        <v>2022</v>
      </c>
      <c r="AQ1" s="94">
        <f t="shared" si="0"/>
        <v>2022</v>
      </c>
      <c r="AR1" s="94">
        <f t="shared" si="0"/>
        <v>2022</v>
      </c>
      <c r="AS1" s="94">
        <f t="shared" si="0"/>
        <v>2022</v>
      </c>
      <c r="AT1" s="94">
        <f t="shared" si="0"/>
        <v>2022</v>
      </c>
      <c r="AU1" s="94">
        <f t="shared" si="0"/>
        <v>2022</v>
      </c>
      <c r="AV1" s="94">
        <f t="shared" si="0"/>
        <v>2022</v>
      </c>
      <c r="AW1" s="94">
        <f t="shared" si="0"/>
        <v>2022</v>
      </c>
      <c r="AX1" s="94">
        <f t="shared" si="0"/>
        <v>2023</v>
      </c>
      <c r="AY1" s="94">
        <f t="shared" si="0"/>
        <v>2023</v>
      </c>
      <c r="AZ1" s="95">
        <f t="shared" si="0"/>
        <v>2023</v>
      </c>
      <c r="BA1" s="94">
        <f t="shared" si="0"/>
        <v>2023</v>
      </c>
      <c r="BB1" s="94">
        <f t="shared" si="0"/>
        <v>2023</v>
      </c>
      <c r="BC1" s="94">
        <f t="shared" si="0"/>
        <v>2023</v>
      </c>
      <c r="BD1" s="94">
        <f t="shared" si="0"/>
        <v>2023</v>
      </c>
      <c r="BE1" s="94">
        <f t="shared" si="0"/>
        <v>2023</v>
      </c>
      <c r="BF1" s="94">
        <f t="shared" si="0"/>
        <v>2023</v>
      </c>
      <c r="BG1" s="94">
        <f t="shared" si="0"/>
        <v>2023</v>
      </c>
      <c r="BH1" s="94">
        <f t="shared" si="0"/>
        <v>2023</v>
      </c>
      <c r="BI1" s="94">
        <f t="shared" si="0"/>
        <v>2023</v>
      </c>
      <c r="BJ1" s="94">
        <f t="shared" si="0"/>
        <v>2024</v>
      </c>
      <c r="BK1" s="94">
        <f t="shared" si="0"/>
        <v>2024</v>
      </c>
      <c r="BL1" s="95">
        <f t="shared" si="0"/>
        <v>2024</v>
      </c>
      <c r="BM1" s="94">
        <f t="shared" si="0"/>
        <v>2024</v>
      </c>
      <c r="BN1" s="94">
        <f t="shared" si="0"/>
        <v>2024</v>
      </c>
      <c r="BO1" s="94">
        <f t="shared" si="0"/>
        <v>2024</v>
      </c>
      <c r="BP1" s="94">
        <f t="shared" si="0"/>
        <v>2024</v>
      </c>
      <c r="BQ1" s="94">
        <f t="shared" si="0"/>
        <v>2024</v>
      </c>
      <c r="BR1" s="94">
        <f t="shared" si="0"/>
        <v>2024</v>
      </c>
      <c r="BS1" s="94">
        <f t="shared" si="0"/>
        <v>2024</v>
      </c>
      <c r="BT1" s="94">
        <f t="shared" si="0"/>
        <v>2024</v>
      </c>
      <c r="BU1" s="94">
        <f t="shared" si="0"/>
        <v>2024</v>
      </c>
      <c r="BV1" s="94"/>
      <c r="BW1" s="94"/>
    </row>
    <row r="4" spans="1:88" s="57" customFormat="1" ht="24" customHeight="1">
      <c r="B4" s="55" t="s">
        <v>142</v>
      </c>
      <c r="C4" s="56"/>
      <c r="D4" s="131">
        <v>2019</v>
      </c>
      <c r="E4" s="131">
        <v>2020</v>
      </c>
      <c r="F4" s="131">
        <v>2021</v>
      </c>
      <c r="G4" s="131">
        <v>2022</v>
      </c>
      <c r="H4" s="131">
        <v>2023</v>
      </c>
      <c r="I4" s="131">
        <v>2024</v>
      </c>
      <c r="J4" s="56"/>
      <c r="K4" s="55">
        <v>43739</v>
      </c>
      <c r="L4" s="55">
        <v>43770</v>
      </c>
      <c r="M4" s="55">
        <v>43800</v>
      </c>
      <c r="N4" s="55">
        <v>43831</v>
      </c>
      <c r="O4" s="55">
        <v>43862</v>
      </c>
      <c r="P4" s="55">
        <v>43891</v>
      </c>
      <c r="Q4" s="55">
        <v>43922</v>
      </c>
      <c r="R4" s="55">
        <v>43952</v>
      </c>
      <c r="S4" s="55">
        <v>43983</v>
      </c>
      <c r="T4" s="55">
        <v>44013</v>
      </c>
      <c r="U4" s="55">
        <v>44044</v>
      </c>
      <c r="V4" s="55">
        <v>44075</v>
      </c>
      <c r="W4" s="55">
        <v>44105</v>
      </c>
      <c r="X4" s="55">
        <v>44136</v>
      </c>
      <c r="Y4" s="55">
        <v>44166</v>
      </c>
      <c r="Z4" s="55">
        <f>PnL!AB4</f>
        <v>44197</v>
      </c>
      <c r="AA4" s="55">
        <f>PnL!AC4</f>
        <v>44228</v>
      </c>
      <c r="AB4" s="55">
        <f>PnL!AD4</f>
        <v>44256</v>
      </c>
      <c r="AC4" s="55">
        <f>PnL!AE4</f>
        <v>44287</v>
      </c>
      <c r="AD4" s="55">
        <f>PnL!AF4</f>
        <v>44317</v>
      </c>
      <c r="AE4" s="55">
        <f>PnL!AG4</f>
        <v>44348</v>
      </c>
      <c r="AF4" s="55">
        <f>PnL!AH4</f>
        <v>44378</v>
      </c>
      <c r="AG4" s="55">
        <f>PnL!AI4</f>
        <v>44409</v>
      </c>
      <c r="AH4" s="55">
        <f>PnL!AJ4</f>
        <v>44440</v>
      </c>
      <c r="AI4" s="55">
        <f>PnL!AK4</f>
        <v>44470</v>
      </c>
      <c r="AJ4" s="55">
        <f>PnL!AL4</f>
        <v>44501</v>
      </c>
      <c r="AK4" s="55">
        <f>PnL!AM4</f>
        <v>44531</v>
      </c>
      <c r="AL4" s="55">
        <f>PnL!AN4</f>
        <v>44562</v>
      </c>
      <c r="AM4" s="55">
        <f>PnL!AO4</f>
        <v>44593</v>
      </c>
      <c r="AN4" s="55">
        <f>PnL!AP4</f>
        <v>44621</v>
      </c>
      <c r="AO4" s="55">
        <f>PnL!AQ4</f>
        <v>44652</v>
      </c>
      <c r="AP4" s="55">
        <f>PnL!AR4</f>
        <v>44682</v>
      </c>
      <c r="AQ4" s="55">
        <f>PnL!AS4</f>
        <v>44713</v>
      </c>
      <c r="AR4" s="55">
        <f>PnL!AT4</f>
        <v>44743</v>
      </c>
      <c r="AS4" s="55">
        <f>PnL!AU4</f>
        <v>44774</v>
      </c>
      <c r="AT4" s="55">
        <f>PnL!AV4</f>
        <v>44805</v>
      </c>
      <c r="AU4" s="55">
        <f>PnL!AW4</f>
        <v>44835</v>
      </c>
      <c r="AV4" s="55">
        <f>PnL!AX4</f>
        <v>44866</v>
      </c>
      <c r="AW4" s="55">
        <f>PnL!AY4</f>
        <v>44896</v>
      </c>
      <c r="AX4" s="55">
        <f>PnL!AZ4</f>
        <v>44927</v>
      </c>
      <c r="AY4" s="55">
        <f>PnL!BA4</f>
        <v>44958</v>
      </c>
      <c r="AZ4" s="55">
        <f>PnL!BB4</f>
        <v>44986</v>
      </c>
      <c r="BA4" s="55">
        <f>PnL!BC4</f>
        <v>45017</v>
      </c>
      <c r="BB4" s="55">
        <f>PnL!BD4</f>
        <v>45047</v>
      </c>
      <c r="BC4" s="55">
        <f>PnL!BE4</f>
        <v>45078</v>
      </c>
      <c r="BD4" s="55">
        <f>PnL!BF4</f>
        <v>45108</v>
      </c>
      <c r="BE4" s="55">
        <f>PnL!BG4</f>
        <v>45139</v>
      </c>
      <c r="BF4" s="55">
        <f>PnL!BH4</f>
        <v>45170</v>
      </c>
      <c r="BG4" s="55">
        <f>PnL!BI4</f>
        <v>45200</v>
      </c>
      <c r="BH4" s="55">
        <f>PnL!BJ4</f>
        <v>45231</v>
      </c>
      <c r="BI4" s="55">
        <f>PnL!BK4</f>
        <v>45261</v>
      </c>
      <c r="BJ4" s="55">
        <f>PnL!BL4</f>
        <v>45292</v>
      </c>
      <c r="BK4" s="55">
        <f>PnL!BM4</f>
        <v>45323</v>
      </c>
      <c r="BL4" s="55">
        <f>PnL!BN4</f>
        <v>45352</v>
      </c>
      <c r="BM4" s="55">
        <f>PnL!BO4</f>
        <v>45383</v>
      </c>
      <c r="BN4" s="55">
        <f>PnL!BP4</f>
        <v>45413</v>
      </c>
      <c r="BO4" s="55">
        <f>PnL!BQ4</f>
        <v>45444</v>
      </c>
      <c r="BP4" s="55">
        <f>PnL!BR4</f>
        <v>45474</v>
      </c>
      <c r="BQ4" s="55">
        <f>PnL!BS4</f>
        <v>45505</v>
      </c>
      <c r="BR4" s="55">
        <f>PnL!BT4</f>
        <v>45536</v>
      </c>
      <c r="BS4" s="55">
        <f>PnL!BU4</f>
        <v>45566</v>
      </c>
      <c r="BT4" s="55">
        <f>PnL!BV4</f>
        <v>45597</v>
      </c>
      <c r="BU4" s="55">
        <f>PnL!BW4</f>
        <v>45627</v>
      </c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</row>
    <row r="5" spans="1:88" ht="10.5" customHeight="1"/>
    <row r="6" spans="1:88" s="51" customFormat="1" ht="14.25" customHeight="1">
      <c r="B6" s="81" t="s">
        <v>164</v>
      </c>
      <c r="C6" s="52"/>
      <c r="D6" s="82">
        <f>SUMIF($K$1:$BW$1,D$4,$K6:$BW6)</f>
        <v>0</v>
      </c>
      <c r="E6" s="82">
        <f t="shared" ref="E6:I21" si="1">SUMIF($K$1:$BW$1,E$4,$K6:$BW6)</f>
        <v>28123720.000000015</v>
      </c>
      <c r="F6" s="82">
        <f t="shared" si="1"/>
        <v>42654906</v>
      </c>
      <c r="G6" s="82">
        <f t="shared" si="1"/>
        <v>44787651.29999999</v>
      </c>
      <c r="H6" s="82">
        <f t="shared" si="1"/>
        <v>47027033.86499998</v>
      </c>
      <c r="I6" s="82">
        <f t="shared" si="1"/>
        <v>49378385.55825001</v>
      </c>
      <c r="J6" s="52"/>
      <c r="K6" s="82">
        <f t="shared" ref="K6:M6" si="2">SUM(K7,K9)</f>
        <v>0</v>
      </c>
      <c r="L6" s="82">
        <f t="shared" si="2"/>
        <v>0</v>
      </c>
      <c r="M6" s="82">
        <f t="shared" si="2"/>
        <v>0</v>
      </c>
      <c r="N6" s="82">
        <f>SUM(N7,N9)</f>
        <v>-9114690</v>
      </c>
      <c r="O6" s="82">
        <f>SUM(O7,O9)</f>
        <v>3385310.0000000019</v>
      </c>
      <c r="P6" s="82">
        <f t="shared" ref="P6:AW6" si="3">SUM(P7,P9)</f>
        <v>3385310.0000000019</v>
      </c>
      <c r="Q6" s="82">
        <f>SUM(Q7,Q9)</f>
        <v>3385310.0000000019</v>
      </c>
      <c r="R6" s="82">
        <f t="shared" si="3"/>
        <v>3385310.0000000019</v>
      </c>
      <c r="S6" s="82">
        <f t="shared" si="3"/>
        <v>3385310.0000000019</v>
      </c>
      <c r="T6" s="82">
        <f t="shared" si="3"/>
        <v>3385310.0000000019</v>
      </c>
      <c r="U6" s="82">
        <f t="shared" si="3"/>
        <v>3385310.0000000019</v>
      </c>
      <c r="V6" s="82">
        <f t="shared" si="3"/>
        <v>3385310.0000000019</v>
      </c>
      <c r="W6" s="82">
        <f t="shared" si="3"/>
        <v>3385310.0000000019</v>
      </c>
      <c r="X6" s="82">
        <f t="shared" si="3"/>
        <v>3385310.0000000019</v>
      </c>
      <c r="Y6" s="82">
        <f t="shared" si="3"/>
        <v>3385310.0000000019</v>
      </c>
      <c r="Z6" s="82">
        <f t="shared" si="3"/>
        <v>3554575.5</v>
      </c>
      <c r="AA6" s="82">
        <f t="shared" si="3"/>
        <v>3554575.5</v>
      </c>
      <c r="AB6" s="82">
        <f t="shared" si="3"/>
        <v>3554575.5</v>
      </c>
      <c r="AC6" s="82">
        <f t="shared" si="3"/>
        <v>3554575.5</v>
      </c>
      <c r="AD6" s="82">
        <f t="shared" si="3"/>
        <v>3554575.5</v>
      </c>
      <c r="AE6" s="82">
        <f t="shared" si="3"/>
        <v>3554575.5</v>
      </c>
      <c r="AF6" s="82">
        <f t="shared" si="3"/>
        <v>3554575.5</v>
      </c>
      <c r="AG6" s="82">
        <f t="shared" si="3"/>
        <v>3554575.5</v>
      </c>
      <c r="AH6" s="82">
        <f t="shared" si="3"/>
        <v>3554575.5</v>
      </c>
      <c r="AI6" s="82">
        <f t="shared" si="3"/>
        <v>3554575.5</v>
      </c>
      <c r="AJ6" s="82">
        <f t="shared" si="3"/>
        <v>3554575.5</v>
      </c>
      <c r="AK6" s="82">
        <f t="shared" si="3"/>
        <v>3554575.5</v>
      </c>
      <c r="AL6" s="82">
        <f t="shared" si="3"/>
        <v>3732304.2750000004</v>
      </c>
      <c r="AM6" s="82">
        <f t="shared" si="3"/>
        <v>3732304.2750000004</v>
      </c>
      <c r="AN6" s="82">
        <f t="shared" si="3"/>
        <v>3732304.2750000004</v>
      </c>
      <c r="AO6" s="82">
        <f t="shared" si="3"/>
        <v>3732304.2750000004</v>
      </c>
      <c r="AP6" s="82">
        <f t="shared" si="3"/>
        <v>3732304.2750000004</v>
      </c>
      <c r="AQ6" s="82">
        <f t="shared" si="3"/>
        <v>3732304.2750000004</v>
      </c>
      <c r="AR6" s="82">
        <f t="shared" si="3"/>
        <v>3732304.2750000004</v>
      </c>
      <c r="AS6" s="82">
        <f t="shared" si="3"/>
        <v>3732304.2750000004</v>
      </c>
      <c r="AT6" s="82">
        <f t="shared" si="3"/>
        <v>3732304.2750000004</v>
      </c>
      <c r="AU6" s="82">
        <f t="shared" si="3"/>
        <v>3732304.2750000004</v>
      </c>
      <c r="AV6" s="82">
        <f t="shared" si="3"/>
        <v>3732304.2750000004</v>
      </c>
      <c r="AW6" s="82">
        <f t="shared" si="3"/>
        <v>3732304.2750000004</v>
      </c>
      <c r="AX6" s="82">
        <f t="shared" ref="AX6" si="4">SUM(AX7,AX9)</f>
        <v>3918919.4887499996</v>
      </c>
      <c r="AY6" s="82">
        <f t="shared" ref="AY6" si="5">SUM(AY7,AY9)</f>
        <v>3918919.4887499996</v>
      </c>
      <c r="AZ6" s="82">
        <f t="shared" ref="AZ6" si="6">SUM(AZ7,AZ9)</f>
        <v>3918919.4887499996</v>
      </c>
      <c r="BA6" s="82">
        <f t="shared" ref="BA6" si="7">SUM(BA7,BA9)</f>
        <v>3918919.4887499996</v>
      </c>
      <c r="BB6" s="82">
        <f t="shared" ref="BB6" si="8">SUM(BB7,BB9)</f>
        <v>3918919.4887499996</v>
      </c>
      <c r="BC6" s="82">
        <f t="shared" ref="BC6" si="9">SUM(BC7,BC9)</f>
        <v>3918919.4887499996</v>
      </c>
      <c r="BD6" s="82">
        <f t="shared" ref="BD6" si="10">SUM(BD7,BD9)</f>
        <v>3918919.4887499996</v>
      </c>
      <c r="BE6" s="82">
        <f t="shared" ref="BE6" si="11">SUM(BE7,BE9)</f>
        <v>3918919.4887499996</v>
      </c>
      <c r="BF6" s="82">
        <f t="shared" ref="BF6" si="12">SUM(BF7,BF9)</f>
        <v>3918919.4887499996</v>
      </c>
      <c r="BG6" s="82">
        <f t="shared" ref="BG6" si="13">SUM(BG7,BG9)</f>
        <v>3918919.4887499996</v>
      </c>
      <c r="BH6" s="82">
        <f t="shared" ref="BH6" si="14">SUM(BH7,BH9)</f>
        <v>3918919.4887499996</v>
      </c>
      <c r="BI6" s="82">
        <f t="shared" ref="BI6" si="15">SUM(BI7,BI9)</f>
        <v>3918919.4887499996</v>
      </c>
      <c r="BJ6" s="82">
        <f t="shared" ref="BJ6" si="16">SUM(BJ7,BJ9)</f>
        <v>4114865.4631875008</v>
      </c>
      <c r="BK6" s="82">
        <f t="shared" ref="BK6" si="17">SUM(BK7,BK9)</f>
        <v>4114865.4631875008</v>
      </c>
      <c r="BL6" s="82">
        <f t="shared" ref="BL6" si="18">SUM(BL7,BL9)</f>
        <v>4114865.4631875008</v>
      </c>
      <c r="BM6" s="82">
        <f t="shared" ref="BM6" si="19">SUM(BM7,BM9)</f>
        <v>4114865.4631875008</v>
      </c>
      <c r="BN6" s="82">
        <f t="shared" ref="BN6" si="20">SUM(BN7,BN9)</f>
        <v>4114865.4631875008</v>
      </c>
      <c r="BO6" s="82">
        <f t="shared" ref="BO6" si="21">SUM(BO7,BO9)</f>
        <v>4114865.4631875008</v>
      </c>
      <c r="BP6" s="82">
        <f t="shared" ref="BP6" si="22">SUM(BP7,BP9)</f>
        <v>4114865.4631875008</v>
      </c>
      <c r="BQ6" s="82">
        <f t="shared" ref="BQ6" si="23">SUM(BQ7,BQ9)</f>
        <v>4114865.4631875008</v>
      </c>
      <c r="BR6" s="82">
        <f t="shared" ref="BR6" si="24">SUM(BR7,BR9)</f>
        <v>4114865.4631875008</v>
      </c>
      <c r="BS6" s="82">
        <f t="shared" ref="BS6" si="25">SUM(BS7,BS9)</f>
        <v>4114865.4631875008</v>
      </c>
      <c r="BT6" s="82">
        <f t="shared" ref="BT6" si="26">SUM(BT7,BT9)</f>
        <v>4114865.4631875008</v>
      </c>
      <c r="BU6" s="82">
        <f t="shared" ref="BU6" si="27">SUM(BU7,BU9)</f>
        <v>4114865.4631875008</v>
      </c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</row>
    <row r="7" spans="1:88">
      <c r="B7" t="s">
        <v>150</v>
      </c>
      <c r="D7" s="36">
        <f t="shared" ref="D7:I23" si="28">SUMIF($K$1:$BW$1,D$4,$K7:$BW7)</f>
        <v>0</v>
      </c>
      <c r="E7" s="36">
        <f t="shared" si="1"/>
        <v>137500000.00000003</v>
      </c>
      <c r="F7" s="36">
        <f t="shared" si="1"/>
        <v>157500000</v>
      </c>
      <c r="G7" s="36">
        <f t="shared" si="1"/>
        <v>165375000</v>
      </c>
      <c r="H7" s="36">
        <f t="shared" si="1"/>
        <v>173643750.00000003</v>
      </c>
      <c r="I7" s="36">
        <f t="shared" si="1"/>
        <v>182325937.5</v>
      </c>
      <c r="O7" s="36">
        <f>IF(OPEX!$C$39="ОСН",PnL!Q6*1.2,PnL!Q6)</f>
        <v>12500000.000000002</v>
      </c>
      <c r="P7" s="36">
        <f>IF(OPEX!$C$39="ОСН",PnL!R6*1.2,PnL!R6)</f>
        <v>12500000.000000002</v>
      </c>
      <c r="Q7" s="36">
        <f>IF(OPEX!$C$39="ОСН",PnL!S6*1.2,PnL!S6)</f>
        <v>12500000.000000002</v>
      </c>
      <c r="R7" s="36">
        <f>IF(OPEX!$C$39="ОСН",PnL!T6*1.2,PnL!T6)</f>
        <v>12500000.000000002</v>
      </c>
      <c r="S7" s="36">
        <f>IF(OPEX!$C$39="ОСН",PnL!U6*1.2,PnL!U6)</f>
        <v>12500000.000000002</v>
      </c>
      <c r="T7" s="36">
        <f>IF(OPEX!$C$39="ОСН",PnL!V6*1.2,PnL!V6)</f>
        <v>12500000.000000002</v>
      </c>
      <c r="U7" s="36">
        <f>IF(OPEX!$C$39="ОСН",PnL!W6*1.2,PnL!W6)</f>
        <v>12500000.000000002</v>
      </c>
      <c r="V7" s="36">
        <f>IF(OPEX!$C$39="ОСН",PnL!X6*1.2,PnL!X6)</f>
        <v>12500000.000000002</v>
      </c>
      <c r="W7" s="36">
        <f>IF(OPEX!$C$39="ОСН",PnL!Y6*1.2,PnL!Y6)</f>
        <v>12500000.000000002</v>
      </c>
      <c r="X7" s="36">
        <f>IF(OPEX!$C$39="ОСН",PnL!Z6*1.2,PnL!Z6)</f>
        <v>12500000.000000002</v>
      </c>
      <c r="Y7" s="36">
        <f>IF(OPEX!$C$39="ОСН",PnL!AA6*1.2,PnL!AA6)</f>
        <v>12500000.000000002</v>
      </c>
      <c r="Z7" s="36">
        <f>IF(OPEX!$C$39="ОСН",PnL!AB6*1.2,PnL!AB6)</f>
        <v>13125000</v>
      </c>
      <c r="AA7" s="36">
        <f>IF(OPEX!$C$39="ОСН",PnL!AC6*1.2,PnL!AC6)</f>
        <v>13125000</v>
      </c>
      <c r="AB7" s="36">
        <f>IF(OPEX!$C$39="ОСН",PnL!AD6*1.2,PnL!AD6)</f>
        <v>13125000</v>
      </c>
      <c r="AC7" s="36">
        <f>IF(OPEX!$C$39="ОСН",PnL!AE6*1.2,PnL!AE6)</f>
        <v>13125000</v>
      </c>
      <c r="AD7" s="36">
        <f>IF(OPEX!$C$39="ОСН",PnL!AF6*1.2,PnL!AF6)</f>
        <v>13125000</v>
      </c>
      <c r="AE7" s="36">
        <f>IF(OPEX!$C$39="ОСН",PnL!AG6*1.2,PnL!AG6)</f>
        <v>13125000</v>
      </c>
      <c r="AF7" s="36">
        <f>IF(OPEX!$C$39="ОСН",PnL!AH6*1.2,PnL!AH6)</f>
        <v>13125000</v>
      </c>
      <c r="AG7" s="36">
        <f>IF(OPEX!$C$39="ОСН",PnL!AI6*1.2,PnL!AI6)</f>
        <v>13125000</v>
      </c>
      <c r="AH7" s="36">
        <f>IF(OPEX!$C$39="ОСН",PnL!AJ6*1.2,PnL!AJ6)</f>
        <v>13125000</v>
      </c>
      <c r="AI7" s="36">
        <f>IF(OPEX!$C$39="ОСН",PnL!AK6*1.2,PnL!AK6)</f>
        <v>13125000</v>
      </c>
      <c r="AJ7" s="36">
        <f>IF(OPEX!$C$39="ОСН",PnL!AL6*1.2,PnL!AL6)</f>
        <v>13125000</v>
      </c>
      <c r="AK7" s="36">
        <f>IF(OPEX!$C$39="ОСН",PnL!AM6*1.2,PnL!AM6)</f>
        <v>13125000</v>
      </c>
      <c r="AL7" s="36">
        <f>IF(OPEX!$C$39="ОСН",PnL!AN6*1.2,PnL!AN6)</f>
        <v>13781250</v>
      </c>
      <c r="AM7" s="36">
        <f>IF(OPEX!$C$39="ОСН",PnL!AO6*1.2,PnL!AO6)</f>
        <v>13781250</v>
      </c>
      <c r="AN7" s="36">
        <f>IF(OPEX!$C$39="ОСН",PnL!AP6*1.2,PnL!AP6)</f>
        <v>13781250</v>
      </c>
      <c r="AO7" s="36">
        <f>IF(OPEX!$C$39="ОСН",PnL!AQ6*1.2,PnL!AQ6)</f>
        <v>13781250</v>
      </c>
      <c r="AP7" s="36">
        <f>IF(OPEX!$C$39="ОСН",PnL!AR6*1.2,PnL!AR6)</f>
        <v>13781250</v>
      </c>
      <c r="AQ7" s="36">
        <f>IF(OPEX!$C$39="ОСН",PnL!AS6*1.2,PnL!AS6)</f>
        <v>13781250</v>
      </c>
      <c r="AR7" s="36">
        <f>IF(OPEX!$C$39="ОСН",PnL!AT6*1.2,PnL!AT6)</f>
        <v>13781250</v>
      </c>
      <c r="AS7" s="36">
        <f>IF(OPEX!$C$39="ОСН",PnL!AU6*1.2,PnL!AU6)</f>
        <v>13781250</v>
      </c>
      <c r="AT7" s="36">
        <f>IF(OPEX!$C$39="ОСН",PnL!AV6*1.2,PnL!AV6)</f>
        <v>13781250</v>
      </c>
      <c r="AU7" s="36">
        <f>IF(OPEX!$C$39="ОСН",PnL!AW6*1.2,PnL!AW6)</f>
        <v>13781250</v>
      </c>
      <c r="AV7" s="36">
        <f>IF(OPEX!$C$39="ОСН",PnL!AX6*1.2,PnL!AX6)</f>
        <v>13781250</v>
      </c>
      <c r="AW7" s="36">
        <f>IF(OPEX!$C$39="ОСН",PnL!AY6*1.2,PnL!AY6)</f>
        <v>13781250</v>
      </c>
      <c r="AX7" s="36">
        <f>IF(OPEX!$C$39="ОСН",PnL!AZ6*1.2,PnL!AZ6)</f>
        <v>14470312.500000002</v>
      </c>
      <c r="AY7" s="36">
        <f>IF(OPEX!$C$39="ОСН",PnL!BA6*1.2,PnL!BA6)</f>
        <v>14470312.500000002</v>
      </c>
      <c r="AZ7" s="36">
        <f>IF(OPEX!$C$39="ОСН",PnL!BB6*1.2,PnL!BB6)</f>
        <v>14470312.500000002</v>
      </c>
      <c r="BA7" s="36">
        <f>IF(OPEX!$C$39="ОСН",PnL!BC6*1.2,PnL!BC6)</f>
        <v>14470312.500000002</v>
      </c>
      <c r="BB7" s="36">
        <f>IF(OPEX!$C$39="ОСН",PnL!BD6*1.2,PnL!BD6)</f>
        <v>14470312.500000002</v>
      </c>
      <c r="BC7" s="36">
        <f>IF(OPEX!$C$39="ОСН",PnL!BE6*1.2,PnL!BE6)</f>
        <v>14470312.500000002</v>
      </c>
      <c r="BD7" s="36">
        <f>IF(OPEX!$C$39="ОСН",PnL!BF6*1.2,PnL!BF6)</f>
        <v>14470312.500000002</v>
      </c>
      <c r="BE7" s="36">
        <f>IF(OPEX!$C$39="ОСН",PnL!BG6*1.2,PnL!BG6)</f>
        <v>14470312.500000002</v>
      </c>
      <c r="BF7" s="36">
        <f>IF(OPEX!$C$39="ОСН",PnL!BH6*1.2,PnL!BH6)</f>
        <v>14470312.500000002</v>
      </c>
      <c r="BG7" s="36">
        <f>IF(OPEX!$C$39="ОСН",PnL!BI6*1.2,PnL!BI6)</f>
        <v>14470312.500000002</v>
      </c>
      <c r="BH7" s="36">
        <f>IF(OPEX!$C$39="ОСН",PnL!BJ6*1.2,PnL!BJ6)</f>
        <v>14470312.500000002</v>
      </c>
      <c r="BI7" s="36">
        <f>IF(OPEX!$C$39="ОСН",PnL!BK6*1.2,PnL!BK6)</f>
        <v>14470312.500000002</v>
      </c>
      <c r="BJ7" s="36">
        <f>IF(OPEX!$C$39="ОСН",PnL!BL6*1.2,PnL!BL6)</f>
        <v>15193828.125</v>
      </c>
      <c r="BK7" s="36">
        <f>IF(OPEX!$C$39="ОСН",PnL!BM6*1.2,PnL!BM6)</f>
        <v>15193828.125</v>
      </c>
      <c r="BL7" s="36">
        <f>IF(OPEX!$C$39="ОСН",PnL!BN6*1.2,PnL!BN6)</f>
        <v>15193828.125</v>
      </c>
      <c r="BM7" s="36">
        <f>IF(OPEX!$C$39="ОСН",PnL!BO6*1.2,PnL!BO6)</f>
        <v>15193828.125</v>
      </c>
      <c r="BN7" s="36">
        <f>IF(OPEX!$C$39="ОСН",PnL!BP6*1.2,PnL!BP6)</f>
        <v>15193828.125</v>
      </c>
      <c r="BO7" s="36">
        <f>IF(OPEX!$C$39="ОСН",PnL!BQ6*1.2,PnL!BQ6)</f>
        <v>15193828.125</v>
      </c>
      <c r="BP7" s="36">
        <f>IF(OPEX!$C$39="ОСН",PnL!BR6*1.2,PnL!BR6)</f>
        <v>15193828.125</v>
      </c>
      <c r="BQ7" s="36">
        <f>IF(OPEX!$C$39="ОСН",PnL!BS6*1.2,PnL!BS6)</f>
        <v>15193828.125</v>
      </c>
      <c r="BR7" s="36">
        <f>IF(OPEX!$C$39="ОСН",PnL!BT6*1.2,PnL!BT6)</f>
        <v>15193828.125</v>
      </c>
      <c r="BS7" s="36">
        <f>IF(OPEX!$C$39="ОСН",PnL!BU6*1.2,PnL!BU6)</f>
        <v>15193828.125</v>
      </c>
      <c r="BT7" s="36">
        <f>IF(OPEX!$C$39="ОСН",PnL!BV6*1.2,PnL!BV6)</f>
        <v>15193828.125</v>
      </c>
      <c r="BU7" s="36">
        <f>IF(OPEX!$C$39="ОСН",PnL!BW6*1.2,PnL!BW6)</f>
        <v>15193828.125</v>
      </c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</row>
    <row r="8" spans="1:88" s="30" customFormat="1">
      <c r="B8" s="29" t="s">
        <v>169</v>
      </c>
      <c r="D8" s="36">
        <f t="shared" si="28"/>
        <v>0</v>
      </c>
      <c r="E8" s="36">
        <f t="shared" si="1"/>
        <v>22916666.666666679</v>
      </c>
      <c r="F8" s="36">
        <f t="shared" si="1"/>
        <v>26250000</v>
      </c>
      <c r="G8" s="36">
        <f t="shared" si="1"/>
        <v>27562500</v>
      </c>
      <c r="H8" s="36">
        <f t="shared" si="1"/>
        <v>28940625</v>
      </c>
      <c r="I8" s="36">
        <f t="shared" si="1"/>
        <v>30387656.25</v>
      </c>
      <c r="O8" s="36">
        <f>IF(OPEX!$C$39="ОСН",O7-CF!O7/1.2,0)</f>
        <v>2083333.333333334</v>
      </c>
      <c r="P8" s="36">
        <f>IF(OPEX!$C$39="ОСН",P7-CF!P7/1.2,0)</f>
        <v>2083333.333333334</v>
      </c>
      <c r="Q8" s="36">
        <f>IF(OPEX!$C$39="ОСН",Q7-CF!Q7/1.2,0)</f>
        <v>2083333.333333334</v>
      </c>
      <c r="R8" s="36">
        <f>IF(OPEX!$C$39="ОСН",R7-CF!R7/1.2,0)</f>
        <v>2083333.333333334</v>
      </c>
      <c r="S8" s="36">
        <f>IF(OPEX!$C$39="ОСН",S7-CF!S7/1.2,0)</f>
        <v>2083333.333333334</v>
      </c>
      <c r="T8" s="36">
        <f>IF(OPEX!$C$39="ОСН",T7-CF!T7/1.2,0)</f>
        <v>2083333.333333334</v>
      </c>
      <c r="U8" s="36">
        <f>IF(OPEX!$C$39="ОСН",U7-CF!U7/1.2,0)</f>
        <v>2083333.333333334</v>
      </c>
      <c r="V8" s="36">
        <f>IF(OPEX!$C$39="ОСН",V7-CF!V7/1.2,0)</f>
        <v>2083333.333333334</v>
      </c>
      <c r="W8" s="36">
        <f>IF(OPEX!$C$39="ОСН",W7-CF!W7/1.2,0)</f>
        <v>2083333.333333334</v>
      </c>
      <c r="X8" s="36">
        <f>IF(OPEX!$C$39="ОСН",X7-CF!X7/1.2,0)</f>
        <v>2083333.333333334</v>
      </c>
      <c r="Y8" s="36">
        <f>IF(OPEX!$C$39="ОСН",Y7-CF!Y7/1.2,0)</f>
        <v>2083333.333333334</v>
      </c>
      <c r="Z8" s="36">
        <f>IF(OPEX!$C$39="ОСН",Z7-CF!Z7/1.2,0)</f>
        <v>2187500</v>
      </c>
      <c r="AA8" s="36">
        <f>IF(OPEX!$C$39="ОСН",AA7-CF!AA7/1.2,0)</f>
        <v>2187500</v>
      </c>
      <c r="AB8" s="36">
        <f>IF(OPEX!$C$39="ОСН",AB7-CF!AB7/1.2,0)</f>
        <v>2187500</v>
      </c>
      <c r="AC8" s="36">
        <f>IF(OPEX!$C$39="ОСН",AC7-CF!AC7/1.2,0)</f>
        <v>2187500</v>
      </c>
      <c r="AD8" s="36">
        <f>IF(OPEX!$C$39="ОСН",AD7-CF!AD7/1.2,0)</f>
        <v>2187500</v>
      </c>
      <c r="AE8" s="36">
        <f>IF(OPEX!$C$39="ОСН",AE7-CF!AE7/1.2,0)</f>
        <v>2187500</v>
      </c>
      <c r="AF8" s="36">
        <f>IF(OPEX!$C$39="ОСН",AF7-CF!AF7/1.2,0)</f>
        <v>2187500</v>
      </c>
      <c r="AG8" s="36">
        <f>IF(OPEX!$C$39="ОСН",AG7-CF!AG7/1.2,0)</f>
        <v>2187500</v>
      </c>
      <c r="AH8" s="36">
        <f>IF(OPEX!$C$39="ОСН",AH7-CF!AH7/1.2,0)</f>
        <v>2187500</v>
      </c>
      <c r="AI8" s="36">
        <f>IF(OPEX!$C$39="ОСН",AI7-CF!AI7/1.2,0)</f>
        <v>2187500</v>
      </c>
      <c r="AJ8" s="36">
        <f>IF(OPEX!$C$39="ОСН",AJ7-CF!AJ7/1.2,0)</f>
        <v>2187500</v>
      </c>
      <c r="AK8" s="36">
        <f>IF(OPEX!$C$39="ОСН",AK7-CF!AK7/1.2,0)</f>
        <v>2187500</v>
      </c>
      <c r="AL8" s="36">
        <f>IF(OPEX!$C$39="ОСН",AL7-CF!AL7/1.2,0)</f>
        <v>2296875</v>
      </c>
      <c r="AM8" s="36">
        <f>IF(OPEX!$C$39="ОСН",AM7-CF!AM7/1.2,0)</f>
        <v>2296875</v>
      </c>
      <c r="AN8" s="36">
        <f>IF(OPEX!$C$39="ОСН",AN7-CF!AN7/1.2,0)</f>
        <v>2296875</v>
      </c>
      <c r="AO8" s="36">
        <f>IF(OPEX!$C$39="ОСН",AO7-CF!AO7/1.2,0)</f>
        <v>2296875</v>
      </c>
      <c r="AP8" s="36">
        <f>IF(OPEX!$C$39="ОСН",AP7-CF!AP7/1.2,0)</f>
        <v>2296875</v>
      </c>
      <c r="AQ8" s="36">
        <f>IF(OPEX!$C$39="ОСН",AQ7-CF!AQ7/1.2,0)</f>
        <v>2296875</v>
      </c>
      <c r="AR8" s="36">
        <f>IF(OPEX!$C$39="ОСН",AR7-CF!AR7/1.2,0)</f>
        <v>2296875</v>
      </c>
      <c r="AS8" s="36">
        <f>IF(OPEX!$C$39="ОСН",AS7-CF!AS7/1.2,0)</f>
        <v>2296875</v>
      </c>
      <c r="AT8" s="36">
        <f>IF(OPEX!$C$39="ОСН",AT7-CF!AT7/1.2,0)</f>
        <v>2296875</v>
      </c>
      <c r="AU8" s="36">
        <f>IF(OPEX!$C$39="ОСН",AU7-CF!AU7/1.2,0)</f>
        <v>2296875</v>
      </c>
      <c r="AV8" s="36">
        <f>IF(OPEX!$C$39="ОСН",AV7-CF!AV7/1.2,0)</f>
        <v>2296875</v>
      </c>
      <c r="AW8" s="36">
        <f>IF(OPEX!$C$39="ОСН",AW7-CF!AW7/1.2,0)</f>
        <v>2296875</v>
      </c>
      <c r="AX8" s="36">
        <f>IF(OPEX!$C$39="ОСН",AX7-CF!AX7/1.2,0)</f>
        <v>2411718.75</v>
      </c>
      <c r="AY8" s="36">
        <f>IF(OPEX!$C$39="ОСН",AY7-CF!AY7/1.2,0)</f>
        <v>2411718.75</v>
      </c>
      <c r="AZ8" s="36">
        <f>IF(OPEX!$C$39="ОСН",AZ7-CF!AZ7/1.2,0)</f>
        <v>2411718.75</v>
      </c>
      <c r="BA8" s="36">
        <f>IF(OPEX!$C$39="ОСН",BA7-CF!BA7/1.2,0)</f>
        <v>2411718.75</v>
      </c>
      <c r="BB8" s="36">
        <f>IF(OPEX!$C$39="ОСН",BB7-CF!BB7/1.2,0)</f>
        <v>2411718.75</v>
      </c>
      <c r="BC8" s="36">
        <f>IF(OPEX!$C$39="ОСН",BC7-CF!BC7/1.2,0)</f>
        <v>2411718.75</v>
      </c>
      <c r="BD8" s="36">
        <f>IF(OPEX!$C$39="ОСН",BD7-CF!BD7/1.2,0)</f>
        <v>2411718.75</v>
      </c>
      <c r="BE8" s="36">
        <f>IF(OPEX!$C$39="ОСН",BE7-CF!BE7/1.2,0)</f>
        <v>2411718.75</v>
      </c>
      <c r="BF8" s="36">
        <f>IF(OPEX!$C$39="ОСН",BF7-CF!BF7/1.2,0)</f>
        <v>2411718.75</v>
      </c>
      <c r="BG8" s="36">
        <f>IF(OPEX!$C$39="ОСН",BG7-CF!BG7/1.2,0)</f>
        <v>2411718.75</v>
      </c>
      <c r="BH8" s="36">
        <f>IF(OPEX!$C$39="ОСН",BH7-CF!BH7/1.2,0)</f>
        <v>2411718.75</v>
      </c>
      <c r="BI8" s="36">
        <f>IF(OPEX!$C$39="ОСН",BI7-CF!BI7/1.2,0)</f>
        <v>2411718.75</v>
      </c>
      <c r="BJ8" s="36">
        <f>IF(OPEX!$C$39="ОСН",BJ7-CF!BJ7/1.2,0)</f>
        <v>2532304.6875</v>
      </c>
      <c r="BK8" s="36">
        <f>IF(OPEX!$C$39="ОСН",BK7-CF!BK7/1.2,0)</f>
        <v>2532304.6875</v>
      </c>
      <c r="BL8" s="36">
        <f>IF(OPEX!$C$39="ОСН",BL7-CF!BL7/1.2,0)</f>
        <v>2532304.6875</v>
      </c>
      <c r="BM8" s="36">
        <f>IF(OPEX!$C$39="ОСН",BM7-CF!BM7/1.2,0)</f>
        <v>2532304.6875</v>
      </c>
      <c r="BN8" s="36">
        <f>IF(OPEX!$C$39="ОСН",BN7-CF!BN7/1.2,0)</f>
        <v>2532304.6875</v>
      </c>
      <c r="BO8" s="36">
        <f>IF(OPEX!$C$39="ОСН",BO7-CF!BO7/1.2,0)</f>
        <v>2532304.6875</v>
      </c>
      <c r="BP8" s="36">
        <f>IF(OPEX!$C$39="ОСН",BP7-CF!BP7/1.2,0)</f>
        <v>2532304.6875</v>
      </c>
      <c r="BQ8" s="36">
        <f>IF(OPEX!$C$39="ОСН",BQ7-CF!BQ7/1.2,0)</f>
        <v>2532304.6875</v>
      </c>
      <c r="BR8" s="36">
        <f>IF(OPEX!$C$39="ОСН",BR7-CF!BR7/1.2,0)</f>
        <v>2532304.6875</v>
      </c>
      <c r="BS8" s="36">
        <f>IF(OPEX!$C$39="ОСН",BS7-CF!BS7/1.2,0)</f>
        <v>2532304.6875</v>
      </c>
      <c r="BT8" s="36">
        <f>IF(OPEX!$C$39="ОСН",BT7-CF!BT7/1.2,0)</f>
        <v>2532304.6875</v>
      </c>
      <c r="BU8" s="36">
        <f>IF(OPEX!$C$39="ОСН",BU7-CF!BU7/1.2,0)</f>
        <v>2532304.6875</v>
      </c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88">
      <c r="B9" t="s">
        <v>160</v>
      </c>
      <c r="D9" s="36">
        <f t="shared" si="28"/>
        <v>0</v>
      </c>
      <c r="E9" s="36">
        <f t="shared" si="1"/>
        <v>-109376280</v>
      </c>
      <c r="F9" s="36">
        <f t="shared" si="1"/>
        <v>-114845094</v>
      </c>
      <c r="G9" s="36">
        <f t="shared" si="1"/>
        <v>-120587348.69999997</v>
      </c>
      <c r="H9" s="36">
        <f t="shared" si="1"/>
        <v>-126616716.13500004</v>
      </c>
      <c r="I9" s="36">
        <f t="shared" si="1"/>
        <v>-132947551.94174999</v>
      </c>
      <c r="N9" s="36">
        <f>IF(OPEX!$C$40="ОСН",PnL!P8*1.2,PnL!P8)</f>
        <v>-9114690</v>
      </c>
      <c r="O9" s="36">
        <f>IF(OPEX!$C$40="ОСН",PnL!Q8*1.2,PnL!Q8)</f>
        <v>-9114690</v>
      </c>
      <c r="P9" s="36">
        <f>IF(OPEX!$C$40="ОСН",PnL!R8*1.2,PnL!R8)</f>
        <v>-9114690</v>
      </c>
      <c r="Q9" s="36">
        <f>IF(OPEX!$C$40="ОСН",PnL!S8*1.2,PnL!S8)</f>
        <v>-9114690</v>
      </c>
      <c r="R9" s="36">
        <f>IF(OPEX!$C$40="ОСН",PnL!T8*1.2,PnL!T8)</f>
        <v>-9114690</v>
      </c>
      <c r="S9" s="36">
        <f>IF(OPEX!$C$40="ОСН",PnL!U8*1.2,PnL!U8)</f>
        <v>-9114690</v>
      </c>
      <c r="T9" s="36">
        <f>IF(OPEX!$C$40="ОСН",PnL!V8*1.2,PnL!V8)</f>
        <v>-9114690</v>
      </c>
      <c r="U9" s="36">
        <f>IF(OPEX!$C$40="ОСН",PnL!W8*1.2,PnL!W8)</f>
        <v>-9114690</v>
      </c>
      <c r="V9" s="36">
        <f>IF(OPEX!$C$40="ОСН",PnL!X8*1.2,PnL!X8)</f>
        <v>-9114690</v>
      </c>
      <c r="W9" s="36">
        <f>IF(OPEX!$C$40="ОСН",PnL!Y8*1.2,PnL!Y8)</f>
        <v>-9114690</v>
      </c>
      <c r="X9" s="36">
        <f>IF(OPEX!$C$40="ОСН",PnL!Z8*1.2,PnL!Z8)</f>
        <v>-9114690</v>
      </c>
      <c r="Y9" s="36">
        <f>IF(OPEX!$C$40="ОСН",PnL!AA8*1.2,PnL!AA8)</f>
        <v>-9114690</v>
      </c>
      <c r="Z9" s="36">
        <f>IF(OPEX!$C$40="ОСН",PnL!AB8*1.2,PnL!AB8)</f>
        <v>-9570424.5</v>
      </c>
      <c r="AA9" s="36">
        <f>IF(OPEX!$C$40="ОСН",PnL!AC8*1.2,PnL!AC8)</f>
        <v>-9570424.5</v>
      </c>
      <c r="AB9" s="36">
        <f>IF(OPEX!$C$40="ОСН",PnL!AD8*1.2,PnL!AD8)</f>
        <v>-9570424.5</v>
      </c>
      <c r="AC9" s="36">
        <f>IF(OPEX!$C$40="ОСН",PnL!AE8*1.2,PnL!AE8)</f>
        <v>-9570424.5</v>
      </c>
      <c r="AD9" s="36">
        <f>IF(OPEX!$C$40="ОСН",PnL!AF8*1.2,PnL!AF8)</f>
        <v>-9570424.5</v>
      </c>
      <c r="AE9" s="36">
        <f>IF(OPEX!$C$40="ОСН",PnL!AG8*1.2,PnL!AG8)</f>
        <v>-9570424.5</v>
      </c>
      <c r="AF9" s="36">
        <f>IF(OPEX!$C$40="ОСН",PnL!AH8*1.2,PnL!AH8)</f>
        <v>-9570424.5</v>
      </c>
      <c r="AG9" s="36">
        <f>IF(OPEX!$C$40="ОСН",PnL!AI8*1.2,PnL!AI8)</f>
        <v>-9570424.5</v>
      </c>
      <c r="AH9" s="36">
        <f>IF(OPEX!$C$40="ОСН",PnL!AJ8*1.2,PnL!AJ8)</f>
        <v>-9570424.5</v>
      </c>
      <c r="AI9" s="36">
        <f>IF(OPEX!$C$40="ОСН",PnL!AK8*1.2,PnL!AK8)</f>
        <v>-9570424.5</v>
      </c>
      <c r="AJ9" s="36">
        <f>IF(OPEX!$C$40="ОСН",PnL!AL8*1.2,PnL!AL8)</f>
        <v>-9570424.5</v>
      </c>
      <c r="AK9" s="36">
        <f>IF(OPEX!$C$40="ОСН",PnL!AM8*1.2,PnL!AM8)</f>
        <v>-9570424.5</v>
      </c>
      <c r="AL9" s="36">
        <f>IF(OPEX!$C$40="ОСН",PnL!AN8*1.2,PnL!AN8)</f>
        <v>-10048945.725</v>
      </c>
      <c r="AM9" s="36">
        <f>IF(OPEX!$C$40="ОСН",PnL!AO8*1.2,PnL!AO8)</f>
        <v>-10048945.725</v>
      </c>
      <c r="AN9" s="36">
        <f>IF(OPEX!$C$40="ОСН",PnL!AP8*1.2,PnL!AP8)</f>
        <v>-10048945.725</v>
      </c>
      <c r="AO9" s="36">
        <f>IF(OPEX!$C$40="ОСН",PnL!AQ8*1.2,PnL!AQ8)</f>
        <v>-10048945.725</v>
      </c>
      <c r="AP9" s="36">
        <f>IF(OPEX!$C$40="ОСН",PnL!AR8*1.2,PnL!AR8)</f>
        <v>-10048945.725</v>
      </c>
      <c r="AQ9" s="36">
        <f>IF(OPEX!$C$40="ОСН",PnL!AS8*1.2,PnL!AS8)</f>
        <v>-10048945.725</v>
      </c>
      <c r="AR9" s="36">
        <f>IF(OPEX!$C$40="ОСН",PnL!AT8*1.2,PnL!AT8)</f>
        <v>-10048945.725</v>
      </c>
      <c r="AS9" s="36">
        <f>IF(OPEX!$C$40="ОСН",PnL!AU8*1.2,PnL!AU8)</f>
        <v>-10048945.725</v>
      </c>
      <c r="AT9" s="36">
        <f>IF(OPEX!$C$40="ОСН",PnL!AV8*1.2,PnL!AV8)</f>
        <v>-10048945.725</v>
      </c>
      <c r="AU9" s="36">
        <f>IF(OPEX!$C$40="ОСН",PnL!AW8*1.2,PnL!AW8)</f>
        <v>-10048945.725</v>
      </c>
      <c r="AV9" s="36">
        <f>IF(OPEX!$C$40="ОСН",PnL!AX8*1.2,PnL!AX8)</f>
        <v>-10048945.725</v>
      </c>
      <c r="AW9" s="36">
        <f>IF(OPEX!$C$40="ОСН",PnL!AY8*1.2,PnL!AY8)</f>
        <v>-10048945.725</v>
      </c>
      <c r="AX9" s="36">
        <f>IF(OPEX!$C$40="ОСН",PnL!AZ8*1.2,PnL!AZ8)</f>
        <v>-10551393.011250002</v>
      </c>
      <c r="AY9" s="36">
        <f>IF(OPEX!$C$40="ОСН",PnL!BA8*1.2,PnL!BA8)</f>
        <v>-10551393.011250002</v>
      </c>
      <c r="AZ9" s="36">
        <f>IF(OPEX!$C$40="ОСН",PnL!BB8*1.2,PnL!BB8)</f>
        <v>-10551393.011250002</v>
      </c>
      <c r="BA9" s="36">
        <f>IF(OPEX!$C$40="ОСН",PnL!BC8*1.2,PnL!BC8)</f>
        <v>-10551393.011250002</v>
      </c>
      <c r="BB9" s="36">
        <f>IF(OPEX!$C$40="ОСН",PnL!BD8*1.2,PnL!BD8)</f>
        <v>-10551393.011250002</v>
      </c>
      <c r="BC9" s="36">
        <f>IF(OPEX!$C$40="ОСН",PnL!BE8*1.2,PnL!BE8)</f>
        <v>-10551393.011250002</v>
      </c>
      <c r="BD9" s="36">
        <f>IF(OPEX!$C$40="ОСН",PnL!BF8*1.2,PnL!BF8)</f>
        <v>-10551393.011250002</v>
      </c>
      <c r="BE9" s="36">
        <f>IF(OPEX!$C$40="ОСН",PnL!BG8*1.2,PnL!BG8)</f>
        <v>-10551393.011250002</v>
      </c>
      <c r="BF9" s="36">
        <f>IF(OPEX!$C$40="ОСН",PnL!BH8*1.2,PnL!BH8)</f>
        <v>-10551393.011250002</v>
      </c>
      <c r="BG9" s="36">
        <f>IF(OPEX!$C$40="ОСН",PnL!BI8*1.2,PnL!BI8)</f>
        <v>-10551393.011250002</v>
      </c>
      <c r="BH9" s="36">
        <f>IF(OPEX!$C$40="ОСН",PnL!BJ8*1.2,PnL!BJ8)</f>
        <v>-10551393.011250002</v>
      </c>
      <c r="BI9" s="36">
        <f>IF(OPEX!$C$40="ОСН",PnL!BK8*1.2,PnL!BK8)</f>
        <v>-10551393.011250002</v>
      </c>
      <c r="BJ9" s="36">
        <f>IF(OPEX!$C$40="ОСН",PnL!BL8*1.2,PnL!BL8)</f>
        <v>-11078962.661812499</v>
      </c>
      <c r="BK9" s="36">
        <f>IF(OPEX!$C$40="ОСН",PnL!BM8*1.2,PnL!BM8)</f>
        <v>-11078962.661812499</v>
      </c>
      <c r="BL9" s="36">
        <f>IF(OPEX!$C$40="ОСН",PnL!BN8*1.2,PnL!BN8)</f>
        <v>-11078962.661812499</v>
      </c>
      <c r="BM9" s="36">
        <f>IF(OPEX!$C$40="ОСН",PnL!BO8*1.2,PnL!BO8)</f>
        <v>-11078962.661812499</v>
      </c>
      <c r="BN9" s="36">
        <f>IF(OPEX!$C$40="ОСН",PnL!BP8*1.2,PnL!BP8)</f>
        <v>-11078962.661812499</v>
      </c>
      <c r="BO9" s="36">
        <f>IF(OPEX!$C$40="ОСН",PnL!BQ8*1.2,PnL!BQ8)</f>
        <v>-11078962.661812499</v>
      </c>
      <c r="BP9" s="36">
        <f>IF(OPEX!$C$40="ОСН",PnL!BR8*1.2,PnL!BR8)</f>
        <v>-11078962.661812499</v>
      </c>
      <c r="BQ9" s="36">
        <f>IF(OPEX!$C$40="ОСН",PnL!BS8*1.2,PnL!BS8)</f>
        <v>-11078962.661812499</v>
      </c>
      <c r="BR9" s="36">
        <f>IF(OPEX!$C$40="ОСН",PnL!BT8*1.2,PnL!BT8)</f>
        <v>-11078962.661812499</v>
      </c>
      <c r="BS9" s="36">
        <f>IF(OPEX!$C$40="ОСН",PnL!BU8*1.2,PnL!BU8)</f>
        <v>-11078962.661812499</v>
      </c>
      <c r="BT9" s="36">
        <f>IF(OPEX!$C$40="ОСН",PnL!BV8*1.2,PnL!BV8)</f>
        <v>-11078962.661812499</v>
      </c>
      <c r="BU9" s="36">
        <f>IF(OPEX!$C$40="ОСН",PnL!BW8*1.2,PnL!BW8)</f>
        <v>-11078962.661812499</v>
      </c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</row>
    <row r="10" spans="1:88">
      <c r="B10" s="29" t="s">
        <v>170</v>
      </c>
      <c r="D10" s="36">
        <f t="shared" si="28"/>
        <v>0</v>
      </c>
      <c r="E10" s="36">
        <f t="shared" si="1"/>
        <v>-18229380</v>
      </c>
      <c r="F10" s="36">
        <f t="shared" si="1"/>
        <v>-19140849</v>
      </c>
      <c r="G10" s="36">
        <f t="shared" si="1"/>
        <v>-20097891.449999999</v>
      </c>
      <c r="H10" s="36">
        <f t="shared" si="1"/>
        <v>-21102786.022500008</v>
      </c>
      <c r="I10" s="36">
        <f t="shared" si="1"/>
        <v>-22157925.323624998</v>
      </c>
      <c r="N10" s="36">
        <f>IF(OPEX!$C$40="ОСН",N9*20/120,0)</f>
        <v>-1519115</v>
      </c>
      <c r="O10" s="36">
        <f>IF(OPEX!$C$40="ОСН",O9*20/120,0)</f>
        <v>-1519115</v>
      </c>
      <c r="P10" s="36">
        <f>IF(OPEX!$C$40="ОСН",P9*20/120,0)</f>
        <v>-1519115</v>
      </c>
      <c r="Q10" s="36">
        <f>IF(OPEX!$C$40="ОСН",Q9*20/120,0)</f>
        <v>-1519115</v>
      </c>
      <c r="R10" s="36">
        <f>IF(OPEX!$C$40="ОСН",R9*20/120,0)</f>
        <v>-1519115</v>
      </c>
      <c r="S10" s="36">
        <f>IF(OPEX!$C$40="ОСН",S9*20/120,0)</f>
        <v>-1519115</v>
      </c>
      <c r="T10" s="36">
        <f>IF(OPEX!$C$40="ОСН",T9*20/120,0)</f>
        <v>-1519115</v>
      </c>
      <c r="U10" s="36">
        <f>IF(OPEX!$C$40="ОСН",U9*20/120,0)</f>
        <v>-1519115</v>
      </c>
      <c r="V10" s="36">
        <f>IF(OPEX!$C$40="ОСН",V9*20/120,0)</f>
        <v>-1519115</v>
      </c>
      <c r="W10" s="36">
        <f>IF(OPEX!$C$40="ОСН",W9*20/120,0)</f>
        <v>-1519115</v>
      </c>
      <c r="X10" s="36">
        <f>IF(OPEX!$C$40="ОСН",X9*20/120,0)</f>
        <v>-1519115</v>
      </c>
      <c r="Y10" s="36">
        <f>IF(OPEX!$C$40="ОСН",Y9*20/120,0)</f>
        <v>-1519115</v>
      </c>
      <c r="Z10" s="36">
        <f>IF(OPEX!$C$40="ОСН",Z9*20/120,0)</f>
        <v>-1595070.75</v>
      </c>
      <c r="AA10" s="36">
        <f>IF(OPEX!$C$40="ОСН",AA9*20/120,0)</f>
        <v>-1595070.75</v>
      </c>
      <c r="AB10" s="36">
        <f>IF(OPEX!$C$40="ОСН",AB9*20/120,0)</f>
        <v>-1595070.75</v>
      </c>
      <c r="AC10" s="36">
        <f>IF(OPEX!$C$40="ОСН",AC9*20/120,0)</f>
        <v>-1595070.75</v>
      </c>
      <c r="AD10" s="36">
        <f>IF(OPEX!$C$40="ОСН",AD9*20/120,0)</f>
        <v>-1595070.75</v>
      </c>
      <c r="AE10" s="36">
        <f>IF(OPEX!$C$40="ОСН",AE9*20/120,0)</f>
        <v>-1595070.75</v>
      </c>
      <c r="AF10" s="36">
        <f>IF(OPEX!$C$40="ОСН",AF9*20/120,0)</f>
        <v>-1595070.75</v>
      </c>
      <c r="AG10" s="36">
        <f>IF(OPEX!$C$40="ОСН",AG9*20/120,0)</f>
        <v>-1595070.75</v>
      </c>
      <c r="AH10" s="36">
        <f>IF(OPEX!$C$40="ОСН",AH9*20/120,0)</f>
        <v>-1595070.75</v>
      </c>
      <c r="AI10" s="36">
        <f>IF(OPEX!$C$40="ОСН",AI9*20/120,0)</f>
        <v>-1595070.75</v>
      </c>
      <c r="AJ10" s="36">
        <f>IF(OPEX!$C$40="ОСН",AJ9*20/120,0)</f>
        <v>-1595070.75</v>
      </c>
      <c r="AK10" s="36">
        <f>IF(OPEX!$C$40="ОСН",AK9*20/120,0)</f>
        <v>-1595070.75</v>
      </c>
      <c r="AL10" s="36">
        <f>IF(OPEX!$C$40="ОСН",AL9*20/120,0)</f>
        <v>-1674824.2875000001</v>
      </c>
      <c r="AM10" s="36">
        <f>IF(OPEX!$C$40="ОСН",AM9*20/120,0)</f>
        <v>-1674824.2875000001</v>
      </c>
      <c r="AN10" s="36">
        <f>IF(OPEX!$C$40="ОСН",AN9*20/120,0)</f>
        <v>-1674824.2875000001</v>
      </c>
      <c r="AO10" s="36">
        <f>IF(OPEX!$C$40="ОСН",AO9*20/120,0)</f>
        <v>-1674824.2875000001</v>
      </c>
      <c r="AP10" s="36">
        <f>IF(OPEX!$C$40="ОСН",AP9*20/120,0)</f>
        <v>-1674824.2875000001</v>
      </c>
      <c r="AQ10" s="36">
        <f>IF(OPEX!$C$40="ОСН",AQ9*20/120,0)</f>
        <v>-1674824.2875000001</v>
      </c>
      <c r="AR10" s="36">
        <f>IF(OPEX!$C$40="ОСН",AR9*20/120,0)</f>
        <v>-1674824.2875000001</v>
      </c>
      <c r="AS10" s="36">
        <f>IF(OPEX!$C$40="ОСН",AS9*20/120,0)</f>
        <v>-1674824.2875000001</v>
      </c>
      <c r="AT10" s="36">
        <f>IF(OPEX!$C$40="ОСН",AT9*20/120,0)</f>
        <v>-1674824.2875000001</v>
      </c>
      <c r="AU10" s="36">
        <f>IF(OPEX!$C$40="ОСН",AU9*20/120,0)</f>
        <v>-1674824.2875000001</v>
      </c>
      <c r="AV10" s="36">
        <f>IF(OPEX!$C$40="ОСН",AV9*20/120,0)</f>
        <v>-1674824.2875000001</v>
      </c>
      <c r="AW10" s="36">
        <f>IF(OPEX!$C$40="ОСН",AW9*20/120,0)</f>
        <v>-1674824.2875000001</v>
      </c>
      <c r="AX10" s="36">
        <f>IF(OPEX!$C$40="ОСН",AX9*20/120,0)</f>
        <v>-1758565.5018750005</v>
      </c>
      <c r="AY10" s="36">
        <f>IF(OPEX!$C$40="ОСН",AY9*20/120,0)</f>
        <v>-1758565.5018750005</v>
      </c>
      <c r="AZ10" s="36">
        <f>IF(OPEX!$C$40="ОСН",AZ9*20/120,0)</f>
        <v>-1758565.5018750005</v>
      </c>
      <c r="BA10" s="36">
        <f>IF(OPEX!$C$40="ОСН",BA9*20/120,0)</f>
        <v>-1758565.5018750005</v>
      </c>
      <c r="BB10" s="36">
        <f>IF(OPEX!$C$40="ОСН",BB9*20/120,0)</f>
        <v>-1758565.5018750005</v>
      </c>
      <c r="BC10" s="36">
        <f>IF(OPEX!$C$40="ОСН",BC9*20/120,0)</f>
        <v>-1758565.5018750005</v>
      </c>
      <c r="BD10" s="36">
        <f>IF(OPEX!$C$40="ОСН",BD9*20/120,0)</f>
        <v>-1758565.5018750005</v>
      </c>
      <c r="BE10" s="36">
        <f>IF(OPEX!$C$40="ОСН",BE9*20/120,0)</f>
        <v>-1758565.5018750005</v>
      </c>
      <c r="BF10" s="36">
        <f>IF(OPEX!$C$40="ОСН",BF9*20/120,0)</f>
        <v>-1758565.5018750005</v>
      </c>
      <c r="BG10" s="36">
        <f>IF(OPEX!$C$40="ОСН",BG9*20/120,0)</f>
        <v>-1758565.5018750005</v>
      </c>
      <c r="BH10" s="36">
        <f>IF(OPEX!$C$40="ОСН",BH9*20/120,0)</f>
        <v>-1758565.5018750005</v>
      </c>
      <c r="BI10" s="36">
        <f>IF(OPEX!$C$40="ОСН",BI9*20/120,0)</f>
        <v>-1758565.5018750005</v>
      </c>
      <c r="BJ10" s="36">
        <f>IF(OPEX!$C$40="ОСН",BJ9*20/120,0)</f>
        <v>-1846493.7769687499</v>
      </c>
      <c r="BK10" s="36">
        <f>IF(OPEX!$C$40="ОСН",BK9*20/120,0)</f>
        <v>-1846493.7769687499</v>
      </c>
      <c r="BL10" s="36">
        <f>IF(OPEX!$C$40="ОСН",BL9*20/120,0)</f>
        <v>-1846493.7769687499</v>
      </c>
      <c r="BM10" s="36">
        <f>IF(OPEX!$C$40="ОСН",BM9*20/120,0)</f>
        <v>-1846493.7769687499</v>
      </c>
      <c r="BN10" s="36">
        <f>IF(OPEX!$C$40="ОСН",BN9*20/120,0)</f>
        <v>-1846493.7769687499</v>
      </c>
      <c r="BO10" s="36">
        <f>IF(OPEX!$C$40="ОСН",BO9*20/120,0)</f>
        <v>-1846493.7769687499</v>
      </c>
      <c r="BP10" s="36">
        <f>IF(OPEX!$C$40="ОСН",BP9*20/120,0)</f>
        <v>-1846493.7769687499</v>
      </c>
      <c r="BQ10" s="36">
        <f>IF(OPEX!$C$40="ОСН",BQ9*20/120,0)</f>
        <v>-1846493.7769687499</v>
      </c>
      <c r="BR10" s="36">
        <f>IF(OPEX!$C$40="ОСН",BR9*20/120,0)</f>
        <v>-1846493.7769687499</v>
      </c>
      <c r="BS10" s="36">
        <f>IF(OPEX!$C$40="ОСН",BS9*20/120,0)</f>
        <v>-1846493.7769687499</v>
      </c>
      <c r="BT10" s="36">
        <f>IF(OPEX!$C$40="ОСН",BT9*20/120,0)</f>
        <v>-1846493.7769687499</v>
      </c>
      <c r="BU10" s="36">
        <f>IF(OPEX!$C$40="ОСН",BU9*20/120,0)</f>
        <v>-1846493.7769687499</v>
      </c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</row>
    <row r="11" spans="1:88">
      <c r="B11" t="s">
        <v>171</v>
      </c>
      <c r="D11" s="36">
        <f t="shared" si="28"/>
        <v>0</v>
      </c>
      <c r="E11" s="36">
        <f t="shared" si="1"/>
        <v>-5657748.3333333358</v>
      </c>
      <c r="F11" s="36">
        <f t="shared" si="1"/>
        <v>-6817018.2500000009</v>
      </c>
      <c r="G11" s="36">
        <f t="shared" si="1"/>
        <v>-7157869.1624999968</v>
      </c>
      <c r="H11" s="36">
        <f t="shared" si="1"/>
        <v>-7515762.6206249921</v>
      </c>
      <c r="I11" s="36">
        <f t="shared" si="1"/>
        <v>-7891550.7516562482</v>
      </c>
      <c r="N11" s="36"/>
      <c r="O11" s="36"/>
      <c r="P11" s="36"/>
      <c r="Q11" s="36">
        <f>-IF(OPEX!$C$39="ОСН",(SUM($O$8:$P$8)+SUM($N$10:$P$10,$K$25,$K$16:$M$16,$K$19:$M$19))/3,0)</f>
        <v>-813035.00000000035</v>
      </c>
      <c r="R11" s="36">
        <f>-IF(OPEX!$C$39="ОСН",(SUM($O$8:$P$8)+SUM($N$10:$P$10,$K$25,$K$16:$M$16,$K$19:$M$19))/3,0)</f>
        <v>-813035.00000000035</v>
      </c>
      <c r="S11" s="36">
        <f>-IF(OPEX!$C$39="ОСН",(SUM($O$8:$P$8)+SUM($N$10:$P$10,$K$25,$K$16:$M$16,$K$19:$M$19))/3,0)</f>
        <v>-813035.00000000035</v>
      </c>
      <c r="T11" s="36">
        <f>-IF(OPEX!$C$39="ОСН",(SUM($Q$8:$S$8)+SUM($Q$10:$S$10,$Q$16:$S$16,$Q$19:$S$19))/3,0)</f>
        <v>-480885</v>
      </c>
      <c r="U11" s="36">
        <f>-IF(OPEX!$C$39="ОСН",(SUM($Q$8:$S$8)+SUM($Q$10:$S$10,$Q$16:$S$16))/3,0)</f>
        <v>-547551.66666666698</v>
      </c>
      <c r="V11" s="36">
        <f>-IF(OPEX!$C$39="ОСН",(SUM($Q$8:$S$8)+SUM($Q$10:$S$10,$Q$16:$S$16))/3,0)</f>
        <v>-547551.66666666698</v>
      </c>
      <c r="W11" s="36">
        <f>-IF(OPEX!$C$39="ОСН",(SUM($T$8:$V$8)+SUM($T$10:$V$10,$T$16:$V$16))/3,0)</f>
        <v>-547551.66666666698</v>
      </c>
      <c r="X11" s="36">
        <f>-IF(OPEX!$C$39="ОСН",(SUM($T$8:$V$8)+SUM($T$10:$V$10,$T$16:$V$16))/3,0)</f>
        <v>-547551.66666666698</v>
      </c>
      <c r="Y11" s="36">
        <f>-IF(OPEX!$C$39="ОСН",(SUM($T$8:$V$8)+SUM($T$10:$V$10,$T$16:$V$16))/3,0)</f>
        <v>-547551.66666666698</v>
      </c>
      <c r="Z11" s="36">
        <f>-IF(OPEX!$C$39="ОСН",(SUM($W$8:$Y$8)+SUM($W$10:$Y$10,$W$16:$Y$16))/3,0)</f>
        <v>-547551.66666666698</v>
      </c>
      <c r="AA11" s="36">
        <f>-IF(OPEX!$C$39="ОСН",(SUM($W$8:$Y$8)+SUM($W$10:$Y$10,$W$16:$Y$16))/3,0)</f>
        <v>-547551.66666666698</v>
      </c>
      <c r="AB11" s="36">
        <f>-IF(OPEX!$C$39="ОСН",(SUM($W$8:$Y$8)+SUM($W$10:$Y$10,$W$16:$Y$16))/3,0)</f>
        <v>-547551.66666666698</v>
      </c>
      <c r="AC11" s="36">
        <f>-IF(OPEX!$C$39="ОСН",(SUM($Z$8:$AB$8)+SUM($Z$10:$AB$10,$Z$16:$AB$16))/3,0)</f>
        <v>-574929.25</v>
      </c>
      <c r="AD11" s="36">
        <f>-IF(OPEX!$C$39="ОСН",(SUM($Z$8:$AB$8)+SUM($Z$10:$AB$10,$Z$16:$AB$16))/3,0)</f>
        <v>-574929.25</v>
      </c>
      <c r="AE11" s="36">
        <f>-IF(OPEX!$C$39="ОСН",(SUM($Z$8:$AB$8)+SUM($Z$10:$AB$10,$Z$16:$AB$16))/3,0)</f>
        <v>-574929.25</v>
      </c>
      <c r="AF11" s="36">
        <f>-IF(OPEX!$C$39="ОСН",(SUM($AC$8:$AE$8)+SUM($AC$10:$AE$10,$AC$16:$AE$16))/3,0)</f>
        <v>-574929.25</v>
      </c>
      <c r="AG11" s="36">
        <f>-IF(OPEX!$C$39="ОСН",(SUM($AC$8:$AE$8)+SUM($AC$10:$AE$10,$AC$16:$AE$16))/3,0)</f>
        <v>-574929.25</v>
      </c>
      <c r="AH11" s="36">
        <f>-IF(OPEX!$C$39="ОСН",(SUM($AC$8:$AE$8)+SUM($AC$10:$AE$10,$AC$16:$AE$16))/3,0)</f>
        <v>-574929.25</v>
      </c>
      <c r="AI11" s="36">
        <f>-IF(OPEX!$C$39="ОСН",(SUM($AF$8:$AH$8)+SUM($AF$10:$AH$10,$AF$16:$AH$16))/3,0)</f>
        <v>-574929.25</v>
      </c>
      <c r="AJ11" s="36">
        <f>-IF(OPEX!$C$39="ОСН",(SUM($AF$8:$AH$8)+SUM($AF$10:$AH$10,$AF$16:$AH$16))/3,0)</f>
        <v>-574929.25</v>
      </c>
      <c r="AK11" s="36">
        <f>-IF(OPEX!$C$39="ОСН",(SUM($AF$8:$AH$8)+SUM($AF$10:$AH$10,$AF$16:$AH$16))/3,0)</f>
        <v>-574929.25</v>
      </c>
      <c r="AL11" s="36">
        <f>-IF(OPEX!$C$39="ОСН",(SUM($AI$8:$AK$8)+SUM($AI$10:$AK$10,$AI$16:$AK$16))/3,0)</f>
        <v>-574929.25</v>
      </c>
      <c r="AM11" s="36">
        <f>-IF(OPEX!$C$39="ОСН",(SUM($AI$8:$AK$8)+SUM($AI$10:$AK$10,$AI$16:$AK$16))/3,0)</f>
        <v>-574929.25</v>
      </c>
      <c r="AN11" s="36">
        <f>-IF(OPEX!$C$39="ОСН",(SUM($AI$8:$AK$8)+SUM($AI$10:$AK$10,$AI$16:$AK$16))/3,0)</f>
        <v>-574929.25</v>
      </c>
      <c r="AO11" s="36">
        <f>-IF(OPEX!$C$39="ОСН",(SUM($AL$8:$AN$8)+SUM($AL$10:$AN$10,$AL$16:$AN$16))/3,0)</f>
        <v>-603675.71249999979</v>
      </c>
      <c r="AP11" s="36">
        <f>-IF(OPEX!$C$39="ОСН",(SUM($AL$8:$AN$8)+SUM($AL$10:$AN$10,$AL$16:$AN$16))/3,0)</f>
        <v>-603675.71249999979</v>
      </c>
      <c r="AQ11" s="36">
        <f>-IF(OPEX!$C$39="ОСН",(SUM($AL$8:$AN$8)+SUM($AL$10:$AN$10,$AL$16:$AN$16))/3,0)</f>
        <v>-603675.71249999979</v>
      </c>
      <c r="AR11" s="36">
        <f>-IF(OPEX!$C$39="ОСН",(SUM($AO$8:$AQ$8)+SUM($AO$10:$AQ$10,$AO$16:$AQ$16))/3,0)</f>
        <v>-603675.71249999979</v>
      </c>
      <c r="AS11" s="36">
        <f>-IF(OPEX!$C$39="ОСН",(SUM($AO$8:$AQ$8)+SUM($AO$10:$AQ$10,$AO$16:$AQ$16))/3,0)</f>
        <v>-603675.71249999979</v>
      </c>
      <c r="AT11" s="36">
        <f>-IF(OPEX!$C$39="ОСН",(SUM($AO$8:$AQ$8)+SUM($AO$10:$AQ$10,$AO$16:$AQ$16))/3,0)</f>
        <v>-603675.71249999979</v>
      </c>
      <c r="AU11" s="36">
        <f>-IF(OPEX!$C$39="ОСН",(SUM($AR$8:$AT$8)+SUM($AR$10:$AT$10,$AR$16:$AT$16))/3,0)</f>
        <v>-603675.71249999979</v>
      </c>
      <c r="AV11" s="36">
        <f>-IF(OPEX!$C$39="ОСН",(SUM($AR$8:$AT$8)+SUM($AR$10:$AT$10,$AR$16:$AT$16))/3,0)</f>
        <v>-603675.71249999979</v>
      </c>
      <c r="AW11" s="36">
        <f>-IF(OPEX!$C$39="ОСН",(SUM($AR$8:$AT$8)+SUM($AR$10:$AT$10,$AR$16:$AT$16))/3,0)</f>
        <v>-603675.71249999979</v>
      </c>
      <c r="AX11" s="36">
        <f>-IF(OPEX!$C$39="ОСН",(SUM($AU$8:$AW$8)+SUM($AU$10:$AW$10,$AU$16:$AW$16))/3,0)</f>
        <v>-603675.71249999979</v>
      </c>
      <c r="AY11" s="36">
        <f>-IF(OPEX!$C$39="ОСН",(SUM($AU$8:$AW$8)+SUM($AU$10:$AW$10,$AU$16:$AW$16))/3,0)</f>
        <v>-603675.71249999979</v>
      </c>
      <c r="AZ11" s="36">
        <f>-IF(OPEX!$C$39="ОСН",(SUM($AU$8:$AW$8)+SUM($AU$10:$AW$10,$AU$16:$AW$16))/3,0)</f>
        <v>-603675.71249999979</v>
      </c>
      <c r="BA11" s="36">
        <f>-IF(OPEX!$C$39="ОСН",(SUM($AX$8:$AZ$8)+SUM($AX$10:$AZ$10,$AX$16:$AZ$16))/3,0)</f>
        <v>-633859.49812499934</v>
      </c>
      <c r="BB11" s="36">
        <f>-IF(OPEX!$C$39="ОСН",(SUM($AX$8:$AZ$8)+SUM($AX$10:$AZ$10,$AX$16:$AZ$16))/3,0)</f>
        <v>-633859.49812499934</v>
      </c>
      <c r="BC11" s="36">
        <f>-IF(OPEX!$C$39="ОСН",(SUM($AX$8:$AZ$8)+SUM($AX$10:$AZ$10,$AX$16:$AZ$16))/3,0)</f>
        <v>-633859.49812499934</v>
      </c>
      <c r="BD11" s="36">
        <f>-IF(OPEX!$C$39="ОСН",(SUM($BA$8:$BC$8)+SUM($BA$10:$BC$10,$BA$16:$BC$16))/3,0)</f>
        <v>-633859.49812499934</v>
      </c>
      <c r="BE11" s="36">
        <f>-IF(OPEX!$C$39="ОСН",(SUM($BA$8:$BC$8)+SUM($BA$10:$BC$10,$BA$16:$BC$16))/3,0)</f>
        <v>-633859.49812499934</v>
      </c>
      <c r="BF11" s="36">
        <f>-IF(OPEX!$C$39="ОСН",(SUM($BA$8:$BC$8)+SUM($BA$10:$BC$10,$BA$16:$BC$16))/3,0)</f>
        <v>-633859.49812499934</v>
      </c>
      <c r="BG11" s="36">
        <f>-IF(OPEX!$C$39="ОСН",(SUM($BD$8:$BF$8)+SUM($BD$10:$BF$10,$BD$16:$BF$16))/3,0)</f>
        <v>-633859.49812499934</v>
      </c>
      <c r="BH11" s="36">
        <f>-IF(OPEX!$C$39="ОСН",(SUM($BD$8:$BF$8)+SUM($BD$10:$BF$10,$BD$16:$BF$16))/3,0)</f>
        <v>-633859.49812499934</v>
      </c>
      <c r="BI11" s="36">
        <f>-IF(OPEX!$C$39="ОСН",(SUM($BD$8:$BF$8)+SUM($BD$10:$BF$10,$BD$16:$BF$16))/3,0)</f>
        <v>-633859.49812499934</v>
      </c>
      <c r="BJ11" s="36">
        <f>-IF(OPEX!$C$39="ОСН",(SUM($BG$8:$BI$8)+SUM($BG$10:$BI$10,$BG$16:$BI$16))/3,0)</f>
        <v>-633859.49812499934</v>
      </c>
      <c r="BK11" s="36">
        <f>-IF(OPEX!$C$39="ОСН",(SUM($BG$8:$BI$8)+SUM($BG$10:$BI$10,$BG$16:$BI$16))/3,0)</f>
        <v>-633859.49812499934</v>
      </c>
      <c r="BL11" s="36">
        <f>-IF(OPEX!$C$39="ОСН",(SUM($BG$8:$BI$8)+SUM($BG$10:$BI$10,$BG$16:$BI$16))/3,0)</f>
        <v>-633859.49812499934</v>
      </c>
      <c r="BM11" s="36">
        <f>-IF(OPEX!$C$39="ОСН",(SUM($BJ$8:$BL$8)+SUM($BJ$10:$BL$10,$BJ$16:$BL$16))/3,0)</f>
        <v>-665552.47303125018</v>
      </c>
      <c r="BN11" s="36">
        <f>-IF(OPEX!$C$39="ОСН",(SUM($BJ$8:$BL$8)+SUM($BJ$10:$BL$10,$BJ$16:$BL$16))/3,0)</f>
        <v>-665552.47303125018</v>
      </c>
      <c r="BO11" s="36">
        <f>-IF(OPEX!$C$39="ОСН",(SUM($BJ$8:$BL$8)+SUM($BJ$10:$BL$10,$BJ$16:$BL$16))/3,0)</f>
        <v>-665552.47303125018</v>
      </c>
      <c r="BP11" s="36">
        <f>-IF(OPEX!$C$39="ОСН",(SUM($BM$8:$BO$8)+SUM($BM$10:$BO$10,$BM$16:$BO$16))/3,0)</f>
        <v>-665552.47303125018</v>
      </c>
      <c r="BQ11" s="36">
        <f>-IF(OPEX!$C$39="ОСН",(SUM($BM$8:$BO$8)+SUM($BM$10:$BO$10,$BM$16:$BO$16))/3,0)</f>
        <v>-665552.47303125018</v>
      </c>
      <c r="BR11" s="36">
        <f>-IF(OPEX!$C$39="ОСН",(SUM($BM$8:$BO$8)+SUM($BM$10:$BO$10,$BM$16:$BO$16))/3,0)</f>
        <v>-665552.47303125018</v>
      </c>
      <c r="BS11" s="36">
        <f>-IF(OPEX!$C$39="ОСН",(SUM($BP$8:$BR$8)+SUM($BP$10:$BR$10,$BP$16:$BR$16))/3,0)</f>
        <v>-665552.47303125018</v>
      </c>
      <c r="BT11" s="36">
        <f>-IF(OPEX!$C$39="ОСН",(SUM($BP$8:$BR$8)+SUM($BP$10:$BR$10,$BP$16:$BR$16))/3,0)</f>
        <v>-665552.47303125018</v>
      </c>
      <c r="BU11" s="36">
        <f>-IF(OPEX!$C$39="ОСН",(SUM($BP$8:$BR$8)+SUM($BP$10:$BR$10,$BP$16:$BR$16))/3,0)</f>
        <v>-665552.47303125018</v>
      </c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</row>
    <row r="13" spans="1:88" s="51" customFormat="1" ht="14.25" customHeight="1">
      <c r="B13" s="81" t="s">
        <v>161</v>
      </c>
      <c r="C13" s="52"/>
      <c r="D13" s="82">
        <f t="shared" si="28"/>
        <v>-1664000</v>
      </c>
      <c r="E13" s="82">
        <f t="shared" si="1"/>
        <v>-18408000</v>
      </c>
      <c r="F13" s="82">
        <f t="shared" si="1"/>
        <v>-19328400</v>
      </c>
      <c r="G13" s="82">
        <f t="shared" si="1"/>
        <v>-20294820</v>
      </c>
      <c r="H13" s="82">
        <f t="shared" si="1"/>
        <v>-21309561.000000004</v>
      </c>
      <c r="I13" s="82">
        <f t="shared" si="1"/>
        <v>-22375039.049999997</v>
      </c>
      <c r="J13" s="52"/>
      <c r="K13" s="82">
        <f>SUM(K15,K17,K18)</f>
        <v>-488000</v>
      </c>
      <c r="L13" s="82">
        <f>SUM(L15,L17,L18)</f>
        <v>-538000</v>
      </c>
      <c r="M13" s="82">
        <f t="shared" ref="M13:BU13" si="29">SUM(M15,M17,M18)</f>
        <v>-638000</v>
      </c>
      <c r="N13" s="82">
        <f t="shared" si="29"/>
        <v>-1534000</v>
      </c>
      <c r="O13" s="82">
        <f t="shared" si="29"/>
        <v>-1534000</v>
      </c>
      <c r="P13" s="82">
        <f t="shared" si="29"/>
        <v>-1534000</v>
      </c>
      <c r="Q13" s="82">
        <f t="shared" si="29"/>
        <v>-1534000</v>
      </c>
      <c r="R13" s="82">
        <f t="shared" si="29"/>
        <v>-1534000</v>
      </c>
      <c r="S13" s="82">
        <f t="shared" si="29"/>
        <v>-1534000</v>
      </c>
      <c r="T13" s="82">
        <f t="shared" si="29"/>
        <v>-1534000</v>
      </c>
      <c r="U13" s="82">
        <f t="shared" si="29"/>
        <v>-1534000</v>
      </c>
      <c r="V13" s="82">
        <f t="shared" si="29"/>
        <v>-1534000</v>
      </c>
      <c r="W13" s="82">
        <f t="shared" si="29"/>
        <v>-1534000</v>
      </c>
      <c r="X13" s="82">
        <f t="shared" si="29"/>
        <v>-1534000</v>
      </c>
      <c r="Y13" s="82">
        <f t="shared" si="29"/>
        <v>-1534000</v>
      </c>
      <c r="Z13" s="82">
        <f t="shared" si="29"/>
        <v>-1610700</v>
      </c>
      <c r="AA13" s="82">
        <f t="shared" si="29"/>
        <v>-1610700</v>
      </c>
      <c r="AB13" s="82">
        <f t="shared" si="29"/>
        <v>-1610700</v>
      </c>
      <c r="AC13" s="82">
        <f t="shared" si="29"/>
        <v>-1610700</v>
      </c>
      <c r="AD13" s="82">
        <f t="shared" si="29"/>
        <v>-1610700</v>
      </c>
      <c r="AE13" s="82">
        <f t="shared" si="29"/>
        <v>-1610700</v>
      </c>
      <c r="AF13" s="82">
        <f t="shared" si="29"/>
        <v>-1610700</v>
      </c>
      <c r="AG13" s="82">
        <f t="shared" si="29"/>
        <v>-1610700</v>
      </c>
      <c r="AH13" s="82">
        <f t="shared" si="29"/>
        <v>-1610700</v>
      </c>
      <c r="AI13" s="82">
        <f t="shared" si="29"/>
        <v>-1610700</v>
      </c>
      <c r="AJ13" s="82">
        <f t="shared" si="29"/>
        <v>-1610700</v>
      </c>
      <c r="AK13" s="82">
        <f t="shared" si="29"/>
        <v>-1610700</v>
      </c>
      <c r="AL13" s="82">
        <f t="shared" si="29"/>
        <v>-1691235</v>
      </c>
      <c r="AM13" s="82">
        <f t="shared" si="29"/>
        <v>-1691235</v>
      </c>
      <c r="AN13" s="82">
        <f t="shared" si="29"/>
        <v>-1691235</v>
      </c>
      <c r="AO13" s="82">
        <f t="shared" si="29"/>
        <v>-1691235</v>
      </c>
      <c r="AP13" s="82">
        <f t="shared" si="29"/>
        <v>-1691235</v>
      </c>
      <c r="AQ13" s="82">
        <f t="shared" si="29"/>
        <v>-1691235</v>
      </c>
      <c r="AR13" s="82">
        <f t="shared" si="29"/>
        <v>-1691235</v>
      </c>
      <c r="AS13" s="82">
        <f t="shared" si="29"/>
        <v>-1691235</v>
      </c>
      <c r="AT13" s="82">
        <f t="shared" si="29"/>
        <v>-1691235</v>
      </c>
      <c r="AU13" s="82">
        <f t="shared" si="29"/>
        <v>-1691235</v>
      </c>
      <c r="AV13" s="82">
        <f t="shared" si="29"/>
        <v>-1691235</v>
      </c>
      <c r="AW13" s="82">
        <f t="shared" si="29"/>
        <v>-1691235</v>
      </c>
      <c r="AX13" s="82">
        <f t="shared" si="29"/>
        <v>-1775796.7500000002</v>
      </c>
      <c r="AY13" s="82">
        <f t="shared" si="29"/>
        <v>-1775796.7500000002</v>
      </c>
      <c r="AZ13" s="82">
        <f t="shared" si="29"/>
        <v>-1775796.7500000002</v>
      </c>
      <c r="BA13" s="82">
        <f t="shared" si="29"/>
        <v>-1775796.7500000002</v>
      </c>
      <c r="BB13" s="82">
        <f t="shared" si="29"/>
        <v>-1775796.7500000002</v>
      </c>
      <c r="BC13" s="82">
        <f t="shared" si="29"/>
        <v>-1775796.7500000002</v>
      </c>
      <c r="BD13" s="82">
        <f t="shared" si="29"/>
        <v>-1775796.7500000002</v>
      </c>
      <c r="BE13" s="82">
        <f t="shared" si="29"/>
        <v>-1775796.7500000002</v>
      </c>
      <c r="BF13" s="82">
        <f t="shared" si="29"/>
        <v>-1775796.7500000002</v>
      </c>
      <c r="BG13" s="82">
        <f t="shared" si="29"/>
        <v>-1775796.7500000002</v>
      </c>
      <c r="BH13" s="82">
        <f t="shared" si="29"/>
        <v>-1775796.7500000002</v>
      </c>
      <c r="BI13" s="82">
        <f t="shared" si="29"/>
        <v>-1775796.7500000002</v>
      </c>
      <c r="BJ13" s="82">
        <f t="shared" si="29"/>
        <v>-1864586.5874999999</v>
      </c>
      <c r="BK13" s="82">
        <f t="shared" si="29"/>
        <v>-1864586.5874999999</v>
      </c>
      <c r="BL13" s="82">
        <f t="shared" si="29"/>
        <v>-1864586.5874999999</v>
      </c>
      <c r="BM13" s="82">
        <f t="shared" si="29"/>
        <v>-1864586.5874999999</v>
      </c>
      <c r="BN13" s="82">
        <f t="shared" si="29"/>
        <v>-1864586.5874999999</v>
      </c>
      <c r="BO13" s="82">
        <f t="shared" si="29"/>
        <v>-1864586.5874999999</v>
      </c>
      <c r="BP13" s="82">
        <f t="shared" si="29"/>
        <v>-1864586.5874999999</v>
      </c>
      <c r="BQ13" s="82">
        <f t="shared" si="29"/>
        <v>-1864586.5874999999</v>
      </c>
      <c r="BR13" s="82">
        <f t="shared" si="29"/>
        <v>-1864586.5874999999</v>
      </c>
      <c r="BS13" s="82">
        <f t="shared" si="29"/>
        <v>-1864586.5874999999</v>
      </c>
      <c r="BT13" s="82">
        <f t="shared" si="29"/>
        <v>-1864586.5874999999</v>
      </c>
      <c r="BU13" s="82">
        <f t="shared" si="29"/>
        <v>-1864586.5874999999</v>
      </c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</row>
    <row r="14" spans="1:88" ht="10.5" customHeight="1"/>
    <row r="15" spans="1:88" s="80" customFormat="1" ht="15.75" customHeight="1" outlineLevel="1">
      <c r="B15" s="80" t="s">
        <v>135</v>
      </c>
      <c r="D15" s="98">
        <f t="shared" si="28"/>
        <v>-300000.00000000006</v>
      </c>
      <c r="E15" s="98">
        <f t="shared" si="1"/>
        <v>-1200000.0000000002</v>
      </c>
      <c r="F15" s="98">
        <f t="shared" si="1"/>
        <v>-1260000</v>
      </c>
      <c r="G15" s="98">
        <f t="shared" si="1"/>
        <v>-1323000</v>
      </c>
      <c r="H15" s="98">
        <f t="shared" si="1"/>
        <v>-1389150.0000000002</v>
      </c>
      <c r="I15" s="98">
        <f t="shared" si="1"/>
        <v>-1458607.5</v>
      </c>
      <c r="K15" s="98">
        <f>PnL!M17*1.2</f>
        <v>-100000.00000000001</v>
      </c>
      <c r="L15" s="98">
        <f>PnL!N17*1.2</f>
        <v>-100000.00000000001</v>
      </c>
      <c r="M15" s="98">
        <f>PnL!O17*1.2</f>
        <v>-100000.00000000001</v>
      </c>
      <c r="N15" s="98">
        <f>PnL!P17*1.2</f>
        <v>-100000.00000000001</v>
      </c>
      <c r="O15" s="98">
        <f>PnL!Q17*1.2</f>
        <v>-100000.00000000001</v>
      </c>
      <c r="P15" s="98">
        <f>PnL!R17*1.2</f>
        <v>-100000.00000000001</v>
      </c>
      <c r="Q15" s="98">
        <f>PnL!S17*1.2</f>
        <v>-100000.00000000001</v>
      </c>
      <c r="R15" s="98">
        <f>PnL!T17*1.2</f>
        <v>-100000.00000000001</v>
      </c>
      <c r="S15" s="98">
        <f>PnL!U17*1.2</f>
        <v>-100000.00000000001</v>
      </c>
      <c r="T15" s="98">
        <f>PnL!V17*1.2</f>
        <v>-100000.00000000001</v>
      </c>
      <c r="U15" s="98">
        <f>PnL!W17*1.2</f>
        <v>-100000.00000000001</v>
      </c>
      <c r="V15" s="98">
        <f>PnL!X17*1.2</f>
        <v>-100000.00000000001</v>
      </c>
      <c r="W15" s="98">
        <f>PnL!Y17*1.2</f>
        <v>-100000.00000000001</v>
      </c>
      <c r="X15" s="98">
        <f>PnL!Z17*1.2</f>
        <v>-100000.00000000001</v>
      </c>
      <c r="Y15" s="98">
        <f>PnL!AA17*1.2</f>
        <v>-100000.00000000001</v>
      </c>
      <c r="Z15" s="98">
        <f>PnL!AB17*1.2</f>
        <v>-105000</v>
      </c>
      <c r="AA15" s="98">
        <f>PnL!AC17*1.2</f>
        <v>-105000</v>
      </c>
      <c r="AB15" s="98">
        <f>PnL!AD17*1.2</f>
        <v>-105000</v>
      </c>
      <c r="AC15" s="98">
        <f>PnL!AE17*1.2</f>
        <v>-105000</v>
      </c>
      <c r="AD15" s="98">
        <f>PnL!AF17*1.2</f>
        <v>-105000</v>
      </c>
      <c r="AE15" s="98">
        <f>PnL!AG17*1.2</f>
        <v>-105000</v>
      </c>
      <c r="AF15" s="98">
        <f>PnL!AH17*1.2</f>
        <v>-105000</v>
      </c>
      <c r="AG15" s="98">
        <f>PnL!AI17*1.2</f>
        <v>-105000</v>
      </c>
      <c r="AH15" s="98">
        <f>PnL!AJ17*1.2</f>
        <v>-105000</v>
      </c>
      <c r="AI15" s="98">
        <f>PnL!AK17*1.2</f>
        <v>-105000</v>
      </c>
      <c r="AJ15" s="98">
        <f>PnL!AL17*1.2</f>
        <v>-105000</v>
      </c>
      <c r="AK15" s="98">
        <f>PnL!AM17*1.2</f>
        <v>-105000</v>
      </c>
      <c r="AL15" s="98">
        <f>PnL!AN17*1.2</f>
        <v>-110250</v>
      </c>
      <c r="AM15" s="98">
        <f>PnL!AO17*1.2</f>
        <v>-110250</v>
      </c>
      <c r="AN15" s="98">
        <f>PnL!AP17*1.2</f>
        <v>-110250</v>
      </c>
      <c r="AO15" s="98">
        <f>PnL!AQ17*1.2</f>
        <v>-110250</v>
      </c>
      <c r="AP15" s="98">
        <f>PnL!AR17*1.2</f>
        <v>-110250</v>
      </c>
      <c r="AQ15" s="98">
        <f>PnL!AS17*1.2</f>
        <v>-110250</v>
      </c>
      <c r="AR15" s="98">
        <f>PnL!AT17*1.2</f>
        <v>-110250</v>
      </c>
      <c r="AS15" s="98">
        <f>PnL!AU17*1.2</f>
        <v>-110250</v>
      </c>
      <c r="AT15" s="98">
        <f>PnL!AV17*1.2</f>
        <v>-110250</v>
      </c>
      <c r="AU15" s="98">
        <f>PnL!AW17*1.2</f>
        <v>-110250</v>
      </c>
      <c r="AV15" s="98">
        <f>PnL!AX17*1.2</f>
        <v>-110250</v>
      </c>
      <c r="AW15" s="98">
        <f>PnL!AY17*1.2</f>
        <v>-110250</v>
      </c>
      <c r="AX15" s="98">
        <f>PnL!AZ17*1.2</f>
        <v>-115762.50000000001</v>
      </c>
      <c r="AY15" s="98">
        <f>PnL!BA17*1.2</f>
        <v>-115762.50000000001</v>
      </c>
      <c r="AZ15" s="98">
        <f>PnL!BB17*1.2</f>
        <v>-115762.50000000001</v>
      </c>
      <c r="BA15" s="98">
        <f>PnL!BC17*1.2</f>
        <v>-115762.50000000001</v>
      </c>
      <c r="BB15" s="98">
        <f>PnL!BD17*1.2</f>
        <v>-115762.50000000001</v>
      </c>
      <c r="BC15" s="98">
        <f>PnL!BE17*1.2</f>
        <v>-115762.50000000001</v>
      </c>
      <c r="BD15" s="98">
        <f>PnL!BF17*1.2</f>
        <v>-115762.50000000001</v>
      </c>
      <c r="BE15" s="98">
        <f>PnL!BG17*1.2</f>
        <v>-115762.50000000001</v>
      </c>
      <c r="BF15" s="98">
        <f>PnL!BH17*1.2</f>
        <v>-115762.50000000001</v>
      </c>
      <c r="BG15" s="98">
        <f>PnL!BI17*1.2</f>
        <v>-115762.50000000001</v>
      </c>
      <c r="BH15" s="98">
        <f>PnL!BJ17*1.2</f>
        <v>-115762.50000000001</v>
      </c>
      <c r="BI15" s="98">
        <f>PnL!BK17*1.2</f>
        <v>-115762.50000000001</v>
      </c>
      <c r="BJ15" s="98">
        <f>PnL!BL17*1.2</f>
        <v>-121550.625</v>
      </c>
      <c r="BK15" s="98">
        <f>PnL!BM17*1.2</f>
        <v>-121550.625</v>
      </c>
      <c r="BL15" s="98">
        <f>PnL!BN17*1.2</f>
        <v>-121550.625</v>
      </c>
      <c r="BM15" s="98">
        <f>PnL!BO17*1.2</f>
        <v>-121550.625</v>
      </c>
      <c r="BN15" s="98">
        <f>PnL!BP17*1.2</f>
        <v>-121550.625</v>
      </c>
      <c r="BO15" s="98">
        <f>PnL!BQ17*1.2</f>
        <v>-121550.625</v>
      </c>
      <c r="BP15" s="98">
        <f>PnL!BR17*1.2</f>
        <v>-121550.625</v>
      </c>
      <c r="BQ15" s="98">
        <f>PnL!BS17*1.2</f>
        <v>-121550.625</v>
      </c>
      <c r="BR15" s="98">
        <f>PnL!BT17*1.2</f>
        <v>-121550.625</v>
      </c>
      <c r="BS15" s="98">
        <f>PnL!BU17*1.2</f>
        <v>-121550.625</v>
      </c>
      <c r="BT15" s="98">
        <f>PnL!BV17*1.2</f>
        <v>-121550.625</v>
      </c>
      <c r="BU15" s="98">
        <f>PnL!BW17*1.2</f>
        <v>-121550.625</v>
      </c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</row>
    <row r="16" spans="1:88" outlineLevel="1">
      <c r="B16" s="29" t="s">
        <v>170</v>
      </c>
      <c r="D16" s="36">
        <f t="shared" si="28"/>
        <v>-50000</v>
      </c>
      <c r="E16" s="36">
        <f t="shared" si="1"/>
        <v>-199999.99999999997</v>
      </c>
      <c r="F16" s="36">
        <f t="shared" si="1"/>
        <v>-210000</v>
      </c>
      <c r="G16" s="36">
        <f t="shared" si="1"/>
        <v>-220500</v>
      </c>
      <c r="H16" s="36">
        <f t="shared" si="1"/>
        <v>-231525.00000000003</v>
      </c>
      <c r="I16" s="36">
        <f t="shared" si="1"/>
        <v>-243101.25</v>
      </c>
      <c r="K16" s="36">
        <f>K15*20/120</f>
        <v>-16666.666666666668</v>
      </c>
      <c r="L16" s="36">
        <f t="shared" ref="L16:BU16" si="30">L15*20/120</f>
        <v>-16666.666666666668</v>
      </c>
      <c r="M16" s="36">
        <f t="shared" si="30"/>
        <v>-16666.666666666668</v>
      </c>
      <c r="N16" s="36">
        <f t="shared" si="30"/>
        <v>-16666.666666666668</v>
      </c>
      <c r="O16" s="36">
        <f t="shared" si="30"/>
        <v>-16666.666666666668</v>
      </c>
      <c r="P16" s="36">
        <f t="shared" si="30"/>
        <v>-16666.666666666668</v>
      </c>
      <c r="Q16" s="36">
        <f t="shared" si="30"/>
        <v>-16666.666666666668</v>
      </c>
      <c r="R16" s="36">
        <f t="shared" si="30"/>
        <v>-16666.666666666668</v>
      </c>
      <c r="S16" s="36">
        <f t="shared" si="30"/>
        <v>-16666.666666666668</v>
      </c>
      <c r="T16" s="36">
        <f t="shared" si="30"/>
        <v>-16666.666666666668</v>
      </c>
      <c r="U16" s="36">
        <f t="shared" si="30"/>
        <v>-16666.666666666668</v>
      </c>
      <c r="V16" s="36">
        <f t="shared" si="30"/>
        <v>-16666.666666666668</v>
      </c>
      <c r="W16" s="36">
        <f t="shared" si="30"/>
        <v>-16666.666666666668</v>
      </c>
      <c r="X16" s="36">
        <f t="shared" si="30"/>
        <v>-16666.666666666668</v>
      </c>
      <c r="Y16" s="36">
        <f t="shared" si="30"/>
        <v>-16666.666666666668</v>
      </c>
      <c r="Z16" s="36">
        <f t="shared" si="30"/>
        <v>-17500</v>
      </c>
      <c r="AA16" s="36">
        <f t="shared" si="30"/>
        <v>-17500</v>
      </c>
      <c r="AB16" s="36">
        <f t="shared" si="30"/>
        <v>-17500</v>
      </c>
      <c r="AC16" s="36">
        <f t="shared" si="30"/>
        <v>-17500</v>
      </c>
      <c r="AD16" s="36">
        <f t="shared" si="30"/>
        <v>-17500</v>
      </c>
      <c r="AE16" s="36">
        <f t="shared" si="30"/>
        <v>-17500</v>
      </c>
      <c r="AF16" s="36">
        <f t="shared" si="30"/>
        <v>-17500</v>
      </c>
      <c r="AG16" s="36">
        <f t="shared" si="30"/>
        <v>-17500</v>
      </c>
      <c r="AH16" s="36">
        <f t="shared" si="30"/>
        <v>-17500</v>
      </c>
      <c r="AI16" s="36">
        <f t="shared" si="30"/>
        <v>-17500</v>
      </c>
      <c r="AJ16" s="36">
        <f t="shared" si="30"/>
        <v>-17500</v>
      </c>
      <c r="AK16" s="36">
        <f t="shared" si="30"/>
        <v>-17500</v>
      </c>
      <c r="AL16" s="36">
        <f t="shared" si="30"/>
        <v>-18375</v>
      </c>
      <c r="AM16" s="36">
        <f t="shared" si="30"/>
        <v>-18375</v>
      </c>
      <c r="AN16" s="36">
        <f t="shared" si="30"/>
        <v>-18375</v>
      </c>
      <c r="AO16" s="36">
        <f t="shared" si="30"/>
        <v>-18375</v>
      </c>
      <c r="AP16" s="36">
        <f t="shared" si="30"/>
        <v>-18375</v>
      </c>
      <c r="AQ16" s="36">
        <f t="shared" si="30"/>
        <v>-18375</v>
      </c>
      <c r="AR16" s="36">
        <f t="shared" si="30"/>
        <v>-18375</v>
      </c>
      <c r="AS16" s="36">
        <f t="shared" si="30"/>
        <v>-18375</v>
      </c>
      <c r="AT16" s="36">
        <f t="shared" si="30"/>
        <v>-18375</v>
      </c>
      <c r="AU16" s="36">
        <f t="shared" si="30"/>
        <v>-18375</v>
      </c>
      <c r="AV16" s="36">
        <f t="shared" si="30"/>
        <v>-18375</v>
      </c>
      <c r="AW16" s="36">
        <f t="shared" si="30"/>
        <v>-18375</v>
      </c>
      <c r="AX16" s="36">
        <f t="shared" si="30"/>
        <v>-19293.750000000004</v>
      </c>
      <c r="AY16" s="36">
        <f t="shared" si="30"/>
        <v>-19293.750000000004</v>
      </c>
      <c r="AZ16" s="36">
        <f t="shared" si="30"/>
        <v>-19293.750000000004</v>
      </c>
      <c r="BA16" s="36">
        <f t="shared" si="30"/>
        <v>-19293.750000000004</v>
      </c>
      <c r="BB16" s="36">
        <f t="shared" si="30"/>
        <v>-19293.750000000004</v>
      </c>
      <c r="BC16" s="36">
        <f t="shared" si="30"/>
        <v>-19293.750000000004</v>
      </c>
      <c r="BD16" s="36">
        <f t="shared" si="30"/>
        <v>-19293.750000000004</v>
      </c>
      <c r="BE16" s="36">
        <f t="shared" si="30"/>
        <v>-19293.750000000004</v>
      </c>
      <c r="BF16" s="36">
        <f t="shared" si="30"/>
        <v>-19293.750000000004</v>
      </c>
      <c r="BG16" s="36">
        <f t="shared" si="30"/>
        <v>-19293.750000000004</v>
      </c>
      <c r="BH16" s="36">
        <f t="shared" si="30"/>
        <v>-19293.750000000004</v>
      </c>
      <c r="BI16" s="36">
        <f t="shared" si="30"/>
        <v>-19293.750000000004</v>
      </c>
      <c r="BJ16" s="36">
        <f t="shared" si="30"/>
        <v>-20258.4375</v>
      </c>
      <c r="BK16" s="36">
        <f t="shared" si="30"/>
        <v>-20258.4375</v>
      </c>
      <c r="BL16" s="36">
        <f t="shared" si="30"/>
        <v>-20258.4375</v>
      </c>
      <c r="BM16" s="36">
        <f t="shared" si="30"/>
        <v>-20258.4375</v>
      </c>
      <c r="BN16" s="36">
        <f t="shared" si="30"/>
        <v>-20258.4375</v>
      </c>
      <c r="BO16" s="36">
        <f t="shared" si="30"/>
        <v>-20258.4375</v>
      </c>
      <c r="BP16" s="36">
        <f t="shared" si="30"/>
        <v>-20258.4375</v>
      </c>
      <c r="BQ16" s="36">
        <f t="shared" si="30"/>
        <v>-20258.4375</v>
      </c>
      <c r="BR16" s="36">
        <f t="shared" si="30"/>
        <v>-20258.4375</v>
      </c>
      <c r="BS16" s="36">
        <f t="shared" si="30"/>
        <v>-20258.4375</v>
      </c>
      <c r="BT16" s="36">
        <f t="shared" si="30"/>
        <v>-20258.4375</v>
      </c>
      <c r="BU16" s="36">
        <f t="shared" si="30"/>
        <v>-20258.4375</v>
      </c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</row>
    <row r="17" spans="2:88" s="80" customFormat="1" outlineLevel="1">
      <c r="B17" s="80" t="s">
        <v>162</v>
      </c>
      <c r="D17" s="98">
        <f t="shared" si="28"/>
        <v>-1014000</v>
      </c>
      <c r="E17" s="98">
        <f t="shared" si="1"/>
        <v>-12408000</v>
      </c>
      <c r="F17" s="98">
        <f t="shared" si="1"/>
        <v>-13028400</v>
      </c>
      <c r="G17" s="98">
        <f t="shared" si="1"/>
        <v>-13679820</v>
      </c>
      <c r="H17" s="98">
        <f t="shared" si="1"/>
        <v>-14363811.000000002</v>
      </c>
      <c r="I17" s="98">
        <f t="shared" si="1"/>
        <v>-15082001.550000003</v>
      </c>
      <c r="K17" s="98">
        <f>SUM(PnL!M18:M19)</f>
        <v>-338000</v>
      </c>
      <c r="L17" s="98">
        <f>SUM(PnL!N18:N19)</f>
        <v>-338000</v>
      </c>
      <c r="M17" s="98">
        <f>SUM(PnL!O18:O19)</f>
        <v>-338000</v>
      </c>
      <c r="N17" s="98">
        <f>SUM(PnL!P18:P19)</f>
        <v>-1034000</v>
      </c>
      <c r="O17" s="98">
        <f>SUM(PnL!Q18:Q19)</f>
        <v>-1034000</v>
      </c>
      <c r="P17" s="98">
        <f>SUM(PnL!R18:R19)</f>
        <v>-1034000</v>
      </c>
      <c r="Q17" s="98">
        <f>SUM(PnL!S18:S19)</f>
        <v>-1034000</v>
      </c>
      <c r="R17" s="98">
        <f>SUM(PnL!T18:T19)</f>
        <v>-1034000</v>
      </c>
      <c r="S17" s="98">
        <f>SUM(PnL!U18:U19)</f>
        <v>-1034000</v>
      </c>
      <c r="T17" s="98">
        <f>SUM(PnL!V18:V19)</f>
        <v>-1034000</v>
      </c>
      <c r="U17" s="98">
        <f>SUM(PnL!W18:W19)</f>
        <v>-1034000</v>
      </c>
      <c r="V17" s="98">
        <f>SUM(PnL!X18:X19)</f>
        <v>-1034000</v>
      </c>
      <c r="W17" s="98">
        <f>SUM(PnL!Y18:Y19)</f>
        <v>-1034000</v>
      </c>
      <c r="X17" s="98">
        <f>SUM(PnL!Z18:Z19)</f>
        <v>-1034000</v>
      </c>
      <c r="Y17" s="98">
        <f>SUM(PnL!AA18:AA19)</f>
        <v>-1034000</v>
      </c>
      <c r="Z17" s="98">
        <f>SUM(PnL!AB18:AB19)</f>
        <v>-1085700</v>
      </c>
      <c r="AA17" s="98">
        <f>SUM(PnL!AC18:AC19)</f>
        <v>-1085700</v>
      </c>
      <c r="AB17" s="98">
        <f>SUM(PnL!AD18:AD19)</f>
        <v>-1085700</v>
      </c>
      <c r="AC17" s="98">
        <f>SUM(PnL!AE18:AE19)</f>
        <v>-1085700</v>
      </c>
      <c r="AD17" s="98">
        <f>SUM(PnL!AF18:AF19)</f>
        <v>-1085700</v>
      </c>
      <c r="AE17" s="98">
        <f>SUM(PnL!AG18:AG19)</f>
        <v>-1085700</v>
      </c>
      <c r="AF17" s="98">
        <f>SUM(PnL!AH18:AH19)</f>
        <v>-1085700</v>
      </c>
      <c r="AG17" s="98">
        <f>SUM(PnL!AI18:AI19)</f>
        <v>-1085700</v>
      </c>
      <c r="AH17" s="98">
        <f>SUM(PnL!AJ18:AJ19)</f>
        <v>-1085700</v>
      </c>
      <c r="AI17" s="98">
        <f>SUM(PnL!AK18:AK19)</f>
        <v>-1085700</v>
      </c>
      <c r="AJ17" s="98">
        <f>SUM(PnL!AL18:AL19)</f>
        <v>-1085700</v>
      </c>
      <c r="AK17" s="98">
        <f>SUM(PnL!AM18:AM19)</f>
        <v>-1085700</v>
      </c>
      <c r="AL17" s="98">
        <f>SUM(PnL!AN18:AN19)</f>
        <v>-1139985</v>
      </c>
      <c r="AM17" s="98">
        <f>SUM(PnL!AO18:AO19)</f>
        <v>-1139985</v>
      </c>
      <c r="AN17" s="98">
        <f>SUM(PnL!AP18:AP19)</f>
        <v>-1139985</v>
      </c>
      <c r="AO17" s="98">
        <f>SUM(PnL!AQ18:AQ19)</f>
        <v>-1139985</v>
      </c>
      <c r="AP17" s="98">
        <f>SUM(PnL!AR18:AR19)</f>
        <v>-1139985</v>
      </c>
      <c r="AQ17" s="98">
        <f>SUM(PnL!AS18:AS19)</f>
        <v>-1139985</v>
      </c>
      <c r="AR17" s="98">
        <f>SUM(PnL!AT18:AT19)</f>
        <v>-1139985</v>
      </c>
      <c r="AS17" s="98">
        <f>SUM(PnL!AU18:AU19)</f>
        <v>-1139985</v>
      </c>
      <c r="AT17" s="98">
        <f>SUM(PnL!AV18:AV19)</f>
        <v>-1139985</v>
      </c>
      <c r="AU17" s="98">
        <f>SUM(PnL!AW18:AW19)</f>
        <v>-1139985</v>
      </c>
      <c r="AV17" s="98">
        <f>SUM(PnL!AX18:AX19)</f>
        <v>-1139985</v>
      </c>
      <c r="AW17" s="98">
        <f>SUM(PnL!AY18:AY19)</f>
        <v>-1139985</v>
      </c>
      <c r="AX17" s="98">
        <f>SUM(PnL!AZ18:AZ19)</f>
        <v>-1196984.2500000002</v>
      </c>
      <c r="AY17" s="98">
        <f>SUM(PnL!BA18:BA19)</f>
        <v>-1196984.2500000002</v>
      </c>
      <c r="AZ17" s="98">
        <f>SUM(PnL!BB18:BB19)</f>
        <v>-1196984.2500000002</v>
      </c>
      <c r="BA17" s="98">
        <f>SUM(PnL!BC18:BC19)</f>
        <v>-1196984.2500000002</v>
      </c>
      <c r="BB17" s="98">
        <f>SUM(PnL!BD18:BD19)</f>
        <v>-1196984.2500000002</v>
      </c>
      <c r="BC17" s="98">
        <f>SUM(PnL!BE18:BE19)</f>
        <v>-1196984.2500000002</v>
      </c>
      <c r="BD17" s="98">
        <f>SUM(PnL!BF18:BF19)</f>
        <v>-1196984.2500000002</v>
      </c>
      <c r="BE17" s="98">
        <f>SUM(PnL!BG18:BG19)</f>
        <v>-1196984.2500000002</v>
      </c>
      <c r="BF17" s="98">
        <f>SUM(PnL!BH18:BH19)</f>
        <v>-1196984.2500000002</v>
      </c>
      <c r="BG17" s="98">
        <f>SUM(PnL!BI18:BI19)</f>
        <v>-1196984.2500000002</v>
      </c>
      <c r="BH17" s="98">
        <f>SUM(PnL!BJ18:BJ19)</f>
        <v>-1196984.2500000002</v>
      </c>
      <c r="BI17" s="98">
        <f>SUM(PnL!BK18:BK19)</f>
        <v>-1196984.2500000002</v>
      </c>
      <c r="BJ17" s="98">
        <f>SUM(PnL!BL18:BL19)</f>
        <v>-1256833.4624999999</v>
      </c>
      <c r="BK17" s="98">
        <f>SUM(PnL!BM18:BM19)</f>
        <v>-1256833.4624999999</v>
      </c>
      <c r="BL17" s="98">
        <f>SUM(PnL!BN18:BN19)</f>
        <v>-1256833.4624999999</v>
      </c>
      <c r="BM17" s="98">
        <f>SUM(PnL!BO18:BO19)</f>
        <v>-1256833.4624999999</v>
      </c>
      <c r="BN17" s="98">
        <f>SUM(PnL!BP18:BP19)</f>
        <v>-1256833.4624999999</v>
      </c>
      <c r="BO17" s="98">
        <f>SUM(PnL!BQ18:BQ19)</f>
        <v>-1256833.4624999999</v>
      </c>
      <c r="BP17" s="98">
        <f>SUM(PnL!BR18:BR19)</f>
        <v>-1256833.4624999999</v>
      </c>
      <c r="BQ17" s="98">
        <f>SUM(PnL!BS18:BS19)</f>
        <v>-1256833.4624999999</v>
      </c>
      <c r="BR17" s="98">
        <f>SUM(PnL!BT18:BT19)</f>
        <v>-1256833.4624999999</v>
      </c>
      <c r="BS17" s="98">
        <f>SUM(PnL!BU18:BU19)</f>
        <v>-1256833.4624999999</v>
      </c>
      <c r="BT17" s="98">
        <f>SUM(PnL!BV18:BV19)</f>
        <v>-1256833.4624999999</v>
      </c>
      <c r="BU17" s="98">
        <f>SUM(PnL!BW18:BW19)</f>
        <v>-1256833.4624999999</v>
      </c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</row>
    <row r="18" spans="2:88" s="80" customFormat="1" outlineLevel="1">
      <c r="B18" s="80" t="s">
        <v>163</v>
      </c>
      <c r="D18" s="98">
        <f t="shared" si="28"/>
        <v>-350000.00000000006</v>
      </c>
      <c r="E18" s="98">
        <f t="shared" si="1"/>
        <v>-4800000.0000000009</v>
      </c>
      <c r="F18" s="98">
        <f t="shared" si="1"/>
        <v>-5040000</v>
      </c>
      <c r="G18" s="98">
        <f t="shared" si="1"/>
        <v>-5292000</v>
      </c>
      <c r="H18" s="98">
        <f t="shared" si="1"/>
        <v>-5556600.0000000009</v>
      </c>
      <c r="I18" s="98">
        <f t="shared" si="1"/>
        <v>-5834430</v>
      </c>
      <c r="K18" s="98">
        <f>PnL!M20*1.2</f>
        <v>-50000.000000000007</v>
      </c>
      <c r="L18" s="98">
        <f>PnL!N20*1.2</f>
        <v>-100000.00000000001</v>
      </c>
      <c r="M18" s="98">
        <f>PnL!O20*1.2</f>
        <v>-200000.00000000003</v>
      </c>
      <c r="N18" s="98">
        <f>PnL!P20*1.2</f>
        <v>-400000.00000000006</v>
      </c>
      <c r="O18" s="98">
        <f>PnL!Q20*1.2</f>
        <v>-400000.00000000006</v>
      </c>
      <c r="P18" s="98">
        <f>PnL!R20*1.2</f>
        <v>-400000.00000000006</v>
      </c>
      <c r="Q18" s="98">
        <f>PnL!S20*1.2</f>
        <v>-400000.00000000006</v>
      </c>
      <c r="R18" s="98">
        <f>PnL!T20*1.2</f>
        <v>-400000.00000000006</v>
      </c>
      <c r="S18" s="98">
        <f>PnL!U20*1.2</f>
        <v>-400000.00000000006</v>
      </c>
      <c r="T18" s="98">
        <f>PnL!V20*1.2</f>
        <v>-400000.00000000006</v>
      </c>
      <c r="U18" s="98">
        <f>PnL!W20*1.2</f>
        <v>-400000.00000000006</v>
      </c>
      <c r="V18" s="98">
        <f>PnL!X20*1.2</f>
        <v>-400000.00000000006</v>
      </c>
      <c r="W18" s="98">
        <f>PnL!Y20*1.2</f>
        <v>-400000.00000000006</v>
      </c>
      <c r="X18" s="98">
        <f>PnL!Z20*1.2</f>
        <v>-400000.00000000006</v>
      </c>
      <c r="Y18" s="98">
        <f>PnL!AA20*1.2</f>
        <v>-400000.00000000006</v>
      </c>
      <c r="Z18" s="98">
        <f>PnL!AB20*1.2</f>
        <v>-420000</v>
      </c>
      <c r="AA18" s="98">
        <f>PnL!AC20*1.2</f>
        <v>-420000</v>
      </c>
      <c r="AB18" s="98">
        <f>PnL!AD20*1.2</f>
        <v>-420000</v>
      </c>
      <c r="AC18" s="98">
        <f>PnL!AE20*1.2</f>
        <v>-420000</v>
      </c>
      <c r="AD18" s="98">
        <f>PnL!AF20*1.2</f>
        <v>-420000</v>
      </c>
      <c r="AE18" s="98">
        <f>PnL!AG20*1.2</f>
        <v>-420000</v>
      </c>
      <c r="AF18" s="98">
        <f>PnL!AH20*1.2</f>
        <v>-420000</v>
      </c>
      <c r="AG18" s="98">
        <f>PnL!AI20*1.2</f>
        <v>-420000</v>
      </c>
      <c r="AH18" s="98">
        <f>PnL!AJ20*1.2</f>
        <v>-420000</v>
      </c>
      <c r="AI18" s="98">
        <f>PnL!AK20*1.2</f>
        <v>-420000</v>
      </c>
      <c r="AJ18" s="98">
        <f>PnL!AL20*1.2</f>
        <v>-420000</v>
      </c>
      <c r="AK18" s="98">
        <f>PnL!AM20*1.2</f>
        <v>-420000</v>
      </c>
      <c r="AL18" s="98">
        <f>PnL!AN20*1.2</f>
        <v>-441000</v>
      </c>
      <c r="AM18" s="98">
        <f>PnL!AO20*1.2</f>
        <v>-441000</v>
      </c>
      <c r="AN18" s="98">
        <f>PnL!AP20*1.2</f>
        <v>-441000</v>
      </c>
      <c r="AO18" s="98">
        <f>PnL!AQ20*1.2</f>
        <v>-441000</v>
      </c>
      <c r="AP18" s="98">
        <f>PnL!AR20*1.2</f>
        <v>-441000</v>
      </c>
      <c r="AQ18" s="98">
        <f>PnL!AS20*1.2</f>
        <v>-441000</v>
      </c>
      <c r="AR18" s="98">
        <f>PnL!AT20*1.2</f>
        <v>-441000</v>
      </c>
      <c r="AS18" s="98">
        <f>PnL!AU20*1.2</f>
        <v>-441000</v>
      </c>
      <c r="AT18" s="98">
        <f>PnL!AV20*1.2</f>
        <v>-441000</v>
      </c>
      <c r="AU18" s="98">
        <f>PnL!AW20*1.2</f>
        <v>-441000</v>
      </c>
      <c r="AV18" s="98">
        <f>PnL!AX20*1.2</f>
        <v>-441000</v>
      </c>
      <c r="AW18" s="98">
        <f>PnL!AY20*1.2</f>
        <v>-441000</v>
      </c>
      <c r="AX18" s="98">
        <f>PnL!AZ20*1.2</f>
        <v>-463050.00000000006</v>
      </c>
      <c r="AY18" s="98">
        <f>PnL!BA20*1.2</f>
        <v>-463050.00000000006</v>
      </c>
      <c r="AZ18" s="98">
        <f>PnL!BB20*1.2</f>
        <v>-463050.00000000006</v>
      </c>
      <c r="BA18" s="98">
        <f>PnL!BC20*1.2</f>
        <v>-463050.00000000006</v>
      </c>
      <c r="BB18" s="98">
        <f>PnL!BD20*1.2</f>
        <v>-463050.00000000006</v>
      </c>
      <c r="BC18" s="98">
        <f>PnL!BE20*1.2</f>
        <v>-463050.00000000006</v>
      </c>
      <c r="BD18" s="98">
        <f>PnL!BF20*1.2</f>
        <v>-463050.00000000006</v>
      </c>
      <c r="BE18" s="98">
        <f>PnL!BG20*1.2</f>
        <v>-463050.00000000006</v>
      </c>
      <c r="BF18" s="98">
        <f>PnL!BH20*1.2</f>
        <v>-463050.00000000006</v>
      </c>
      <c r="BG18" s="98">
        <f>PnL!BI20*1.2</f>
        <v>-463050.00000000006</v>
      </c>
      <c r="BH18" s="98">
        <f>PnL!BJ20*1.2</f>
        <v>-463050.00000000006</v>
      </c>
      <c r="BI18" s="98">
        <f>PnL!BK20*1.2</f>
        <v>-463050.00000000006</v>
      </c>
      <c r="BJ18" s="98">
        <f>PnL!BL20*1.2</f>
        <v>-486202.5</v>
      </c>
      <c r="BK18" s="98">
        <f>PnL!BM20*1.2</f>
        <v>-486202.5</v>
      </c>
      <c r="BL18" s="98">
        <f>PnL!BN20*1.2</f>
        <v>-486202.5</v>
      </c>
      <c r="BM18" s="98">
        <f>PnL!BO20*1.2</f>
        <v>-486202.5</v>
      </c>
      <c r="BN18" s="98">
        <f>PnL!BP20*1.2</f>
        <v>-486202.5</v>
      </c>
      <c r="BO18" s="98">
        <f>PnL!BQ20*1.2</f>
        <v>-486202.5</v>
      </c>
      <c r="BP18" s="98">
        <f>PnL!BR20*1.2</f>
        <v>-486202.5</v>
      </c>
      <c r="BQ18" s="98">
        <f>PnL!BS20*1.2</f>
        <v>-486202.5</v>
      </c>
      <c r="BR18" s="98">
        <f>PnL!BT20*1.2</f>
        <v>-486202.5</v>
      </c>
      <c r="BS18" s="98">
        <f>PnL!BU20*1.2</f>
        <v>-486202.5</v>
      </c>
      <c r="BT18" s="98">
        <f>PnL!BV20*1.2</f>
        <v>-486202.5</v>
      </c>
      <c r="BU18" s="98">
        <f>PnL!BW20*1.2</f>
        <v>-486202.5</v>
      </c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</row>
    <row r="19" spans="2:88" outlineLevel="1">
      <c r="B19" s="29" t="s">
        <v>170</v>
      </c>
      <c r="D19" s="36">
        <f t="shared" si="28"/>
        <v>-58333.333333333336</v>
      </c>
      <c r="E19" s="36">
        <f t="shared" si="1"/>
        <v>-799999.99999999988</v>
      </c>
      <c r="F19" s="36">
        <f t="shared" si="1"/>
        <v>-840000</v>
      </c>
      <c r="G19" s="36">
        <f t="shared" si="1"/>
        <v>-882000</v>
      </c>
      <c r="H19" s="36">
        <f t="shared" si="1"/>
        <v>-926100.00000000012</v>
      </c>
      <c r="I19" s="36">
        <f t="shared" si="1"/>
        <v>-972405</v>
      </c>
      <c r="K19" s="36">
        <f>K18*20/120</f>
        <v>-8333.3333333333339</v>
      </c>
      <c r="L19" s="36">
        <f t="shared" ref="L19:T19" si="31">L18*20/120</f>
        <v>-16666.666666666668</v>
      </c>
      <c r="M19" s="36">
        <f t="shared" si="31"/>
        <v>-33333.333333333336</v>
      </c>
      <c r="N19" s="36">
        <f t="shared" si="31"/>
        <v>-66666.666666666672</v>
      </c>
      <c r="O19" s="36">
        <f t="shared" si="31"/>
        <v>-66666.666666666672</v>
      </c>
      <c r="P19" s="36">
        <f t="shared" si="31"/>
        <v>-66666.666666666672</v>
      </c>
      <c r="Q19" s="36">
        <f t="shared" si="31"/>
        <v>-66666.666666666672</v>
      </c>
      <c r="R19" s="36">
        <f t="shared" si="31"/>
        <v>-66666.666666666672</v>
      </c>
      <c r="S19" s="36">
        <f t="shared" si="31"/>
        <v>-66666.666666666672</v>
      </c>
      <c r="T19" s="36">
        <f t="shared" si="31"/>
        <v>-66666.666666666672</v>
      </c>
      <c r="U19" s="36">
        <f t="shared" ref="U19" si="32">U18*20/120</f>
        <v>-66666.666666666672</v>
      </c>
      <c r="V19" s="36">
        <f t="shared" ref="V19" si="33">V18*20/120</f>
        <v>-66666.666666666672</v>
      </c>
      <c r="W19" s="36">
        <f t="shared" ref="W19" si="34">W18*20/120</f>
        <v>-66666.666666666672</v>
      </c>
      <c r="X19" s="36">
        <f t="shared" ref="X19" si="35">X18*20/120</f>
        <v>-66666.666666666672</v>
      </c>
      <c r="Y19" s="36">
        <f t="shared" ref="Y19" si="36">Y18*20/120</f>
        <v>-66666.666666666672</v>
      </c>
      <c r="Z19" s="36">
        <f t="shared" ref="Z19" si="37">Z18*20/120</f>
        <v>-70000</v>
      </c>
      <c r="AA19" s="36">
        <f t="shared" ref="AA19" si="38">AA18*20/120</f>
        <v>-70000</v>
      </c>
      <c r="AB19" s="36">
        <f t="shared" ref="AB19:AC19" si="39">AB18*20/120</f>
        <v>-70000</v>
      </c>
      <c r="AC19" s="36">
        <f t="shared" si="39"/>
        <v>-70000</v>
      </c>
      <c r="AD19" s="36">
        <f t="shared" ref="AD19" si="40">AD18*20/120</f>
        <v>-70000</v>
      </c>
      <c r="AE19" s="36">
        <f t="shared" ref="AE19" si="41">AE18*20/120</f>
        <v>-70000</v>
      </c>
      <c r="AF19" s="36">
        <f t="shared" ref="AF19" si="42">AF18*20/120</f>
        <v>-70000</v>
      </c>
      <c r="AG19" s="36">
        <f t="shared" ref="AG19" si="43">AG18*20/120</f>
        <v>-70000</v>
      </c>
      <c r="AH19" s="36">
        <f t="shared" ref="AH19" si="44">AH18*20/120</f>
        <v>-70000</v>
      </c>
      <c r="AI19" s="36">
        <f t="shared" ref="AI19" si="45">AI18*20/120</f>
        <v>-70000</v>
      </c>
      <c r="AJ19" s="36">
        <f t="shared" ref="AJ19" si="46">AJ18*20/120</f>
        <v>-70000</v>
      </c>
      <c r="AK19" s="36">
        <f t="shared" ref="AK19:AL19" si="47">AK18*20/120</f>
        <v>-70000</v>
      </c>
      <c r="AL19" s="36">
        <f t="shared" si="47"/>
        <v>-73500</v>
      </c>
      <c r="AM19" s="36">
        <f t="shared" ref="AM19" si="48">AM18*20/120</f>
        <v>-73500</v>
      </c>
      <c r="AN19" s="36">
        <f t="shared" ref="AN19" si="49">AN18*20/120</f>
        <v>-73500</v>
      </c>
      <c r="AO19" s="36">
        <f t="shared" ref="AO19" si="50">AO18*20/120</f>
        <v>-73500</v>
      </c>
      <c r="AP19" s="36">
        <f t="shared" ref="AP19" si="51">AP18*20/120</f>
        <v>-73500</v>
      </c>
      <c r="AQ19" s="36">
        <f t="shared" ref="AQ19" si="52">AQ18*20/120</f>
        <v>-73500</v>
      </c>
      <c r="AR19" s="36">
        <f t="shared" ref="AR19" si="53">AR18*20/120</f>
        <v>-73500</v>
      </c>
      <c r="AS19" s="36">
        <f t="shared" ref="AS19" si="54">AS18*20/120</f>
        <v>-73500</v>
      </c>
      <c r="AT19" s="36">
        <f t="shared" ref="AT19:AU19" si="55">AT18*20/120</f>
        <v>-73500</v>
      </c>
      <c r="AU19" s="36">
        <f t="shared" si="55"/>
        <v>-73500</v>
      </c>
      <c r="AV19" s="36">
        <f t="shared" ref="AV19" si="56">AV18*20/120</f>
        <v>-73500</v>
      </c>
      <c r="AW19" s="36">
        <f t="shared" ref="AW19" si="57">AW18*20/120</f>
        <v>-73500</v>
      </c>
      <c r="AX19" s="36">
        <f t="shared" ref="AX19" si="58">AX18*20/120</f>
        <v>-77175.000000000015</v>
      </c>
      <c r="AY19" s="36">
        <f t="shared" ref="AY19" si="59">AY18*20/120</f>
        <v>-77175.000000000015</v>
      </c>
      <c r="AZ19" s="36">
        <f t="shared" ref="AZ19" si="60">AZ18*20/120</f>
        <v>-77175.000000000015</v>
      </c>
      <c r="BA19" s="36">
        <f t="shared" ref="BA19" si="61">BA18*20/120</f>
        <v>-77175.000000000015</v>
      </c>
      <c r="BB19" s="36">
        <f t="shared" ref="BB19" si="62">BB18*20/120</f>
        <v>-77175.000000000015</v>
      </c>
      <c r="BC19" s="36">
        <f t="shared" ref="BC19:BD19" si="63">BC18*20/120</f>
        <v>-77175.000000000015</v>
      </c>
      <c r="BD19" s="36">
        <f t="shared" si="63"/>
        <v>-77175.000000000015</v>
      </c>
      <c r="BE19" s="36">
        <f t="shared" ref="BE19" si="64">BE18*20/120</f>
        <v>-77175.000000000015</v>
      </c>
      <c r="BF19" s="36">
        <f t="shared" ref="BF19" si="65">BF18*20/120</f>
        <v>-77175.000000000015</v>
      </c>
      <c r="BG19" s="36">
        <f t="shared" ref="BG19" si="66">BG18*20/120</f>
        <v>-77175.000000000015</v>
      </c>
      <c r="BH19" s="36">
        <f t="shared" ref="BH19" si="67">BH18*20/120</f>
        <v>-77175.000000000015</v>
      </c>
      <c r="BI19" s="36">
        <f t="shared" ref="BI19" si="68">BI18*20/120</f>
        <v>-77175.000000000015</v>
      </c>
      <c r="BJ19" s="36">
        <f t="shared" ref="BJ19" si="69">BJ18*20/120</f>
        <v>-81033.75</v>
      </c>
      <c r="BK19" s="36">
        <f t="shared" ref="BK19" si="70">BK18*20/120</f>
        <v>-81033.75</v>
      </c>
      <c r="BL19" s="36">
        <f t="shared" ref="BL19:BM19" si="71">BL18*20/120</f>
        <v>-81033.75</v>
      </c>
      <c r="BM19" s="36">
        <f t="shared" si="71"/>
        <v>-81033.75</v>
      </c>
      <c r="BN19" s="36">
        <f t="shared" ref="BN19" si="72">BN18*20/120</f>
        <v>-81033.75</v>
      </c>
      <c r="BO19" s="36">
        <f t="shared" ref="BO19" si="73">BO18*20/120</f>
        <v>-81033.75</v>
      </c>
      <c r="BP19" s="36">
        <f t="shared" ref="BP19" si="74">BP18*20/120</f>
        <v>-81033.75</v>
      </c>
      <c r="BQ19" s="36">
        <f t="shared" ref="BQ19" si="75">BQ18*20/120</f>
        <v>-81033.75</v>
      </c>
      <c r="BR19" s="36">
        <f t="shared" ref="BR19" si="76">BR18*20/120</f>
        <v>-81033.75</v>
      </c>
      <c r="BS19" s="36">
        <f t="shared" ref="BS19" si="77">BS18*20/120</f>
        <v>-81033.75</v>
      </c>
      <c r="BT19" s="36">
        <f t="shared" ref="BT19" si="78">BT18*20/120</f>
        <v>-81033.75</v>
      </c>
      <c r="BU19" s="36">
        <f t="shared" ref="BU19" si="79">BU18*20/120</f>
        <v>-81033.75</v>
      </c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</row>
    <row r="21" spans="2:88" s="126" customFormat="1" ht="16.5" customHeight="1">
      <c r="B21" s="81" t="s">
        <v>191</v>
      </c>
      <c r="C21" s="127"/>
      <c r="D21" s="128">
        <f t="shared" si="28"/>
        <v>-1664000</v>
      </c>
      <c r="E21" s="128">
        <f t="shared" si="1"/>
        <v>9715720.0000000205</v>
      </c>
      <c r="F21" s="128">
        <f t="shared" si="1"/>
        <v>23326506</v>
      </c>
      <c r="G21" s="128">
        <f t="shared" si="1"/>
        <v>24492831.299999997</v>
      </c>
      <c r="H21" s="128">
        <f t="shared" si="1"/>
        <v>25717472.864999995</v>
      </c>
      <c r="I21" s="128">
        <f t="shared" si="1"/>
        <v>27003346.508250017</v>
      </c>
      <c r="J21" s="127"/>
      <c r="K21" s="128">
        <f t="shared" ref="K21:AP21" si="80">SUM(K13,K6)</f>
        <v>-488000</v>
      </c>
      <c r="L21" s="128">
        <f t="shared" si="80"/>
        <v>-538000</v>
      </c>
      <c r="M21" s="128">
        <f t="shared" si="80"/>
        <v>-638000</v>
      </c>
      <c r="N21" s="128">
        <f t="shared" si="80"/>
        <v>-10648690</v>
      </c>
      <c r="O21" s="128">
        <f t="shared" si="80"/>
        <v>1851310.0000000019</v>
      </c>
      <c r="P21" s="128">
        <f t="shared" si="80"/>
        <v>1851310.0000000019</v>
      </c>
      <c r="Q21" s="128">
        <f t="shared" si="80"/>
        <v>1851310.0000000019</v>
      </c>
      <c r="R21" s="128">
        <f t="shared" si="80"/>
        <v>1851310.0000000019</v>
      </c>
      <c r="S21" s="128">
        <f t="shared" si="80"/>
        <v>1851310.0000000019</v>
      </c>
      <c r="T21" s="128">
        <f t="shared" si="80"/>
        <v>1851310.0000000019</v>
      </c>
      <c r="U21" s="128">
        <f t="shared" si="80"/>
        <v>1851310.0000000019</v>
      </c>
      <c r="V21" s="128">
        <f t="shared" si="80"/>
        <v>1851310.0000000019</v>
      </c>
      <c r="W21" s="128">
        <f t="shared" si="80"/>
        <v>1851310.0000000019</v>
      </c>
      <c r="X21" s="128">
        <f t="shared" si="80"/>
        <v>1851310.0000000019</v>
      </c>
      <c r="Y21" s="128">
        <f t="shared" si="80"/>
        <v>1851310.0000000019</v>
      </c>
      <c r="Z21" s="128">
        <f t="shared" si="80"/>
        <v>1943875.5</v>
      </c>
      <c r="AA21" s="128">
        <f t="shared" si="80"/>
        <v>1943875.5</v>
      </c>
      <c r="AB21" s="128">
        <f t="shared" si="80"/>
        <v>1943875.5</v>
      </c>
      <c r="AC21" s="128">
        <f t="shared" si="80"/>
        <v>1943875.5</v>
      </c>
      <c r="AD21" s="128">
        <f t="shared" si="80"/>
        <v>1943875.5</v>
      </c>
      <c r="AE21" s="128">
        <f t="shared" si="80"/>
        <v>1943875.5</v>
      </c>
      <c r="AF21" s="128">
        <f t="shared" si="80"/>
        <v>1943875.5</v>
      </c>
      <c r="AG21" s="128">
        <f t="shared" si="80"/>
        <v>1943875.5</v>
      </c>
      <c r="AH21" s="128">
        <f t="shared" si="80"/>
        <v>1943875.5</v>
      </c>
      <c r="AI21" s="128">
        <f t="shared" si="80"/>
        <v>1943875.5</v>
      </c>
      <c r="AJ21" s="128">
        <f t="shared" si="80"/>
        <v>1943875.5</v>
      </c>
      <c r="AK21" s="128">
        <f t="shared" si="80"/>
        <v>1943875.5</v>
      </c>
      <c r="AL21" s="128">
        <f t="shared" si="80"/>
        <v>2041069.2750000004</v>
      </c>
      <c r="AM21" s="128">
        <f t="shared" si="80"/>
        <v>2041069.2750000004</v>
      </c>
      <c r="AN21" s="128">
        <f t="shared" si="80"/>
        <v>2041069.2750000004</v>
      </c>
      <c r="AO21" s="128">
        <f t="shared" si="80"/>
        <v>2041069.2750000004</v>
      </c>
      <c r="AP21" s="128">
        <f t="shared" si="80"/>
        <v>2041069.2750000004</v>
      </c>
      <c r="AQ21" s="128">
        <f t="shared" ref="AQ21:BU21" si="81">SUM(AQ13,AQ6)</f>
        <v>2041069.2750000004</v>
      </c>
      <c r="AR21" s="128">
        <f t="shared" si="81"/>
        <v>2041069.2750000004</v>
      </c>
      <c r="AS21" s="128">
        <f t="shared" si="81"/>
        <v>2041069.2750000004</v>
      </c>
      <c r="AT21" s="128">
        <f t="shared" si="81"/>
        <v>2041069.2750000004</v>
      </c>
      <c r="AU21" s="128">
        <f t="shared" si="81"/>
        <v>2041069.2750000004</v>
      </c>
      <c r="AV21" s="128">
        <f t="shared" si="81"/>
        <v>2041069.2750000004</v>
      </c>
      <c r="AW21" s="128">
        <f t="shared" si="81"/>
        <v>2041069.2750000004</v>
      </c>
      <c r="AX21" s="128">
        <f t="shared" si="81"/>
        <v>2143122.7387499996</v>
      </c>
      <c r="AY21" s="128">
        <f t="shared" si="81"/>
        <v>2143122.7387499996</v>
      </c>
      <c r="AZ21" s="128">
        <f t="shared" si="81"/>
        <v>2143122.7387499996</v>
      </c>
      <c r="BA21" s="128">
        <f t="shared" si="81"/>
        <v>2143122.7387499996</v>
      </c>
      <c r="BB21" s="128">
        <f t="shared" si="81"/>
        <v>2143122.7387499996</v>
      </c>
      <c r="BC21" s="128">
        <f t="shared" si="81"/>
        <v>2143122.7387499996</v>
      </c>
      <c r="BD21" s="128">
        <f t="shared" si="81"/>
        <v>2143122.7387499996</v>
      </c>
      <c r="BE21" s="128">
        <f t="shared" si="81"/>
        <v>2143122.7387499996</v>
      </c>
      <c r="BF21" s="128">
        <f t="shared" si="81"/>
        <v>2143122.7387499996</v>
      </c>
      <c r="BG21" s="128">
        <f t="shared" si="81"/>
        <v>2143122.7387499996</v>
      </c>
      <c r="BH21" s="128">
        <f t="shared" si="81"/>
        <v>2143122.7387499996</v>
      </c>
      <c r="BI21" s="128">
        <f t="shared" si="81"/>
        <v>2143122.7387499996</v>
      </c>
      <c r="BJ21" s="128">
        <f t="shared" si="81"/>
        <v>2250278.8756875009</v>
      </c>
      <c r="BK21" s="128">
        <f t="shared" si="81"/>
        <v>2250278.8756875009</v>
      </c>
      <c r="BL21" s="128">
        <f t="shared" si="81"/>
        <v>2250278.8756875009</v>
      </c>
      <c r="BM21" s="128">
        <f t="shared" si="81"/>
        <v>2250278.8756875009</v>
      </c>
      <c r="BN21" s="128">
        <f t="shared" si="81"/>
        <v>2250278.8756875009</v>
      </c>
      <c r="BO21" s="128">
        <f t="shared" si="81"/>
        <v>2250278.8756875009</v>
      </c>
      <c r="BP21" s="128">
        <f t="shared" si="81"/>
        <v>2250278.8756875009</v>
      </c>
      <c r="BQ21" s="128">
        <f t="shared" si="81"/>
        <v>2250278.8756875009</v>
      </c>
      <c r="BR21" s="128">
        <f t="shared" si="81"/>
        <v>2250278.8756875009</v>
      </c>
      <c r="BS21" s="128">
        <f t="shared" si="81"/>
        <v>2250278.8756875009</v>
      </c>
      <c r="BT21" s="128">
        <f t="shared" si="81"/>
        <v>2250278.8756875009</v>
      </c>
      <c r="BU21" s="128">
        <f t="shared" si="81"/>
        <v>2250278.8756875009</v>
      </c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</row>
    <row r="23" spans="2:88" s="51" customFormat="1" ht="14.25" customHeight="1">
      <c r="B23" s="81" t="s">
        <v>189</v>
      </c>
      <c r="C23" s="52"/>
      <c r="D23" s="128">
        <f>SUMIF($K$1:$BW$1,D$4,$K23:$BW23)</f>
        <v>12918900</v>
      </c>
      <c r="E23" s="128">
        <f t="shared" si="28"/>
        <v>0</v>
      </c>
      <c r="F23" s="128">
        <f t="shared" si="28"/>
        <v>0</v>
      </c>
      <c r="G23" s="128">
        <f t="shared" si="28"/>
        <v>0</v>
      </c>
      <c r="H23" s="128">
        <f t="shared" si="28"/>
        <v>0</v>
      </c>
      <c r="I23" s="128">
        <f t="shared" si="28"/>
        <v>0</v>
      </c>
      <c r="J23" s="52"/>
      <c r="K23" s="128">
        <f>SUM(K24,K26)</f>
        <v>12918900</v>
      </c>
      <c r="L23" s="129">
        <f t="shared" ref="L23:BU23" si="82">SUM(L24,L26)</f>
        <v>0</v>
      </c>
      <c r="M23" s="129">
        <f t="shared" si="82"/>
        <v>0</v>
      </c>
      <c r="N23" s="129">
        <f t="shared" si="82"/>
        <v>0</v>
      </c>
      <c r="O23" s="129">
        <f t="shared" si="82"/>
        <v>0</v>
      </c>
      <c r="P23" s="129">
        <f t="shared" si="82"/>
        <v>0</v>
      </c>
      <c r="Q23" s="129">
        <f t="shared" si="82"/>
        <v>0</v>
      </c>
      <c r="R23" s="129">
        <f t="shared" si="82"/>
        <v>0</v>
      </c>
      <c r="S23" s="129">
        <f t="shared" si="82"/>
        <v>0</v>
      </c>
      <c r="T23" s="129">
        <f t="shared" si="82"/>
        <v>0</v>
      </c>
      <c r="U23" s="129">
        <f t="shared" si="82"/>
        <v>0</v>
      </c>
      <c r="V23" s="129">
        <f t="shared" si="82"/>
        <v>0</v>
      </c>
      <c r="W23" s="129">
        <f t="shared" si="82"/>
        <v>0</v>
      </c>
      <c r="X23" s="129">
        <f t="shared" si="82"/>
        <v>0</v>
      </c>
      <c r="Y23" s="129">
        <f t="shared" si="82"/>
        <v>0</v>
      </c>
      <c r="Z23" s="129">
        <f t="shared" si="82"/>
        <v>0</v>
      </c>
      <c r="AA23" s="129">
        <f t="shared" si="82"/>
        <v>0</v>
      </c>
      <c r="AB23" s="129">
        <f t="shared" si="82"/>
        <v>0</v>
      </c>
      <c r="AC23" s="129">
        <f t="shared" si="82"/>
        <v>0</v>
      </c>
      <c r="AD23" s="129">
        <f t="shared" si="82"/>
        <v>0</v>
      </c>
      <c r="AE23" s="129">
        <f t="shared" si="82"/>
        <v>0</v>
      </c>
      <c r="AF23" s="129">
        <f t="shared" si="82"/>
        <v>0</v>
      </c>
      <c r="AG23" s="129">
        <f t="shared" si="82"/>
        <v>0</v>
      </c>
      <c r="AH23" s="129">
        <f t="shared" si="82"/>
        <v>0</v>
      </c>
      <c r="AI23" s="129">
        <f t="shared" si="82"/>
        <v>0</v>
      </c>
      <c r="AJ23" s="129">
        <f t="shared" si="82"/>
        <v>0</v>
      </c>
      <c r="AK23" s="129">
        <f t="shared" si="82"/>
        <v>0</v>
      </c>
      <c r="AL23" s="129">
        <f t="shared" si="82"/>
        <v>0</v>
      </c>
      <c r="AM23" s="129">
        <f t="shared" si="82"/>
        <v>0</v>
      </c>
      <c r="AN23" s="129">
        <f t="shared" si="82"/>
        <v>0</v>
      </c>
      <c r="AO23" s="129">
        <f t="shared" si="82"/>
        <v>0</v>
      </c>
      <c r="AP23" s="129">
        <f t="shared" si="82"/>
        <v>0</v>
      </c>
      <c r="AQ23" s="129">
        <f t="shared" si="82"/>
        <v>0</v>
      </c>
      <c r="AR23" s="129">
        <f t="shared" si="82"/>
        <v>0</v>
      </c>
      <c r="AS23" s="129">
        <f t="shared" si="82"/>
        <v>0</v>
      </c>
      <c r="AT23" s="129">
        <f t="shared" si="82"/>
        <v>0</v>
      </c>
      <c r="AU23" s="129">
        <f t="shared" si="82"/>
        <v>0</v>
      </c>
      <c r="AV23" s="129">
        <f t="shared" si="82"/>
        <v>0</v>
      </c>
      <c r="AW23" s="129">
        <f t="shared" si="82"/>
        <v>0</v>
      </c>
      <c r="AX23" s="129">
        <f t="shared" si="82"/>
        <v>0</v>
      </c>
      <c r="AY23" s="129">
        <f t="shared" si="82"/>
        <v>0</v>
      </c>
      <c r="AZ23" s="129">
        <f t="shared" si="82"/>
        <v>0</v>
      </c>
      <c r="BA23" s="129">
        <f t="shared" si="82"/>
        <v>0</v>
      </c>
      <c r="BB23" s="129">
        <f t="shared" si="82"/>
        <v>0</v>
      </c>
      <c r="BC23" s="129">
        <f t="shared" si="82"/>
        <v>0</v>
      </c>
      <c r="BD23" s="129">
        <f t="shared" si="82"/>
        <v>0</v>
      </c>
      <c r="BE23" s="129">
        <f t="shared" si="82"/>
        <v>0</v>
      </c>
      <c r="BF23" s="129">
        <f t="shared" si="82"/>
        <v>0</v>
      </c>
      <c r="BG23" s="129">
        <f t="shared" si="82"/>
        <v>0</v>
      </c>
      <c r="BH23" s="129">
        <f t="shared" si="82"/>
        <v>0</v>
      </c>
      <c r="BI23" s="129">
        <f t="shared" si="82"/>
        <v>0</v>
      </c>
      <c r="BJ23" s="129">
        <f t="shared" si="82"/>
        <v>0</v>
      </c>
      <c r="BK23" s="129">
        <f t="shared" si="82"/>
        <v>0</v>
      </c>
      <c r="BL23" s="129">
        <f t="shared" si="82"/>
        <v>0</v>
      </c>
      <c r="BM23" s="129">
        <f t="shared" si="82"/>
        <v>0</v>
      </c>
      <c r="BN23" s="129">
        <f t="shared" si="82"/>
        <v>0</v>
      </c>
      <c r="BO23" s="129">
        <f t="shared" si="82"/>
        <v>0</v>
      </c>
      <c r="BP23" s="129">
        <f t="shared" si="82"/>
        <v>0</v>
      </c>
      <c r="BQ23" s="129">
        <f t="shared" si="82"/>
        <v>0</v>
      </c>
      <c r="BR23" s="129">
        <f t="shared" si="82"/>
        <v>0</v>
      </c>
      <c r="BS23" s="129">
        <f t="shared" si="82"/>
        <v>0</v>
      </c>
      <c r="BT23" s="129">
        <f t="shared" si="82"/>
        <v>0</v>
      </c>
      <c r="BU23" s="129">
        <f t="shared" si="82"/>
        <v>0</v>
      </c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</row>
    <row r="24" spans="2:88">
      <c r="B24" t="s">
        <v>204</v>
      </c>
      <c r="D24" s="98">
        <f>IF(('Входные данные и результаты'!F14+CF!D26)&lt;0,'Входные данные и результаты'!F14,-CF!D26)</f>
        <v>4709800</v>
      </c>
      <c r="E24">
        <f t="shared" ref="D24:I27" si="83">SUMIF($K$1:$BW$1,E$4,$K24:$BW24)</f>
        <v>0</v>
      </c>
      <c r="F24">
        <f t="shared" si="83"/>
        <v>0</v>
      </c>
      <c r="G24">
        <f t="shared" si="83"/>
        <v>0</v>
      </c>
      <c r="H24">
        <f t="shared" si="83"/>
        <v>0</v>
      </c>
      <c r="I24">
        <f t="shared" si="83"/>
        <v>0</v>
      </c>
      <c r="K24" s="9">
        <f>'Входные данные и результаты'!F14</f>
        <v>17628700</v>
      </c>
    </row>
    <row r="25" spans="2:88" ht="14.25" customHeight="1">
      <c r="B25" s="29"/>
      <c r="D25" s="98">
        <f t="shared" si="83"/>
        <v>2938116.6666666665</v>
      </c>
      <c r="E25">
        <f t="shared" si="83"/>
        <v>0</v>
      </c>
      <c r="F25">
        <f t="shared" si="83"/>
        <v>0</v>
      </c>
      <c r="G25">
        <f t="shared" si="83"/>
        <v>0</v>
      </c>
      <c r="H25">
        <f t="shared" si="83"/>
        <v>0</v>
      </c>
      <c r="I25">
        <f t="shared" si="83"/>
        <v>0</v>
      </c>
      <c r="K25" s="36">
        <f>K24*20/120</f>
        <v>2938116.6666666665</v>
      </c>
    </row>
    <row r="26" spans="2:88">
      <c r="B26" t="s">
        <v>190</v>
      </c>
      <c r="D26" s="98">
        <f t="shared" si="83"/>
        <v>-4709800</v>
      </c>
      <c r="E26">
        <f t="shared" si="83"/>
        <v>0</v>
      </c>
      <c r="F26">
        <f t="shared" si="83"/>
        <v>0</v>
      </c>
      <c r="G26">
        <f t="shared" si="83"/>
        <v>0</v>
      </c>
      <c r="H26">
        <f t="shared" si="83"/>
        <v>0</v>
      </c>
      <c r="I26">
        <f t="shared" si="83"/>
        <v>0</v>
      </c>
      <c r="K26" s="98">
        <f>-OPEX!D7</f>
        <v>-4709800</v>
      </c>
    </row>
    <row r="27" spans="2:88">
      <c r="B27" s="29" t="s">
        <v>170</v>
      </c>
      <c r="D27" s="98">
        <f t="shared" si="83"/>
        <v>-784966.66666666663</v>
      </c>
      <c r="E27">
        <f t="shared" si="83"/>
        <v>0</v>
      </c>
      <c r="F27">
        <f t="shared" si="83"/>
        <v>0</v>
      </c>
      <c r="G27">
        <f t="shared" si="83"/>
        <v>0</v>
      </c>
      <c r="H27">
        <f t="shared" si="83"/>
        <v>0</v>
      </c>
      <c r="I27">
        <f t="shared" si="83"/>
        <v>0</v>
      </c>
      <c r="K27" s="36">
        <f>K26*20/120</f>
        <v>-784966.66666666663</v>
      </c>
    </row>
    <row r="28" spans="2:88">
      <c r="B28" s="29"/>
      <c r="K28" s="36"/>
    </row>
    <row r="29" spans="2:88" s="51" customFormat="1" ht="14.25" customHeight="1">
      <c r="B29" s="81" t="s">
        <v>192</v>
      </c>
      <c r="C29" s="52"/>
      <c r="D29" s="82">
        <f>SUM(D31)</f>
        <v>0</v>
      </c>
      <c r="E29" s="82">
        <f t="shared" ref="E29:H29" si="84">SUM(E31)</f>
        <v>0</v>
      </c>
      <c r="F29" s="82">
        <f t="shared" si="84"/>
        <v>0</v>
      </c>
      <c r="G29" s="82">
        <f t="shared" si="84"/>
        <v>0</v>
      </c>
      <c r="H29" s="82">
        <f t="shared" si="84"/>
        <v>0</v>
      </c>
      <c r="I29" s="82">
        <f>SUMIF($K$1:$BW$1,I$4,$K29:$BW29)</f>
        <v>0</v>
      </c>
      <c r="J29" s="52"/>
      <c r="K29" s="82">
        <f>SUM(K31)</f>
        <v>0</v>
      </c>
      <c r="L29" s="82">
        <f t="shared" ref="L29:M29" si="85">SUM(L31:L32)</f>
        <v>0</v>
      </c>
      <c r="M29" s="82">
        <f t="shared" si="85"/>
        <v>0</v>
      </c>
      <c r="N29" s="82">
        <f>SUM(N31:N32)</f>
        <v>0</v>
      </c>
      <c r="O29" s="82">
        <f t="shared" ref="O29:BU29" si="86">SUM(O31:O32)</f>
        <v>0</v>
      </c>
      <c r="P29" s="82">
        <f t="shared" si="86"/>
        <v>0</v>
      </c>
      <c r="Q29" s="82">
        <f t="shared" si="86"/>
        <v>0</v>
      </c>
      <c r="R29" s="82">
        <f t="shared" si="86"/>
        <v>0</v>
      </c>
      <c r="S29" s="82">
        <f t="shared" si="86"/>
        <v>0</v>
      </c>
      <c r="T29" s="82">
        <f t="shared" si="86"/>
        <v>0</v>
      </c>
      <c r="U29" s="82">
        <f t="shared" si="86"/>
        <v>0</v>
      </c>
      <c r="V29" s="82">
        <f t="shared" si="86"/>
        <v>0</v>
      </c>
      <c r="W29" s="82">
        <f t="shared" si="86"/>
        <v>0</v>
      </c>
      <c r="X29" s="82">
        <f t="shared" si="86"/>
        <v>0</v>
      </c>
      <c r="Y29" s="82">
        <f t="shared" si="86"/>
        <v>0</v>
      </c>
      <c r="Z29" s="82">
        <f t="shared" si="86"/>
        <v>0</v>
      </c>
      <c r="AA29" s="82">
        <f t="shared" si="86"/>
        <v>0</v>
      </c>
      <c r="AB29" s="82">
        <f t="shared" si="86"/>
        <v>0</v>
      </c>
      <c r="AC29" s="82">
        <f t="shared" si="86"/>
        <v>0</v>
      </c>
      <c r="AD29" s="82">
        <f t="shared" si="86"/>
        <v>0</v>
      </c>
      <c r="AE29" s="82">
        <f t="shared" si="86"/>
        <v>0</v>
      </c>
      <c r="AF29" s="82">
        <f t="shared" si="86"/>
        <v>0</v>
      </c>
      <c r="AG29" s="82">
        <f t="shared" si="86"/>
        <v>0</v>
      </c>
      <c r="AH29" s="82">
        <f t="shared" si="86"/>
        <v>0</v>
      </c>
      <c r="AI29" s="82">
        <f t="shared" si="86"/>
        <v>0</v>
      </c>
      <c r="AJ29" s="82">
        <f t="shared" si="86"/>
        <v>0</v>
      </c>
      <c r="AK29" s="82">
        <f t="shared" si="86"/>
        <v>0</v>
      </c>
      <c r="AL29" s="82">
        <f t="shared" si="86"/>
        <v>0</v>
      </c>
      <c r="AM29" s="82">
        <f t="shared" si="86"/>
        <v>0</v>
      </c>
      <c r="AN29" s="82">
        <f t="shared" si="86"/>
        <v>0</v>
      </c>
      <c r="AO29" s="82">
        <f t="shared" si="86"/>
        <v>0</v>
      </c>
      <c r="AP29" s="82">
        <f t="shared" si="86"/>
        <v>0</v>
      </c>
      <c r="AQ29" s="82">
        <f t="shared" si="86"/>
        <v>0</v>
      </c>
      <c r="AR29" s="82">
        <f t="shared" si="86"/>
        <v>0</v>
      </c>
      <c r="AS29" s="82">
        <f t="shared" si="86"/>
        <v>0</v>
      </c>
      <c r="AT29" s="82">
        <f t="shared" si="86"/>
        <v>0</v>
      </c>
      <c r="AU29" s="82">
        <f t="shared" si="86"/>
        <v>0</v>
      </c>
      <c r="AV29" s="82">
        <f t="shared" si="86"/>
        <v>0</v>
      </c>
      <c r="AW29" s="82">
        <f t="shared" si="86"/>
        <v>0</v>
      </c>
      <c r="AX29" s="82">
        <f t="shared" si="86"/>
        <v>0</v>
      </c>
      <c r="AY29" s="82">
        <f t="shared" si="86"/>
        <v>0</v>
      </c>
      <c r="AZ29" s="82">
        <f t="shared" si="86"/>
        <v>0</v>
      </c>
      <c r="BA29" s="82">
        <f t="shared" si="86"/>
        <v>0</v>
      </c>
      <c r="BB29" s="82">
        <f t="shared" si="86"/>
        <v>0</v>
      </c>
      <c r="BC29" s="82">
        <f t="shared" si="86"/>
        <v>0</v>
      </c>
      <c r="BD29" s="82">
        <f t="shared" si="86"/>
        <v>0</v>
      </c>
      <c r="BE29" s="82">
        <f t="shared" si="86"/>
        <v>0</v>
      </c>
      <c r="BF29" s="82">
        <f t="shared" si="86"/>
        <v>0</v>
      </c>
      <c r="BG29" s="82">
        <f t="shared" si="86"/>
        <v>0</v>
      </c>
      <c r="BH29" s="82">
        <f t="shared" si="86"/>
        <v>0</v>
      </c>
      <c r="BI29" s="82">
        <f t="shared" si="86"/>
        <v>0</v>
      </c>
      <c r="BJ29" s="82">
        <f t="shared" si="86"/>
        <v>0</v>
      </c>
      <c r="BK29" s="82">
        <f t="shared" si="86"/>
        <v>0</v>
      </c>
      <c r="BL29" s="82">
        <f t="shared" si="86"/>
        <v>0</v>
      </c>
      <c r="BM29" s="82">
        <f t="shared" si="86"/>
        <v>0</v>
      </c>
      <c r="BN29" s="82">
        <f t="shared" si="86"/>
        <v>0</v>
      </c>
      <c r="BO29" s="82">
        <f t="shared" si="86"/>
        <v>0</v>
      </c>
      <c r="BP29" s="82">
        <f t="shared" si="86"/>
        <v>0</v>
      </c>
      <c r="BQ29" s="82">
        <f t="shared" si="86"/>
        <v>0</v>
      </c>
      <c r="BR29" s="82">
        <f t="shared" si="86"/>
        <v>0</v>
      </c>
      <c r="BS29" s="82">
        <f t="shared" si="86"/>
        <v>0</v>
      </c>
      <c r="BT29" s="82">
        <f t="shared" si="86"/>
        <v>0</v>
      </c>
      <c r="BU29" s="82">
        <f t="shared" si="86"/>
        <v>0</v>
      </c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</row>
    <row r="31" spans="2:88">
      <c r="B31" t="s">
        <v>193</v>
      </c>
      <c r="D31" s="9">
        <f>IF(SUM(D23,D21)&lt;0,-SUM(D23,D21),0)</f>
        <v>0</v>
      </c>
      <c r="E31" s="9">
        <f>SUMIF($K$1:$BW$1,E$4,$K31:$BW31)</f>
        <v>0</v>
      </c>
      <c r="F31" s="9">
        <f t="shared" ref="F31:I31" si="87">SUMIF($K$1:$BW$1,F$4,$K31:$BW31)</f>
        <v>0</v>
      </c>
      <c r="G31" s="9">
        <f t="shared" si="87"/>
        <v>0</v>
      </c>
      <c r="H31" s="9">
        <f t="shared" si="87"/>
        <v>0</v>
      </c>
      <c r="I31" s="9">
        <f t="shared" si="87"/>
        <v>0</v>
      </c>
      <c r="K31" s="9">
        <f>IF(SUM($K$23:K23,$K$21:K21)&lt;0,-SUM($K$23:K23,$K$21:K21),0)</f>
        <v>0</v>
      </c>
      <c r="L31" s="9">
        <f t="shared" ref="L31:M31" si="88">-IF((K34+L21)&lt;0,(K34+L21),0)</f>
        <v>0</v>
      </c>
      <c r="M31" s="9">
        <f t="shared" si="88"/>
        <v>0</v>
      </c>
      <c r="N31" s="9">
        <f>-IF((M34+N21)&lt;0,(M34+N21),0)</f>
        <v>0</v>
      </c>
      <c r="O31" s="9">
        <f t="shared" ref="O31" si="89">-IF((N34+O21)&lt;0,SUM(O21,N23:O23),0)</f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</row>
    <row r="32" spans="2:88">
      <c r="B32" t="s">
        <v>207</v>
      </c>
      <c r="D32" s="9"/>
      <c r="E32" s="9"/>
      <c r="F32" s="9"/>
      <c r="G32" s="9"/>
      <c r="H32" s="9"/>
      <c r="I32" s="9"/>
      <c r="K32" s="9"/>
      <c r="L32" s="9"/>
      <c r="M32" s="9"/>
      <c r="N32" s="9"/>
      <c r="O32" s="98">
        <f>PMT('Входные данные и результаты'!$F$24/12,'Входные данные и результаты'!$F$26*12,'Входные данные и результаты'!$F$18)</f>
        <v>0</v>
      </c>
      <c r="P32" s="98">
        <f>PMT('Входные данные и результаты'!$F$24/12,'Входные данные и результаты'!$F$26*12,'Входные данные и результаты'!$F$18)</f>
        <v>0</v>
      </c>
      <c r="Q32" s="98">
        <f>IF(COUNT($O$32:P32)&gt;='Входные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R32" s="98">
        <f>IF(COUNT($O$32:Q32)&gt;='Входные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S32" s="98">
        <f>IF(COUNT($O$32:R32)&gt;='Входные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T32" s="98">
        <f>IF(COUNT($O$32:S32)&gt;='Входные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U32" s="98">
        <f>IF(COUNT($O$32:T32)&gt;='Входные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V32" s="98">
        <f>IF(COUNT($O$32:U32)&gt;='Входные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W32" s="98">
        <f>IF(COUNT($O$32:V32)&gt;='Входные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X32" s="98">
        <f>IF(COUNT($O$32:W32)&gt;='Входные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Y32" s="98">
        <f>IF(COUNT($O$32:X32)&gt;='Входные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Z32" s="98">
        <f>IF(COUNT($O$32:Y32)&gt;='Входные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A32" s="98">
        <f>IF(COUNT($O$32:Z32)&gt;='Входные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B32" s="98">
        <f>IF(COUNT($O$32:AA32)&gt;='Входные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C32" s="98">
        <f>IF(COUNT($O$32:AB32)&gt;='Входные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D32" s="98">
        <f>IF(COUNT($O$32:AC32)&gt;='Входные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E32" s="98">
        <f>IF(COUNT($O$32:AD32)&gt;='Входные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F32" s="98">
        <f>IF(COUNT($O$32:AE32)&gt;='Входные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G32" s="98">
        <f>IF(COUNT($O$32:AF32)&gt;='Входные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H32" s="98">
        <f>IF(COUNT($O$32:AG32)&gt;='Входные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I32" s="98">
        <f>IF(COUNT($O$32:AH32)&gt;='Входные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J32" s="98">
        <f>IF(COUNT($O$32:AI32)&gt;='Входные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K32" s="98">
        <f>IF(COUNT($O$32:AJ32)&gt;='Входные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L32" s="98">
        <f>IF(COUNT($O$32:AK32)&gt;='Входные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M32" s="98">
        <f>IF(COUNT($O$32:AL32)&gt;='Входные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N32" s="98">
        <f>IF(COUNT($O$32:AM32)&gt;='Входные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O32" s="98">
        <f>IF(COUNT($O$32:AN32)&gt;='Входные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P32" s="98">
        <f>IF(COUNT($O$32:AO32)&gt;='Входные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Q32" s="98">
        <f>IF(COUNT($O$32:AP32)&gt;='Входные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R32" s="98">
        <f>IF(COUNT($O$32:AQ32)&gt;='Входные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S32" s="98">
        <f>IF(COUNT($O$32:AR32)&gt;='Входные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T32" s="98">
        <f>IF(COUNT($O$32:AS32)&gt;='Входные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U32" s="98">
        <f>IF(COUNT($O$32:AT32)&gt;='Входные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V32" s="98">
        <f>IF(COUNT($O$32:AU32)&gt;='Входные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W32" s="98">
        <f>IF(COUNT($O$32:AV32)&gt;='Входные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X32" s="98">
        <f>IF(COUNT($O$32:AW32)&gt;='Входные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Y32" s="98">
        <f>IF(COUNT($O$32:AX32)&gt;='Входные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AZ32" s="98">
        <f>IF(COUNT($O$32:AY32)&gt;='Входные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A32" s="98">
        <f>IF(COUNT($O$32:AZ32)&gt;='Входные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B32" s="98">
        <f>IF(COUNT($O$32:BA32)&gt;='Входные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C32" s="98">
        <f>IF(COUNT($O$32:BB32)&gt;='Входные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D32" s="98">
        <f>IF(COUNT($O$32:BC32)&gt;='Входные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E32" s="98">
        <f>IF(COUNT($O$32:BD32)&gt;='Входные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F32" s="98">
        <f>IF(COUNT($O$32:BE32)&gt;='Входные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G32" s="98">
        <f>IF(COUNT($O$32:BF32)&gt;='Входные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H32" s="98">
        <f>IF(COUNT($O$32:BG32)&gt;='Входные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I32" s="98">
        <f>IF(COUNT($O$32:BH32)&gt;='Входные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J32" s="98">
        <f>IF(COUNT($O$32:BI32)&gt;='Входные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K32" s="98">
        <f>IF(COUNT($O$32:BJ32)&gt;='Входные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L32" s="98">
        <f>IF(COUNT($O$32:BK32)&gt;='Входные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M32" s="98">
        <f>IF(COUNT($O$32:BL32)&gt;='Входные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N32" s="98">
        <f>IF(COUNT($O$32:BM32)&gt;='Входные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O32" s="98">
        <f>IF(COUNT($O$32:BN32)&gt;='Входные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P32" s="98">
        <f>IF(COUNT($O$32:BO32)&gt;='Входные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Q32" s="98">
        <f>IF(COUNT($O$32:BP32)&gt;='Входные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R32" s="98">
        <f>IF(COUNT($O$32:BQ32)&gt;='Входные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S32" s="98">
        <f>IF(COUNT($O$32:BR32)&gt;='Входные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T32" s="98">
        <f>IF(COUNT($O$32:BS32)&gt;='Входные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U32" s="98">
        <f>IF(COUNT($O$32:BT32)&gt;='Входные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  <c r="BV32" s="98">
        <f>IF(COUNT($O$32:BU32)&gt;='Входные данные и результаты'!$F$26*12,0,PMT('Входные данные и результаты'!$F$24/12,'Входные данные и результаты'!$F$26*12,'Входные данные и результаты'!$F$18))</f>
        <v>0</v>
      </c>
    </row>
    <row r="33" spans="1:88">
      <c r="D33" s="9"/>
      <c r="E33" s="9"/>
      <c r="F33" s="9"/>
      <c r="G33" s="9"/>
      <c r="H33" s="9"/>
      <c r="I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88" s="51" customFormat="1" ht="14.25" customHeight="1">
      <c r="B34" s="81" t="s">
        <v>206</v>
      </c>
      <c r="C34" s="52"/>
      <c r="D34" s="82">
        <f>SUM(D29,D23,D21)</f>
        <v>11254900</v>
      </c>
      <c r="E34" s="82">
        <f>SUM(E29,E23,E21)</f>
        <v>9715720.0000000205</v>
      </c>
      <c r="F34" s="82">
        <f>SUM(F29,F23,F21)</f>
        <v>23326506</v>
      </c>
      <c r="G34" s="82">
        <f>SUM(G29,G23,G21)</f>
        <v>24492831.299999997</v>
      </c>
      <c r="H34" s="82">
        <f t="shared" ref="H34:I34" si="90">SUM(H29,H23,H21)</f>
        <v>25717472.864999995</v>
      </c>
      <c r="I34" s="82">
        <f t="shared" si="90"/>
        <v>27003346.508250017</v>
      </c>
      <c r="J34" s="52"/>
      <c r="K34" s="82">
        <f>SUM(K29,K23,K21)</f>
        <v>12430900</v>
      </c>
      <c r="L34" s="82">
        <f>SUM(L29,L23,L21,K34)</f>
        <v>11892900</v>
      </c>
      <c r="M34" s="82">
        <f t="shared" ref="M34:BU34" si="91">SUM(M29,M23,M21,L34)</f>
        <v>11254900</v>
      </c>
      <c r="N34" s="82">
        <f t="shared" si="91"/>
        <v>606210</v>
      </c>
      <c r="O34" s="82">
        <f>SUM(O29,O23,O21,N34)</f>
        <v>2457520.0000000019</v>
      </c>
      <c r="P34" s="82">
        <f t="shared" si="91"/>
        <v>4308830.0000000037</v>
      </c>
      <c r="Q34" s="82">
        <f t="shared" si="91"/>
        <v>6160140.0000000056</v>
      </c>
      <c r="R34" s="82">
        <f t="shared" si="91"/>
        <v>8011450.0000000075</v>
      </c>
      <c r="S34" s="82">
        <f t="shared" si="91"/>
        <v>9862760.0000000093</v>
      </c>
      <c r="T34" s="82">
        <f t="shared" si="91"/>
        <v>11714070.000000011</v>
      </c>
      <c r="U34" s="82">
        <f t="shared" si="91"/>
        <v>13565380.000000013</v>
      </c>
      <c r="V34" s="82">
        <f t="shared" si="91"/>
        <v>15416690.000000015</v>
      </c>
      <c r="W34" s="82">
        <f t="shared" si="91"/>
        <v>17268000.000000015</v>
      </c>
      <c r="X34" s="82">
        <f t="shared" si="91"/>
        <v>19119310.000000015</v>
      </c>
      <c r="Y34" s="82">
        <f t="shared" si="91"/>
        <v>20970620.000000015</v>
      </c>
      <c r="Z34" s="82">
        <f t="shared" si="91"/>
        <v>22914495.500000015</v>
      </c>
      <c r="AA34" s="82">
        <f t="shared" si="91"/>
        <v>24858371.000000015</v>
      </c>
      <c r="AB34" s="82">
        <f t="shared" si="91"/>
        <v>26802246.500000015</v>
      </c>
      <c r="AC34" s="82">
        <f t="shared" si="91"/>
        <v>28746122.000000015</v>
      </c>
      <c r="AD34" s="82">
        <f t="shared" si="91"/>
        <v>30689997.500000015</v>
      </c>
      <c r="AE34" s="82">
        <f t="shared" si="91"/>
        <v>32633873.000000015</v>
      </c>
      <c r="AF34" s="82">
        <f t="shared" si="91"/>
        <v>34577748.500000015</v>
      </c>
      <c r="AG34" s="82">
        <f t="shared" si="91"/>
        <v>36521624.000000015</v>
      </c>
      <c r="AH34" s="82">
        <f t="shared" si="91"/>
        <v>38465499.500000015</v>
      </c>
      <c r="AI34" s="82">
        <f t="shared" si="91"/>
        <v>40409375.000000015</v>
      </c>
      <c r="AJ34" s="82">
        <f t="shared" si="91"/>
        <v>42353250.500000015</v>
      </c>
      <c r="AK34" s="82">
        <f t="shared" si="91"/>
        <v>44297126.000000015</v>
      </c>
      <c r="AL34" s="82">
        <f t="shared" si="91"/>
        <v>46338195.275000013</v>
      </c>
      <c r="AM34" s="82">
        <f t="shared" si="91"/>
        <v>48379264.550000012</v>
      </c>
      <c r="AN34" s="82">
        <f t="shared" si="91"/>
        <v>50420333.82500001</v>
      </c>
      <c r="AO34" s="82">
        <f t="shared" si="91"/>
        <v>52461403.100000009</v>
      </c>
      <c r="AP34" s="82">
        <f t="shared" si="91"/>
        <v>54502472.375000007</v>
      </c>
      <c r="AQ34" s="82">
        <f t="shared" si="91"/>
        <v>56543541.650000006</v>
      </c>
      <c r="AR34" s="82">
        <f t="shared" si="91"/>
        <v>58584610.925000004</v>
      </c>
      <c r="AS34" s="82">
        <f t="shared" si="91"/>
        <v>60625680.200000003</v>
      </c>
      <c r="AT34" s="82">
        <f t="shared" si="91"/>
        <v>62666749.475000001</v>
      </c>
      <c r="AU34" s="82">
        <f t="shared" si="91"/>
        <v>64707818.75</v>
      </c>
      <c r="AV34" s="82">
        <f t="shared" si="91"/>
        <v>66748888.024999999</v>
      </c>
      <c r="AW34" s="82">
        <f t="shared" si="91"/>
        <v>68789957.299999997</v>
      </c>
      <c r="AX34" s="82">
        <f t="shared" si="91"/>
        <v>70933080.038749993</v>
      </c>
      <c r="AY34" s="82">
        <f t="shared" si="91"/>
        <v>73076202.777499989</v>
      </c>
      <c r="AZ34" s="82">
        <f t="shared" si="91"/>
        <v>75219325.516249985</v>
      </c>
      <c r="BA34" s="82">
        <f t="shared" si="91"/>
        <v>77362448.25499998</v>
      </c>
      <c r="BB34" s="82">
        <f t="shared" si="91"/>
        <v>79505570.993749976</v>
      </c>
      <c r="BC34" s="82">
        <f t="shared" si="91"/>
        <v>81648693.732499972</v>
      </c>
      <c r="BD34" s="82">
        <f t="shared" si="91"/>
        <v>83791816.471249968</v>
      </c>
      <c r="BE34" s="82">
        <f t="shared" si="91"/>
        <v>85934939.209999964</v>
      </c>
      <c r="BF34" s="82">
        <f t="shared" si="91"/>
        <v>88078061.948749959</v>
      </c>
      <c r="BG34" s="82">
        <f t="shared" si="91"/>
        <v>90221184.687499955</v>
      </c>
      <c r="BH34" s="82">
        <f t="shared" si="91"/>
        <v>92364307.426249951</v>
      </c>
      <c r="BI34" s="82">
        <f t="shared" si="91"/>
        <v>94507430.164999947</v>
      </c>
      <c r="BJ34" s="82">
        <f t="shared" si="91"/>
        <v>96757709.040687442</v>
      </c>
      <c r="BK34" s="82">
        <f t="shared" si="91"/>
        <v>99007987.916374937</v>
      </c>
      <c r="BL34" s="82">
        <f t="shared" si="91"/>
        <v>101258266.79206243</v>
      </c>
      <c r="BM34" s="82">
        <f t="shared" si="91"/>
        <v>103508545.66774993</v>
      </c>
      <c r="BN34" s="82">
        <f t="shared" si="91"/>
        <v>105758824.54343742</v>
      </c>
      <c r="BO34" s="82">
        <f t="shared" si="91"/>
        <v>108009103.41912492</v>
      </c>
      <c r="BP34" s="82">
        <f t="shared" si="91"/>
        <v>110259382.29481241</v>
      </c>
      <c r="BQ34" s="82">
        <f t="shared" si="91"/>
        <v>112509661.17049991</v>
      </c>
      <c r="BR34" s="82">
        <f t="shared" si="91"/>
        <v>114759940.0461874</v>
      </c>
      <c r="BS34" s="82">
        <f t="shared" si="91"/>
        <v>117010218.9218749</v>
      </c>
      <c r="BT34" s="82">
        <f t="shared" si="91"/>
        <v>119260497.79756239</v>
      </c>
      <c r="BU34" s="82">
        <f t="shared" si="91"/>
        <v>121510776.67324989</v>
      </c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</row>
    <row r="36" spans="1:88" s="51" customFormat="1" ht="14.25" customHeight="1">
      <c r="B36" s="81" t="s">
        <v>211</v>
      </c>
      <c r="C36" s="52"/>
      <c r="D36" s="82">
        <f>SUMIF($K$1:$BW$1,D$4,$K36:$BW36)</f>
        <v>-17307400</v>
      </c>
      <c r="E36" s="82">
        <f t="shared" ref="E36:I36" si="92">SUMIF($K$1:$BW$1,E$4,$K36:$BW36)</f>
        <v>-82083419.999999881</v>
      </c>
      <c r="F36" s="82">
        <f t="shared" si="92"/>
        <v>191725329.0000003</v>
      </c>
      <c r="G36" s="82">
        <f t="shared" si="92"/>
        <v>479224515.45000023</v>
      </c>
      <c r="H36" s="82">
        <f t="shared" si="92"/>
        <v>781098661.22249997</v>
      </c>
      <c r="I36" s="82">
        <f t="shared" si="92"/>
        <v>1098066514.2836242</v>
      </c>
      <c r="J36" s="52"/>
      <c r="K36" s="82">
        <f>SUM(K32,K26,K21)</f>
        <v>-5197800</v>
      </c>
      <c r="L36" s="82">
        <f>SUM(K36,L32,L26,L21)</f>
        <v>-5735800</v>
      </c>
      <c r="M36" s="82">
        <f>SUM(L36,M32,M26,M21)</f>
        <v>-6373800</v>
      </c>
      <c r="N36" s="82">
        <f>SUM(M36,N32,N26,N21)</f>
        <v>-17022490</v>
      </c>
      <c r="O36" s="82">
        <f t="shared" ref="O36:BU36" si="93">SUM(N36,O32,O26,O21)</f>
        <v>-15171179.999999998</v>
      </c>
      <c r="P36" s="82">
        <f t="shared" si="93"/>
        <v>-13319869.999999996</v>
      </c>
      <c r="Q36" s="82">
        <f t="shared" si="93"/>
        <v>-11468559.999999994</v>
      </c>
      <c r="R36" s="82">
        <f t="shared" si="93"/>
        <v>-9617249.9999999925</v>
      </c>
      <c r="S36" s="82">
        <f t="shared" si="93"/>
        <v>-7765939.9999999907</v>
      </c>
      <c r="T36" s="82">
        <f t="shared" si="93"/>
        <v>-5914629.9999999888</v>
      </c>
      <c r="U36" s="82">
        <f t="shared" si="93"/>
        <v>-4063319.999999987</v>
      </c>
      <c r="V36" s="82">
        <f t="shared" si="93"/>
        <v>-2212009.9999999851</v>
      </c>
      <c r="W36" s="82">
        <f t="shared" si="93"/>
        <v>-360699.99999998324</v>
      </c>
      <c r="X36" s="82">
        <f t="shared" si="93"/>
        <v>1490610.0000000186</v>
      </c>
      <c r="Y36" s="82">
        <f t="shared" si="93"/>
        <v>3341920.0000000205</v>
      </c>
      <c r="Z36" s="82">
        <f t="shared" si="93"/>
        <v>5285795.5000000205</v>
      </c>
      <c r="AA36" s="82">
        <f t="shared" si="93"/>
        <v>7229671.0000000205</v>
      </c>
      <c r="AB36" s="82">
        <f t="shared" si="93"/>
        <v>9173546.5000000205</v>
      </c>
      <c r="AC36" s="82">
        <f t="shared" si="93"/>
        <v>11117422.00000002</v>
      </c>
      <c r="AD36" s="82">
        <f t="shared" si="93"/>
        <v>13061297.50000002</v>
      </c>
      <c r="AE36" s="82">
        <f t="shared" si="93"/>
        <v>15005173.00000002</v>
      </c>
      <c r="AF36" s="82">
        <f t="shared" si="93"/>
        <v>16949048.500000022</v>
      </c>
      <c r="AG36" s="82">
        <f t="shared" si="93"/>
        <v>18892924.000000022</v>
      </c>
      <c r="AH36" s="82">
        <f t="shared" si="93"/>
        <v>20836799.500000022</v>
      </c>
      <c r="AI36" s="82">
        <f t="shared" si="93"/>
        <v>22780675.000000022</v>
      </c>
      <c r="AJ36" s="82">
        <f t="shared" si="93"/>
        <v>24724550.500000022</v>
      </c>
      <c r="AK36" s="82">
        <f t="shared" si="93"/>
        <v>26668426.000000022</v>
      </c>
      <c r="AL36" s="82">
        <f t="shared" si="93"/>
        <v>28709495.275000021</v>
      </c>
      <c r="AM36" s="82">
        <f t="shared" si="93"/>
        <v>30750564.550000019</v>
      </c>
      <c r="AN36" s="82">
        <f t="shared" si="93"/>
        <v>32791633.825000018</v>
      </c>
      <c r="AO36" s="82">
        <f t="shared" si="93"/>
        <v>34832703.100000016</v>
      </c>
      <c r="AP36" s="82">
        <f t="shared" si="93"/>
        <v>36873772.375000015</v>
      </c>
      <c r="AQ36" s="82">
        <f t="shared" si="93"/>
        <v>38914841.650000013</v>
      </c>
      <c r="AR36" s="82">
        <f t="shared" si="93"/>
        <v>40955910.925000012</v>
      </c>
      <c r="AS36" s="82">
        <f t="shared" si="93"/>
        <v>42996980.20000001</v>
      </c>
      <c r="AT36" s="82">
        <f t="shared" si="93"/>
        <v>45038049.475000009</v>
      </c>
      <c r="AU36" s="82">
        <f t="shared" si="93"/>
        <v>47079118.750000007</v>
      </c>
      <c r="AV36" s="82">
        <f t="shared" si="93"/>
        <v>49120188.025000006</v>
      </c>
      <c r="AW36" s="82">
        <f t="shared" si="93"/>
        <v>51161257.300000004</v>
      </c>
      <c r="AX36" s="82">
        <f t="shared" si="93"/>
        <v>53304380.038750008</v>
      </c>
      <c r="AY36" s="82">
        <f t="shared" si="93"/>
        <v>55447502.777500004</v>
      </c>
      <c r="AZ36" s="82">
        <f t="shared" si="93"/>
        <v>57590625.516249999</v>
      </c>
      <c r="BA36" s="82">
        <f t="shared" si="93"/>
        <v>59733748.254999995</v>
      </c>
      <c r="BB36" s="82">
        <f t="shared" si="93"/>
        <v>61876870.993749991</v>
      </c>
      <c r="BC36" s="82">
        <f t="shared" si="93"/>
        <v>64019993.732499987</v>
      </c>
      <c r="BD36" s="82">
        <f t="shared" si="93"/>
        <v>66163116.471249983</v>
      </c>
      <c r="BE36" s="82">
        <f t="shared" si="93"/>
        <v>68306239.209999979</v>
      </c>
      <c r="BF36" s="82">
        <f t="shared" si="93"/>
        <v>70449361.948749974</v>
      </c>
      <c r="BG36" s="82">
        <f t="shared" si="93"/>
        <v>72592484.68749997</v>
      </c>
      <c r="BH36" s="82">
        <f t="shared" si="93"/>
        <v>74735607.426249966</v>
      </c>
      <c r="BI36" s="82">
        <f t="shared" si="93"/>
        <v>76878730.164999962</v>
      </c>
      <c r="BJ36" s="82">
        <f t="shared" si="93"/>
        <v>79129009.040687457</v>
      </c>
      <c r="BK36" s="82">
        <f t="shared" si="93"/>
        <v>81379287.916374952</v>
      </c>
      <c r="BL36" s="82">
        <f t="shared" si="93"/>
        <v>83629566.792062446</v>
      </c>
      <c r="BM36" s="82">
        <f t="shared" si="93"/>
        <v>85879845.667749941</v>
      </c>
      <c r="BN36" s="82">
        <f t="shared" si="93"/>
        <v>88130124.543437436</v>
      </c>
      <c r="BO36" s="82">
        <f t="shared" si="93"/>
        <v>90380403.419124931</v>
      </c>
      <c r="BP36" s="82">
        <f t="shared" si="93"/>
        <v>92630682.294812426</v>
      </c>
      <c r="BQ36" s="82">
        <f t="shared" si="93"/>
        <v>94880961.170499921</v>
      </c>
      <c r="BR36" s="82">
        <f t="shared" si="93"/>
        <v>97131240.046187416</v>
      </c>
      <c r="BS36" s="82">
        <f t="shared" si="93"/>
        <v>99381518.921874911</v>
      </c>
      <c r="BT36" s="82">
        <f t="shared" si="93"/>
        <v>101631797.79756241</v>
      </c>
      <c r="BU36" s="82">
        <f t="shared" si="93"/>
        <v>103882076.6732499</v>
      </c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</row>
    <row r="38" spans="1:88" s="51" customFormat="1" ht="14.25" customHeight="1">
      <c r="B38" s="81" t="s">
        <v>215</v>
      </c>
      <c r="C38" s="52"/>
      <c r="D38" s="82">
        <f>SUM(D26,D21)</f>
        <v>-6373800</v>
      </c>
      <c r="E38" s="82">
        <f t="shared" ref="E38:I38" si="94">SUM(E26,E21)</f>
        <v>9715720.0000000205</v>
      </c>
      <c r="F38" s="82">
        <f t="shared" si="94"/>
        <v>23326506</v>
      </c>
      <c r="G38" s="82">
        <f t="shared" si="94"/>
        <v>24492831.299999997</v>
      </c>
      <c r="H38" s="82">
        <f t="shared" si="94"/>
        <v>25717472.864999995</v>
      </c>
      <c r="I38" s="82">
        <f t="shared" si="94"/>
        <v>27003346.508250017</v>
      </c>
      <c r="J38" s="52"/>
      <c r="K38" s="82">
        <f t="shared" ref="K38:N38" si="95">SUM(K26,K21,K32)</f>
        <v>-5197800</v>
      </c>
      <c r="L38" s="82">
        <f t="shared" si="95"/>
        <v>-538000</v>
      </c>
      <c r="M38" s="82">
        <f t="shared" si="95"/>
        <v>-638000</v>
      </c>
      <c r="N38" s="82">
        <f t="shared" si="95"/>
        <v>-10648690</v>
      </c>
      <c r="O38" s="82">
        <f>SUM(O26,O21,O32)</f>
        <v>1851310.0000000019</v>
      </c>
      <c r="P38" s="82">
        <f t="shared" ref="P38:BU38" si="96">SUM(P26,P21,P32)</f>
        <v>1851310.0000000019</v>
      </c>
      <c r="Q38" s="82">
        <f t="shared" si="96"/>
        <v>1851310.0000000019</v>
      </c>
      <c r="R38" s="82">
        <f t="shared" si="96"/>
        <v>1851310.0000000019</v>
      </c>
      <c r="S38" s="82">
        <f t="shared" si="96"/>
        <v>1851310.0000000019</v>
      </c>
      <c r="T38" s="82">
        <f t="shared" si="96"/>
        <v>1851310.0000000019</v>
      </c>
      <c r="U38" s="82">
        <f t="shared" si="96"/>
        <v>1851310.0000000019</v>
      </c>
      <c r="V38" s="82">
        <f t="shared" si="96"/>
        <v>1851310.0000000019</v>
      </c>
      <c r="W38" s="82">
        <f t="shared" si="96"/>
        <v>1851310.0000000019</v>
      </c>
      <c r="X38" s="82">
        <f t="shared" si="96"/>
        <v>1851310.0000000019</v>
      </c>
      <c r="Y38" s="82">
        <f t="shared" si="96"/>
        <v>1851310.0000000019</v>
      </c>
      <c r="Z38" s="82">
        <f t="shared" si="96"/>
        <v>1943875.5</v>
      </c>
      <c r="AA38" s="82">
        <f t="shared" si="96"/>
        <v>1943875.5</v>
      </c>
      <c r="AB38" s="82">
        <f t="shared" si="96"/>
        <v>1943875.5</v>
      </c>
      <c r="AC38" s="82">
        <f t="shared" si="96"/>
        <v>1943875.5</v>
      </c>
      <c r="AD38" s="82">
        <f t="shared" si="96"/>
        <v>1943875.5</v>
      </c>
      <c r="AE38" s="82">
        <f t="shared" si="96"/>
        <v>1943875.5</v>
      </c>
      <c r="AF38" s="82">
        <f t="shared" si="96"/>
        <v>1943875.5</v>
      </c>
      <c r="AG38" s="82">
        <f t="shared" si="96"/>
        <v>1943875.5</v>
      </c>
      <c r="AH38" s="82">
        <f t="shared" si="96"/>
        <v>1943875.5</v>
      </c>
      <c r="AI38" s="82">
        <f t="shared" si="96"/>
        <v>1943875.5</v>
      </c>
      <c r="AJ38" s="82">
        <f t="shared" si="96"/>
        <v>1943875.5</v>
      </c>
      <c r="AK38" s="82">
        <f t="shared" si="96"/>
        <v>1943875.5</v>
      </c>
      <c r="AL38" s="82">
        <f t="shared" si="96"/>
        <v>2041069.2750000004</v>
      </c>
      <c r="AM38" s="82">
        <f t="shared" si="96"/>
        <v>2041069.2750000004</v>
      </c>
      <c r="AN38" s="82">
        <f t="shared" si="96"/>
        <v>2041069.2750000004</v>
      </c>
      <c r="AO38" s="82">
        <f t="shared" si="96"/>
        <v>2041069.2750000004</v>
      </c>
      <c r="AP38" s="82">
        <f t="shared" si="96"/>
        <v>2041069.2750000004</v>
      </c>
      <c r="AQ38" s="82">
        <f t="shared" si="96"/>
        <v>2041069.2750000004</v>
      </c>
      <c r="AR38" s="82">
        <f t="shared" si="96"/>
        <v>2041069.2750000004</v>
      </c>
      <c r="AS38" s="82">
        <f t="shared" si="96"/>
        <v>2041069.2750000004</v>
      </c>
      <c r="AT38" s="82">
        <f t="shared" si="96"/>
        <v>2041069.2750000004</v>
      </c>
      <c r="AU38" s="82">
        <f t="shared" si="96"/>
        <v>2041069.2750000004</v>
      </c>
      <c r="AV38" s="82">
        <f t="shared" si="96"/>
        <v>2041069.2750000004</v>
      </c>
      <c r="AW38" s="82">
        <f t="shared" si="96"/>
        <v>2041069.2750000004</v>
      </c>
      <c r="AX38" s="82">
        <f t="shared" si="96"/>
        <v>2143122.7387499996</v>
      </c>
      <c r="AY38" s="82">
        <f t="shared" si="96"/>
        <v>2143122.7387499996</v>
      </c>
      <c r="AZ38" s="82">
        <f t="shared" si="96"/>
        <v>2143122.7387499996</v>
      </c>
      <c r="BA38" s="82">
        <f t="shared" si="96"/>
        <v>2143122.7387499996</v>
      </c>
      <c r="BB38" s="82">
        <f t="shared" si="96"/>
        <v>2143122.7387499996</v>
      </c>
      <c r="BC38" s="82">
        <f t="shared" si="96"/>
        <v>2143122.7387499996</v>
      </c>
      <c r="BD38" s="82">
        <f t="shared" si="96"/>
        <v>2143122.7387499996</v>
      </c>
      <c r="BE38" s="82">
        <f t="shared" si="96"/>
        <v>2143122.7387499996</v>
      </c>
      <c r="BF38" s="82">
        <f t="shared" si="96"/>
        <v>2143122.7387499996</v>
      </c>
      <c r="BG38" s="82">
        <f t="shared" si="96"/>
        <v>2143122.7387499996</v>
      </c>
      <c r="BH38" s="82">
        <f t="shared" si="96"/>
        <v>2143122.7387499996</v>
      </c>
      <c r="BI38" s="82">
        <f t="shared" si="96"/>
        <v>2143122.7387499996</v>
      </c>
      <c r="BJ38" s="82">
        <f t="shared" si="96"/>
        <v>2250278.8756875009</v>
      </c>
      <c r="BK38" s="82">
        <f t="shared" si="96"/>
        <v>2250278.8756875009</v>
      </c>
      <c r="BL38" s="82">
        <f t="shared" si="96"/>
        <v>2250278.8756875009</v>
      </c>
      <c r="BM38" s="82">
        <f t="shared" si="96"/>
        <v>2250278.8756875009</v>
      </c>
      <c r="BN38" s="82">
        <f t="shared" si="96"/>
        <v>2250278.8756875009</v>
      </c>
      <c r="BO38" s="82">
        <f t="shared" si="96"/>
        <v>2250278.8756875009</v>
      </c>
      <c r="BP38" s="82">
        <f t="shared" si="96"/>
        <v>2250278.8756875009</v>
      </c>
      <c r="BQ38" s="82">
        <f t="shared" si="96"/>
        <v>2250278.8756875009</v>
      </c>
      <c r="BR38" s="82">
        <f t="shared" si="96"/>
        <v>2250278.8756875009</v>
      </c>
      <c r="BS38" s="82">
        <f t="shared" si="96"/>
        <v>2250278.8756875009</v>
      </c>
      <c r="BT38" s="82">
        <f t="shared" si="96"/>
        <v>2250278.8756875009</v>
      </c>
      <c r="BU38" s="82">
        <f t="shared" si="96"/>
        <v>2250278.8756875009</v>
      </c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</row>
    <row r="40" spans="1:88" s="52" customFormat="1" ht="14.25" customHeight="1">
      <c r="A40" s="51"/>
      <c r="B40" s="81" t="s">
        <v>175</v>
      </c>
      <c r="D40" s="85">
        <f>COUNTIF($K$36:$BU$36,"&lt;0")</f>
        <v>13</v>
      </c>
      <c r="E40" s="84" t="s">
        <v>165</v>
      </c>
      <c r="F40" s="83"/>
      <c r="G40" s="83"/>
      <c r="H40" s="83"/>
      <c r="I40" s="83"/>
      <c r="L40" s="84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</row>
    <row r="41" spans="1:88">
      <c r="K41" s="44"/>
      <c r="L41" s="44"/>
    </row>
  </sheetData>
  <conditionalFormatting sqref="A34:XFD34">
    <cfRule type="cellIs" dxfId="0" priority="1" operator="lessThan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X36"/>
  <sheetViews>
    <sheetView showGridLines="0"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19" sqref="G19"/>
    </sheetView>
  </sheetViews>
  <sheetFormatPr defaultRowHeight="15" outlineLevelRow="1" outlineLevelCol="1"/>
  <cols>
    <col min="1" max="1" width="5.140625" customWidth="1"/>
    <col min="2" max="2" width="36.7109375" customWidth="1"/>
    <col min="3" max="3" width="1.42578125" style="44" customWidth="1"/>
    <col min="4" max="4" width="19.7109375" style="33" customWidth="1"/>
    <col min="5" max="5" width="1.7109375" style="44" customWidth="1"/>
    <col min="6" max="6" width="17" style="33" customWidth="1"/>
    <col min="7" max="7" width="17.140625" style="33" customWidth="1"/>
    <col min="8" max="11" width="17.7109375" style="33" customWidth="1"/>
    <col min="12" max="12" width="2.5703125" style="86" customWidth="1"/>
    <col min="13" max="13" width="17.7109375" style="33" customWidth="1" outlineLevel="1"/>
    <col min="14" max="14" width="18.28515625" style="33" customWidth="1" outlineLevel="1"/>
    <col min="15" max="15" width="15.42578125" style="33" customWidth="1" outlineLevel="1"/>
    <col min="16" max="16" width="16" style="33" customWidth="1" outlineLevel="1" collapsed="1"/>
    <col min="17" max="20" width="16.5703125" style="33" customWidth="1" outlineLevel="1"/>
    <col min="21" max="23" width="13.5703125" style="33" customWidth="1" outlineLevel="1"/>
    <col min="24" max="24" width="19.28515625" style="33" customWidth="1" outlineLevel="1"/>
    <col min="25" max="25" width="15.5703125" style="33" customWidth="1" outlineLevel="1"/>
    <col min="26" max="26" width="16.7109375" style="33" customWidth="1" outlineLevel="1"/>
    <col min="27" max="27" width="16.42578125" style="33" customWidth="1" outlineLevel="1"/>
    <col min="28" max="28" width="14.28515625" style="33" customWidth="1" outlineLevel="1"/>
    <col min="29" max="29" width="15.140625" style="33" customWidth="1" outlineLevel="1"/>
    <col min="30" max="35" width="14.28515625" style="33" customWidth="1" outlineLevel="1"/>
    <col min="36" max="36" width="15.42578125" style="33" customWidth="1" outlineLevel="1"/>
    <col min="37" max="37" width="16.28515625" style="33" customWidth="1" outlineLevel="1"/>
    <col min="38" max="38" width="14.28515625" style="33" customWidth="1" outlineLevel="1"/>
    <col min="39" max="39" width="18.28515625" style="33" customWidth="1" outlineLevel="1"/>
    <col min="40" max="40" width="14.28515625" style="33" customWidth="1" outlineLevel="1"/>
    <col min="41" max="41" width="15.42578125" style="33" customWidth="1" outlineLevel="1"/>
    <col min="42" max="47" width="14.28515625" customWidth="1" outlineLevel="1"/>
    <col min="48" max="48" width="15.7109375" customWidth="1" outlineLevel="1"/>
    <col min="49" max="49" width="15.42578125" customWidth="1" outlineLevel="1"/>
    <col min="50" max="50" width="14.28515625" customWidth="1" outlineLevel="1"/>
    <col min="51" max="51" width="15.42578125" customWidth="1" outlineLevel="1"/>
    <col min="52" max="52" width="14.85546875" customWidth="1" outlineLevel="1"/>
    <col min="53" max="53" width="15.85546875" customWidth="1" outlineLevel="1"/>
    <col min="54" max="59" width="14.85546875" customWidth="1" outlineLevel="1"/>
    <col min="60" max="60" width="16.28515625" customWidth="1" outlineLevel="1"/>
    <col min="61" max="63" width="14.85546875" customWidth="1" outlineLevel="1"/>
    <col min="64" max="64" width="15.85546875" customWidth="1" outlineLevel="1"/>
    <col min="65" max="75" width="17" customWidth="1" outlineLevel="1"/>
  </cols>
  <sheetData>
    <row r="1" spans="2:75" ht="21">
      <c r="B1" s="68" t="s">
        <v>149</v>
      </c>
      <c r="D1" s="94">
        <v>1.2</v>
      </c>
      <c r="F1" s="94"/>
      <c r="G1" s="94"/>
      <c r="H1" s="94"/>
      <c r="I1" s="94"/>
      <c r="J1" s="94"/>
      <c r="K1" s="94"/>
      <c r="M1" s="94">
        <f>YEAR(M4)</f>
        <v>2019</v>
      </c>
      <c r="N1" s="94">
        <f t="shared" ref="N1:BW1" si="0">YEAR(N4)</f>
        <v>2019</v>
      </c>
      <c r="O1" s="94">
        <f t="shared" si="0"/>
        <v>2019</v>
      </c>
      <c r="P1" s="95">
        <f t="shared" si="0"/>
        <v>2020</v>
      </c>
      <c r="Q1" s="94">
        <f t="shared" si="0"/>
        <v>2020</v>
      </c>
      <c r="R1" s="94">
        <f t="shared" si="0"/>
        <v>2020</v>
      </c>
      <c r="S1" s="94">
        <f t="shared" si="0"/>
        <v>2020</v>
      </c>
      <c r="T1" s="94">
        <f t="shared" si="0"/>
        <v>2020</v>
      </c>
      <c r="U1" s="94">
        <f t="shared" si="0"/>
        <v>2020</v>
      </c>
      <c r="V1" s="94">
        <f t="shared" si="0"/>
        <v>2020</v>
      </c>
      <c r="W1" s="94">
        <f t="shared" si="0"/>
        <v>2020</v>
      </c>
      <c r="X1" s="94">
        <f t="shared" si="0"/>
        <v>2020</v>
      </c>
      <c r="Y1" s="94">
        <f t="shared" si="0"/>
        <v>2020</v>
      </c>
      <c r="Z1" s="94">
        <f t="shared" si="0"/>
        <v>2020</v>
      </c>
      <c r="AA1" s="94">
        <f t="shared" si="0"/>
        <v>2020</v>
      </c>
      <c r="AB1" s="95">
        <f t="shared" si="0"/>
        <v>2021</v>
      </c>
      <c r="AC1" s="94">
        <f t="shared" si="0"/>
        <v>2021</v>
      </c>
      <c r="AD1" s="94">
        <f t="shared" si="0"/>
        <v>2021</v>
      </c>
      <c r="AE1" s="94">
        <f t="shared" si="0"/>
        <v>2021</v>
      </c>
      <c r="AF1" s="94">
        <f t="shared" si="0"/>
        <v>2021</v>
      </c>
      <c r="AG1" s="94">
        <f t="shared" si="0"/>
        <v>2021</v>
      </c>
      <c r="AH1" s="94">
        <f t="shared" si="0"/>
        <v>2021</v>
      </c>
      <c r="AI1" s="94">
        <f t="shared" si="0"/>
        <v>2021</v>
      </c>
      <c r="AJ1" s="94">
        <f t="shared" si="0"/>
        <v>2021</v>
      </c>
      <c r="AK1" s="94">
        <f t="shared" si="0"/>
        <v>2021</v>
      </c>
      <c r="AL1" s="94">
        <f t="shared" si="0"/>
        <v>2021</v>
      </c>
      <c r="AM1" s="94">
        <f t="shared" si="0"/>
        <v>2021</v>
      </c>
      <c r="AN1" s="95">
        <f t="shared" si="0"/>
        <v>2022</v>
      </c>
      <c r="AO1" s="94">
        <f t="shared" si="0"/>
        <v>2022</v>
      </c>
      <c r="AP1" s="94">
        <f t="shared" si="0"/>
        <v>2022</v>
      </c>
      <c r="AQ1" s="94">
        <f t="shared" si="0"/>
        <v>2022</v>
      </c>
      <c r="AR1" s="94">
        <f t="shared" si="0"/>
        <v>2022</v>
      </c>
      <c r="AS1" s="94">
        <f t="shared" si="0"/>
        <v>2022</v>
      </c>
      <c r="AT1" s="94">
        <f t="shared" si="0"/>
        <v>2022</v>
      </c>
      <c r="AU1" s="94">
        <f t="shared" si="0"/>
        <v>2022</v>
      </c>
      <c r="AV1" s="94">
        <f t="shared" si="0"/>
        <v>2022</v>
      </c>
      <c r="AW1" s="94">
        <f t="shared" si="0"/>
        <v>2022</v>
      </c>
      <c r="AX1" s="94">
        <f t="shared" si="0"/>
        <v>2022</v>
      </c>
      <c r="AY1" s="94">
        <f t="shared" si="0"/>
        <v>2022</v>
      </c>
      <c r="AZ1" s="95">
        <f t="shared" si="0"/>
        <v>2023</v>
      </c>
      <c r="BA1" s="94">
        <f t="shared" si="0"/>
        <v>2023</v>
      </c>
      <c r="BB1" s="94">
        <f t="shared" si="0"/>
        <v>2023</v>
      </c>
      <c r="BC1" s="94">
        <f t="shared" si="0"/>
        <v>2023</v>
      </c>
      <c r="BD1" s="94">
        <f t="shared" si="0"/>
        <v>2023</v>
      </c>
      <c r="BE1" s="94">
        <f t="shared" si="0"/>
        <v>2023</v>
      </c>
      <c r="BF1" s="94">
        <f t="shared" si="0"/>
        <v>2023</v>
      </c>
      <c r="BG1" s="94">
        <f t="shared" si="0"/>
        <v>2023</v>
      </c>
      <c r="BH1" s="94">
        <f t="shared" si="0"/>
        <v>2023</v>
      </c>
      <c r="BI1" s="94">
        <f t="shared" si="0"/>
        <v>2023</v>
      </c>
      <c r="BJ1" s="94">
        <f t="shared" si="0"/>
        <v>2023</v>
      </c>
      <c r="BK1" s="94">
        <f t="shared" si="0"/>
        <v>2023</v>
      </c>
      <c r="BL1" s="95">
        <f t="shared" si="0"/>
        <v>2024</v>
      </c>
      <c r="BM1" s="94">
        <f t="shared" si="0"/>
        <v>2024</v>
      </c>
      <c r="BN1" s="94">
        <f t="shared" si="0"/>
        <v>2024</v>
      </c>
      <c r="BO1" s="94">
        <f t="shared" si="0"/>
        <v>2024</v>
      </c>
      <c r="BP1" s="94">
        <f t="shared" si="0"/>
        <v>2024</v>
      </c>
      <c r="BQ1" s="94">
        <f t="shared" si="0"/>
        <v>2024</v>
      </c>
      <c r="BR1" s="94">
        <f t="shared" si="0"/>
        <v>2024</v>
      </c>
      <c r="BS1" s="94">
        <f t="shared" si="0"/>
        <v>2024</v>
      </c>
      <c r="BT1" s="94">
        <f t="shared" si="0"/>
        <v>2024</v>
      </c>
      <c r="BU1" s="94">
        <f t="shared" si="0"/>
        <v>2024</v>
      </c>
      <c r="BV1" s="94">
        <f t="shared" si="0"/>
        <v>2024</v>
      </c>
      <c r="BW1" s="94">
        <f t="shared" si="0"/>
        <v>2024</v>
      </c>
    </row>
    <row r="2" spans="2:75" ht="15" customHeight="1">
      <c r="B2" s="68"/>
      <c r="AB2" s="67"/>
      <c r="AN2" s="67"/>
      <c r="AZ2" s="67"/>
      <c r="BA2" s="33"/>
    </row>
    <row r="3" spans="2:75" s="38" customFormat="1" ht="14.25" customHeight="1">
      <c r="C3" s="40"/>
      <c r="D3" s="39" t="s">
        <v>140</v>
      </c>
      <c r="E3" s="70"/>
      <c r="F3" s="39"/>
      <c r="G3" s="39"/>
      <c r="H3" s="39"/>
      <c r="I3" s="39"/>
      <c r="J3" s="39"/>
      <c r="K3" s="39"/>
      <c r="L3" s="87"/>
      <c r="M3" s="39">
        <v>0</v>
      </c>
      <c r="N3" s="39">
        <v>1</v>
      </c>
      <c r="O3" s="39">
        <v>2</v>
      </c>
      <c r="P3" s="39">
        <v>3</v>
      </c>
      <c r="Q3" s="39">
        <v>4</v>
      </c>
      <c r="R3" s="39">
        <v>5</v>
      </c>
      <c r="S3" s="39">
        <v>6</v>
      </c>
      <c r="T3" s="39">
        <v>7</v>
      </c>
      <c r="U3" s="39">
        <v>8</v>
      </c>
      <c r="V3" s="39">
        <v>9</v>
      </c>
      <c r="W3" s="39">
        <v>10</v>
      </c>
      <c r="X3" s="39">
        <v>11</v>
      </c>
      <c r="Y3" s="39">
        <v>12</v>
      </c>
      <c r="Z3" s="39">
        <v>13</v>
      </c>
      <c r="AA3" s="39">
        <v>14</v>
      </c>
      <c r="AB3" s="66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Z3" s="39"/>
      <c r="BA3" s="39"/>
    </row>
    <row r="4" spans="2:75" s="57" customFormat="1" ht="19.5" customHeight="1">
      <c r="B4" s="55" t="s">
        <v>142</v>
      </c>
      <c r="C4" s="56"/>
      <c r="D4" s="96" t="s">
        <v>158</v>
      </c>
      <c r="E4" s="71"/>
      <c r="F4" s="96">
        <v>2019</v>
      </c>
      <c r="G4" s="96">
        <v>2020</v>
      </c>
      <c r="H4" s="96">
        <v>2021</v>
      </c>
      <c r="I4" s="96">
        <v>2022</v>
      </c>
      <c r="J4" s="96">
        <v>2023</v>
      </c>
      <c r="K4" s="96">
        <v>2024</v>
      </c>
      <c r="L4" s="76"/>
      <c r="M4" s="55">
        <v>43739</v>
      </c>
      <c r="N4" s="55">
        <v>43770</v>
      </c>
      <c r="O4" s="55">
        <v>43800</v>
      </c>
      <c r="P4" s="55">
        <v>43831</v>
      </c>
      <c r="Q4" s="55">
        <v>43862</v>
      </c>
      <c r="R4" s="55">
        <v>43891</v>
      </c>
      <c r="S4" s="55">
        <v>43922</v>
      </c>
      <c r="T4" s="55">
        <v>43952</v>
      </c>
      <c r="U4" s="55">
        <v>43983</v>
      </c>
      <c r="V4" s="55">
        <v>44013</v>
      </c>
      <c r="W4" s="55">
        <v>44044</v>
      </c>
      <c r="X4" s="55">
        <v>44075</v>
      </c>
      <c r="Y4" s="55">
        <v>44105</v>
      </c>
      <c r="Z4" s="55">
        <v>44136</v>
      </c>
      <c r="AA4" s="55">
        <v>44166</v>
      </c>
      <c r="AB4" s="55">
        <v>44197</v>
      </c>
      <c r="AC4" s="55">
        <v>44228</v>
      </c>
      <c r="AD4" s="55">
        <v>44256</v>
      </c>
      <c r="AE4" s="55">
        <v>44287</v>
      </c>
      <c r="AF4" s="55">
        <v>44317</v>
      </c>
      <c r="AG4" s="55">
        <v>44348</v>
      </c>
      <c r="AH4" s="55">
        <v>44378</v>
      </c>
      <c r="AI4" s="55">
        <v>44409</v>
      </c>
      <c r="AJ4" s="55">
        <v>44440</v>
      </c>
      <c r="AK4" s="55">
        <v>44470</v>
      </c>
      <c r="AL4" s="55">
        <v>44501</v>
      </c>
      <c r="AM4" s="55">
        <v>44531</v>
      </c>
      <c r="AN4" s="55">
        <v>44562</v>
      </c>
      <c r="AO4" s="55">
        <v>44593</v>
      </c>
      <c r="AP4" s="55">
        <v>44621</v>
      </c>
      <c r="AQ4" s="55">
        <v>44652</v>
      </c>
      <c r="AR4" s="55">
        <v>44682</v>
      </c>
      <c r="AS4" s="55">
        <v>44713</v>
      </c>
      <c r="AT4" s="55">
        <v>44743</v>
      </c>
      <c r="AU4" s="55">
        <v>44774</v>
      </c>
      <c r="AV4" s="55">
        <v>44805</v>
      </c>
      <c r="AW4" s="55">
        <v>44835</v>
      </c>
      <c r="AX4" s="55">
        <v>44866</v>
      </c>
      <c r="AY4" s="55">
        <v>44896</v>
      </c>
      <c r="AZ4" s="55">
        <v>44927</v>
      </c>
      <c r="BA4" s="55">
        <v>44958</v>
      </c>
      <c r="BB4" s="55">
        <v>44986</v>
      </c>
      <c r="BC4" s="55">
        <v>45017</v>
      </c>
      <c r="BD4" s="55">
        <v>45047</v>
      </c>
      <c r="BE4" s="55">
        <v>45078</v>
      </c>
      <c r="BF4" s="55">
        <v>45108</v>
      </c>
      <c r="BG4" s="55">
        <v>45139</v>
      </c>
      <c r="BH4" s="55">
        <v>45170</v>
      </c>
      <c r="BI4" s="55">
        <v>45200</v>
      </c>
      <c r="BJ4" s="55">
        <v>45231</v>
      </c>
      <c r="BK4" s="55">
        <v>45261</v>
      </c>
      <c r="BL4" s="55">
        <v>45292</v>
      </c>
      <c r="BM4" s="55">
        <v>45323</v>
      </c>
      <c r="BN4" s="55">
        <v>45352</v>
      </c>
      <c r="BO4" s="55">
        <v>45383</v>
      </c>
      <c r="BP4" s="55">
        <v>45413</v>
      </c>
      <c r="BQ4" s="55">
        <v>45444</v>
      </c>
      <c r="BR4" s="55">
        <v>45474</v>
      </c>
      <c r="BS4" s="55">
        <v>45505</v>
      </c>
      <c r="BT4" s="55">
        <v>45536</v>
      </c>
      <c r="BU4" s="55">
        <v>45566</v>
      </c>
      <c r="BV4" s="55">
        <v>45597</v>
      </c>
      <c r="BW4" s="55">
        <v>45627</v>
      </c>
    </row>
    <row r="5" spans="2:75" s="77" customFormat="1" ht="8.25" customHeight="1">
      <c r="B5" s="56"/>
      <c r="C5" s="56"/>
      <c r="D5" s="56"/>
      <c r="E5" s="71"/>
      <c r="F5" s="56"/>
      <c r="G5" s="56"/>
      <c r="H5" s="56"/>
      <c r="I5" s="56"/>
      <c r="J5" s="56"/>
      <c r="K5" s="56"/>
      <c r="L5" s="7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2:75" s="19" customFormat="1" ht="15.75">
      <c r="B6" s="46" t="s">
        <v>95</v>
      </c>
      <c r="C6" s="41"/>
      <c r="D6" s="47">
        <f>SUM(F6:K6)</f>
        <v>690703906.25000012</v>
      </c>
      <c r="E6" s="72"/>
      <c r="F6" s="47">
        <f>SUMIF($M$1:$BW$1,F$4,$M6:$BW6)</f>
        <v>0</v>
      </c>
      <c r="G6" s="47">
        <f>SUMIF($M$1:$BW$1,G$4,$M6:$BW6)</f>
        <v>125000000.00000004</v>
      </c>
      <c r="H6" s="47">
        <f t="shared" ref="H6:K20" si="1">SUMIF($M$1:$BW$1,H$4,$M6:$BW6)</f>
        <v>131250000</v>
      </c>
      <c r="I6" s="47">
        <f t="shared" si="1"/>
        <v>137812500</v>
      </c>
      <c r="J6" s="47">
        <f t="shared" si="1"/>
        <v>144703125.00000003</v>
      </c>
      <c r="K6" s="47">
        <f>SUMIF($M$1:$BW$1,K$4,$M6:$BW6)</f>
        <v>151938281.25</v>
      </c>
      <c r="L6" s="88"/>
      <c r="M6" s="47"/>
      <c r="N6" s="47"/>
      <c r="O6" s="47"/>
      <c r="P6" s="47">
        <f>(OPEX!$C$11*OPEX!$C$12*OPEX!C2)/1.2</f>
        <v>10416666.666666668</v>
      </c>
      <c r="Q6" s="47">
        <f>(OPEX!$C$11*OPEX!$C$12*OPEX!D2)/1.2</f>
        <v>10416666.666666668</v>
      </c>
      <c r="R6" s="47">
        <f>(OPEX!$C$11*OPEX!$C$12*OPEX!E2)/1.2</f>
        <v>10416666.666666668</v>
      </c>
      <c r="S6" s="47">
        <f>(OPEX!$C$11*OPEX!$C$12*OPEX!F2)/1.2</f>
        <v>10416666.666666668</v>
      </c>
      <c r="T6" s="47">
        <f>(OPEX!$C$11*OPEX!$C$12*OPEX!G2)/1.2</f>
        <v>10416666.666666668</v>
      </c>
      <c r="U6" s="47">
        <f>(OPEX!$C$11*OPEX!$C$12*OPEX!H2)/1.2</f>
        <v>10416666.666666668</v>
      </c>
      <c r="V6" s="47">
        <f>(OPEX!$C$11*OPEX!$C$12*OPEX!I2)/1.2</f>
        <v>10416666.666666668</v>
      </c>
      <c r="W6" s="47">
        <f>(OPEX!$C$11*OPEX!$C$12*OPEX!J2)/1.2</f>
        <v>10416666.666666668</v>
      </c>
      <c r="X6" s="47">
        <f>(OPEX!$C$11*OPEX!$C$12*OPEX!K2)/1.2</f>
        <v>10416666.666666668</v>
      </c>
      <c r="Y6" s="47">
        <f>(OPEX!$C$11*OPEX!$C$12*OPEX!L2)/1.2</f>
        <v>10416666.666666668</v>
      </c>
      <c r="Z6" s="47">
        <f>(OPEX!$C$11*OPEX!$C$12*OPEX!M2)/1.2</f>
        <v>10416666.666666668</v>
      </c>
      <c r="AA6" s="47">
        <f>(OPEX!$C$11*OPEX!$C$12*OPEX!N2)/1.2</f>
        <v>10416666.666666668</v>
      </c>
      <c r="AB6" s="47">
        <f>(OPEX!$C$11*OPEX!$C$12*OPEX!C2*(1+OPEX!$C$4))/1.2</f>
        <v>10937500</v>
      </c>
      <c r="AC6" s="47">
        <f>(OPEX!$C$11*OPEX!$C$12*OPEX!D2*(1+OPEX!$C$4))/1.2</f>
        <v>10937500</v>
      </c>
      <c r="AD6" s="47">
        <f>(OPEX!$C$11*OPEX!$C$12*OPEX!E2*(1+OPEX!$C$4))/1.2</f>
        <v>10937500</v>
      </c>
      <c r="AE6" s="47">
        <f>(OPEX!$C$11*OPEX!$C$12*OPEX!F2*(1+OPEX!$C$4))/1.2</f>
        <v>10937500</v>
      </c>
      <c r="AF6" s="47">
        <f>(OPEX!$C$11*OPEX!$C$12*OPEX!G2*(1+OPEX!$C$4))/1.2</f>
        <v>10937500</v>
      </c>
      <c r="AG6" s="47">
        <f>(OPEX!$C$11*OPEX!$C$12*OPEX!H2*(1+OPEX!$C$4))/1.2</f>
        <v>10937500</v>
      </c>
      <c r="AH6" s="47">
        <f>(OPEX!$C$11*OPEX!$C$12*OPEX!I2*(1+OPEX!$C$4))/1.2</f>
        <v>10937500</v>
      </c>
      <c r="AI6" s="47">
        <f>(OPEX!$C$11*OPEX!$C$12*OPEX!J2*(1+OPEX!$C$4))/1.2</f>
        <v>10937500</v>
      </c>
      <c r="AJ6" s="47">
        <f>(OPEX!$C$11*OPEX!$C$12*OPEX!K2*(1+OPEX!$C$4))/1.2</f>
        <v>10937500</v>
      </c>
      <c r="AK6" s="47">
        <f>(OPEX!$C$11*OPEX!$C$12*OPEX!L2*(1+OPEX!$C$4))/1.2</f>
        <v>10937500</v>
      </c>
      <c r="AL6" s="47">
        <f>(OPEX!$C$11*OPEX!$C$12*OPEX!M2*(1+OPEX!$C$4))/1.2</f>
        <v>10937500</v>
      </c>
      <c r="AM6" s="47">
        <f>(OPEX!$C$11*OPEX!$C$12*OPEX!N2*(1+OPEX!$C$4))/1.2</f>
        <v>10937500</v>
      </c>
      <c r="AN6" s="47">
        <f>(OPEX!$C$11*OPEX!$C$12*OPEX!C2*(1+OPEX!$C$4)^2)/1.2</f>
        <v>11484375</v>
      </c>
      <c r="AO6" s="47">
        <f>(OPEX!$C$11*OPEX!$C$12*OPEX!D2*(1+OPEX!$C$4)^2)/1.2</f>
        <v>11484375</v>
      </c>
      <c r="AP6" s="47">
        <f>(OPEX!$C$11*OPEX!$C$12*OPEX!E2*(1+OPEX!$C$4)^2)/1.2</f>
        <v>11484375</v>
      </c>
      <c r="AQ6" s="47">
        <f>(OPEX!$C$11*OPEX!$C$12*OPEX!F2*(1+OPEX!$C$4)^2)/1.2</f>
        <v>11484375</v>
      </c>
      <c r="AR6" s="47">
        <f>(OPEX!$C$11*OPEX!$C$12*OPEX!G2*(1+OPEX!$C$4)^2)/1.2</f>
        <v>11484375</v>
      </c>
      <c r="AS6" s="47">
        <f>(OPEX!$C$11*OPEX!$C$12*OPEX!H2*(1+OPEX!$C$4)^2)/1.2</f>
        <v>11484375</v>
      </c>
      <c r="AT6" s="47">
        <f>(OPEX!$C$11*OPEX!$C$12*OPEX!I2*(1+OPEX!$C$4)^2)/1.2</f>
        <v>11484375</v>
      </c>
      <c r="AU6" s="47">
        <f>(OPEX!$C$11*OPEX!$C$12*OPEX!J2*(1+OPEX!$C$4)^2)/1.2</f>
        <v>11484375</v>
      </c>
      <c r="AV6" s="47">
        <f>(OPEX!$C$11*OPEX!$C$12*OPEX!K2*(1+OPEX!$C$4)^2)/1.2</f>
        <v>11484375</v>
      </c>
      <c r="AW6" s="47">
        <f>(OPEX!$C$11*OPEX!$C$12*OPEX!L2*(1+OPEX!$C$4)^2)/1.2</f>
        <v>11484375</v>
      </c>
      <c r="AX6" s="47">
        <f>(OPEX!$C$11*OPEX!$C$12*OPEX!M2*(1+OPEX!$C$4)^2)/1.2</f>
        <v>11484375</v>
      </c>
      <c r="AY6" s="47">
        <f>(OPEX!$C$11*OPEX!$C$12*OPEX!N2*(1+OPEX!$C$4)^2)/1.2</f>
        <v>11484375</v>
      </c>
      <c r="AZ6" s="47">
        <f>(OPEX!$C$11*OPEX!$C$12*OPEX!C2*(1+OPEX!$C$4)^3)/1.2</f>
        <v>12058593.750000002</v>
      </c>
      <c r="BA6" s="47">
        <f>(OPEX!$C$11*OPEX!$C$12*OPEX!D2*(1+OPEX!$C$4)^3)/1.2</f>
        <v>12058593.750000002</v>
      </c>
      <c r="BB6" s="47">
        <f>(OPEX!$C$11*OPEX!$C$12*OPEX!E2*(1+OPEX!$C$4)^3)/1.2</f>
        <v>12058593.750000002</v>
      </c>
      <c r="BC6" s="47">
        <f>(OPEX!$C$11*OPEX!$C$12*OPEX!F2*(1+OPEX!$C$4)^3)/1.2</f>
        <v>12058593.750000002</v>
      </c>
      <c r="BD6" s="47">
        <f>(OPEX!$C$11*OPEX!$C$12*OPEX!G2*(1+OPEX!$C$4)^3)/1.2</f>
        <v>12058593.750000002</v>
      </c>
      <c r="BE6" s="47">
        <f>(OPEX!$C$11*OPEX!$C$12*OPEX!H2*(1+OPEX!$C$4)^3)/1.2</f>
        <v>12058593.750000002</v>
      </c>
      <c r="BF6" s="47">
        <f>(OPEX!$C$11*OPEX!$C$12*OPEX!I2*(1+OPEX!$C$4)^3)/1.2</f>
        <v>12058593.750000002</v>
      </c>
      <c r="BG6" s="47">
        <f>(OPEX!$C$11*OPEX!$C$12*OPEX!J2*(1+OPEX!$C$4)^3)/1.2</f>
        <v>12058593.750000002</v>
      </c>
      <c r="BH6" s="47">
        <f>(OPEX!$C$11*OPEX!$C$12*OPEX!K2*(1+OPEX!$C$4)^3)/1.2</f>
        <v>12058593.750000002</v>
      </c>
      <c r="BI6" s="47">
        <f>(OPEX!$C$11*OPEX!$C$12*OPEX!L2*(1+OPEX!$C$4)^3)/1.2</f>
        <v>12058593.750000002</v>
      </c>
      <c r="BJ6" s="47">
        <f>(OPEX!$C$11*OPEX!$C$12*OPEX!M2*(1+OPEX!$C$4)^3)/1.2</f>
        <v>12058593.750000002</v>
      </c>
      <c r="BK6" s="47">
        <f>(OPEX!$C$11*OPEX!$C$12*OPEX!N2*(1+OPEX!$C$4)^3)/1.2</f>
        <v>12058593.750000002</v>
      </c>
      <c r="BL6" s="47">
        <f>(OPEX!$C$11*OPEX!$C$12*OPEX!N2*(1+OPEX!$C$4)^4)/1.2</f>
        <v>12661523.4375</v>
      </c>
      <c r="BM6" s="47">
        <f>(OPEX!$C$11*OPEX!$C$12*OPEX!C2*(1+OPEX!$C$4)^4)/1.2</f>
        <v>12661523.4375</v>
      </c>
      <c r="BN6" s="47">
        <f>(OPEX!$C$11*OPEX!$C$12*OPEX!D2*(1+OPEX!$C$4)^4)/1.2</f>
        <v>12661523.4375</v>
      </c>
      <c r="BO6" s="47">
        <f>(OPEX!$C$11*OPEX!$C$12*OPEX!E2*(1+OPEX!$C$4)^4)/1.2</f>
        <v>12661523.4375</v>
      </c>
      <c r="BP6" s="47">
        <f>(OPEX!$C$11*OPEX!$C$12*OPEX!F2*(1+OPEX!$C$4)^4)/1.2</f>
        <v>12661523.4375</v>
      </c>
      <c r="BQ6" s="47">
        <f>(OPEX!$C$11*OPEX!$C$12*OPEX!G2*(1+OPEX!$C$4)^4)/1.2</f>
        <v>12661523.4375</v>
      </c>
      <c r="BR6" s="47">
        <f>(OPEX!$C$11*OPEX!$C$12*OPEX!H2*(1+OPEX!$C$4)^4)/1.2</f>
        <v>12661523.4375</v>
      </c>
      <c r="BS6" s="47">
        <f>(OPEX!$C$11*OPEX!$C$12*OPEX!I2*(1+OPEX!$C$4)^4)/1.2</f>
        <v>12661523.4375</v>
      </c>
      <c r="BT6" s="47">
        <f>(OPEX!$C$11*OPEX!$C$12*OPEX!J2*(1+OPEX!$C$4)^4)/1.2</f>
        <v>12661523.4375</v>
      </c>
      <c r="BU6" s="47">
        <f>(OPEX!$C$11*OPEX!$C$12*OPEX!K2*(1+OPEX!$C$4)^4)/1.2</f>
        <v>12661523.4375</v>
      </c>
      <c r="BV6" s="47">
        <f>(OPEX!$C$11*OPEX!$C$12*OPEX!L2*(1+OPEX!$C$4)^4)/1.2</f>
        <v>12661523.4375</v>
      </c>
      <c r="BW6" s="47">
        <f>(OPEX!$C$11*OPEX!$C$12*OPEX!M2*(1+OPEX!$C$4)^4)/1.2</f>
        <v>12661523.4375</v>
      </c>
    </row>
    <row r="7" spans="2:75" s="19" customFormat="1" ht="8.25" customHeight="1">
      <c r="B7" s="45"/>
      <c r="C7" s="41"/>
      <c r="D7" s="34"/>
      <c r="E7" s="69"/>
      <c r="F7" s="34"/>
      <c r="G7" s="34"/>
      <c r="H7" s="34"/>
      <c r="I7" s="34"/>
      <c r="J7" s="34"/>
      <c r="K7" s="34"/>
      <c r="L7" s="89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</row>
    <row r="8" spans="2:75" s="19" customFormat="1" ht="15.75">
      <c r="B8" s="46" t="s">
        <v>143</v>
      </c>
      <c r="C8" s="41"/>
      <c r="D8" s="47">
        <f>SUM(F8:K8)</f>
        <v>-503644158.98062509</v>
      </c>
      <c r="E8" s="72"/>
      <c r="F8" s="47">
        <f t="shared" ref="F8:K29" si="2">SUMIF($M$1:$BW$1,F$4,$M8:$BW8)</f>
        <v>0</v>
      </c>
      <c r="G8" s="47">
        <f t="shared" si="2"/>
        <v>-91146900.000000015</v>
      </c>
      <c r="H8" s="47">
        <f t="shared" si="1"/>
        <v>-95704245</v>
      </c>
      <c r="I8" s="47">
        <f t="shared" si="1"/>
        <v>-100489457.25</v>
      </c>
      <c r="J8" s="47">
        <f t="shared" si="1"/>
        <v>-105513930.11250006</v>
      </c>
      <c r="K8" s="47">
        <f t="shared" si="1"/>
        <v>-110789626.61812501</v>
      </c>
      <c r="L8" s="88"/>
      <c r="M8" s="47"/>
      <c r="N8" s="47"/>
      <c r="O8" s="47"/>
      <c r="P8" s="47">
        <f>SUM(P9:P11)</f>
        <v>-7595575.0000000009</v>
      </c>
      <c r="Q8" s="47">
        <f t="shared" ref="Q8:AA8" si="3">SUM(Q9:Q11)</f>
        <v>-7595575.0000000009</v>
      </c>
      <c r="R8" s="47">
        <f t="shared" si="3"/>
        <v>-7595575.0000000009</v>
      </c>
      <c r="S8" s="47">
        <f t="shared" si="3"/>
        <v>-7595575.0000000009</v>
      </c>
      <c r="T8" s="47">
        <f t="shared" si="3"/>
        <v>-7595575.0000000009</v>
      </c>
      <c r="U8" s="47">
        <f t="shared" si="3"/>
        <v>-7595575.0000000009</v>
      </c>
      <c r="V8" s="47">
        <f t="shared" si="3"/>
        <v>-7595575.0000000009</v>
      </c>
      <c r="W8" s="47">
        <f t="shared" si="3"/>
        <v>-7595575.0000000009</v>
      </c>
      <c r="X8" s="47">
        <f t="shared" si="3"/>
        <v>-7595575.0000000009</v>
      </c>
      <c r="Y8" s="47">
        <f t="shared" si="3"/>
        <v>-7595575.0000000009</v>
      </c>
      <c r="Z8" s="47">
        <f t="shared" si="3"/>
        <v>-7595575.0000000009</v>
      </c>
      <c r="AA8" s="47">
        <f t="shared" si="3"/>
        <v>-7595575.0000000009</v>
      </c>
      <c r="AB8" s="47">
        <f t="shared" ref="AB8:AY8" si="4">SUM(AB9:AB11)</f>
        <v>-7975353.75</v>
      </c>
      <c r="AC8" s="47">
        <f t="shared" ref="AC8:AM8" si="5">SUM(AC9:AC11)</f>
        <v>-7975353.75</v>
      </c>
      <c r="AD8" s="47">
        <f t="shared" si="5"/>
        <v>-7975353.75</v>
      </c>
      <c r="AE8" s="47">
        <f t="shared" si="5"/>
        <v>-7975353.75</v>
      </c>
      <c r="AF8" s="47">
        <f t="shared" si="5"/>
        <v>-7975353.75</v>
      </c>
      <c r="AG8" s="47">
        <f t="shared" si="5"/>
        <v>-7975353.75</v>
      </c>
      <c r="AH8" s="47">
        <f t="shared" si="5"/>
        <v>-7975353.75</v>
      </c>
      <c r="AI8" s="47">
        <f t="shared" si="5"/>
        <v>-7975353.75</v>
      </c>
      <c r="AJ8" s="47">
        <f t="shared" si="5"/>
        <v>-7975353.75</v>
      </c>
      <c r="AK8" s="47">
        <f t="shared" si="5"/>
        <v>-7975353.75</v>
      </c>
      <c r="AL8" s="47">
        <f t="shared" si="5"/>
        <v>-7975353.75</v>
      </c>
      <c r="AM8" s="47">
        <f t="shared" si="5"/>
        <v>-7975353.75</v>
      </c>
      <c r="AN8" s="47">
        <f t="shared" si="4"/>
        <v>-8374121.4375</v>
      </c>
      <c r="AO8" s="47">
        <f t="shared" si="4"/>
        <v>-8374121.4375</v>
      </c>
      <c r="AP8" s="47">
        <f t="shared" si="4"/>
        <v>-8374121.4375</v>
      </c>
      <c r="AQ8" s="47">
        <f t="shared" si="4"/>
        <v>-8374121.4375</v>
      </c>
      <c r="AR8" s="47">
        <f t="shared" si="4"/>
        <v>-8374121.4375</v>
      </c>
      <c r="AS8" s="47">
        <f t="shared" si="4"/>
        <v>-8374121.4375</v>
      </c>
      <c r="AT8" s="47">
        <f t="shared" si="4"/>
        <v>-8374121.4375</v>
      </c>
      <c r="AU8" s="47">
        <f t="shared" si="4"/>
        <v>-8374121.4375</v>
      </c>
      <c r="AV8" s="47">
        <f t="shared" si="4"/>
        <v>-8374121.4375</v>
      </c>
      <c r="AW8" s="47">
        <f t="shared" si="4"/>
        <v>-8374121.4375</v>
      </c>
      <c r="AX8" s="47">
        <f t="shared" si="4"/>
        <v>-8374121.4375</v>
      </c>
      <c r="AY8" s="47">
        <f t="shared" si="4"/>
        <v>-8374121.4375</v>
      </c>
      <c r="AZ8" s="47">
        <f t="shared" ref="AZ8" si="6">SUM(AZ9:AZ11)</f>
        <v>-8792827.5093750022</v>
      </c>
      <c r="BA8" s="47">
        <f t="shared" ref="BA8:BK8" si="7">SUM(BA9:BA11)</f>
        <v>-8792827.5093750022</v>
      </c>
      <c r="BB8" s="47">
        <f t="shared" si="7"/>
        <v>-8792827.5093750022</v>
      </c>
      <c r="BC8" s="47">
        <f t="shared" si="7"/>
        <v>-8792827.5093750022</v>
      </c>
      <c r="BD8" s="47">
        <f t="shared" si="7"/>
        <v>-8792827.5093750022</v>
      </c>
      <c r="BE8" s="47">
        <f t="shared" si="7"/>
        <v>-8792827.5093750022</v>
      </c>
      <c r="BF8" s="47">
        <f t="shared" si="7"/>
        <v>-8792827.5093750022</v>
      </c>
      <c r="BG8" s="47">
        <f t="shared" si="7"/>
        <v>-8792827.5093750022</v>
      </c>
      <c r="BH8" s="47">
        <f t="shared" si="7"/>
        <v>-8792827.5093750022</v>
      </c>
      <c r="BI8" s="47">
        <f t="shared" si="7"/>
        <v>-8792827.5093750022</v>
      </c>
      <c r="BJ8" s="47">
        <f t="shared" si="7"/>
        <v>-8792827.5093750022</v>
      </c>
      <c r="BK8" s="47">
        <f t="shared" si="7"/>
        <v>-8792827.5093750022</v>
      </c>
      <c r="BL8" s="47">
        <f t="shared" ref="BL8:BW8" si="8">SUM(BL9:BL11)</f>
        <v>-9232468.8848437499</v>
      </c>
      <c r="BM8" s="47">
        <f t="shared" si="8"/>
        <v>-9232468.8848437499</v>
      </c>
      <c r="BN8" s="47">
        <f t="shared" si="8"/>
        <v>-9232468.8848437499</v>
      </c>
      <c r="BO8" s="47">
        <f t="shared" si="8"/>
        <v>-9232468.8848437499</v>
      </c>
      <c r="BP8" s="47">
        <f t="shared" si="8"/>
        <v>-9232468.8848437499</v>
      </c>
      <c r="BQ8" s="47">
        <f t="shared" si="8"/>
        <v>-9232468.8848437499</v>
      </c>
      <c r="BR8" s="47">
        <f t="shared" si="8"/>
        <v>-9232468.8848437499</v>
      </c>
      <c r="BS8" s="47">
        <f t="shared" si="8"/>
        <v>-9232468.8848437499</v>
      </c>
      <c r="BT8" s="47">
        <f t="shared" si="8"/>
        <v>-9232468.8848437499</v>
      </c>
      <c r="BU8" s="47">
        <f t="shared" si="8"/>
        <v>-9232468.8848437499</v>
      </c>
      <c r="BV8" s="47">
        <f t="shared" si="8"/>
        <v>-9232468.8848437499</v>
      </c>
      <c r="BW8" s="47">
        <f t="shared" si="8"/>
        <v>-9232468.8848437499</v>
      </c>
    </row>
    <row r="9" spans="2:75" s="30" customFormat="1" outlineLevel="1">
      <c r="B9" s="29" t="s">
        <v>114</v>
      </c>
      <c r="C9" s="42"/>
      <c r="D9" s="35">
        <f t="shared" ref="D9:D29" si="9">SUM(F9:K9)</f>
        <v>-245338027.5</v>
      </c>
      <c r="E9" s="73"/>
      <c r="F9" s="35">
        <f t="shared" si="2"/>
        <v>0</v>
      </c>
      <c r="G9" s="35">
        <f t="shared" si="2"/>
        <v>-44400000</v>
      </c>
      <c r="H9" s="35">
        <f t="shared" si="1"/>
        <v>-46620000</v>
      </c>
      <c r="I9" s="35">
        <f t="shared" si="1"/>
        <v>-48951000</v>
      </c>
      <c r="J9" s="35">
        <f t="shared" si="1"/>
        <v>-51398550.000000007</v>
      </c>
      <c r="K9" s="35">
        <f t="shared" si="1"/>
        <v>-53968477.5</v>
      </c>
      <c r="L9" s="90"/>
      <c r="M9" s="35"/>
      <c r="N9" s="35"/>
      <c r="O9" s="35"/>
      <c r="P9" s="35">
        <f>(-OPEX!$C$22*OPEX!$C$12)/1.2</f>
        <v>-3700000</v>
      </c>
      <c r="Q9" s="35">
        <f>(-OPEX!$C$22*OPEX!$C$12)/1.2</f>
        <v>-3700000</v>
      </c>
      <c r="R9" s="35">
        <f>(-OPEX!$C$22*OPEX!$C$12)/1.2</f>
        <v>-3700000</v>
      </c>
      <c r="S9" s="35">
        <f>(-OPEX!$C$22*OPEX!$C$12)/1.2</f>
        <v>-3700000</v>
      </c>
      <c r="T9" s="35">
        <f>(-OPEX!$C$22*OPEX!$C$12)/1.2</f>
        <v>-3700000</v>
      </c>
      <c r="U9" s="35">
        <f>(-OPEX!$C$22*OPEX!$C$12)/1.2</f>
        <v>-3700000</v>
      </c>
      <c r="V9" s="35">
        <f>(-OPEX!$C$22*OPEX!$C$12)/1.2</f>
        <v>-3700000</v>
      </c>
      <c r="W9" s="35">
        <f>(-OPEX!$C$22*OPEX!$C$12)/1.2</f>
        <v>-3700000</v>
      </c>
      <c r="X9" s="35">
        <f>(-OPEX!$C$22*OPEX!$C$12)/1.2</f>
        <v>-3700000</v>
      </c>
      <c r="Y9" s="35">
        <f>(-OPEX!$C$22*OPEX!$C$12)/1.2</f>
        <v>-3700000</v>
      </c>
      <c r="Z9" s="35">
        <f>(-OPEX!$C$22*OPEX!$C$12)/1.2</f>
        <v>-3700000</v>
      </c>
      <c r="AA9" s="35">
        <f>(-OPEX!$C$22*OPEX!$C$12)/1.2</f>
        <v>-3700000</v>
      </c>
      <c r="AB9" s="35">
        <f>(-OPEX!$C$22*OPEX!$C$12*(1+OPEX!$C$4))/1.2</f>
        <v>-3885000</v>
      </c>
      <c r="AC9" s="35">
        <f>(-OPEX!$C$22*OPEX!$C$12*(1+OPEX!$C$4))/1.2</f>
        <v>-3885000</v>
      </c>
      <c r="AD9" s="35">
        <f>(-OPEX!$C$22*OPEX!$C$12*(1+OPEX!$C$4))/1.2</f>
        <v>-3885000</v>
      </c>
      <c r="AE9" s="35">
        <f>(-OPEX!$C$22*OPEX!$C$12*(1+OPEX!$C$4))/1.2</f>
        <v>-3885000</v>
      </c>
      <c r="AF9" s="35">
        <f>(-OPEX!$C$22*OPEX!$C$12*(1+OPEX!$C$4))/1.2</f>
        <v>-3885000</v>
      </c>
      <c r="AG9" s="35">
        <f>(-OPEX!$C$22*OPEX!$C$12*(1+OPEX!$C$4))/1.2</f>
        <v>-3885000</v>
      </c>
      <c r="AH9" s="35">
        <f>(-OPEX!$C$22*OPEX!$C$12*(1+OPEX!$C$4))/1.2</f>
        <v>-3885000</v>
      </c>
      <c r="AI9" s="35">
        <f>(-OPEX!$C$22*OPEX!$C$12*(1+OPEX!$C$4))/1.2</f>
        <v>-3885000</v>
      </c>
      <c r="AJ9" s="35">
        <f>(-OPEX!$C$22*OPEX!$C$12*(1+OPEX!$C$4))/1.2</f>
        <v>-3885000</v>
      </c>
      <c r="AK9" s="35">
        <f>(-OPEX!$C$22*OPEX!$C$12*(1+OPEX!$C$4))/1.2</f>
        <v>-3885000</v>
      </c>
      <c r="AL9" s="35">
        <f>(-OPEX!$C$22*OPEX!$C$12*(1+OPEX!$C$4))/1.2</f>
        <v>-3885000</v>
      </c>
      <c r="AM9" s="35">
        <f>(-OPEX!$C$22*OPEX!$C$12*(1+OPEX!$C$4))/1.2</f>
        <v>-3885000</v>
      </c>
      <c r="AN9" s="35">
        <f>(-OPEX!$C$22*OPEX!$C$12*(1+OPEX!$C$4)^2)/1.2</f>
        <v>-4079250</v>
      </c>
      <c r="AO9" s="35">
        <f>(-OPEX!$C$22*OPEX!$C$12*(1+OPEX!$C$4)^2)/1.2</f>
        <v>-4079250</v>
      </c>
      <c r="AP9" s="35">
        <f>(-OPEX!$C$22*OPEX!$C$12*(1+OPEX!$C$4)^2)/1.2</f>
        <v>-4079250</v>
      </c>
      <c r="AQ9" s="35">
        <f>(-OPEX!$C$22*OPEX!$C$12*(1+OPEX!$C$4)^2)/1.2</f>
        <v>-4079250</v>
      </c>
      <c r="AR9" s="35">
        <f>(-OPEX!$C$22*OPEX!$C$12*(1+OPEX!$C$4)^2)/1.2</f>
        <v>-4079250</v>
      </c>
      <c r="AS9" s="35">
        <f>(-OPEX!$C$22*OPEX!$C$12*(1+OPEX!$C$4)^2)/1.2</f>
        <v>-4079250</v>
      </c>
      <c r="AT9" s="35">
        <f>(-OPEX!$C$22*OPEX!$C$12*(1+OPEX!$C$4)^2)/1.2</f>
        <v>-4079250</v>
      </c>
      <c r="AU9" s="35">
        <f>(-OPEX!$C$22*OPEX!$C$12*(1+OPEX!$C$4)^2)/1.2</f>
        <v>-4079250</v>
      </c>
      <c r="AV9" s="35">
        <f>(-OPEX!$C$22*OPEX!$C$12*(1+OPEX!$C$4)^2)/1.2</f>
        <v>-4079250</v>
      </c>
      <c r="AW9" s="35">
        <f>(-OPEX!$C$22*OPEX!$C$12*(1+OPEX!$C$4)^2)/1.2</f>
        <v>-4079250</v>
      </c>
      <c r="AX9" s="35">
        <f>(-OPEX!$C$22*OPEX!$C$12*(1+OPEX!$C$4)^2)/1.2</f>
        <v>-4079250</v>
      </c>
      <c r="AY9" s="35">
        <f>(-OPEX!$C$22*OPEX!$C$12*(1+OPEX!$C$4)^2)/1.2</f>
        <v>-4079250</v>
      </c>
      <c r="AZ9" s="35">
        <f>(-OPEX!$C$22*OPEX!$C$12*(1+OPEX!$C$4)^3)/1.2</f>
        <v>-4283212.5000000009</v>
      </c>
      <c r="BA9" s="35">
        <f>(-OPEX!$C$22*OPEX!$C$12*(1+OPEX!$C$4)^3)/1.2</f>
        <v>-4283212.5000000009</v>
      </c>
      <c r="BB9" s="35">
        <f>(-OPEX!$C$22*OPEX!$C$12*(1+OPEX!$C$4)^3)/1.2</f>
        <v>-4283212.5000000009</v>
      </c>
      <c r="BC9" s="35">
        <f>(-OPEX!$C$22*OPEX!$C$12*(1+OPEX!$C$4)^3)/1.2</f>
        <v>-4283212.5000000009</v>
      </c>
      <c r="BD9" s="35">
        <f>(-OPEX!$C$22*OPEX!$C$12*(1+OPEX!$C$4)^3)/1.2</f>
        <v>-4283212.5000000009</v>
      </c>
      <c r="BE9" s="35">
        <f>(-OPEX!$C$22*OPEX!$C$12*(1+OPEX!$C$4)^3)/1.2</f>
        <v>-4283212.5000000009</v>
      </c>
      <c r="BF9" s="35">
        <f>(-OPEX!$C$22*OPEX!$C$12*(1+OPEX!$C$4)^3)/1.2</f>
        <v>-4283212.5000000009</v>
      </c>
      <c r="BG9" s="35">
        <f>(-OPEX!$C$22*OPEX!$C$12*(1+OPEX!$C$4)^3)/1.2</f>
        <v>-4283212.5000000009</v>
      </c>
      <c r="BH9" s="35">
        <f>(-OPEX!$C$22*OPEX!$C$12*(1+OPEX!$C$4)^3)/1.2</f>
        <v>-4283212.5000000009</v>
      </c>
      <c r="BI9" s="35">
        <f>(-OPEX!$C$22*OPEX!$C$12*(1+OPEX!$C$4)^3)/1.2</f>
        <v>-4283212.5000000009</v>
      </c>
      <c r="BJ9" s="35">
        <f>(-OPEX!$C$22*OPEX!$C$12*(1+OPEX!$C$4)^3)/1.2</f>
        <v>-4283212.5000000009</v>
      </c>
      <c r="BK9" s="35">
        <f>(-OPEX!$C$22*OPEX!$C$12*(1+OPEX!$C$4)^3)/1.2</f>
        <v>-4283212.5000000009</v>
      </c>
      <c r="BL9" s="35">
        <f>(-OPEX!$C$22*OPEX!$C$12*(1+OPEX!$C$4)^4)/1.2</f>
        <v>-4497373.125</v>
      </c>
      <c r="BM9" s="35">
        <f>(-OPEX!$C$22*OPEX!$C$12*(1+OPEX!$C$4)^4)/1.2</f>
        <v>-4497373.125</v>
      </c>
      <c r="BN9" s="35">
        <f>(-OPEX!$C$22*OPEX!$C$12*(1+OPEX!$C$4)^4)/1.2</f>
        <v>-4497373.125</v>
      </c>
      <c r="BO9" s="35">
        <f>(-OPEX!$C$22*OPEX!$C$12*(1+OPEX!$C$4)^4)/1.2</f>
        <v>-4497373.125</v>
      </c>
      <c r="BP9" s="35">
        <f>(-OPEX!$C$22*OPEX!$C$12*(1+OPEX!$C$4)^4)/1.2</f>
        <v>-4497373.125</v>
      </c>
      <c r="BQ9" s="35">
        <f>(-OPEX!$C$22*OPEX!$C$12*(1+OPEX!$C$4)^4)/1.2</f>
        <v>-4497373.125</v>
      </c>
      <c r="BR9" s="35">
        <f>(-OPEX!$C$22*OPEX!$C$12*(1+OPEX!$C$4)^4)/1.2</f>
        <v>-4497373.125</v>
      </c>
      <c r="BS9" s="35">
        <f>(-OPEX!$C$22*OPEX!$C$12*(1+OPEX!$C$4)^4)/1.2</f>
        <v>-4497373.125</v>
      </c>
      <c r="BT9" s="35">
        <f>(-OPEX!$C$22*OPEX!$C$12*(1+OPEX!$C$4)^4)/1.2</f>
        <v>-4497373.125</v>
      </c>
      <c r="BU9" s="35">
        <f>(-OPEX!$C$22*OPEX!$C$12*(1+OPEX!$C$4)^4)/1.2</f>
        <v>-4497373.125</v>
      </c>
      <c r="BV9" s="35">
        <f>(-OPEX!$C$22*OPEX!$C$12*(1+OPEX!$C$4)^4)/1.2</f>
        <v>-4497373.125</v>
      </c>
      <c r="BW9" s="35">
        <f>(-OPEX!$C$22*OPEX!$C$12*(1+OPEX!$C$4)^4)/1.2</f>
        <v>-4497373.125</v>
      </c>
    </row>
    <row r="10" spans="2:75" s="30" customFormat="1" outlineLevel="1">
      <c r="B10" s="29" t="s">
        <v>115</v>
      </c>
      <c r="C10" s="42"/>
      <c r="D10" s="35">
        <f t="shared" si="9"/>
        <v>-244038951.59312502</v>
      </c>
      <c r="E10" s="73"/>
      <c r="F10" s="35">
        <f t="shared" si="2"/>
        <v>0</v>
      </c>
      <c r="G10" s="35">
        <f t="shared" si="2"/>
        <v>-44164900</v>
      </c>
      <c r="H10" s="35">
        <f t="shared" si="1"/>
        <v>-46373145</v>
      </c>
      <c r="I10" s="35">
        <f t="shared" si="1"/>
        <v>-48691802.250000007</v>
      </c>
      <c r="J10" s="35">
        <f t="shared" si="1"/>
        <v>-51126392.362500004</v>
      </c>
      <c r="K10" s="35">
        <f t="shared" si="1"/>
        <v>-53682711.980625004</v>
      </c>
      <c r="L10" s="90"/>
      <c r="M10" s="35"/>
      <c r="N10" s="35"/>
      <c r="O10" s="35"/>
      <c r="P10" s="35">
        <f>(-IF(OPEX!$C$9="строительная",OPEX!$C$30*OPEX!$C$12,OPEX!$C$31*OPEX!$C$14))/1.2</f>
        <v>-3680408.3333333335</v>
      </c>
      <c r="Q10" s="35">
        <f>(-IF(OPEX!$C$9="строительная",OPEX!$C$30*OPEX!$C$12,OPEX!$C$31*OPEX!$C$14))/1.2</f>
        <v>-3680408.3333333335</v>
      </c>
      <c r="R10" s="35">
        <f>(-IF(OPEX!$C$9="строительная",OPEX!$C$30*OPEX!$C$12,OPEX!$C$31*OPEX!$C$14))/1.2</f>
        <v>-3680408.3333333335</v>
      </c>
      <c r="S10" s="35">
        <f>(-IF(OPEX!$C$9="строительная",OPEX!$C$30*OPEX!$C$12,OPEX!$C$31*OPEX!$C$14))/1.2</f>
        <v>-3680408.3333333335</v>
      </c>
      <c r="T10" s="35">
        <f>(-IF(OPEX!$C$9="строительная",OPEX!$C$30*OPEX!$C$12,OPEX!$C$31*OPEX!$C$14))/1.2</f>
        <v>-3680408.3333333335</v>
      </c>
      <c r="U10" s="35">
        <f>(-IF(OPEX!$C$9="строительная",OPEX!$C$30*OPEX!$C$12,OPEX!$C$31*OPEX!$C$14))/1.2</f>
        <v>-3680408.3333333335</v>
      </c>
      <c r="V10" s="35">
        <f>(-IF(OPEX!$C$9="строительная",OPEX!$C$30*OPEX!$C$12,OPEX!$C$31*OPEX!$C$14))/1.2</f>
        <v>-3680408.3333333335</v>
      </c>
      <c r="W10" s="35">
        <f>(-IF(OPEX!$C$9="строительная",OPEX!$C$30*OPEX!$C$12,OPEX!$C$31*OPEX!$C$14))/1.2</f>
        <v>-3680408.3333333335</v>
      </c>
      <c r="X10" s="35">
        <f>(-IF(OPEX!$C$9="строительная",OPEX!$C$30*OPEX!$C$12,OPEX!$C$31*OPEX!$C$14))/1.2</f>
        <v>-3680408.3333333335</v>
      </c>
      <c r="Y10" s="35">
        <f>(-IF(OPEX!$C$9="строительная",OPEX!$C$30*OPEX!$C$12,OPEX!$C$31*OPEX!$C$14))/1.2</f>
        <v>-3680408.3333333335</v>
      </c>
      <c r="Z10" s="35">
        <f>(-IF(OPEX!$C$9="строительная",OPEX!$C$30*OPEX!$C$12,OPEX!$C$31*OPEX!$C$14))/1.2</f>
        <v>-3680408.3333333335</v>
      </c>
      <c r="AA10" s="35">
        <f>(-IF(OPEX!$C$9="строительная",OPEX!$C$30*OPEX!$C$12,OPEX!$C$31*OPEX!$C$14))/1.2</f>
        <v>-3680408.3333333335</v>
      </c>
      <c r="AB10" s="35">
        <f>(-IF(OPEX!$C$9="строительная",OPEX!$C$30*OPEX!$C$12,OPEX!$C$31*OPEX!$C$14)*(1+OPEX!$C$4))/1.2</f>
        <v>-3864428.75</v>
      </c>
      <c r="AC10" s="35">
        <f>(-IF(OPEX!$C$9="строительная",OPEX!$C$30*OPEX!$C$12,OPEX!$C$31*OPEX!$C$14)*(1+OPEX!$C$4))/1.2</f>
        <v>-3864428.75</v>
      </c>
      <c r="AD10" s="35">
        <f>(-IF(OPEX!$C$9="строительная",OPEX!$C$30*OPEX!$C$12,OPEX!$C$31*OPEX!$C$14)*(1+OPEX!$C$4))/1.2</f>
        <v>-3864428.75</v>
      </c>
      <c r="AE10" s="35">
        <f>(-IF(OPEX!$C$9="строительная",OPEX!$C$30*OPEX!$C$12,OPEX!$C$31*OPEX!$C$14)*(1+OPEX!$C$4))/1.2</f>
        <v>-3864428.75</v>
      </c>
      <c r="AF10" s="35">
        <f>(-IF(OPEX!$C$9="строительная",OPEX!$C$30*OPEX!$C$12,OPEX!$C$31*OPEX!$C$14)*(1+OPEX!$C$4))/1.2</f>
        <v>-3864428.75</v>
      </c>
      <c r="AG10" s="35">
        <f>(-IF(OPEX!$C$9="строительная",OPEX!$C$30*OPEX!$C$12,OPEX!$C$31*OPEX!$C$14)*(1+OPEX!$C$4))/1.2</f>
        <v>-3864428.75</v>
      </c>
      <c r="AH10" s="35">
        <f>(-IF(OPEX!$C$9="строительная",OPEX!$C$30*OPEX!$C$12,OPEX!$C$31*OPEX!$C$14)*(1+OPEX!$C$4))/1.2</f>
        <v>-3864428.75</v>
      </c>
      <c r="AI10" s="35">
        <f>(-IF(OPEX!$C$9="строительная",OPEX!$C$30*OPEX!$C$12,OPEX!$C$31*OPEX!$C$14)*(1+OPEX!$C$4))/1.2</f>
        <v>-3864428.75</v>
      </c>
      <c r="AJ10" s="35">
        <f>(-IF(OPEX!$C$9="строительная",OPEX!$C$30*OPEX!$C$12,OPEX!$C$31*OPEX!$C$14)*(1+OPEX!$C$4))/1.2</f>
        <v>-3864428.75</v>
      </c>
      <c r="AK10" s="35">
        <f>(-IF(OPEX!$C$9="строительная",OPEX!$C$30*OPEX!$C$12,OPEX!$C$31*OPEX!$C$14)*(1+OPEX!$C$4))/1.2</f>
        <v>-3864428.75</v>
      </c>
      <c r="AL10" s="35">
        <f>(-IF(OPEX!$C$9="строительная",OPEX!$C$30*OPEX!$C$12,OPEX!$C$31*OPEX!$C$14)*(1+OPEX!$C$4))/1.2</f>
        <v>-3864428.75</v>
      </c>
      <c r="AM10" s="35">
        <f>(-IF(OPEX!$C$9="строительная",OPEX!$C$30*OPEX!$C$12,OPEX!$C$31*OPEX!$C$14)*(1+OPEX!$C$4))/1.2</f>
        <v>-3864428.75</v>
      </c>
      <c r="AN10" s="35">
        <f>(-IF(OPEX!$C$9="строительная",OPEX!$C$30*OPEX!$C$12,OPEX!$C$31*OPEX!$C$14)*(1+OPEX!$C$4)^2)/1.2</f>
        <v>-4057650.1875000005</v>
      </c>
      <c r="AO10" s="35">
        <f>(-IF(OPEX!$C$9="строительная",OPEX!$C$30*OPEX!$C$12,OPEX!$C$31*OPEX!$C$14)*(1+OPEX!$C$4)^2)/1.2</f>
        <v>-4057650.1875000005</v>
      </c>
      <c r="AP10" s="35">
        <f>(-IF(OPEX!$C$9="строительная",OPEX!$C$30*OPEX!$C$12,OPEX!$C$31*OPEX!$C$14)*(1+OPEX!$C$4)^2)/1.2</f>
        <v>-4057650.1875000005</v>
      </c>
      <c r="AQ10" s="35">
        <f>(-IF(OPEX!$C$9="строительная",OPEX!$C$30*OPEX!$C$12,OPEX!$C$31*OPEX!$C$14)*(1+OPEX!$C$4)^2)/1.2</f>
        <v>-4057650.1875000005</v>
      </c>
      <c r="AR10" s="35">
        <f>(-IF(OPEX!$C$9="строительная",OPEX!$C$30*OPEX!$C$12,OPEX!$C$31*OPEX!$C$14)*(1+OPEX!$C$4)^2)/1.2</f>
        <v>-4057650.1875000005</v>
      </c>
      <c r="AS10" s="35">
        <f>(-IF(OPEX!$C$9="строительная",OPEX!$C$30*OPEX!$C$12,OPEX!$C$31*OPEX!$C$14)*(1+OPEX!$C$4)^2)/1.2</f>
        <v>-4057650.1875000005</v>
      </c>
      <c r="AT10" s="35">
        <f>(-IF(OPEX!$C$9="строительная",OPEX!$C$30*OPEX!$C$12,OPEX!$C$31*OPEX!$C$14)*(1+OPEX!$C$4)^2)/1.2</f>
        <v>-4057650.1875000005</v>
      </c>
      <c r="AU10" s="35">
        <f>(-IF(OPEX!$C$9="строительная",OPEX!$C$30*OPEX!$C$12,OPEX!$C$31*OPEX!$C$14)*(1+OPEX!$C$4)^2)/1.2</f>
        <v>-4057650.1875000005</v>
      </c>
      <c r="AV10" s="35">
        <f>(-IF(OPEX!$C$9="строительная",OPEX!$C$30*OPEX!$C$12,OPEX!$C$31*OPEX!$C$14)*(1+OPEX!$C$4)^2)/1.2</f>
        <v>-4057650.1875000005</v>
      </c>
      <c r="AW10" s="35">
        <f>(-IF(OPEX!$C$9="строительная",OPEX!$C$30*OPEX!$C$12,OPEX!$C$31*OPEX!$C$14)*(1+OPEX!$C$4)^2)/1.2</f>
        <v>-4057650.1875000005</v>
      </c>
      <c r="AX10" s="35">
        <f>(-IF(OPEX!$C$9="строительная",OPEX!$C$30*OPEX!$C$12,OPEX!$C$31*OPEX!$C$14)*(1+OPEX!$C$4)^2)/1.2</f>
        <v>-4057650.1875000005</v>
      </c>
      <c r="AY10" s="35">
        <f>(-IF(OPEX!$C$9="строительная",OPEX!$C$30*OPEX!$C$12,OPEX!$C$31*OPEX!$C$14)*(1+OPEX!$C$4)^2)/1.2</f>
        <v>-4057650.1875000005</v>
      </c>
      <c r="AZ10" s="35">
        <f>(-IF(OPEX!$C$9="строительная",OPEX!$C$30*OPEX!$C$12,OPEX!$C$31*OPEX!$C$14)*(1+OPEX!$C$4)^3)/1.2</f>
        <v>-4260532.6968750013</v>
      </c>
      <c r="BA10" s="35">
        <f>(-IF(OPEX!$C$9="строительная",OPEX!$C$30*OPEX!$C$12,OPEX!$C$31*OPEX!$C$14)*(1+OPEX!$C$4)^3)/1.2</f>
        <v>-4260532.6968750013</v>
      </c>
      <c r="BB10" s="35">
        <f>(-IF(OPEX!$C$9="строительная",OPEX!$C$30*OPEX!$C$12,OPEX!$C$31*OPEX!$C$14)*(1+OPEX!$C$4)^3)/1.2</f>
        <v>-4260532.6968750013</v>
      </c>
      <c r="BC10" s="35">
        <f>(-IF(OPEX!$C$9="строительная",OPEX!$C$30*OPEX!$C$12,OPEX!$C$31*OPEX!$C$14)*(1+OPEX!$C$4)^3)/1.2</f>
        <v>-4260532.6968750013</v>
      </c>
      <c r="BD10" s="35">
        <f>(-IF(OPEX!$C$9="строительная",OPEX!$C$30*OPEX!$C$12,OPEX!$C$31*OPEX!$C$14)*(1+OPEX!$C$4)^3)/1.2</f>
        <v>-4260532.6968750013</v>
      </c>
      <c r="BE10" s="35">
        <f>(-IF(OPEX!$C$9="строительная",OPEX!$C$30*OPEX!$C$12,OPEX!$C$31*OPEX!$C$14)*(1+OPEX!$C$4)^3)/1.2</f>
        <v>-4260532.6968750013</v>
      </c>
      <c r="BF10" s="35">
        <f>(-IF(OPEX!$C$9="строительная",OPEX!$C$30*OPEX!$C$12,OPEX!$C$31*OPEX!$C$14)*(1+OPEX!$C$4)^3)/1.2</f>
        <v>-4260532.6968750013</v>
      </c>
      <c r="BG10" s="35">
        <f>(-IF(OPEX!$C$9="строительная",OPEX!$C$30*OPEX!$C$12,OPEX!$C$31*OPEX!$C$14)*(1+OPEX!$C$4)^3)/1.2</f>
        <v>-4260532.6968750013</v>
      </c>
      <c r="BH10" s="35">
        <f>(-IF(OPEX!$C$9="строительная",OPEX!$C$30*OPEX!$C$12,OPEX!$C$31*OPEX!$C$14)*(1+OPEX!$C$4)^3)/1.2</f>
        <v>-4260532.6968750013</v>
      </c>
      <c r="BI10" s="35">
        <f>(-IF(OPEX!$C$9="строительная",OPEX!$C$30*OPEX!$C$12,OPEX!$C$31*OPEX!$C$14)*(1+OPEX!$C$4)^3)/1.2</f>
        <v>-4260532.6968750013</v>
      </c>
      <c r="BJ10" s="35">
        <f>(-IF(OPEX!$C$9="строительная",OPEX!$C$30*OPEX!$C$12,OPEX!$C$31*OPEX!$C$14)*(1+OPEX!$C$4)^3)/1.2</f>
        <v>-4260532.6968750013</v>
      </c>
      <c r="BK10" s="35">
        <f>(-IF(OPEX!$C$9="строительная",OPEX!$C$30*OPEX!$C$12,OPEX!$C$31*OPEX!$C$14)*(1+OPEX!$C$4)^3)/1.2</f>
        <v>-4260532.6968750013</v>
      </c>
      <c r="BL10" s="35">
        <f>(-IF(OPEX!$C$9="строительная",OPEX!$C$30*OPEX!$C$12,OPEX!$C$31*OPEX!$C$14)*(1+OPEX!$C$4)^4)/1.2</f>
        <v>-4473559.3317187503</v>
      </c>
      <c r="BM10" s="35">
        <f>(-IF(OPEX!$C$9="строительная",OPEX!$C$30*OPEX!$C$12,OPEX!$C$31*OPEX!$C$14)*(1+OPEX!$C$4)^4)/1.2</f>
        <v>-4473559.3317187503</v>
      </c>
      <c r="BN10" s="35">
        <f>(-IF(OPEX!$C$9="строительная",OPEX!$C$30*OPEX!$C$12,OPEX!$C$31*OPEX!$C$14)*(1+OPEX!$C$4)^4)/1.2</f>
        <v>-4473559.3317187503</v>
      </c>
      <c r="BO10" s="35">
        <f>(-IF(OPEX!$C$9="строительная",OPEX!$C$30*OPEX!$C$12,OPEX!$C$31*OPEX!$C$14)*(1+OPEX!$C$4)^4)/1.2</f>
        <v>-4473559.3317187503</v>
      </c>
      <c r="BP10" s="35">
        <f>(-IF(OPEX!$C$9="строительная",OPEX!$C$30*OPEX!$C$12,OPEX!$C$31*OPEX!$C$14)*(1+OPEX!$C$4)^4)/1.2</f>
        <v>-4473559.3317187503</v>
      </c>
      <c r="BQ10" s="35">
        <f>(-IF(OPEX!$C$9="строительная",OPEX!$C$30*OPEX!$C$12,OPEX!$C$31*OPEX!$C$14)*(1+OPEX!$C$4)^4)/1.2</f>
        <v>-4473559.3317187503</v>
      </c>
      <c r="BR10" s="35">
        <f>(-IF(OPEX!$C$9="строительная",OPEX!$C$30*OPEX!$C$12,OPEX!$C$31*OPEX!$C$14)*(1+OPEX!$C$4)^4)/1.2</f>
        <v>-4473559.3317187503</v>
      </c>
      <c r="BS10" s="35">
        <f>(-IF(OPEX!$C$9="строительная",OPEX!$C$30*OPEX!$C$12,OPEX!$C$31*OPEX!$C$14)*(1+OPEX!$C$4)^4)/1.2</f>
        <v>-4473559.3317187503</v>
      </c>
      <c r="BT10" s="35">
        <f>(-IF(OPEX!$C$9="строительная",OPEX!$C$30*OPEX!$C$12,OPEX!$C$31*OPEX!$C$14)*(1+OPEX!$C$4)^4)/1.2</f>
        <v>-4473559.3317187503</v>
      </c>
      <c r="BU10" s="35">
        <f>(-IF(OPEX!$C$9="строительная",OPEX!$C$30*OPEX!$C$12,OPEX!$C$31*OPEX!$C$14)*(1+OPEX!$C$4)^4)/1.2</f>
        <v>-4473559.3317187503</v>
      </c>
      <c r="BV10" s="35">
        <f>(-IF(OPEX!$C$9="строительная",OPEX!$C$30*OPEX!$C$12,OPEX!$C$31*OPEX!$C$14)*(1+OPEX!$C$4)^4)/1.2</f>
        <v>-4473559.3317187503</v>
      </c>
      <c r="BW10" s="35">
        <f>(-IF(OPEX!$C$9="строительная",OPEX!$C$30*OPEX!$C$12,OPEX!$C$31*OPEX!$C$14)*(1+OPEX!$C$4)^4)/1.2</f>
        <v>-4473559.3317187503</v>
      </c>
    </row>
    <row r="11" spans="2:75" ht="14.25" customHeight="1" outlineLevel="1">
      <c r="B11" s="29" t="s">
        <v>119</v>
      </c>
      <c r="C11" s="42"/>
      <c r="D11" s="33">
        <f t="shared" si="9"/>
        <v>-14267179.887500001</v>
      </c>
      <c r="E11" s="73"/>
      <c r="F11" s="33">
        <f t="shared" si="2"/>
        <v>0</v>
      </c>
      <c r="G11" s="33">
        <f t="shared" si="2"/>
        <v>-2582000</v>
      </c>
      <c r="H11" s="33">
        <f t="shared" si="1"/>
        <v>-2711100</v>
      </c>
      <c r="I11" s="33">
        <f t="shared" si="1"/>
        <v>-2846655</v>
      </c>
      <c r="J11" s="33">
        <f t="shared" si="1"/>
        <v>-2988987.7500000005</v>
      </c>
      <c r="K11" s="33">
        <f t="shared" si="1"/>
        <v>-3138437.1375000007</v>
      </c>
      <c r="L11" s="90"/>
      <c r="P11" s="33">
        <f>(-(OPEX!$C$33+OPEX!$C$34)*OPEX!$C$14)/1.2</f>
        <v>-215166.66666666666</v>
      </c>
      <c r="Q11" s="33">
        <f>(-(OPEX!$C$33+OPEX!$C$34)*OPEX!$C$14)/1.2</f>
        <v>-215166.66666666666</v>
      </c>
      <c r="R11" s="33">
        <f>(-(OPEX!$C$33+OPEX!$C$34)*OPEX!$C$14)/1.2</f>
        <v>-215166.66666666666</v>
      </c>
      <c r="S11" s="33">
        <f>(-(OPEX!$C$33+OPEX!$C$34)*OPEX!$C$14)/1.2</f>
        <v>-215166.66666666666</v>
      </c>
      <c r="T11" s="33">
        <f>(-(OPEX!$C$33+OPEX!$C$34)*OPEX!$C$14)/1.2</f>
        <v>-215166.66666666666</v>
      </c>
      <c r="U11" s="33">
        <f>(-(OPEX!$C$33+OPEX!$C$34)*OPEX!$C$14)/1.2</f>
        <v>-215166.66666666666</v>
      </c>
      <c r="V11" s="33">
        <f>(-(OPEX!$C$33+OPEX!$C$34)*OPEX!$C$14)/1.2</f>
        <v>-215166.66666666666</v>
      </c>
      <c r="W11" s="33">
        <f>(-(OPEX!$C$33+OPEX!$C$34)*OPEX!$C$14)/1.2</f>
        <v>-215166.66666666666</v>
      </c>
      <c r="X11" s="33">
        <f>(-(OPEX!$C$33+OPEX!$C$34)*OPEX!$C$14)/1.2</f>
        <v>-215166.66666666666</v>
      </c>
      <c r="Y11" s="33">
        <f>(-(OPEX!$C$33+OPEX!$C$34)*OPEX!$C$14)/1.2</f>
        <v>-215166.66666666666</v>
      </c>
      <c r="Z11" s="33">
        <f>(-(OPEX!$C$33+OPEX!$C$34)*OPEX!$C$14)/1.2</f>
        <v>-215166.66666666666</v>
      </c>
      <c r="AA11" s="33">
        <f>(-(OPEX!$C$33+OPEX!$C$34)*OPEX!$C$14)/1.2</f>
        <v>-215166.66666666666</v>
      </c>
      <c r="AB11" s="33">
        <f>(-(OPEX!$C$33+OPEX!$C$34)*OPEX!$C$14*(1+OPEX!$C$4))/1.2</f>
        <v>-225925</v>
      </c>
      <c r="AC11" s="33">
        <f>(-(OPEX!$C$33+OPEX!$C$34)*OPEX!$C$14*(1+OPEX!$C$4))/1.2</f>
        <v>-225925</v>
      </c>
      <c r="AD11" s="33">
        <f>(-(OPEX!$C$33+OPEX!$C$34)*OPEX!$C$14*(1+OPEX!$C$4))/1.2</f>
        <v>-225925</v>
      </c>
      <c r="AE11" s="33">
        <f>(-(OPEX!$C$33+OPEX!$C$34)*OPEX!$C$14*(1+OPEX!$C$4))/1.2</f>
        <v>-225925</v>
      </c>
      <c r="AF11" s="33">
        <f>(-(OPEX!$C$33+OPEX!$C$34)*OPEX!$C$14*(1+OPEX!$C$4))/1.2</f>
        <v>-225925</v>
      </c>
      <c r="AG11" s="33">
        <f>(-(OPEX!$C$33+OPEX!$C$34)*OPEX!$C$14*(1+OPEX!$C$4))/1.2</f>
        <v>-225925</v>
      </c>
      <c r="AH11" s="33">
        <f>(-(OPEX!$C$33+OPEX!$C$34)*OPEX!$C$14*(1+OPEX!$C$4))/1.2</f>
        <v>-225925</v>
      </c>
      <c r="AI11" s="33">
        <f>(-(OPEX!$C$33+OPEX!$C$34)*OPEX!$C$14*(1+OPEX!$C$4))/1.2</f>
        <v>-225925</v>
      </c>
      <c r="AJ11" s="33">
        <f>(-(OPEX!$C$33+OPEX!$C$34)*OPEX!$C$14*(1+OPEX!$C$4))/1.2</f>
        <v>-225925</v>
      </c>
      <c r="AK11" s="33">
        <f>(-(OPEX!$C$33+OPEX!$C$34)*OPEX!$C$14*(1+OPEX!$C$4))/1.2</f>
        <v>-225925</v>
      </c>
      <c r="AL11" s="33">
        <f>(-(OPEX!$C$33+OPEX!$C$34)*OPEX!$C$14*(1+OPEX!$C$4))/1.2</f>
        <v>-225925</v>
      </c>
      <c r="AM11" s="33">
        <f>(-(OPEX!$C$33+OPEX!$C$34)*OPEX!$C$14*(1+OPEX!$C$4))/1.2</f>
        <v>-225925</v>
      </c>
      <c r="AN11" s="33">
        <f>(-(OPEX!$C$33+OPEX!$C$34)*OPEX!$C$14*(1+OPEX!$C$4)^2)/1.2</f>
        <v>-237221.25</v>
      </c>
      <c r="AO11" s="33">
        <f>(-(OPEX!$C$33+OPEX!$C$34)*OPEX!$C$14*(1+OPEX!$C$4)^2)/1.2</f>
        <v>-237221.25</v>
      </c>
      <c r="AP11" s="33">
        <f>(-(OPEX!$C$33+OPEX!$C$34)*OPEX!$C$14*(1+OPEX!$C$4)^2)/1.2</f>
        <v>-237221.25</v>
      </c>
      <c r="AQ11" s="33">
        <f>(-(OPEX!$C$33+OPEX!$C$34)*OPEX!$C$14*(1+OPEX!$C$4)^2)/1.2</f>
        <v>-237221.25</v>
      </c>
      <c r="AR11" s="33">
        <f>(-(OPEX!$C$33+OPEX!$C$34)*OPEX!$C$14*(1+OPEX!$C$4)^2)/1.2</f>
        <v>-237221.25</v>
      </c>
      <c r="AS11" s="33">
        <f>(-(OPEX!$C$33+OPEX!$C$34)*OPEX!$C$14*(1+OPEX!$C$4)^2)/1.2</f>
        <v>-237221.25</v>
      </c>
      <c r="AT11" s="33">
        <f>(-(OPEX!$C$33+OPEX!$C$34)*OPEX!$C$14*(1+OPEX!$C$4)^2)/1.2</f>
        <v>-237221.25</v>
      </c>
      <c r="AU11" s="33">
        <f>(-(OPEX!$C$33+OPEX!$C$34)*OPEX!$C$14*(1+OPEX!$C$4)^2)/1.2</f>
        <v>-237221.25</v>
      </c>
      <c r="AV11" s="33">
        <f>(-(OPEX!$C$33+OPEX!$C$34)*OPEX!$C$14*(1+OPEX!$C$4)^2)/1.2</f>
        <v>-237221.25</v>
      </c>
      <c r="AW11" s="33">
        <f>(-(OPEX!$C$33+OPEX!$C$34)*OPEX!$C$14*(1+OPEX!$C$4)^2)/1.2</f>
        <v>-237221.25</v>
      </c>
      <c r="AX11" s="33">
        <f>(-(OPEX!$C$33+OPEX!$C$34)*OPEX!$C$14*(1+OPEX!$C$4)^2)/1.2</f>
        <v>-237221.25</v>
      </c>
      <c r="AY11" s="33">
        <f>(-(OPEX!$C$33+OPEX!$C$34)*OPEX!$C$14*(1+OPEX!$C$4)^2)/1.2</f>
        <v>-237221.25</v>
      </c>
      <c r="AZ11" s="33">
        <f>(-(OPEX!$C$33+OPEX!$C$34)*OPEX!$C$14*(1+OPEX!$C$4)^3)/1.2</f>
        <v>-249082.31250000003</v>
      </c>
      <c r="BA11" s="33">
        <f>(-(OPEX!$C$33+OPEX!$C$34)*OPEX!$C$14*(1+OPEX!$C$4)^3)/1.2</f>
        <v>-249082.31250000003</v>
      </c>
      <c r="BB11" s="33">
        <f>(-(OPEX!$C$33+OPEX!$C$34)*OPEX!$C$14*(1+OPEX!$C$4)^3)/1.2</f>
        <v>-249082.31250000003</v>
      </c>
      <c r="BC11" s="33">
        <f>(-(OPEX!$C$33+OPEX!$C$34)*OPEX!$C$14*(1+OPEX!$C$4)^3)/1.2</f>
        <v>-249082.31250000003</v>
      </c>
      <c r="BD11" s="33">
        <f>(-(OPEX!$C$33+OPEX!$C$34)*OPEX!$C$14*(1+OPEX!$C$4)^3)/1.2</f>
        <v>-249082.31250000003</v>
      </c>
      <c r="BE11" s="33">
        <f>(-(OPEX!$C$33+OPEX!$C$34)*OPEX!$C$14*(1+OPEX!$C$4)^3)/1.2</f>
        <v>-249082.31250000003</v>
      </c>
      <c r="BF11" s="33">
        <f>(-(OPEX!$C$33+OPEX!$C$34)*OPEX!$C$14*(1+OPEX!$C$4)^3)/1.2</f>
        <v>-249082.31250000003</v>
      </c>
      <c r="BG11" s="33">
        <f>(-(OPEX!$C$33+OPEX!$C$34)*OPEX!$C$14*(1+OPEX!$C$4)^3)/1.2</f>
        <v>-249082.31250000003</v>
      </c>
      <c r="BH11" s="33">
        <f>(-(OPEX!$C$33+OPEX!$C$34)*OPEX!$C$14*(1+OPEX!$C$4)^3)/1.2</f>
        <v>-249082.31250000003</v>
      </c>
      <c r="BI11" s="33">
        <f>(-(OPEX!$C$33+OPEX!$C$34)*OPEX!$C$14*(1+OPEX!$C$4)^3)/1.2</f>
        <v>-249082.31250000003</v>
      </c>
      <c r="BJ11" s="33">
        <f>(-(OPEX!$C$33+OPEX!$C$34)*OPEX!$C$14*(1+OPEX!$C$4)^3)/1.2</f>
        <v>-249082.31250000003</v>
      </c>
      <c r="BK11" s="33">
        <f>(-(OPEX!$C$33+OPEX!$C$34)*OPEX!$C$14*(1+OPEX!$C$4)^3)/1.2</f>
        <v>-249082.31250000003</v>
      </c>
      <c r="BL11" s="33">
        <f>(-(OPEX!$C$33+OPEX!$C$34)*OPEX!$C$14*(1+OPEX!$C$4)^4)/1.2</f>
        <v>-261536.42812500001</v>
      </c>
      <c r="BM11" s="33">
        <f>(-(OPEX!$C$33+OPEX!$C$34)*OPEX!$C$14*(1+OPEX!$C$4)^4)/1.2</f>
        <v>-261536.42812500001</v>
      </c>
      <c r="BN11" s="33">
        <f>(-(OPEX!$C$33+OPEX!$C$34)*OPEX!$C$14*(1+OPEX!$C$4)^4)/1.2</f>
        <v>-261536.42812500001</v>
      </c>
      <c r="BO11" s="33">
        <f>(-(OPEX!$C$33+OPEX!$C$34)*OPEX!$C$14*(1+OPEX!$C$4)^4)/1.2</f>
        <v>-261536.42812500001</v>
      </c>
      <c r="BP11" s="33">
        <f>(-(OPEX!$C$33+OPEX!$C$34)*OPEX!$C$14*(1+OPEX!$C$4)^4)/1.2</f>
        <v>-261536.42812500001</v>
      </c>
      <c r="BQ11" s="33">
        <f>(-(OPEX!$C$33+OPEX!$C$34)*OPEX!$C$14*(1+OPEX!$C$4)^4)/1.2</f>
        <v>-261536.42812500001</v>
      </c>
      <c r="BR11" s="33">
        <f>(-(OPEX!$C$33+OPEX!$C$34)*OPEX!$C$14*(1+OPEX!$C$4)^4)/1.2</f>
        <v>-261536.42812500001</v>
      </c>
      <c r="BS11" s="33">
        <f>(-(OPEX!$C$33+OPEX!$C$34)*OPEX!$C$14*(1+OPEX!$C$4)^4)/1.2</f>
        <v>-261536.42812500001</v>
      </c>
      <c r="BT11" s="33">
        <f>(-(OPEX!$C$33+OPEX!$C$34)*OPEX!$C$14*(1+OPEX!$C$4)^4)/1.2</f>
        <v>-261536.42812500001</v>
      </c>
      <c r="BU11" s="33">
        <f>(-(OPEX!$C$33+OPEX!$C$34)*OPEX!$C$14*(1+OPEX!$C$4)^4)/1.2</f>
        <v>-261536.42812500001</v>
      </c>
      <c r="BV11" s="33">
        <f>(-(OPEX!$C$33+OPEX!$C$34)*OPEX!$C$14*(1+OPEX!$C$4)^4)/1.2</f>
        <v>-261536.42812500001</v>
      </c>
      <c r="BW11" s="33">
        <f>(-(OPEX!$C$33+OPEX!$C$34)*OPEX!$C$14*(1+OPEX!$C$4)^4)/1.2</f>
        <v>-261536.42812500001</v>
      </c>
    </row>
    <row r="12" spans="2:75" ht="14.25" customHeight="1" thickBot="1">
      <c r="B12" s="78"/>
      <c r="C12" s="42"/>
      <c r="D12" s="79"/>
      <c r="E12" s="73"/>
      <c r="F12" s="79"/>
      <c r="G12" s="79"/>
      <c r="H12" s="79"/>
      <c r="I12" s="79"/>
      <c r="J12" s="79"/>
      <c r="K12" s="79"/>
      <c r="L12" s="90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</row>
    <row r="13" spans="2:75" ht="15" customHeight="1" thickTop="1" thickBot="1">
      <c r="B13" s="48" t="s">
        <v>152</v>
      </c>
      <c r="C13" s="43"/>
      <c r="D13" s="50">
        <f t="shared" si="9"/>
        <v>187059747.26937497</v>
      </c>
      <c r="E13" s="73"/>
      <c r="F13" s="50">
        <f t="shared" si="2"/>
        <v>0</v>
      </c>
      <c r="G13" s="50">
        <f t="shared" si="2"/>
        <v>33853100.000000007</v>
      </c>
      <c r="H13" s="50">
        <f t="shared" si="1"/>
        <v>35545755</v>
      </c>
      <c r="I13" s="50">
        <f>SUMIF($M$1:$BW$1,I$4,$M13:$BW13)</f>
        <v>37323042.75</v>
      </c>
      <c r="J13" s="50">
        <f t="shared" si="1"/>
        <v>39189194.887500003</v>
      </c>
      <c r="K13" s="50">
        <f t="shared" si="1"/>
        <v>41148654.631874986</v>
      </c>
      <c r="L13" s="90"/>
      <c r="M13" s="50"/>
      <c r="N13" s="50"/>
      <c r="O13" s="50"/>
      <c r="P13" s="50">
        <f>SUM(P6,P8)</f>
        <v>2821091.666666667</v>
      </c>
      <c r="Q13" s="49">
        <f t="shared" ref="Q13:AA13" si="10">SUM(Q6,Q8)</f>
        <v>2821091.666666667</v>
      </c>
      <c r="R13" s="49">
        <f t="shared" si="10"/>
        <v>2821091.666666667</v>
      </c>
      <c r="S13" s="49">
        <f t="shared" si="10"/>
        <v>2821091.666666667</v>
      </c>
      <c r="T13" s="49">
        <f t="shared" si="10"/>
        <v>2821091.666666667</v>
      </c>
      <c r="U13" s="49">
        <f t="shared" si="10"/>
        <v>2821091.666666667</v>
      </c>
      <c r="V13" s="49">
        <f t="shared" si="10"/>
        <v>2821091.666666667</v>
      </c>
      <c r="W13" s="49">
        <f t="shared" si="10"/>
        <v>2821091.666666667</v>
      </c>
      <c r="X13" s="49">
        <f t="shared" si="10"/>
        <v>2821091.666666667</v>
      </c>
      <c r="Y13" s="49">
        <f t="shared" si="10"/>
        <v>2821091.666666667</v>
      </c>
      <c r="Z13" s="49">
        <f t="shared" si="10"/>
        <v>2821091.666666667</v>
      </c>
      <c r="AA13" s="49">
        <f t="shared" si="10"/>
        <v>2821091.666666667</v>
      </c>
      <c r="AB13" s="49">
        <f t="shared" ref="AB13:AY13" si="11">SUM(AB6,AB8)</f>
        <v>2962146.25</v>
      </c>
      <c r="AC13" s="49">
        <f t="shared" si="11"/>
        <v>2962146.25</v>
      </c>
      <c r="AD13" s="49">
        <f t="shared" si="11"/>
        <v>2962146.25</v>
      </c>
      <c r="AE13" s="49">
        <f t="shared" si="11"/>
        <v>2962146.25</v>
      </c>
      <c r="AF13" s="49">
        <f t="shared" si="11"/>
        <v>2962146.25</v>
      </c>
      <c r="AG13" s="49">
        <f t="shared" si="11"/>
        <v>2962146.25</v>
      </c>
      <c r="AH13" s="49">
        <f t="shared" si="11"/>
        <v>2962146.25</v>
      </c>
      <c r="AI13" s="49">
        <f t="shared" si="11"/>
        <v>2962146.25</v>
      </c>
      <c r="AJ13" s="49">
        <f t="shared" si="11"/>
        <v>2962146.25</v>
      </c>
      <c r="AK13" s="49">
        <f t="shared" si="11"/>
        <v>2962146.25</v>
      </c>
      <c r="AL13" s="49">
        <f t="shared" si="11"/>
        <v>2962146.25</v>
      </c>
      <c r="AM13" s="49">
        <f t="shared" si="11"/>
        <v>2962146.25</v>
      </c>
      <c r="AN13" s="49">
        <f t="shared" si="11"/>
        <v>3110253.5625</v>
      </c>
      <c r="AO13" s="49">
        <f t="shared" si="11"/>
        <v>3110253.5625</v>
      </c>
      <c r="AP13" s="49">
        <f t="shared" si="11"/>
        <v>3110253.5625</v>
      </c>
      <c r="AQ13" s="49">
        <f t="shared" si="11"/>
        <v>3110253.5625</v>
      </c>
      <c r="AR13" s="49">
        <f t="shared" si="11"/>
        <v>3110253.5625</v>
      </c>
      <c r="AS13" s="49">
        <f t="shared" si="11"/>
        <v>3110253.5625</v>
      </c>
      <c r="AT13" s="49">
        <f t="shared" si="11"/>
        <v>3110253.5625</v>
      </c>
      <c r="AU13" s="49">
        <f t="shared" si="11"/>
        <v>3110253.5625</v>
      </c>
      <c r="AV13" s="49">
        <f t="shared" si="11"/>
        <v>3110253.5625</v>
      </c>
      <c r="AW13" s="49">
        <f t="shared" si="11"/>
        <v>3110253.5625</v>
      </c>
      <c r="AX13" s="49">
        <f t="shared" si="11"/>
        <v>3110253.5625</v>
      </c>
      <c r="AY13" s="49">
        <f t="shared" si="11"/>
        <v>3110253.5625</v>
      </c>
      <c r="AZ13" s="49">
        <f t="shared" ref="AZ13" si="12">SUM(AZ6,AZ8)</f>
        <v>3265766.2406249996</v>
      </c>
      <c r="BA13" s="49">
        <f t="shared" ref="BA13:BK13" si="13">SUM(BA6,BA8)</f>
        <v>3265766.2406249996</v>
      </c>
      <c r="BB13" s="49">
        <f t="shared" si="13"/>
        <v>3265766.2406249996</v>
      </c>
      <c r="BC13" s="49">
        <f t="shared" si="13"/>
        <v>3265766.2406249996</v>
      </c>
      <c r="BD13" s="49">
        <f t="shared" si="13"/>
        <v>3265766.2406249996</v>
      </c>
      <c r="BE13" s="49">
        <f t="shared" si="13"/>
        <v>3265766.2406249996</v>
      </c>
      <c r="BF13" s="49">
        <f t="shared" si="13"/>
        <v>3265766.2406249996</v>
      </c>
      <c r="BG13" s="49">
        <f t="shared" si="13"/>
        <v>3265766.2406249996</v>
      </c>
      <c r="BH13" s="49">
        <f t="shared" si="13"/>
        <v>3265766.2406249996</v>
      </c>
      <c r="BI13" s="49">
        <f t="shared" si="13"/>
        <v>3265766.2406249996</v>
      </c>
      <c r="BJ13" s="49">
        <f t="shared" si="13"/>
        <v>3265766.2406249996</v>
      </c>
      <c r="BK13" s="49">
        <f t="shared" si="13"/>
        <v>3265766.2406249996</v>
      </c>
      <c r="BL13" s="49">
        <f t="shared" ref="BL13:BW13" si="14">SUM(BL6,BL8)</f>
        <v>3429054.5526562501</v>
      </c>
      <c r="BM13" s="49">
        <f t="shared" si="14"/>
        <v>3429054.5526562501</v>
      </c>
      <c r="BN13" s="49">
        <f t="shared" si="14"/>
        <v>3429054.5526562501</v>
      </c>
      <c r="BO13" s="49">
        <f t="shared" si="14"/>
        <v>3429054.5526562501</v>
      </c>
      <c r="BP13" s="49">
        <f t="shared" si="14"/>
        <v>3429054.5526562501</v>
      </c>
      <c r="BQ13" s="49">
        <f t="shared" si="14"/>
        <v>3429054.5526562501</v>
      </c>
      <c r="BR13" s="49">
        <f t="shared" si="14"/>
        <v>3429054.5526562501</v>
      </c>
      <c r="BS13" s="49">
        <f t="shared" si="14"/>
        <v>3429054.5526562501</v>
      </c>
      <c r="BT13" s="49">
        <f t="shared" si="14"/>
        <v>3429054.5526562501</v>
      </c>
      <c r="BU13" s="49">
        <f t="shared" si="14"/>
        <v>3429054.5526562501</v>
      </c>
      <c r="BV13" s="49">
        <f t="shared" si="14"/>
        <v>3429054.5526562501</v>
      </c>
      <c r="BW13" s="49">
        <f t="shared" si="14"/>
        <v>3429054.5526562501</v>
      </c>
    </row>
    <row r="14" spans="2:75" ht="15.75" thickTop="1">
      <c r="B14" s="19"/>
      <c r="C14" s="41"/>
      <c r="D14" s="37"/>
      <c r="E14" s="73"/>
      <c r="F14" s="37"/>
      <c r="G14" s="37"/>
      <c r="H14" s="37"/>
      <c r="I14" s="37"/>
      <c r="J14" s="37"/>
      <c r="K14" s="37"/>
      <c r="L14" s="89"/>
      <c r="M14" s="37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</row>
    <row r="15" spans="2:75">
      <c r="B15" s="19"/>
      <c r="C15" s="41"/>
      <c r="D15" s="37"/>
      <c r="E15" s="73"/>
      <c r="F15" s="37"/>
      <c r="G15" s="37"/>
      <c r="H15" s="37"/>
      <c r="I15" s="37"/>
      <c r="J15" s="37"/>
      <c r="K15" s="37"/>
      <c r="L15" s="89"/>
      <c r="M15" s="37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</row>
    <row r="16" spans="2:75" s="19" customFormat="1" ht="17.25" customHeight="1">
      <c r="B16" s="46" t="s">
        <v>144</v>
      </c>
      <c r="C16" s="41"/>
      <c r="D16" s="47">
        <f t="shared" si="9"/>
        <v>-97745855.466666669</v>
      </c>
      <c r="E16" s="72"/>
      <c r="F16" s="47">
        <f t="shared" si="2"/>
        <v>-1555666.6666666667</v>
      </c>
      <c r="G16" s="47">
        <f t="shared" si="2"/>
        <v>-17408000.000000007</v>
      </c>
      <c r="H16" s="47">
        <f t="shared" si="1"/>
        <v>-18278400</v>
      </c>
      <c r="I16" s="47">
        <f t="shared" si="1"/>
        <v>-19192320</v>
      </c>
      <c r="J16" s="47">
        <f t="shared" si="1"/>
        <v>-20151936.000000004</v>
      </c>
      <c r="K16" s="47">
        <f t="shared" si="1"/>
        <v>-21159532.799999997</v>
      </c>
      <c r="L16" s="88"/>
      <c r="M16" s="47">
        <f>SUM(M17:M20)</f>
        <v>-463000.00000000006</v>
      </c>
      <c r="N16" s="47">
        <f t="shared" ref="N16:O16" si="15">SUM(N17:N20)</f>
        <v>-504666.66666666674</v>
      </c>
      <c r="O16" s="47">
        <f t="shared" si="15"/>
        <v>-588000</v>
      </c>
      <c r="P16" s="47">
        <f>SUM(P17:P20)</f>
        <v>-1450666.666666667</v>
      </c>
      <c r="Q16" s="47">
        <f t="shared" ref="Q16:AA16" si="16">SUM(Q17:Q20)</f>
        <v>-1450666.666666667</v>
      </c>
      <c r="R16" s="47">
        <f t="shared" si="16"/>
        <v>-1450666.666666667</v>
      </c>
      <c r="S16" s="47">
        <f t="shared" si="16"/>
        <v>-1450666.666666667</v>
      </c>
      <c r="T16" s="47">
        <f t="shared" si="16"/>
        <v>-1450666.666666667</v>
      </c>
      <c r="U16" s="47">
        <f t="shared" si="16"/>
        <v>-1450666.666666667</v>
      </c>
      <c r="V16" s="47">
        <f t="shared" si="16"/>
        <v>-1450666.666666667</v>
      </c>
      <c r="W16" s="47">
        <f t="shared" si="16"/>
        <v>-1450666.666666667</v>
      </c>
      <c r="X16" s="47">
        <f t="shared" si="16"/>
        <v>-1450666.666666667</v>
      </c>
      <c r="Y16" s="47">
        <f t="shared" si="16"/>
        <v>-1450666.666666667</v>
      </c>
      <c r="Z16" s="47">
        <f t="shared" si="16"/>
        <v>-1450666.666666667</v>
      </c>
      <c r="AA16" s="47">
        <f t="shared" si="16"/>
        <v>-1450666.666666667</v>
      </c>
      <c r="AB16" s="47">
        <f t="shared" ref="AB16:AY16" si="17">SUM(AB17:AB20)</f>
        <v>-1523200</v>
      </c>
      <c r="AC16" s="47">
        <f t="shared" si="17"/>
        <v>-1523200</v>
      </c>
      <c r="AD16" s="47">
        <f t="shared" si="17"/>
        <v>-1523200</v>
      </c>
      <c r="AE16" s="47">
        <f t="shared" si="17"/>
        <v>-1523200</v>
      </c>
      <c r="AF16" s="47">
        <f t="shared" si="17"/>
        <v>-1523200</v>
      </c>
      <c r="AG16" s="47">
        <f t="shared" si="17"/>
        <v>-1523200</v>
      </c>
      <c r="AH16" s="47">
        <f t="shared" si="17"/>
        <v>-1523200</v>
      </c>
      <c r="AI16" s="47">
        <f t="shared" si="17"/>
        <v>-1523200</v>
      </c>
      <c r="AJ16" s="47">
        <f t="shared" si="17"/>
        <v>-1523200</v>
      </c>
      <c r="AK16" s="47">
        <f t="shared" si="17"/>
        <v>-1523200</v>
      </c>
      <c r="AL16" s="47">
        <f t="shared" si="17"/>
        <v>-1523200</v>
      </c>
      <c r="AM16" s="47">
        <f t="shared" si="17"/>
        <v>-1523200</v>
      </c>
      <c r="AN16" s="47">
        <f t="shared" si="17"/>
        <v>-1599360</v>
      </c>
      <c r="AO16" s="47">
        <f t="shared" si="17"/>
        <v>-1599360</v>
      </c>
      <c r="AP16" s="47">
        <f t="shared" si="17"/>
        <v>-1599360</v>
      </c>
      <c r="AQ16" s="47">
        <f t="shared" si="17"/>
        <v>-1599360</v>
      </c>
      <c r="AR16" s="47">
        <f t="shared" si="17"/>
        <v>-1599360</v>
      </c>
      <c r="AS16" s="47">
        <f t="shared" si="17"/>
        <v>-1599360</v>
      </c>
      <c r="AT16" s="47">
        <f t="shared" si="17"/>
        <v>-1599360</v>
      </c>
      <c r="AU16" s="47">
        <f t="shared" si="17"/>
        <v>-1599360</v>
      </c>
      <c r="AV16" s="47">
        <f t="shared" si="17"/>
        <v>-1599360</v>
      </c>
      <c r="AW16" s="47">
        <f t="shared" si="17"/>
        <v>-1599360</v>
      </c>
      <c r="AX16" s="47">
        <f t="shared" si="17"/>
        <v>-1599360</v>
      </c>
      <c r="AY16" s="47">
        <f t="shared" si="17"/>
        <v>-1599360</v>
      </c>
      <c r="AZ16" s="47">
        <f t="shared" ref="AZ16" si="18">SUM(AZ17:AZ20)</f>
        <v>-1679328.0000000002</v>
      </c>
      <c r="BA16" s="47">
        <f t="shared" ref="BA16:BK16" si="19">SUM(BA17:BA20)</f>
        <v>-1679328.0000000002</v>
      </c>
      <c r="BB16" s="47">
        <f t="shared" si="19"/>
        <v>-1679328.0000000002</v>
      </c>
      <c r="BC16" s="47">
        <f t="shared" si="19"/>
        <v>-1679328.0000000002</v>
      </c>
      <c r="BD16" s="47">
        <f t="shared" si="19"/>
        <v>-1679328.0000000002</v>
      </c>
      <c r="BE16" s="47">
        <f t="shared" si="19"/>
        <v>-1679328.0000000002</v>
      </c>
      <c r="BF16" s="47">
        <f t="shared" si="19"/>
        <v>-1679328.0000000002</v>
      </c>
      <c r="BG16" s="47">
        <f t="shared" si="19"/>
        <v>-1679328.0000000002</v>
      </c>
      <c r="BH16" s="47">
        <f t="shared" si="19"/>
        <v>-1679328.0000000002</v>
      </c>
      <c r="BI16" s="47">
        <f t="shared" si="19"/>
        <v>-1679328.0000000002</v>
      </c>
      <c r="BJ16" s="47">
        <f t="shared" si="19"/>
        <v>-1679328.0000000002</v>
      </c>
      <c r="BK16" s="47">
        <f t="shared" si="19"/>
        <v>-1679328.0000000002</v>
      </c>
      <c r="BL16" s="47">
        <f t="shared" ref="BL16:BW16" si="20">SUM(BL17:BL20)</f>
        <v>-1763294.4</v>
      </c>
      <c r="BM16" s="47">
        <f t="shared" si="20"/>
        <v>-1763294.4</v>
      </c>
      <c r="BN16" s="47">
        <f t="shared" si="20"/>
        <v>-1763294.4</v>
      </c>
      <c r="BO16" s="47">
        <f t="shared" si="20"/>
        <v>-1763294.4</v>
      </c>
      <c r="BP16" s="47">
        <f t="shared" si="20"/>
        <v>-1763294.4</v>
      </c>
      <c r="BQ16" s="47">
        <f t="shared" si="20"/>
        <v>-1763294.4</v>
      </c>
      <c r="BR16" s="47">
        <f t="shared" si="20"/>
        <v>-1763294.4</v>
      </c>
      <c r="BS16" s="47">
        <f t="shared" si="20"/>
        <v>-1763294.4</v>
      </c>
      <c r="BT16" s="47">
        <f t="shared" si="20"/>
        <v>-1763294.4</v>
      </c>
      <c r="BU16" s="47">
        <f t="shared" si="20"/>
        <v>-1763294.4</v>
      </c>
      <c r="BV16" s="47">
        <f t="shared" si="20"/>
        <v>-1763294.4</v>
      </c>
      <c r="BW16" s="47">
        <f t="shared" si="20"/>
        <v>-1763294.4</v>
      </c>
    </row>
    <row r="17" spans="2:76" s="30" customFormat="1" ht="17.25" customHeight="1" outlineLevel="1">
      <c r="B17" s="51" t="s">
        <v>135</v>
      </c>
      <c r="C17" s="52"/>
      <c r="D17" s="36">
        <f t="shared" si="9"/>
        <v>-5775631.2500000009</v>
      </c>
      <c r="E17" s="74"/>
      <c r="F17" s="36">
        <f t="shared" si="2"/>
        <v>-250000.00000000003</v>
      </c>
      <c r="G17" s="36">
        <f t="shared" si="2"/>
        <v>-1000000.0000000003</v>
      </c>
      <c r="H17" s="36">
        <f t="shared" si="1"/>
        <v>-1050000</v>
      </c>
      <c r="I17" s="36">
        <f t="shared" si="1"/>
        <v>-1102500</v>
      </c>
      <c r="J17" s="36">
        <f t="shared" si="1"/>
        <v>-1157625.0000000002</v>
      </c>
      <c r="K17" s="36">
        <f t="shared" si="1"/>
        <v>-1215506.25</v>
      </c>
      <c r="L17" s="91"/>
      <c r="M17" s="36">
        <f>(-OPEX!$C$37)/1.2</f>
        <v>-83333.333333333343</v>
      </c>
      <c r="N17" s="36">
        <f>(-OPEX!$C$37)/1.2</f>
        <v>-83333.333333333343</v>
      </c>
      <c r="O17" s="36">
        <f>(-OPEX!$C$37)/1.2</f>
        <v>-83333.333333333343</v>
      </c>
      <c r="P17" s="36">
        <f>(-OPEX!$C$37)/1.2</f>
        <v>-83333.333333333343</v>
      </c>
      <c r="Q17" s="36">
        <f>(-OPEX!$C$37)/1.2</f>
        <v>-83333.333333333343</v>
      </c>
      <c r="R17" s="36">
        <f>(-OPEX!$C$37)/1.2</f>
        <v>-83333.333333333343</v>
      </c>
      <c r="S17" s="36">
        <f>(-OPEX!$C$37)/1.2</f>
        <v>-83333.333333333343</v>
      </c>
      <c r="T17" s="36">
        <f>(-OPEX!$C$37)/1.2</f>
        <v>-83333.333333333343</v>
      </c>
      <c r="U17" s="36">
        <f>(-OPEX!$C$37)/1.2</f>
        <v>-83333.333333333343</v>
      </c>
      <c r="V17" s="36">
        <f>(-OPEX!$C$37)/1.2</f>
        <v>-83333.333333333343</v>
      </c>
      <c r="W17" s="36">
        <f>(-OPEX!$C$37)/1.2</f>
        <v>-83333.333333333343</v>
      </c>
      <c r="X17" s="36">
        <f>(-OPEX!$C$37)/1.2</f>
        <v>-83333.333333333343</v>
      </c>
      <c r="Y17" s="36">
        <f>(-OPEX!$C$37)/1.2</f>
        <v>-83333.333333333343</v>
      </c>
      <c r="Z17" s="36">
        <f>(-OPEX!$C$37)/1.2</f>
        <v>-83333.333333333343</v>
      </c>
      <c r="AA17" s="36">
        <f>(-OPEX!$C$37)/1.2</f>
        <v>-83333.333333333343</v>
      </c>
      <c r="AB17" s="36">
        <f>(-OPEX!$C$37*(1+OPEX!$C$4))/1.2</f>
        <v>-87500</v>
      </c>
      <c r="AC17" s="36">
        <f>(-OPEX!$C$37*(1+OPEX!$C$4))/1.2</f>
        <v>-87500</v>
      </c>
      <c r="AD17" s="36">
        <f>(-OPEX!$C$37*(1+OPEX!$C$4))/1.2</f>
        <v>-87500</v>
      </c>
      <c r="AE17" s="36">
        <f>(-OPEX!$C$37*(1+OPEX!$C$4))/1.2</f>
        <v>-87500</v>
      </c>
      <c r="AF17" s="36">
        <f>(-OPEX!$C$37*(1+OPEX!$C$4))/1.2</f>
        <v>-87500</v>
      </c>
      <c r="AG17" s="36">
        <f>(-OPEX!$C$37*(1+OPEX!$C$4))/1.2</f>
        <v>-87500</v>
      </c>
      <c r="AH17" s="36">
        <f>(-OPEX!$C$37*(1+OPEX!$C$4))/1.2</f>
        <v>-87500</v>
      </c>
      <c r="AI17" s="36">
        <f>(-OPEX!$C$37*(1+OPEX!$C$4))/1.2</f>
        <v>-87500</v>
      </c>
      <c r="AJ17" s="36">
        <f>(-OPEX!$C$37*(1+OPEX!$C$4))/1.2</f>
        <v>-87500</v>
      </c>
      <c r="AK17" s="36">
        <f>(-OPEX!$C$37*(1+OPEX!$C$4))/1.2</f>
        <v>-87500</v>
      </c>
      <c r="AL17" s="36">
        <f>(-OPEX!$C$37*(1+OPEX!$C$4))/1.2</f>
        <v>-87500</v>
      </c>
      <c r="AM17" s="36">
        <f>(-OPEX!$C$37*(1+OPEX!$C$4))/1.2</f>
        <v>-87500</v>
      </c>
      <c r="AN17" s="36">
        <f>(-OPEX!$C$37*(1+OPEX!$C$4)^2)/1.2</f>
        <v>-91875</v>
      </c>
      <c r="AO17" s="36">
        <f>(-OPEX!$C$37*(1+OPEX!$C$4)^2)/1.2</f>
        <v>-91875</v>
      </c>
      <c r="AP17" s="36">
        <f>(-OPEX!$C$37*(1+OPEX!$C$4)^2)/1.2</f>
        <v>-91875</v>
      </c>
      <c r="AQ17" s="36">
        <f>(-OPEX!$C$37*(1+OPEX!$C$4)^2)/1.2</f>
        <v>-91875</v>
      </c>
      <c r="AR17" s="36">
        <f>(-OPEX!$C$37*(1+OPEX!$C$4)^2)/1.2</f>
        <v>-91875</v>
      </c>
      <c r="AS17" s="36">
        <f>(-OPEX!$C$37*(1+OPEX!$C$4)^2)/1.2</f>
        <v>-91875</v>
      </c>
      <c r="AT17" s="36">
        <f>(-OPEX!$C$37*(1+OPEX!$C$4)^2)/1.2</f>
        <v>-91875</v>
      </c>
      <c r="AU17" s="36">
        <f>(-OPEX!$C$37*(1+OPEX!$C$4)^2)/1.2</f>
        <v>-91875</v>
      </c>
      <c r="AV17" s="36">
        <f>(-OPEX!$C$37*(1+OPEX!$C$4)^2)/1.2</f>
        <v>-91875</v>
      </c>
      <c r="AW17" s="36">
        <f>(-OPEX!$C$37*(1+OPEX!$C$4)^2)/1.2</f>
        <v>-91875</v>
      </c>
      <c r="AX17" s="36">
        <f>(-OPEX!$C$37*(1+OPEX!$C$4)^2)/1.2</f>
        <v>-91875</v>
      </c>
      <c r="AY17" s="36">
        <f>(-OPEX!$C$37*(1+OPEX!$C$4)^2)/1.2</f>
        <v>-91875</v>
      </c>
      <c r="AZ17" s="36">
        <f>(-OPEX!$C$37*(1+OPEX!$C$4)^3)/1.2</f>
        <v>-96468.750000000015</v>
      </c>
      <c r="BA17" s="36">
        <f>(-OPEX!$C$37*(1+OPEX!$C$4)^3)/1.2</f>
        <v>-96468.750000000015</v>
      </c>
      <c r="BB17" s="36">
        <f>(-OPEX!$C$37*(1+OPEX!$C$4)^3)/1.2</f>
        <v>-96468.750000000015</v>
      </c>
      <c r="BC17" s="36">
        <f>(-OPEX!$C$37*(1+OPEX!$C$4)^3)/1.2</f>
        <v>-96468.750000000015</v>
      </c>
      <c r="BD17" s="36">
        <f>(-OPEX!$C$37*(1+OPEX!$C$4)^3)/1.2</f>
        <v>-96468.750000000015</v>
      </c>
      <c r="BE17" s="36">
        <f>(-OPEX!$C$37*(1+OPEX!$C$4)^3)/1.2</f>
        <v>-96468.750000000015</v>
      </c>
      <c r="BF17" s="36">
        <f>(-OPEX!$C$37*(1+OPEX!$C$4)^3)/1.2</f>
        <v>-96468.750000000015</v>
      </c>
      <c r="BG17" s="36">
        <f>(-OPEX!$C$37*(1+OPEX!$C$4)^3)/1.2</f>
        <v>-96468.750000000015</v>
      </c>
      <c r="BH17" s="36">
        <f>(-OPEX!$C$37*(1+OPEX!$C$4)^3)/1.2</f>
        <v>-96468.750000000015</v>
      </c>
      <c r="BI17" s="36">
        <f>(-OPEX!$C$37*(1+OPEX!$C$4)^3)/1.2</f>
        <v>-96468.750000000015</v>
      </c>
      <c r="BJ17" s="36">
        <f>(-OPEX!$C$37*(1+OPEX!$C$4)^3)/1.2</f>
        <v>-96468.750000000015</v>
      </c>
      <c r="BK17" s="36">
        <f>(-OPEX!$C$37*(1+OPEX!$C$4)^3)/1.2</f>
        <v>-96468.750000000015</v>
      </c>
      <c r="BL17" s="36">
        <f>(-OPEX!$C$37*(1+OPEX!$C$4)^4)/1.2</f>
        <v>-101292.1875</v>
      </c>
      <c r="BM17" s="36">
        <f>(-OPEX!$C$37*(1+OPEX!$C$4)^4)/1.2</f>
        <v>-101292.1875</v>
      </c>
      <c r="BN17" s="36">
        <f>(-OPEX!$C$37*(1+OPEX!$C$4)^4)/1.2</f>
        <v>-101292.1875</v>
      </c>
      <c r="BO17" s="36">
        <f>(-OPEX!$C$37*(1+OPEX!$C$4)^4)/1.2</f>
        <v>-101292.1875</v>
      </c>
      <c r="BP17" s="36">
        <f>(-OPEX!$C$37*(1+OPEX!$C$4)^4)/1.2</f>
        <v>-101292.1875</v>
      </c>
      <c r="BQ17" s="36">
        <f>(-OPEX!$C$37*(1+OPEX!$C$4)^4)/1.2</f>
        <v>-101292.1875</v>
      </c>
      <c r="BR17" s="36">
        <f>(-OPEX!$C$37*(1+OPEX!$C$4)^4)/1.2</f>
        <v>-101292.1875</v>
      </c>
      <c r="BS17" s="36">
        <f>(-OPEX!$C$37*(1+OPEX!$C$4)^4)/1.2</f>
        <v>-101292.1875</v>
      </c>
      <c r="BT17" s="36">
        <f>(-OPEX!$C$37*(1+OPEX!$C$4)^4)/1.2</f>
        <v>-101292.1875</v>
      </c>
      <c r="BU17" s="36">
        <f>(-OPEX!$C$37*(1+OPEX!$C$4)^4)/1.2</f>
        <v>-101292.1875</v>
      </c>
      <c r="BV17" s="36">
        <f>(-OPEX!$C$37*(1+OPEX!$C$4)^4)/1.2</f>
        <v>-101292.1875</v>
      </c>
      <c r="BW17" s="36">
        <f>(-OPEX!$C$37*(1+OPEX!$C$4)^4)/1.2</f>
        <v>-101292.1875</v>
      </c>
    </row>
    <row r="18" spans="2:76" s="51" customFormat="1" outlineLevel="1">
      <c r="B18" s="51" t="s">
        <v>91</v>
      </c>
      <c r="C18" s="52"/>
      <c r="D18" s="53">
        <f t="shared" si="9"/>
        <v>-57804514.5</v>
      </c>
      <c r="E18" s="74"/>
      <c r="F18" s="53">
        <f t="shared" si="2"/>
        <v>-780000</v>
      </c>
      <c r="G18" s="53">
        <f t="shared" si="2"/>
        <v>-10320000</v>
      </c>
      <c r="H18" s="53">
        <f t="shared" si="1"/>
        <v>-10836000</v>
      </c>
      <c r="I18" s="53">
        <f t="shared" si="1"/>
        <v>-11377800</v>
      </c>
      <c r="J18" s="53">
        <f t="shared" si="1"/>
        <v>-11946690.000000002</v>
      </c>
      <c r="K18" s="53">
        <f t="shared" si="1"/>
        <v>-12544024.5</v>
      </c>
      <c r="L18" s="91"/>
      <c r="M18" s="53">
        <f>-SUM(ФОТ!$D$10:$D$12)</f>
        <v>-260000</v>
      </c>
      <c r="N18" s="53">
        <f>-SUM(ФОТ!$D$10:$D$12)</f>
        <v>-260000</v>
      </c>
      <c r="O18" s="53">
        <f>-SUM(ФОТ!$D$10:$D$12)</f>
        <v>-260000</v>
      </c>
      <c r="P18" s="54">
        <f>-OPEX!$C$36</f>
        <v>-860000</v>
      </c>
      <c r="Q18" s="54">
        <f>-OPEX!$C$36</f>
        <v>-860000</v>
      </c>
      <c r="R18" s="54">
        <f>-OPEX!$C$36</f>
        <v>-860000</v>
      </c>
      <c r="S18" s="54">
        <f>-OPEX!$C$36</f>
        <v>-860000</v>
      </c>
      <c r="T18" s="54">
        <f>-OPEX!$C$36</f>
        <v>-860000</v>
      </c>
      <c r="U18" s="54">
        <f>-OPEX!$C$36</f>
        <v>-860000</v>
      </c>
      <c r="V18" s="54">
        <f>-OPEX!$C$36</f>
        <v>-860000</v>
      </c>
      <c r="W18" s="54">
        <f>-OPEX!$C$36</f>
        <v>-860000</v>
      </c>
      <c r="X18" s="54">
        <f>-OPEX!$C$36</f>
        <v>-860000</v>
      </c>
      <c r="Y18" s="54">
        <f>-OPEX!$C$36</f>
        <v>-860000</v>
      </c>
      <c r="Z18" s="54">
        <f>-OPEX!$C$36</f>
        <v>-860000</v>
      </c>
      <c r="AA18" s="54">
        <f>-OPEX!$C$36</f>
        <v>-860000</v>
      </c>
      <c r="AB18" s="54">
        <f>-OPEX!$C$36*(1+OPEX!$C$4)</f>
        <v>-903000</v>
      </c>
      <c r="AC18" s="54">
        <f>-OPEX!$C$36*(1+OPEX!$C$4)</f>
        <v>-903000</v>
      </c>
      <c r="AD18" s="54">
        <f>-OPEX!$C$36*(1+OPEX!$C$4)</f>
        <v>-903000</v>
      </c>
      <c r="AE18" s="54">
        <f>-OPEX!$C$36*(1+OPEX!$C$4)</f>
        <v>-903000</v>
      </c>
      <c r="AF18" s="54">
        <f>-OPEX!$C$36*(1+OPEX!$C$4)</f>
        <v>-903000</v>
      </c>
      <c r="AG18" s="54">
        <f>-OPEX!$C$36*(1+OPEX!$C$4)</f>
        <v>-903000</v>
      </c>
      <c r="AH18" s="54">
        <f>-OPEX!$C$36*(1+OPEX!$C$4)</f>
        <v>-903000</v>
      </c>
      <c r="AI18" s="54">
        <f>-OPEX!$C$36*(1+OPEX!$C$4)</f>
        <v>-903000</v>
      </c>
      <c r="AJ18" s="54">
        <f>-OPEX!$C$36*(1+OPEX!$C$4)</f>
        <v>-903000</v>
      </c>
      <c r="AK18" s="54">
        <f>-OPEX!$C$36*(1+OPEX!$C$4)</f>
        <v>-903000</v>
      </c>
      <c r="AL18" s="54">
        <f>-OPEX!$C$36*(1+OPEX!$C$4)</f>
        <v>-903000</v>
      </c>
      <c r="AM18" s="54">
        <f>-OPEX!$C$36*(1+OPEX!$C$4)</f>
        <v>-903000</v>
      </c>
      <c r="AN18" s="54">
        <f>-OPEX!$C$36*(1+OPEX!$C$4)^2</f>
        <v>-948150</v>
      </c>
      <c r="AO18" s="54">
        <f>-OPEX!$C$36*(1+OPEX!$C$4)^2</f>
        <v>-948150</v>
      </c>
      <c r="AP18" s="54">
        <f>-OPEX!$C$36*(1+OPEX!$C$4)^2</f>
        <v>-948150</v>
      </c>
      <c r="AQ18" s="54">
        <f>-OPEX!$C$36*(1+OPEX!$C$4)^2</f>
        <v>-948150</v>
      </c>
      <c r="AR18" s="54">
        <f>-OPEX!$C$36*(1+OPEX!$C$4)^2</f>
        <v>-948150</v>
      </c>
      <c r="AS18" s="54">
        <f>-OPEX!$C$36*(1+OPEX!$C$4)^2</f>
        <v>-948150</v>
      </c>
      <c r="AT18" s="54">
        <f>-OPEX!$C$36*(1+OPEX!$C$4)^2</f>
        <v>-948150</v>
      </c>
      <c r="AU18" s="54">
        <f>-OPEX!$C$36*(1+OPEX!$C$4)^2</f>
        <v>-948150</v>
      </c>
      <c r="AV18" s="54">
        <f>-OPEX!$C$36*(1+OPEX!$C$4)^2</f>
        <v>-948150</v>
      </c>
      <c r="AW18" s="54">
        <f>-OPEX!$C$36*(1+OPEX!$C$4)^2</f>
        <v>-948150</v>
      </c>
      <c r="AX18" s="54">
        <f>-OPEX!$C$36*(1+OPEX!$C$4)^2</f>
        <v>-948150</v>
      </c>
      <c r="AY18" s="54">
        <f>-OPEX!$C$36*(1+OPEX!$C$4)^2</f>
        <v>-948150</v>
      </c>
      <c r="AZ18" s="54">
        <f>-OPEX!$C$36*(1+OPEX!$C$4)^3</f>
        <v>-995557.50000000012</v>
      </c>
      <c r="BA18" s="54">
        <f>-OPEX!$C$36*(1+OPEX!$C$4)^3</f>
        <v>-995557.50000000012</v>
      </c>
      <c r="BB18" s="54">
        <f>-OPEX!$C$36*(1+OPEX!$C$4)^3</f>
        <v>-995557.50000000012</v>
      </c>
      <c r="BC18" s="54">
        <f>-OPEX!$C$36*(1+OPEX!$C$4)^3</f>
        <v>-995557.50000000012</v>
      </c>
      <c r="BD18" s="54">
        <f>-OPEX!$C$36*(1+OPEX!$C$4)^3</f>
        <v>-995557.50000000012</v>
      </c>
      <c r="BE18" s="54">
        <f>-OPEX!$C$36*(1+OPEX!$C$4)^3</f>
        <v>-995557.50000000012</v>
      </c>
      <c r="BF18" s="54">
        <f>-OPEX!$C$36*(1+OPEX!$C$4)^3</f>
        <v>-995557.50000000012</v>
      </c>
      <c r="BG18" s="54">
        <f>-OPEX!$C$36*(1+OPEX!$C$4)^3</f>
        <v>-995557.50000000012</v>
      </c>
      <c r="BH18" s="54">
        <f>-OPEX!$C$36*(1+OPEX!$C$4)^3</f>
        <v>-995557.50000000012</v>
      </c>
      <c r="BI18" s="54">
        <f>-OPEX!$C$36*(1+OPEX!$C$4)^3</f>
        <v>-995557.50000000012</v>
      </c>
      <c r="BJ18" s="54">
        <f>-OPEX!$C$36*(1+OPEX!$C$4)^3</f>
        <v>-995557.50000000012</v>
      </c>
      <c r="BK18" s="54">
        <f>-OPEX!$C$36*(1+OPEX!$C$4)^3</f>
        <v>-995557.50000000012</v>
      </c>
      <c r="BL18" s="54">
        <f>-OPEX!$C$36*(1+OPEX!$C$4)^4</f>
        <v>-1045335.375</v>
      </c>
      <c r="BM18" s="54">
        <f>-OPEX!$C$36*(1+OPEX!$C$4)^4</f>
        <v>-1045335.375</v>
      </c>
      <c r="BN18" s="54">
        <f>-OPEX!$C$36*(1+OPEX!$C$4)^4</f>
        <v>-1045335.375</v>
      </c>
      <c r="BO18" s="54">
        <f>-OPEX!$C$36*(1+OPEX!$C$4)^4</f>
        <v>-1045335.375</v>
      </c>
      <c r="BP18" s="54">
        <f>-OPEX!$C$36*(1+OPEX!$C$4)^4</f>
        <v>-1045335.375</v>
      </c>
      <c r="BQ18" s="54">
        <f>-OPEX!$C$36*(1+OPEX!$C$4)^4</f>
        <v>-1045335.375</v>
      </c>
      <c r="BR18" s="54">
        <f>-OPEX!$C$36*(1+OPEX!$C$4)^4</f>
        <v>-1045335.375</v>
      </c>
      <c r="BS18" s="54">
        <f>-OPEX!$C$36*(1+OPEX!$C$4)^4</f>
        <v>-1045335.375</v>
      </c>
      <c r="BT18" s="54">
        <f>-OPEX!$C$36*(1+OPEX!$C$4)^4</f>
        <v>-1045335.375</v>
      </c>
      <c r="BU18" s="54">
        <f>-OPEX!$C$36*(1+OPEX!$C$4)^4</f>
        <v>-1045335.375</v>
      </c>
      <c r="BV18" s="54">
        <f>-OPEX!$C$36*(1+OPEX!$C$4)^4</f>
        <v>-1045335.375</v>
      </c>
      <c r="BW18" s="54">
        <f>-OPEX!$C$36*(1+OPEX!$C$4)^4</f>
        <v>-1045335.375</v>
      </c>
    </row>
    <row r="19" spans="2:76" s="51" customFormat="1" outlineLevel="1">
      <c r="B19" s="51" t="s">
        <v>141</v>
      </c>
      <c r="C19" s="52"/>
      <c r="D19" s="53">
        <f t="shared" si="9"/>
        <v>-11771518.049999999</v>
      </c>
      <c r="E19" s="74"/>
      <c r="F19" s="53">
        <f t="shared" si="2"/>
        <v>-234000</v>
      </c>
      <c r="G19" s="53">
        <f t="shared" si="2"/>
        <v>-2088000</v>
      </c>
      <c r="H19" s="53">
        <f t="shared" si="1"/>
        <v>-2192400</v>
      </c>
      <c r="I19" s="53">
        <f t="shared" si="1"/>
        <v>-2302020</v>
      </c>
      <c r="J19" s="53">
        <f t="shared" si="1"/>
        <v>-2417121.0000000005</v>
      </c>
      <c r="K19" s="53">
        <f t="shared" si="1"/>
        <v>-2537977.0499999993</v>
      </c>
      <c r="L19" s="91"/>
      <c r="M19" s="53">
        <f>-SUM(ФОТ!$E$10:$E$12)</f>
        <v>-78000</v>
      </c>
      <c r="N19" s="53">
        <f>-SUM(ФОТ!$E$10:$E$12)</f>
        <v>-78000</v>
      </c>
      <c r="O19" s="53">
        <f>-SUM(ФОТ!$E$10:$E$12)</f>
        <v>-78000</v>
      </c>
      <c r="P19" s="54">
        <f>-ФОТ!$E$13</f>
        <v>-174000</v>
      </c>
      <c r="Q19" s="54">
        <f>-ФОТ!$E$13</f>
        <v>-174000</v>
      </c>
      <c r="R19" s="54">
        <f>-ФОТ!$E$13</f>
        <v>-174000</v>
      </c>
      <c r="S19" s="54">
        <f>-ФОТ!$E$13</f>
        <v>-174000</v>
      </c>
      <c r="T19" s="54">
        <f>-ФОТ!$E$13</f>
        <v>-174000</v>
      </c>
      <c r="U19" s="54">
        <f>-ФОТ!$E$13</f>
        <v>-174000</v>
      </c>
      <c r="V19" s="54">
        <f>-ФОТ!$E$13</f>
        <v>-174000</v>
      </c>
      <c r="W19" s="54">
        <f>-ФОТ!$E$13</f>
        <v>-174000</v>
      </c>
      <c r="X19" s="54">
        <f>-ФОТ!$E$13</f>
        <v>-174000</v>
      </c>
      <c r="Y19" s="54">
        <f>-ФОТ!$E$13</f>
        <v>-174000</v>
      </c>
      <c r="Z19" s="54">
        <f>-ФОТ!$E$13</f>
        <v>-174000</v>
      </c>
      <c r="AA19" s="54">
        <f>-ФОТ!$E$13</f>
        <v>-174000</v>
      </c>
      <c r="AB19" s="54">
        <f>-ФОТ!$E$13*(1+OPEX!$C$4)</f>
        <v>-182700</v>
      </c>
      <c r="AC19" s="54">
        <f>-ФОТ!$E$13*(1+OPEX!$C$4)</f>
        <v>-182700</v>
      </c>
      <c r="AD19" s="54">
        <f>-ФОТ!$E$13*(1+OPEX!$C$4)</f>
        <v>-182700</v>
      </c>
      <c r="AE19" s="54">
        <f>-ФОТ!$E$13*(1+OPEX!$C$4)</f>
        <v>-182700</v>
      </c>
      <c r="AF19" s="54">
        <f>-ФОТ!$E$13*(1+OPEX!$C$4)</f>
        <v>-182700</v>
      </c>
      <c r="AG19" s="54">
        <f>-ФОТ!$E$13*(1+OPEX!$C$4)</f>
        <v>-182700</v>
      </c>
      <c r="AH19" s="54">
        <f>-ФОТ!$E$13*(1+OPEX!$C$4)</f>
        <v>-182700</v>
      </c>
      <c r="AI19" s="54">
        <f>-ФОТ!$E$13*(1+OPEX!$C$4)</f>
        <v>-182700</v>
      </c>
      <c r="AJ19" s="54">
        <f>-ФОТ!$E$13*(1+OPEX!$C$4)</f>
        <v>-182700</v>
      </c>
      <c r="AK19" s="54">
        <f>-ФОТ!$E$13*(1+OPEX!$C$4)</f>
        <v>-182700</v>
      </c>
      <c r="AL19" s="54">
        <f>-ФОТ!$E$13*(1+OPEX!$C$4)</f>
        <v>-182700</v>
      </c>
      <c r="AM19" s="54">
        <f>-ФОТ!$E$13*(1+OPEX!$C$4)</f>
        <v>-182700</v>
      </c>
      <c r="AN19" s="54">
        <f>-ФОТ!$E$13*(1+OPEX!$C$4)^2</f>
        <v>-191835</v>
      </c>
      <c r="AO19" s="54">
        <f>-ФОТ!$E$13*(1+OPEX!$C$4)^2</f>
        <v>-191835</v>
      </c>
      <c r="AP19" s="54">
        <f>-ФОТ!$E$13*(1+OPEX!$C$4)^2</f>
        <v>-191835</v>
      </c>
      <c r="AQ19" s="54">
        <f>-ФОТ!$E$13*(1+OPEX!$C$4)^2</f>
        <v>-191835</v>
      </c>
      <c r="AR19" s="54">
        <f>-ФОТ!$E$13*(1+OPEX!$C$4)^2</f>
        <v>-191835</v>
      </c>
      <c r="AS19" s="54">
        <f>-ФОТ!$E$13*(1+OPEX!$C$4)^2</f>
        <v>-191835</v>
      </c>
      <c r="AT19" s="54">
        <f>-ФОТ!$E$13*(1+OPEX!$C$4)^2</f>
        <v>-191835</v>
      </c>
      <c r="AU19" s="54">
        <f>-ФОТ!$E$13*(1+OPEX!$C$4)^2</f>
        <v>-191835</v>
      </c>
      <c r="AV19" s="54">
        <f>-ФОТ!$E$13*(1+OPEX!$C$4)^2</f>
        <v>-191835</v>
      </c>
      <c r="AW19" s="54">
        <f>-ФОТ!$E$13*(1+OPEX!$C$4)^2</f>
        <v>-191835</v>
      </c>
      <c r="AX19" s="54">
        <f>-ФОТ!$E$13*(1+OPEX!$C$4)^2</f>
        <v>-191835</v>
      </c>
      <c r="AY19" s="54">
        <f>-ФОТ!$E$13*(1+OPEX!$C$4)^2</f>
        <v>-191835</v>
      </c>
      <c r="AZ19" s="54">
        <f>-ФОТ!$E$13*(1+OPEX!$C$4)^3</f>
        <v>-201426.75000000003</v>
      </c>
      <c r="BA19" s="54">
        <f>-ФОТ!$E$13*(1+OPEX!$C$4)^3</f>
        <v>-201426.75000000003</v>
      </c>
      <c r="BB19" s="54">
        <f>-ФОТ!$E$13*(1+OPEX!$C$4)^3</f>
        <v>-201426.75000000003</v>
      </c>
      <c r="BC19" s="54">
        <f>-ФОТ!$E$13*(1+OPEX!$C$4)^3</f>
        <v>-201426.75000000003</v>
      </c>
      <c r="BD19" s="54">
        <f>-ФОТ!$E$13*(1+OPEX!$C$4)^3</f>
        <v>-201426.75000000003</v>
      </c>
      <c r="BE19" s="54">
        <f>-ФОТ!$E$13*(1+OPEX!$C$4)^3</f>
        <v>-201426.75000000003</v>
      </c>
      <c r="BF19" s="54">
        <f>-ФОТ!$E$13*(1+OPEX!$C$4)^3</f>
        <v>-201426.75000000003</v>
      </c>
      <c r="BG19" s="54">
        <f>-ФОТ!$E$13*(1+OPEX!$C$4)^3</f>
        <v>-201426.75000000003</v>
      </c>
      <c r="BH19" s="54">
        <f>-ФОТ!$E$13*(1+OPEX!$C$4)^3</f>
        <v>-201426.75000000003</v>
      </c>
      <c r="BI19" s="54">
        <f>-ФОТ!$E$13*(1+OPEX!$C$4)^3</f>
        <v>-201426.75000000003</v>
      </c>
      <c r="BJ19" s="54">
        <f>-ФОТ!$E$13*(1+OPEX!$C$4)^3</f>
        <v>-201426.75000000003</v>
      </c>
      <c r="BK19" s="54">
        <f>-ФОТ!$E$13*(1+OPEX!$C$4)^3</f>
        <v>-201426.75000000003</v>
      </c>
      <c r="BL19" s="54">
        <f>-ФОТ!$E$13*(1+OPEX!$C$4)^4</f>
        <v>-211498.08749999999</v>
      </c>
      <c r="BM19" s="54">
        <f>-ФОТ!$E$13*(1+OPEX!$C$4)^4</f>
        <v>-211498.08749999999</v>
      </c>
      <c r="BN19" s="54">
        <f>-ФОТ!$E$13*(1+OPEX!$C$4)^4</f>
        <v>-211498.08749999999</v>
      </c>
      <c r="BO19" s="54">
        <f>-ФОТ!$E$13*(1+OPEX!$C$4)^4</f>
        <v>-211498.08749999999</v>
      </c>
      <c r="BP19" s="54">
        <f>-ФОТ!$E$13*(1+OPEX!$C$4)^4</f>
        <v>-211498.08749999999</v>
      </c>
      <c r="BQ19" s="54">
        <f>-ФОТ!$E$13*(1+OPEX!$C$4)^4</f>
        <v>-211498.08749999999</v>
      </c>
      <c r="BR19" s="54">
        <f>-ФОТ!$E$13*(1+OPEX!$C$4)^4</f>
        <v>-211498.08749999999</v>
      </c>
      <c r="BS19" s="54">
        <f>-ФОТ!$E$13*(1+OPEX!$C$4)^4</f>
        <v>-211498.08749999999</v>
      </c>
      <c r="BT19" s="54">
        <f>-ФОТ!$E$13*(1+OPEX!$C$4)^4</f>
        <v>-211498.08749999999</v>
      </c>
      <c r="BU19" s="54">
        <f>-ФОТ!$E$13*(1+OPEX!$C$4)^4</f>
        <v>-211498.08749999999</v>
      </c>
      <c r="BV19" s="54">
        <f>-ФОТ!$E$13*(1+OPEX!$C$4)^4</f>
        <v>-211498.08749999999</v>
      </c>
      <c r="BW19" s="54">
        <f>-ФОТ!$E$13*(1+OPEX!$C$4)^4</f>
        <v>-211498.08749999999</v>
      </c>
    </row>
    <row r="20" spans="2:76" s="30" customFormat="1" outlineLevel="1">
      <c r="B20" s="51" t="s">
        <v>159</v>
      </c>
      <c r="C20" s="52"/>
      <c r="D20" s="35">
        <f t="shared" si="9"/>
        <v>-22394191.666666668</v>
      </c>
      <c r="E20" s="74"/>
      <c r="F20" s="35">
        <f t="shared" si="2"/>
        <v>-291666.66666666669</v>
      </c>
      <c r="G20" s="35">
        <f t="shared" si="2"/>
        <v>-4000000.0000000014</v>
      </c>
      <c r="H20" s="35">
        <f t="shared" si="1"/>
        <v>-4200000</v>
      </c>
      <c r="I20" s="35">
        <f t="shared" si="1"/>
        <v>-4410000</v>
      </c>
      <c r="J20" s="35">
        <f t="shared" si="1"/>
        <v>-4630500.0000000009</v>
      </c>
      <c r="K20" s="35">
        <f t="shared" si="1"/>
        <v>-4862025</v>
      </c>
      <c r="L20" s="35"/>
      <c r="M20" s="35">
        <f t="shared" ref="M20" si="21">N20/2</f>
        <v>-41666.666666666672</v>
      </c>
      <c r="N20" s="35">
        <f>O20/2</f>
        <v>-83333.333333333343</v>
      </c>
      <c r="O20" s="35">
        <f>P20/2</f>
        <v>-166666.66666666669</v>
      </c>
      <c r="P20" s="36">
        <f>(-OPEX!$C$27)/1.2</f>
        <v>-333333.33333333337</v>
      </c>
      <c r="Q20" s="36">
        <f>(-OPEX!$C$27)/1.2</f>
        <v>-333333.33333333337</v>
      </c>
      <c r="R20" s="36">
        <f>(-OPEX!$C$27)/1.2</f>
        <v>-333333.33333333337</v>
      </c>
      <c r="S20" s="36">
        <f>(-OPEX!$C$27)/1.2</f>
        <v>-333333.33333333337</v>
      </c>
      <c r="T20" s="36">
        <f>(-OPEX!$C$27)/1.2</f>
        <v>-333333.33333333337</v>
      </c>
      <c r="U20" s="36">
        <f>(-OPEX!$C$27)/1.2</f>
        <v>-333333.33333333337</v>
      </c>
      <c r="V20" s="36">
        <f>(-OPEX!$C$27)/1.2</f>
        <v>-333333.33333333337</v>
      </c>
      <c r="W20" s="36">
        <f>(-OPEX!$C$27)/1.2</f>
        <v>-333333.33333333337</v>
      </c>
      <c r="X20" s="36">
        <f>(-OPEX!$C$27)/1.2</f>
        <v>-333333.33333333337</v>
      </c>
      <c r="Y20" s="36">
        <f>(-OPEX!$C$27)/1.2</f>
        <v>-333333.33333333337</v>
      </c>
      <c r="Z20" s="36">
        <f>(-OPEX!$C$27)/1.2</f>
        <v>-333333.33333333337</v>
      </c>
      <c r="AA20" s="36">
        <f>(-OPEX!$C$27)/1.2</f>
        <v>-333333.33333333337</v>
      </c>
      <c r="AB20" s="36">
        <f>(-OPEX!$C$27*(1+OPEX!$C$4))/1.2</f>
        <v>-350000</v>
      </c>
      <c r="AC20" s="36">
        <f>(-OPEX!$C$27*(1+OPEX!$C$4))/1.2</f>
        <v>-350000</v>
      </c>
      <c r="AD20" s="36">
        <f>(-OPEX!$C$27*(1+OPEX!$C$4))/1.2</f>
        <v>-350000</v>
      </c>
      <c r="AE20" s="36">
        <f>(-OPEX!$C$27*(1+OPEX!$C$4))/1.2</f>
        <v>-350000</v>
      </c>
      <c r="AF20" s="36">
        <f>(-OPEX!$C$27*(1+OPEX!$C$4))/1.2</f>
        <v>-350000</v>
      </c>
      <c r="AG20" s="36">
        <f>(-OPEX!$C$27*(1+OPEX!$C$4))/1.2</f>
        <v>-350000</v>
      </c>
      <c r="AH20" s="36">
        <f>(-OPEX!$C$27*(1+OPEX!$C$4))/1.2</f>
        <v>-350000</v>
      </c>
      <c r="AI20" s="36">
        <f>(-OPEX!$C$27*(1+OPEX!$C$4))/1.2</f>
        <v>-350000</v>
      </c>
      <c r="AJ20" s="36">
        <f>(-OPEX!$C$27*(1+OPEX!$C$4))/1.2</f>
        <v>-350000</v>
      </c>
      <c r="AK20" s="36">
        <f>(-OPEX!$C$27*(1+OPEX!$C$4))/1.2</f>
        <v>-350000</v>
      </c>
      <c r="AL20" s="36">
        <f>(-OPEX!$C$27*(1+OPEX!$C$4))/1.2</f>
        <v>-350000</v>
      </c>
      <c r="AM20" s="36">
        <f>(-OPEX!$C$27*(1+OPEX!$C$4))/1.2</f>
        <v>-350000</v>
      </c>
      <c r="AN20" s="36">
        <f>(-OPEX!$C$27*(1+OPEX!$C$4)^2)/1.2</f>
        <v>-367500</v>
      </c>
      <c r="AO20" s="36">
        <f>(-OPEX!$C$27*(1+OPEX!$C$4)^2)/1.2</f>
        <v>-367500</v>
      </c>
      <c r="AP20" s="36">
        <f>(-OPEX!$C$27*(1+OPEX!$C$4)^2)/1.2</f>
        <v>-367500</v>
      </c>
      <c r="AQ20" s="36">
        <f>(-OPEX!$C$27*(1+OPEX!$C$4)^2)/1.2</f>
        <v>-367500</v>
      </c>
      <c r="AR20" s="36">
        <f>(-OPEX!$C$27*(1+OPEX!$C$4)^2)/1.2</f>
        <v>-367500</v>
      </c>
      <c r="AS20" s="36">
        <f>(-OPEX!$C$27*(1+OPEX!$C$4)^2)/1.2</f>
        <v>-367500</v>
      </c>
      <c r="AT20" s="36">
        <f>(-OPEX!$C$27*(1+OPEX!$C$4)^2)/1.2</f>
        <v>-367500</v>
      </c>
      <c r="AU20" s="36">
        <f>(-OPEX!$C$27*(1+OPEX!$C$4)^2)/1.2</f>
        <v>-367500</v>
      </c>
      <c r="AV20" s="36">
        <f>(-OPEX!$C$27*(1+OPEX!$C$4)^2)/1.2</f>
        <v>-367500</v>
      </c>
      <c r="AW20" s="36">
        <f>(-OPEX!$C$27*(1+OPEX!$C$4)^2)/1.2</f>
        <v>-367500</v>
      </c>
      <c r="AX20" s="36">
        <f>(-OPEX!$C$27*(1+OPEX!$C$4)^2)/1.2</f>
        <v>-367500</v>
      </c>
      <c r="AY20" s="36">
        <f>(-OPEX!$C$27*(1+OPEX!$C$4)^2)/1.2</f>
        <v>-367500</v>
      </c>
      <c r="AZ20" s="36">
        <f>(-OPEX!$C$27*(1+OPEX!$C$4)^3)/1.2</f>
        <v>-385875.00000000006</v>
      </c>
      <c r="BA20" s="36">
        <f>(-OPEX!$C$27*(1+OPEX!$C$4)^3)/1.2</f>
        <v>-385875.00000000006</v>
      </c>
      <c r="BB20" s="36">
        <f>(-OPEX!$C$27*(1+OPEX!$C$4)^3)/1.2</f>
        <v>-385875.00000000006</v>
      </c>
      <c r="BC20" s="36">
        <f>(-OPEX!$C$27*(1+OPEX!$C$4)^3)/1.2</f>
        <v>-385875.00000000006</v>
      </c>
      <c r="BD20" s="36">
        <f>(-OPEX!$C$27*(1+OPEX!$C$4)^3)/1.2</f>
        <v>-385875.00000000006</v>
      </c>
      <c r="BE20" s="36">
        <f>(-OPEX!$C$27*(1+OPEX!$C$4)^3)/1.2</f>
        <v>-385875.00000000006</v>
      </c>
      <c r="BF20" s="36">
        <f>(-OPEX!$C$27*(1+OPEX!$C$4)^3)/1.2</f>
        <v>-385875.00000000006</v>
      </c>
      <c r="BG20" s="36">
        <f>(-OPEX!$C$27*(1+OPEX!$C$4)^3)/1.2</f>
        <v>-385875.00000000006</v>
      </c>
      <c r="BH20" s="36">
        <f>(-OPEX!$C$27*(1+OPEX!$C$4)^3)/1.2</f>
        <v>-385875.00000000006</v>
      </c>
      <c r="BI20" s="36">
        <f>(-OPEX!$C$27*(1+OPEX!$C$4)^3)/1.2</f>
        <v>-385875.00000000006</v>
      </c>
      <c r="BJ20" s="36">
        <f>(-OPEX!$C$27*(1+OPEX!$C$4)^3)/1.2</f>
        <v>-385875.00000000006</v>
      </c>
      <c r="BK20" s="36">
        <f>(-OPEX!$C$27*(1+OPEX!$C$4)^3)/1.2</f>
        <v>-385875.00000000006</v>
      </c>
      <c r="BL20" s="36">
        <f>(-OPEX!$C$27*(1+OPEX!$C$4)^4)/1.2</f>
        <v>-405168.75</v>
      </c>
      <c r="BM20" s="36">
        <f>(-OPEX!$C$27*(1+OPEX!$C$4)^4)/1.2</f>
        <v>-405168.75</v>
      </c>
      <c r="BN20" s="36">
        <f>(-OPEX!$C$27*(1+OPEX!$C$4)^4)/1.2</f>
        <v>-405168.75</v>
      </c>
      <c r="BO20" s="36">
        <f>(-OPEX!$C$27*(1+OPEX!$C$4)^4)/1.2</f>
        <v>-405168.75</v>
      </c>
      <c r="BP20" s="36">
        <f>(-OPEX!$C$27*(1+OPEX!$C$4)^4)/1.2</f>
        <v>-405168.75</v>
      </c>
      <c r="BQ20" s="36">
        <f>(-OPEX!$C$27*(1+OPEX!$C$4)^4)/1.2</f>
        <v>-405168.75</v>
      </c>
      <c r="BR20" s="36">
        <f>(-OPEX!$C$27*(1+OPEX!$C$4)^4)/1.2</f>
        <v>-405168.75</v>
      </c>
      <c r="BS20" s="36">
        <f>(-OPEX!$C$27*(1+OPEX!$C$4)^4)/1.2</f>
        <v>-405168.75</v>
      </c>
      <c r="BT20" s="36">
        <f>(-OPEX!$C$27*(1+OPEX!$C$4)^4)/1.2</f>
        <v>-405168.75</v>
      </c>
      <c r="BU20" s="36">
        <f>(-OPEX!$C$27*(1+OPEX!$C$4)^4)/1.2</f>
        <v>-405168.75</v>
      </c>
      <c r="BV20" s="36">
        <f>(-OPEX!$C$27*(1+OPEX!$C$4)^4)/1.2</f>
        <v>-405168.75</v>
      </c>
      <c r="BW20" s="36">
        <f>(-OPEX!$C$27*(1+OPEX!$C$4)^4)/1.2</f>
        <v>-405168.75</v>
      </c>
    </row>
    <row r="21" spans="2:76" s="19" customFormat="1" ht="15" customHeight="1">
      <c r="C21" s="41"/>
      <c r="D21" s="34"/>
      <c r="E21" s="69"/>
      <c r="F21" s="34"/>
      <c r="G21" s="34"/>
      <c r="H21" s="34"/>
      <c r="I21" s="34"/>
      <c r="J21" s="34"/>
      <c r="K21" s="34"/>
      <c r="L21" s="89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2:76" s="19" customFormat="1" ht="17.25" customHeight="1">
      <c r="B22" s="46" t="s">
        <v>137</v>
      </c>
      <c r="C22" s="41"/>
      <c r="D22" s="47">
        <f t="shared" si="9"/>
        <v>89313891.802708328</v>
      </c>
      <c r="E22" s="72"/>
      <c r="F22" s="47">
        <f t="shared" si="2"/>
        <v>-1555666.6666666667</v>
      </c>
      <c r="G22" s="47">
        <f t="shared" si="2"/>
        <v>16445100</v>
      </c>
      <c r="H22" s="47">
        <f t="shared" si="2"/>
        <v>17267355</v>
      </c>
      <c r="I22" s="47">
        <f t="shared" si="2"/>
        <v>18130722.75</v>
      </c>
      <c r="J22" s="47">
        <f t="shared" si="2"/>
        <v>19037258.887499992</v>
      </c>
      <c r="K22" s="47">
        <f t="shared" si="2"/>
        <v>19989121.831875</v>
      </c>
      <c r="L22" s="88"/>
      <c r="M22" s="47">
        <f>SUM(M13,M16)</f>
        <v>-463000.00000000006</v>
      </c>
      <c r="N22" s="47">
        <f t="shared" ref="N22:O22" si="22">SUM(N13,N16)</f>
        <v>-504666.66666666674</v>
      </c>
      <c r="O22" s="47">
        <f t="shared" si="22"/>
        <v>-588000</v>
      </c>
      <c r="P22" s="47">
        <f>SUM(P13,P16)</f>
        <v>1370425</v>
      </c>
      <c r="Q22" s="47">
        <f t="shared" ref="Q22:AA22" si="23">SUM(Q13,Q16)</f>
        <v>1370425</v>
      </c>
      <c r="R22" s="47">
        <f t="shared" si="23"/>
        <v>1370425</v>
      </c>
      <c r="S22" s="47">
        <f t="shared" si="23"/>
        <v>1370425</v>
      </c>
      <c r="T22" s="47">
        <f t="shared" si="23"/>
        <v>1370425</v>
      </c>
      <c r="U22" s="47">
        <f t="shared" si="23"/>
        <v>1370425</v>
      </c>
      <c r="V22" s="47">
        <f t="shared" si="23"/>
        <v>1370425</v>
      </c>
      <c r="W22" s="47">
        <f t="shared" si="23"/>
        <v>1370425</v>
      </c>
      <c r="X22" s="47">
        <f t="shared" si="23"/>
        <v>1370425</v>
      </c>
      <c r="Y22" s="47">
        <f t="shared" si="23"/>
        <v>1370425</v>
      </c>
      <c r="Z22" s="47">
        <f t="shared" si="23"/>
        <v>1370425</v>
      </c>
      <c r="AA22" s="47">
        <f t="shared" si="23"/>
        <v>1370425</v>
      </c>
      <c r="AB22" s="47">
        <f t="shared" ref="AB22:AY22" si="24">SUM(AB13,AB16)</f>
        <v>1438946.25</v>
      </c>
      <c r="AC22" s="47">
        <f t="shared" si="24"/>
        <v>1438946.25</v>
      </c>
      <c r="AD22" s="47">
        <f t="shared" si="24"/>
        <v>1438946.25</v>
      </c>
      <c r="AE22" s="47">
        <f t="shared" si="24"/>
        <v>1438946.25</v>
      </c>
      <c r="AF22" s="47">
        <f t="shared" si="24"/>
        <v>1438946.25</v>
      </c>
      <c r="AG22" s="47">
        <f t="shared" si="24"/>
        <v>1438946.25</v>
      </c>
      <c r="AH22" s="47">
        <f t="shared" si="24"/>
        <v>1438946.25</v>
      </c>
      <c r="AI22" s="47">
        <f t="shared" si="24"/>
        <v>1438946.25</v>
      </c>
      <c r="AJ22" s="47">
        <f t="shared" si="24"/>
        <v>1438946.25</v>
      </c>
      <c r="AK22" s="47">
        <f t="shared" si="24"/>
        <v>1438946.25</v>
      </c>
      <c r="AL22" s="47">
        <f t="shared" si="24"/>
        <v>1438946.25</v>
      </c>
      <c r="AM22" s="47">
        <f t="shared" si="24"/>
        <v>1438946.25</v>
      </c>
      <c r="AN22" s="47">
        <f t="shared" si="24"/>
        <v>1510893.5625</v>
      </c>
      <c r="AO22" s="47">
        <f>SUM(AO13,AO16)</f>
        <v>1510893.5625</v>
      </c>
      <c r="AP22" s="47">
        <f t="shared" si="24"/>
        <v>1510893.5625</v>
      </c>
      <c r="AQ22" s="47">
        <f t="shared" si="24"/>
        <v>1510893.5625</v>
      </c>
      <c r="AR22" s="47">
        <f t="shared" si="24"/>
        <v>1510893.5625</v>
      </c>
      <c r="AS22" s="47">
        <f t="shared" si="24"/>
        <v>1510893.5625</v>
      </c>
      <c r="AT22" s="47">
        <f t="shared" si="24"/>
        <v>1510893.5625</v>
      </c>
      <c r="AU22" s="47">
        <f t="shared" si="24"/>
        <v>1510893.5625</v>
      </c>
      <c r="AV22" s="47">
        <f t="shared" si="24"/>
        <v>1510893.5625</v>
      </c>
      <c r="AW22" s="47">
        <f t="shared" si="24"/>
        <v>1510893.5625</v>
      </c>
      <c r="AX22" s="47">
        <f t="shared" si="24"/>
        <v>1510893.5625</v>
      </c>
      <c r="AY22" s="47">
        <f t="shared" si="24"/>
        <v>1510893.5625</v>
      </c>
      <c r="AZ22" s="47">
        <f t="shared" ref="AZ22" si="25">SUM(AZ13,AZ16)</f>
        <v>1586438.2406249994</v>
      </c>
      <c r="BA22" s="47">
        <f t="shared" ref="BA22:BK22" si="26">SUM(BA13,BA16)</f>
        <v>1586438.2406249994</v>
      </c>
      <c r="BB22" s="47">
        <f t="shared" si="26"/>
        <v>1586438.2406249994</v>
      </c>
      <c r="BC22" s="47">
        <f t="shared" si="26"/>
        <v>1586438.2406249994</v>
      </c>
      <c r="BD22" s="47">
        <f t="shared" si="26"/>
        <v>1586438.2406249994</v>
      </c>
      <c r="BE22" s="47">
        <f t="shared" si="26"/>
        <v>1586438.2406249994</v>
      </c>
      <c r="BF22" s="47">
        <f t="shared" si="26"/>
        <v>1586438.2406249994</v>
      </c>
      <c r="BG22" s="47">
        <f t="shared" si="26"/>
        <v>1586438.2406249994</v>
      </c>
      <c r="BH22" s="47">
        <f t="shared" si="26"/>
        <v>1586438.2406249994</v>
      </c>
      <c r="BI22" s="47">
        <f t="shared" si="26"/>
        <v>1586438.2406249994</v>
      </c>
      <c r="BJ22" s="47">
        <f t="shared" si="26"/>
        <v>1586438.2406249994</v>
      </c>
      <c r="BK22" s="47">
        <f t="shared" si="26"/>
        <v>1586438.2406249994</v>
      </c>
      <c r="BL22" s="47">
        <f t="shared" ref="BL22:BW22" si="27">SUM(BL13,BL16)</f>
        <v>1665760.1526562502</v>
      </c>
      <c r="BM22" s="47">
        <f t="shared" si="27"/>
        <v>1665760.1526562502</v>
      </c>
      <c r="BN22" s="47">
        <f t="shared" si="27"/>
        <v>1665760.1526562502</v>
      </c>
      <c r="BO22" s="47">
        <f t="shared" si="27"/>
        <v>1665760.1526562502</v>
      </c>
      <c r="BP22" s="47">
        <f t="shared" si="27"/>
        <v>1665760.1526562502</v>
      </c>
      <c r="BQ22" s="47">
        <f t="shared" si="27"/>
        <v>1665760.1526562502</v>
      </c>
      <c r="BR22" s="47">
        <f t="shared" si="27"/>
        <v>1665760.1526562502</v>
      </c>
      <c r="BS22" s="47">
        <f t="shared" si="27"/>
        <v>1665760.1526562502</v>
      </c>
      <c r="BT22" s="47">
        <f t="shared" si="27"/>
        <v>1665760.1526562502</v>
      </c>
      <c r="BU22" s="47">
        <f t="shared" si="27"/>
        <v>1665760.1526562502</v>
      </c>
      <c r="BV22" s="47">
        <f t="shared" si="27"/>
        <v>1665760.1526562502</v>
      </c>
      <c r="BW22" s="47">
        <f t="shared" si="27"/>
        <v>1665760.1526562502</v>
      </c>
    </row>
    <row r="23" spans="2:76" s="41" customFormat="1" ht="11.25" customHeight="1">
      <c r="B23" s="58"/>
      <c r="D23" s="59"/>
      <c r="E23" s="69"/>
      <c r="F23" s="59"/>
      <c r="G23" s="59"/>
      <c r="H23" s="59"/>
      <c r="I23" s="59"/>
      <c r="J23" s="59"/>
      <c r="K23" s="59"/>
      <c r="L23" s="8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</row>
    <row r="24" spans="2:76">
      <c r="B24" s="19" t="s">
        <v>136</v>
      </c>
      <c r="C24" s="41"/>
      <c r="D24" s="33">
        <f t="shared" si="9"/>
        <v>-4709799.9999999981</v>
      </c>
      <c r="E24" s="72"/>
      <c r="F24" s="33">
        <f t="shared" si="2"/>
        <v>0</v>
      </c>
      <c r="G24" s="33">
        <f t="shared" si="2"/>
        <v>-941959.99999999965</v>
      </c>
      <c r="H24" s="33">
        <f t="shared" si="2"/>
        <v>-941959.99999999965</v>
      </c>
      <c r="I24" s="33">
        <f t="shared" si="2"/>
        <v>-941959.99999999965</v>
      </c>
      <c r="J24" s="33">
        <f t="shared" si="2"/>
        <v>-941959.99999999965</v>
      </c>
      <c r="K24" s="33">
        <f t="shared" si="2"/>
        <v>-941959.99999999965</v>
      </c>
      <c r="L24" s="88"/>
      <c r="P24" s="33">
        <f>-OPEX!$D$7/12/OPEX!$C$8</f>
        <v>-78496.666666666657</v>
      </c>
      <c r="Q24" s="33">
        <f>-OPEX!$D$7/12/OPEX!$C$8</f>
        <v>-78496.666666666657</v>
      </c>
      <c r="R24" s="33">
        <f>-OPEX!$D$7/12/OPEX!$C$8</f>
        <v>-78496.666666666657</v>
      </c>
      <c r="S24" s="33">
        <f>-OPEX!$D$7/12/OPEX!$C$8</f>
        <v>-78496.666666666657</v>
      </c>
      <c r="T24" s="33">
        <f>-OPEX!$D$7/12/OPEX!$C$8</f>
        <v>-78496.666666666657</v>
      </c>
      <c r="U24" s="33">
        <f>-OPEX!$D$7/12/OPEX!$C$8</f>
        <v>-78496.666666666657</v>
      </c>
      <c r="V24" s="33">
        <f>-OPEX!$D$7/12/OPEX!$C$8</f>
        <v>-78496.666666666657</v>
      </c>
      <c r="W24" s="33">
        <f>-OPEX!$D$7/12/OPEX!$C$8</f>
        <v>-78496.666666666657</v>
      </c>
      <c r="X24" s="33">
        <f>-OPEX!$D$7/12/OPEX!$C$8</f>
        <v>-78496.666666666657</v>
      </c>
      <c r="Y24" s="33">
        <f>-OPEX!$D$7/12/OPEX!$C$8</f>
        <v>-78496.666666666657</v>
      </c>
      <c r="Z24" s="33">
        <f>-OPEX!$D$7/12/OPEX!$C$8</f>
        <v>-78496.666666666657</v>
      </c>
      <c r="AA24" s="33">
        <f>-OPEX!$D$7/12/OPEX!$C$8</f>
        <v>-78496.666666666657</v>
      </c>
      <c r="AB24" s="33">
        <f>-OPEX!$D$7/12/OPEX!$C$8</f>
        <v>-78496.666666666657</v>
      </c>
      <c r="AC24" s="33">
        <f>-OPEX!$D$7/12/OPEX!$C$8</f>
        <v>-78496.666666666657</v>
      </c>
      <c r="AD24" s="33">
        <f>-OPEX!$D$7/12/OPEX!$C$8</f>
        <v>-78496.666666666657</v>
      </c>
      <c r="AE24" s="33">
        <f>-OPEX!$D$7/12/OPEX!$C$8</f>
        <v>-78496.666666666657</v>
      </c>
      <c r="AF24" s="33">
        <f>-OPEX!$D$7/12/OPEX!$C$8</f>
        <v>-78496.666666666657</v>
      </c>
      <c r="AG24" s="33">
        <f>-OPEX!$D$7/12/OPEX!$C$8</f>
        <v>-78496.666666666657</v>
      </c>
      <c r="AH24" s="33">
        <f>-OPEX!$D$7/12/OPEX!$C$8</f>
        <v>-78496.666666666657</v>
      </c>
      <c r="AI24" s="33">
        <f>-OPEX!$D$7/12/OPEX!$C$8</f>
        <v>-78496.666666666657</v>
      </c>
      <c r="AJ24" s="33">
        <f>-OPEX!$D$7/12/OPEX!$C$8</f>
        <v>-78496.666666666657</v>
      </c>
      <c r="AK24" s="33">
        <f>-OPEX!$D$7/12/OPEX!$C$8</f>
        <v>-78496.666666666657</v>
      </c>
      <c r="AL24" s="33">
        <f>-OPEX!$D$7/12/OPEX!$C$8</f>
        <v>-78496.666666666657</v>
      </c>
      <c r="AM24" s="33">
        <f>-OPEX!$D$7/12/OPEX!$C$8</f>
        <v>-78496.666666666657</v>
      </c>
      <c r="AN24" s="33">
        <f>-OPEX!$D$7/12/OPEX!$C$8</f>
        <v>-78496.666666666657</v>
      </c>
      <c r="AO24" s="33">
        <f>-OPEX!$D$7/12/OPEX!$C$8</f>
        <v>-78496.666666666657</v>
      </c>
      <c r="AP24" s="33">
        <f>-OPEX!$D$7/12/OPEX!$C$8</f>
        <v>-78496.666666666657</v>
      </c>
      <c r="AQ24" s="33">
        <f>-OPEX!$D$7/12/OPEX!$C$8</f>
        <v>-78496.666666666657</v>
      </c>
      <c r="AR24" s="33">
        <f>-OPEX!$D$7/12/OPEX!$C$8</f>
        <v>-78496.666666666657</v>
      </c>
      <c r="AS24" s="33">
        <f>-OPEX!$D$7/12/OPEX!$C$8</f>
        <v>-78496.666666666657</v>
      </c>
      <c r="AT24" s="33">
        <f>-OPEX!$D$7/12/OPEX!$C$8</f>
        <v>-78496.666666666657</v>
      </c>
      <c r="AU24" s="33">
        <f>-OPEX!$D$7/12/OPEX!$C$8</f>
        <v>-78496.666666666657</v>
      </c>
      <c r="AV24" s="33">
        <f>-OPEX!$D$7/12/OPEX!$C$8</f>
        <v>-78496.666666666657</v>
      </c>
      <c r="AW24" s="33">
        <f>-OPEX!$D$7/12/OPEX!$C$8</f>
        <v>-78496.666666666657</v>
      </c>
      <c r="AX24" s="33">
        <f>-OPEX!$D$7/12/OPEX!$C$8</f>
        <v>-78496.666666666657</v>
      </c>
      <c r="AY24" s="33">
        <f>-OPEX!$D$7/12/OPEX!$C$8</f>
        <v>-78496.666666666657</v>
      </c>
      <c r="AZ24" s="33">
        <f>-OPEX!$D$7/12/OPEX!$C$8</f>
        <v>-78496.666666666657</v>
      </c>
      <c r="BA24" s="33">
        <f>-OPEX!$D$7/12/OPEX!$C$8</f>
        <v>-78496.666666666657</v>
      </c>
      <c r="BB24" s="33">
        <f>-OPEX!$D$7/12/OPEX!$C$8</f>
        <v>-78496.666666666657</v>
      </c>
      <c r="BC24" s="33">
        <f>-OPEX!$D$7/12/OPEX!$C$8</f>
        <v>-78496.666666666657</v>
      </c>
      <c r="BD24" s="33">
        <f>-OPEX!$D$7/12/OPEX!$C$8</f>
        <v>-78496.666666666657</v>
      </c>
      <c r="BE24" s="33">
        <f>-OPEX!$D$7/12/OPEX!$C$8</f>
        <v>-78496.666666666657</v>
      </c>
      <c r="BF24" s="33">
        <f>-OPEX!$D$7/12/OPEX!$C$8</f>
        <v>-78496.666666666657</v>
      </c>
      <c r="BG24" s="33">
        <f>-OPEX!$D$7/12/OPEX!$C$8</f>
        <v>-78496.666666666657</v>
      </c>
      <c r="BH24" s="33">
        <f>-OPEX!$D$7/12/OPEX!$C$8</f>
        <v>-78496.666666666657</v>
      </c>
      <c r="BI24" s="33">
        <f>-OPEX!$D$7/12/OPEX!$C$8</f>
        <v>-78496.666666666657</v>
      </c>
      <c r="BJ24" s="33">
        <f>-OPEX!$D$7/12/OPEX!$C$8</f>
        <v>-78496.666666666657</v>
      </c>
      <c r="BK24" s="33">
        <f>-OPEX!$D$7/12/OPEX!$C$8</f>
        <v>-78496.666666666657</v>
      </c>
      <c r="BL24" s="33">
        <f>-OPEX!$D$7/12/OPEX!$C$8</f>
        <v>-78496.666666666657</v>
      </c>
      <c r="BM24" s="33">
        <f>-OPEX!$D$7/12/OPEX!$C$8</f>
        <v>-78496.666666666657</v>
      </c>
      <c r="BN24" s="33">
        <f>-OPEX!$D$7/12/OPEX!$C$8</f>
        <v>-78496.666666666657</v>
      </c>
      <c r="BO24" s="33">
        <f>-OPEX!$D$7/12/OPEX!$C$8</f>
        <v>-78496.666666666657</v>
      </c>
      <c r="BP24" s="33">
        <f>-OPEX!$D$7/12/OPEX!$C$8</f>
        <v>-78496.666666666657</v>
      </c>
      <c r="BQ24" s="33">
        <f>-OPEX!$D$7/12/OPEX!$C$8</f>
        <v>-78496.666666666657</v>
      </c>
      <c r="BR24" s="33">
        <f>-OPEX!$D$7/12/OPEX!$C$8</f>
        <v>-78496.666666666657</v>
      </c>
      <c r="BS24" s="33">
        <f>-OPEX!$D$7/12/OPEX!$C$8</f>
        <v>-78496.666666666657</v>
      </c>
      <c r="BT24" s="33">
        <f>-OPEX!$D$7/12/OPEX!$C$8</f>
        <v>-78496.666666666657</v>
      </c>
      <c r="BU24" s="33">
        <f>-OPEX!$D$7/12/OPEX!$C$8</f>
        <v>-78496.666666666657</v>
      </c>
      <c r="BV24" s="33">
        <f>-OPEX!$D$7/12/OPEX!$C$8</f>
        <v>-78496.666666666657</v>
      </c>
      <c r="BW24" s="33">
        <f>-OPEX!$D$7/12/OPEX!$C$8</f>
        <v>-78496.666666666657</v>
      </c>
    </row>
    <row r="25" spans="2:76">
      <c r="B25" s="19" t="s">
        <v>172</v>
      </c>
      <c r="C25" s="41"/>
      <c r="E25" s="72"/>
      <c r="L25" s="88"/>
      <c r="P25" s="33">
        <f>-IF(OPEX!$C$39="ОСН",P22*0.2,0)</f>
        <v>-274085</v>
      </c>
      <c r="Q25" s="33">
        <f>-IF(OPEX!$C$39="ОСН",Q22*0.2,0)</f>
        <v>-274085</v>
      </c>
      <c r="R25" s="33">
        <f>-IF(OPEX!$C$39="ОСН",R22*0.2,0)</f>
        <v>-274085</v>
      </c>
      <c r="S25" s="33">
        <f>-IF(OPEX!$C$39="ОСН",S22*0.2,0)</f>
        <v>-274085</v>
      </c>
      <c r="T25" s="33">
        <f>-IF(OPEX!$C$39="ОСН",T22*0.2,0)</f>
        <v>-274085</v>
      </c>
      <c r="U25" s="33">
        <f>-IF(OPEX!$C$39="ОСН",U22*0.2,0)</f>
        <v>-274085</v>
      </c>
      <c r="V25" s="33">
        <f>-IF(OPEX!$C$39="ОСН",V22*0.2,0)</f>
        <v>-274085</v>
      </c>
      <c r="W25" s="33">
        <f>-IF(OPEX!$C$39="ОСН",W22*0.2,0)</f>
        <v>-274085</v>
      </c>
      <c r="X25" s="33">
        <f>-IF(OPEX!$C$39="ОСН",X22*0.2,0)</f>
        <v>-274085</v>
      </c>
      <c r="Y25" s="33">
        <f>-IF(OPEX!$C$39="ОСН",Y22*0.2,0)</f>
        <v>-274085</v>
      </c>
      <c r="Z25" s="33">
        <f>-IF(OPEX!$C$39="ОСН",Z22*0.2,0)</f>
        <v>-274085</v>
      </c>
      <c r="AA25" s="33">
        <f>-IF(OPEX!$C$39="ОСН",AA22*0.2,0)</f>
        <v>-274085</v>
      </c>
      <c r="AB25" s="33">
        <f>-IF(OPEX!$C$39="ОСН",AB22*0.2,0)</f>
        <v>-287789.25</v>
      </c>
      <c r="AC25" s="33">
        <f>-IF(OPEX!$C$39="ОСН",AC22*0.2,0)</f>
        <v>-287789.25</v>
      </c>
      <c r="AD25" s="33">
        <f>-IF(OPEX!$C$39="ОСН",AD22*0.2,0)</f>
        <v>-287789.25</v>
      </c>
      <c r="AE25" s="33">
        <f>-IF(OPEX!$C$39="ОСН",AE22*0.2,0)</f>
        <v>-287789.25</v>
      </c>
      <c r="AF25" s="33">
        <f>-IF(OPEX!$C$39="ОСН",AF22*0.2,0)</f>
        <v>-287789.25</v>
      </c>
      <c r="AG25" s="33">
        <f>-IF(OPEX!$C$39="ОСН",AG22*0.2,0)</f>
        <v>-287789.25</v>
      </c>
      <c r="AH25" s="33">
        <f>-IF(OPEX!$C$39="ОСН",AH22*0.2,0)</f>
        <v>-287789.25</v>
      </c>
      <c r="AI25" s="33">
        <f>-IF(OPEX!$C$39="ОСН",AI22*0.2,0)</f>
        <v>-287789.25</v>
      </c>
      <c r="AJ25" s="33">
        <f>-IF(OPEX!$C$39="ОСН",AJ22*0.2,0)</f>
        <v>-287789.25</v>
      </c>
      <c r="AK25" s="33">
        <f>-IF(OPEX!$C$39="ОСН",AK22*0.2,0)</f>
        <v>-287789.25</v>
      </c>
      <c r="AL25" s="33">
        <f>-IF(OPEX!$C$39="ОСН",AL22*0.2,0)</f>
        <v>-287789.25</v>
      </c>
      <c r="AM25" s="33">
        <f>-IF(OPEX!$C$39="ОСН",AM22*0.2,0)</f>
        <v>-287789.25</v>
      </c>
      <c r="AN25" s="33">
        <f>-IF(OPEX!$C$39="ОСН",AN22*0.2,0)</f>
        <v>-302178.71250000002</v>
      </c>
      <c r="AO25" s="33">
        <f>-IF(OPEX!$C$39="ОСН",AO22*0.2,0)</f>
        <v>-302178.71250000002</v>
      </c>
      <c r="AP25" s="33">
        <f>-IF(OPEX!$C$39="ОСН",AP22*0.2,0)</f>
        <v>-302178.71250000002</v>
      </c>
      <c r="AQ25" s="33">
        <f>-IF(OPEX!$C$39="ОСН",AQ22*0.2,0)</f>
        <v>-302178.71250000002</v>
      </c>
      <c r="AR25" s="33">
        <f>-IF(OPEX!$C$39="ОСН",AR22*0.2,0)</f>
        <v>-302178.71250000002</v>
      </c>
      <c r="AS25" s="33">
        <f>-IF(OPEX!$C$39="ОСН",AS22*0.2,0)</f>
        <v>-302178.71250000002</v>
      </c>
      <c r="AT25" s="33">
        <f>-IF(OPEX!$C$39="ОСН",AT22*0.2,0)</f>
        <v>-302178.71250000002</v>
      </c>
      <c r="AU25" s="33">
        <f>-IF(OPEX!$C$39="ОСН",AU22*0.2,0)</f>
        <v>-302178.71250000002</v>
      </c>
      <c r="AV25" s="33">
        <f>-IF(OPEX!$C$39="ОСН",AV22*0.2,0)</f>
        <v>-302178.71250000002</v>
      </c>
      <c r="AW25" s="33">
        <f>-IF(OPEX!$C$39="ОСН",AW22*0.2,0)</f>
        <v>-302178.71250000002</v>
      </c>
      <c r="AX25" s="33">
        <f>-IF(OPEX!$C$39="ОСН",AX22*0.2,0)</f>
        <v>-302178.71250000002</v>
      </c>
      <c r="AY25" s="33">
        <f>-IF(OPEX!$C$39="ОСН",AY22*0.2,0)</f>
        <v>-302178.71250000002</v>
      </c>
      <c r="AZ25" s="33">
        <f>-IF(OPEX!$C$39="ОСН",AZ22*0.2,0)</f>
        <v>-317287.64812499989</v>
      </c>
      <c r="BA25" s="33">
        <f>-IF(OPEX!$C$39="ОСН",BA22*0.2,0)</f>
        <v>-317287.64812499989</v>
      </c>
      <c r="BB25" s="33">
        <f>-IF(OPEX!$C$39="ОСН",BB22*0.2,0)</f>
        <v>-317287.64812499989</v>
      </c>
      <c r="BC25" s="33">
        <f>-IF(OPEX!$C$39="ОСН",BC22*0.2,0)</f>
        <v>-317287.64812499989</v>
      </c>
      <c r="BD25" s="33">
        <f>-IF(OPEX!$C$39="ОСН",BD22*0.2,0)</f>
        <v>-317287.64812499989</v>
      </c>
      <c r="BE25" s="33">
        <f>-IF(OPEX!$C$39="ОСН",BE22*0.2,0)</f>
        <v>-317287.64812499989</v>
      </c>
      <c r="BF25" s="33">
        <f>-IF(OPEX!$C$39="ОСН",BF22*0.2,0)</f>
        <v>-317287.64812499989</v>
      </c>
      <c r="BG25" s="33">
        <f>-IF(OPEX!$C$39="ОСН",BG22*0.2,0)</f>
        <v>-317287.64812499989</v>
      </c>
      <c r="BH25" s="33">
        <f>-IF(OPEX!$C$39="ОСН",BH22*0.2,0)</f>
        <v>-317287.64812499989</v>
      </c>
      <c r="BI25" s="33">
        <f>-IF(OPEX!$C$39="ОСН",BI22*0.2,0)</f>
        <v>-317287.64812499989</v>
      </c>
      <c r="BJ25" s="33">
        <f>-IF(OPEX!$C$39="ОСН",BJ22*0.2,0)</f>
        <v>-317287.64812499989</v>
      </c>
      <c r="BK25" s="33">
        <f>-IF(OPEX!$C$39="ОСН",BK22*0.2,0)</f>
        <v>-317287.64812499989</v>
      </c>
      <c r="BL25" s="33">
        <f>-IF(OPEX!$C$39="ОСН",BL22*0.2,0)</f>
        <v>-333152.03053125006</v>
      </c>
      <c r="BM25" s="33">
        <f>-IF(OPEX!$C$39="ОСН",BM22*0.2,0)</f>
        <v>-333152.03053125006</v>
      </c>
      <c r="BN25" s="33">
        <f>-IF(OPEX!$C$39="ОСН",BN22*0.2,0)</f>
        <v>-333152.03053125006</v>
      </c>
      <c r="BO25" s="33">
        <f>-IF(OPEX!$C$39="ОСН",BO22*0.2,0)</f>
        <v>-333152.03053125006</v>
      </c>
      <c r="BP25" s="33">
        <f>-IF(OPEX!$C$39="ОСН",BP22*0.2,0)</f>
        <v>-333152.03053125006</v>
      </c>
      <c r="BQ25" s="33">
        <f>-IF(OPEX!$C$39="ОСН",BQ22*0.2,0)</f>
        <v>-333152.03053125006</v>
      </c>
      <c r="BR25" s="33">
        <f>-IF(OPEX!$C$39="ОСН",BR22*0.2,0)</f>
        <v>-333152.03053125006</v>
      </c>
      <c r="BS25" s="33">
        <f>-IF(OPEX!$C$39="ОСН",BS22*0.2,0)</f>
        <v>-333152.03053125006</v>
      </c>
      <c r="BT25" s="33">
        <f>-IF(OPEX!$C$39="ОСН",BT22*0.2,0)</f>
        <v>-333152.03053125006</v>
      </c>
      <c r="BU25" s="33">
        <f>-IF(OPEX!$C$39="ОСН",BU22*0.2,0)</f>
        <v>-333152.03053125006</v>
      </c>
      <c r="BV25" s="33">
        <f>-IF(OPEX!$C$39="ОСН",BV22*0.2,0)</f>
        <v>-333152.03053125006</v>
      </c>
      <c r="BW25" s="33">
        <f>-IF(OPEX!$C$39="ОСН",BW22*0.2,0)</f>
        <v>-333152.03053125006</v>
      </c>
    </row>
    <row r="26" spans="2:76">
      <c r="B26" s="19" t="s">
        <v>173</v>
      </c>
      <c r="C26" s="41"/>
      <c r="E26" s="72"/>
      <c r="L26" s="88"/>
      <c r="P26" s="33">
        <f>-IF(OPEX!$C$39="ОСН",0,PnL!P6*0.06)</f>
        <v>0</v>
      </c>
      <c r="Q26" s="33">
        <f>-IF(OPEX!$C$39="ОСН",0,PnL!Q6*0.06)</f>
        <v>0</v>
      </c>
      <c r="R26" s="33">
        <f>-IF(OPEX!$C$39="ОСН",0,PnL!R6*0.06)</f>
        <v>0</v>
      </c>
      <c r="S26" s="33">
        <f>-IF(OPEX!$C$39="ОСН",0,PnL!S6*0.06)</f>
        <v>0</v>
      </c>
      <c r="T26" s="33">
        <f>-IF(OPEX!$C$39="ОСН",0,PnL!T6*0.06)</f>
        <v>0</v>
      </c>
      <c r="U26" s="33">
        <f>-IF(OPEX!$C$39="ОСН",0,PnL!U6*0.06)</f>
        <v>0</v>
      </c>
      <c r="V26" s="33">
        <f>-IF(OPEX!$C$39="ОСН",0,PnL!V6*0.06)</f>
        <v>0</v>
      </c>
      <c r="W26" s="33">
        <f>-IF(OPEX!$C$39="ОСН",0,PnL!W6*0.06)</f>
        <v>0</v>
      </c>
      <c r="X26" s="33">
        <f>-IF(OPEX!$C$39="ОСН",0,PnL!X6*0.06)</f>
        <v>0</v>
      </c>
      <c r="Y26" s="33">
        <f>-IF(OPEX!$C$39="ОСН",0,PnL!Y6*0.06)</f>
        <v>0</v>
      </c>
      <c r="Z26" s="33">
        <f>-IF(OPEX!$C$39="ОСН",0,PnL!Z6*0.06)</f>
        <v>0</v>
      </c>
      <c r="AA26" s="33">
        <f>-IF(OPEX!$C$39="ОСН",0,PnL!AA6*0.06)</f>
        <v>0</v>
      </c>
      <c r="AB26" s="33">
        <f>-IF(OPEX!$C$39="ОСН",0,PnL!AB6*0.06)</f>
        <v>0</v>
      </c>
      <c r="AC26" s="33">
        <f>-IF(OPEX!$C$39="ОСН",0,PnL!AC6*0.06)</f>
        <v>0</v>
      </c>
      <c r="AD26" s="33">
        <f>-IF(OPEX!$C$39="ОСН",0,PnL!AD6*0.06)</f>
        <v>0</v>
      </c>
      <c r="AE26" s="33">
        <f>-IF(OPEX!$C$39="ОСН",0,PnL!AE6*0.06)</f>
        <v>0</v>
      </c>
      <c r="AF26" s="33">
        <f>-IF(OPEX!$C$39="ОСН",0,PnL!AF6*0.06)</f>
        <v>0</v>
      </c>
      <c r="AG26" s="33">
        <f>-IF(OPEX!$C$39="ОСН",0,PnL!AG6*0.06)</f>
        <v>0</v>
      </c>
      <c r="AH26" s="33">
        <f>-IF(OPEX!$C$39="ОСН",0,PnL!AH6*0.06)</f>
        <v>0</v>
      </c>
      <c r="AI26" s="33">
        <f>-IF(OPEX!$C$39="ОСН",0,PnL!AI6*0.06)</f>
        <v>0</v>
      </c>
      <c r="AJ26" s="33">
        <f>-IF(OPEX!$C$39="ОСН",0,PnL!AJ6*0.06)</f>
        <v>0</v>
      </c>
      <c r="AK26" s="33">
        <f>-IF(OPEX!$C$39="ОСН",0,PnL!AK6*0.06)</f>
        <v>0</v>
      </c>
      <c r="AL26" s="33">
        <f>-IF(OPEX!$C$39="ОСН",0,PnL!AL6*0.06)</f>
        <v>0</v>
      </c>
      <c r="AM26" s="33">
        <f>-IF(OPEX!$C$39="ОСН",0,PnL!AM6*0.06)</f>
        <v>0</v>
      </c>
      <c r="AN26" s="33">
        <f>-IF(OPEX!$C$39="ОСН",0,PnL!AN6*0.06)</f>
        <v>0</v>
      </c>
      <c r="AO26" s="33">
        <f>-IF(OPEX!$C$39="ОСН",0,PnL!AO6*0.06)</f>
        <v>0</v>
      </c>
      <c r="AP26" s="33">
        <f>-IF(OPEX!$C$39="ОСН",0,PnL!AP6*0.06)</f>
        <v>0</v>
      </c>
      <c r="AQ26" s="33">
        <f>-IF(OPEX!$C$39="ОСН",0,PnL!AQ6*0.06)</f>
        <v>0</v>
      </c>
      <c r="AR26" s="33">
        <f>-IF(OPEX!$C$39="ОСН",0,PnL!AR6*0.06)</f>
        <v>0</v>
      </c>
      <c r="AS26" s="33">
        <f>-IF(OPEX!$C$39="ОСН",0,PnL!AS6*0.06)</f>
        <v>0</v>
      </c>
      <c r="AT26" s="33">
        <f>-IF(OPEX!$C$39="ОСН",0,PnL!AT6*0.06)</f>
        <v>0</v>
      </c>
      <c r="AU26" s="33">
        <f>-IF(OPEX!$C$39="ОСН",0,PnL!AU6*0.06)</f>
        <v>0</v>
      </c>
      <c r="AV26" s="33">
        <f>-IF(OPEX!$C$39="ОСН",0,PnL!AV6*0.06)</f>
        <v>0</v>
      </c>
      <c r="AW26" s="33">
        <f>-IF(OPEX!$C$39="ОСН",0,PnL!AW6*0.06)</f>
        <v>0</v>
      </c>
      <c r="AX26" s="33">
        <f>-IF(OPEX!$C$39="ОСН",0,PnL!AX6*0.06)</f>
        <v>0</v>
      </c>
      <c r="AY26" s="33">
        <f>-IF(OPEX!$C$39="ОСН",0,PnL!AY6*0.06)</f>
        <v>0</v>
      </c>
      <c r="AZ26" s="33">
        <f>-IF(OPEX!$C$39="ОСН",0,PnL!AZ6*0.06)</f>
        <v>0</v>
      </c>
      <c r="BA26" s="33">
        <f>-IF(OPEX!$C$39="ОСН",0,PnL!BA6*0.06)</f>
        <v>0</v>
      </c>
      <c r="BB26" s="33">
        <f>-IF(OPEX!$C$39="ОСН",0,PnL!BB6*0.06)</f>
        <v>0</v>
      </c>
      <c r="BC26" s="33">
        <f>-IF(OPEX!$C$39="ОСН",0,PnL!BC6*0.06)</f>
        <v>0</v>
      </c>
      <c r="BD26" s="33">
        <f>-IF(OPEX!$C$39="ОСН",0,PnL!BD6*0.06)</f>
        <v>0</v>
      </c>
      <c r="BE26" s="33">
        <f>-IF(OPEX!$C$39="ОСН",0,PnL!BE6*0.06)</f>
        <v>0</v>
      </c>
      <c r="BF26" s="33">
        <f>-IF(OPEX!$C$39="ОСН",0,PnL!BF6*0.06)</f>
        <v>0</v>
      </c>
      <c r="BG26" s="33">
        <f>-IF(OPEX!$C$39="ОСН",0,PnL!BG6*0.06)</f>
        <v>0</v>
      </c>
      <c r="BH26" s="33">
        <f>-IF(OPEX!$C$39="ОСН",0,PnL!BH6*0.06)</f>
        <v>0</v>
      </c>
      <c r="BI26" s="33">
        <f>-IF(OPEX!$C$39="ОСН",0,PnL!BI6*0.06)</f>
        <v>0</v>
      </c>
      <c r="BJ26" s="33">
        <f>-IF(OPEX!$C$39="ОСН",0,PnL!BJ6*0.06)</f>
        <v>0</v>
      </c>
      <c r="BK26" s="33">
        <f>-IF(OPEX!$C$39="ОСН",0,PnL!BK6*0.06)</f>
        <v>0</v>
      </c>
      <c r="BL26" s="33">
        <f>-IF(OPEX!$C$39="ОСН",0,PnL!BL6*0.06)</f>
        <v>0</v>
      </c>
      <c r="BM26" s="33">
        <f>-IF(OPEX!$C$39="ОСН",0,PnL!BM6*0.06)</f>
        <v>0</v>
      </c>
      <c r="BN26" s="33">
        <f>-IF(OPEX!$C$39="ОСН",0,PnL!BN6*0.06)</f>
        <v>0</v>
      </c>
      <c r="BO26" s="33">
        <f>-IF(OPEX!$C$39="ОСН",0,PnL!BO6*0.06)</f>
        <v>0</v>
      </c>
      <c r="BP26" s="33">
        <f>-IF(OPEX!$C$39="ОСН",0,PnL!BP6*0.06)</f>
        <v>0</v>
      </c>
      <c r="BQ26" s="33">
        <f>-IF(OPEX!$C$39="ОСН",0,PnL!BQ6*0.06)</f>
        <v>0</v>
      </c>
      <c r="BR26" s="33">
        <f>-IF(OPEX!$C$39="ОСН",0,PnL!BR6*0.06)</f>
        <v>0</v>
      </c>
      <c r="BS26" s="33">
        <f>-IF(OPEX!$C$39="ОСН",0,PnL!BS6*0.06)</f>
        <v>0</v>
      </c>
      <c r="BT26" s="33">
        <f>-IF(OPEX!$C$39="ОСН",0,PnL!BT6*0.06)</f>
        <v>0</v>
      </c>
      <c r="BU26" s="33">
        <f>-IF(OPEX!$C$39="ОСН",0,PnL!BU6*0.06)</f>
        <v>0</v>
      </c>
      <c r="BV26" s="33">
        <f>-IF(OPEX!$C$39="ОСН",0,PnL!BV6*0.06)</f>
        <v>0</v>
      </c>
      <c r="BW26" s="33">
        <f>-IF(OPEX!$C$39="ОСН",0,PnL!BW6*0.06)</f>
        <v>0</v>
      </c>
      <c r="BX26" s="33">
        <f>-IF(OPEX!$C$39="ОСН",0,PnL!BX6*0.06)</f>
        <v>0</v>
      </c>
    </row>
    <row r="27" spans="2:76">
      <c r="B27" s="19" t="s">
        <v>194</v>
      </c>
      <c r="C27" s="41"/>
      <c r="E27" s="72"/>
      <c r="L27" s="88"/>
      <c r="M27" s="33">
        <f>SUM(CF!$K$31:K31)*'Входные данные и результаты'!$F$24/12</f>
        <v>0</v>
      </c>
      <c r="N27" s="33">
        <f>-SUM(CF!$K$31:L31)*'Входные данные и результаты'!$F$24/12</f>
        <v>0</v>
      </c>
      <c r="O27" s="33">
        <f>-SUM(CF!$K$31:M31)*'Входные данные и результаты'!$F$24/12</f>
        <v>0</v>
      </c>
      <c r="P27" s="33">
        <f>IF(COUNT($N$27:O27)&gt;='Входные данные и результаты'!$F$26*12,0,-SUM(CF!$K$31:N31)*'Входные данные и результаты'!$F$24/12)</f>
        <v>0</v>
      </c>
      <c r="Q27" s="33">
        <f>IF(COUNT($N$27:P27)&gt;='Входные данные и результаты'!$F$26*12,0,-SUM(CF!$K$31:O31)*'Входные данные и результаты'!$F$24/12)</f>
        <v>0</v>
      </c>
      <c r="R27" s="33">
        <f>IF(COUNT($N$27:Q27)&gt;='Входные данные и результаты'!$F$26*12,0,-SUM(CF!$K$31:P31)*'Входные данные и результаты'!$F$24/12)</f>
        <v>0</v>
      </c>
      <c r="S27" s="33">
        <f>IF(COUNT($N$27:R27)&gt;='Входные данные и результаты'!$F$26*12,0,-SUM(CF!$K$31:Q31)*'Входные данные и результаты'!$F$24/12)</f>
        <v>0</v>
      </c>
      <c r="T27" s="33">
        <f>IF(COUNT($N$27:S27)&gt;='Входные данные и результаты'!$F$26*12,0,-SUM(CF!$K$31:R31)*'Входные данные и результаты'!$F$24/12)</f>
        <v>0</v>
      </c>
      <c r="U27" s="33">
        <f>IF(COUNT($N$27:T27)&gt;='Входные данные и результаты'!$F$26*12,0,-SUM(CF!$K$31:S31)*'Входные данные и результаты'!$F$24/12)</f>
        <v>0</v>
      </c>
      <c r="V27" s="33">
        <f>IF(COUNT($N$27:U27)&gt;='Входные данные и результаты'!$F$26*12,0,-SUM(CF!$K$31:T31)*'Входные данные и результаты'!$F$24/12)</f>
        <v>0</v>
      </c>
      <c r="W27" s="33">
        <f>IF(COUNT($N$27:V27)&gt;='Входные данные и результаты'!$F$26*12,0,-SUM(CF!$K$31:U31)*'Входные данные и результаты'!$F$24/12)</f>
        <v>0</v>
      </c>
      <c r="X27" s="33">
        <f>IF(COUNT($N$27:W27)&gt;='Входные данные и результаты'!$F$26*12,0,-SUM(CF!$K$31:V31)*'Входные данные и результаты'!$F$24/12)</f>
        <v>0</v>
      </c>
      <c r="Y27" s="33">
        <f>IF(COUNT($N$27:X27)&gt;='Входные данные и результаты'!$F$26*12,0,-SUM(CF!$K$31:W31)*'Входные данные и результаты'!$F$24/12)</f>
        <v>0</v>
      </c>
      <c r="Z27" s="33">
        <f>IF(COUNT($N$27:Y27)&gt;='Входные данные и результаты'!$F$26*12,0,-SUM(CF!$K$31:X31)*'Входные данные и результаты'!$F$24/12)</f>
        <v>0</v>
      </c>
      <c r="AA27" s="33">
        <f>IF(COUNT($N$27:Z27)&gt;='Входные данные и результаты'!$F$26*12,0,-SUM(CF!$K$31:Y31)*'Входные данные и результаты'!$F$24/12)</f>
        <v>0</v>
      </c>
      <c r="AB27" s="33">
        <f>IF(COUNT($N$27:AA27)&gt;='Входные данные и результаты'!$F$26*12,0,-SUM(CF!$K$31:Z31)*'Входные данные и результаты'!$F$24/12)</f>
        <v>0</v>
      </c>
      <c r="AC27" s="33">
        <f>IF(COUNT($N$27:AB27)&gt;='Входные данные и результаты'!$F$26*12,0,-SUM(CF!$K$31:AA31)*'Входные данные и результаты'!$F$24/12)</f>
        <v>0</v>
      </c>
      <c r="AD27" s="33">
        <f>IF(COUNT($N$27:AC27)&gt;='Входные данные и результаты'!$F$26*12,0,-SUM(CF!$K$31:AB31)*'Входные данные и результаты'!$F$24/12)</f>
        <v>0</v>
      </c>
      <c r="AE27" s="33">
        <f>IF(COUNT($N$27:AD27)&gt;='Входные данные и результаты'!$F$26*12,0,-SUM(CF!$K$31:AC31)*'Входные данные и результаты'!$F$24/12)</f>
        <v>0</v>
      </c>
      <c r="AF27" s="33">
        <f>IF(COUNT($N$27:AE27)&gt;='Входные данные и результаты'!$F$26*12,0,-SUM(CF!$K$31:AD31)*'Входные данные и результаты'!$F$24/12)</f>
        <v>0</v>
      </c>
      <c r="AG27" s="33">
        <f>IF(COUNT($N$27:AF27)&gt;='Входные данные и результаты'!$F$26*12,0,-SUM(CF!$K$31:AE31)*'Входные данные и результаты'!$F$24/12)</f>
        <v>0</v>
      </c>
      <c r="AH27" s="33">
        <f>IF(COUNT($N$27:AG27)&gt;='Входные данные и результаты'!$F$26*12,0,-SUM(CF!$K$31:AF31)*'Входные данные и результаты'!$F$24/12)</f>
        <v>0</v>
      </c>
      <c r="AI27" s="33">
        <f>IF(COUNT($N$27:AH27)&gt;='Входные данные и результаты'!$F$26*12,0,-SUM(CF!$K$31:AG31)*'Входные данные и результаты'!$F$24/12)</f>
        <v>0</v>
      </c>
      <c r="AJ27" s="33">
        <f>IF(COUNT($N$27:AI27)&gt;='Входные данные и результаты'!$F$26*12,0,-SUM(CF!$K$31:AH31)*'Входные данные и результаты'!$F$24/12)</f>
        <v>0</v>
      </c>
      <c r="AK27" s="33">
        <f>IF(COUNT($N$27:AJ27)&gt;='Входные данные и результаты'!$F$26*12,0,-SUM(CF!$K$31:AI31)*'Входные данные и результаты'!$F$24/12)</f>
        <v>0</v>
      </c>
      <c r="AL27" s="33">
        <f>IF(COUNT($N$27:AK27)&gt;='Входные данные и результаты'!$F$26*12,0,-SUM(CF!$K$31:AJ31)*'Входные данные и результаты'!$F$24/12)</f>
        <v>0</v>
      </c>
      <c r="AM27" s="33">
        <f>IF(COUNT($N$27:AL27)&gt;='Входные данные и результаты'!$F$26*12,0,-SUM(CF!$K$31:AK31)*'Входные данные и результаты'!$F$24/12)</f>
        <v>0</v>
      </c>
      <c r="AN27" s="33">
        <f>IF(COUNT($N$27:AM27)&gt;='Входные данные и результаты'!$F$26*12,0,-SUM(CF!$K$31:AL31)*'Входные данные и результаты'!$F$24/12)</f>
        <v>0</v>
      </c>
      <c r="AO27" s="33">
        <f>IF(COUNT($N$27:AN27)&gt;='Входные данные и результаты'!$F$26*12,0,-SUM(CF!$K$31:AM31)*'Входные данные и результаты'!$F$24/12)</f>
        <v>0</v>
      </c>
      <c r="AP27" s="33">
        <f>IF(COUNT($N$27:AO27)&gt;='Входные данные и результаты'!$F$26*12,0,-SUM(CF!$K$31:AN31)*'Входные данные и результаты'!$F$24/12)</f>
        <v>0</v>
      </c>
      <c r="AQ27" s="33">
        <f>IF(COUNT($N$27:AP27)&gt;='Входные данные и результаты'!$F$26*12,0,-SUM(CF!$K$31:AO31)*'Входные данные и результаты'!$F$24/12)</f>
        <v>0</v>
      </c>
      <c r="AR27" s="33">
        <f>IF(COUNT($N$27:AQ27)&gt;='Входные данные и результаты'!$F$26*12,0,-SUM(CF!$K$31:AP31)*'Входные данные и результаты'!$F$24/12)</f>
        <v>0</v>
      </c>
      <c r="AS27" s="33">
        <f>IF(COUNT($N$27:AR27)&gt;='Входные данные и результаты'!$F$26*12,0,-SUM(CF!$K$31:AQ31)*'Входные данные и результаты'!$F$24/12)</f>
        <v>0</v>
      </c>
      <c r="AT27" s="33">
        <f>IF(COUNT($N$27:AS27)&gt;='Входные данные и результаты'!$F$26*12,0,-SUM(CF!$K$31:AR31)*'Входные данные и результаты'!$F$24/12)</f>
        <v>0</v>
      </c>
      <c r="AU27" s="33">
        <f>IF(COUNT($N$27:AT27)&gt;='Входные данные и результаты'!$F$26*12,0,-SUM(CF!$K$31:AS31)*'Входные данные и результаты'!$F$24/12)</f>
        <v>0</v>
      </c>
      <c r="AV27" s="33">
        <f>IF(COUNT($N$27:AU27)&gt;='Входные данные и результаты'!$F$26*12,0,-SUM(CF!$K$31:AT31)*'Входные данные и результаты'!$F$24/12)</f>
        <v>0</v>
      </c>
      <c r="AW27" s="33">
        <f>IF(COUNT($N$27:AV27)&gt;='Входные данные и результаты'!$F$26*12,0,-SUM(CF!$K$31:AU31)*'Входные данные и результаты'!$F$24/12)</f>
        <v>0</v>
      </c>
      <c r="AX27" s="33">
        <f>IF(COUNT($N$27:AW27)&gt;='Входные данные и результаты'!$F$26*12,0,-SUM(CF!$K$31:AV31)*'Входные данные и результаты'!$F$24/12)</f>
        <v>0</v>
      </c>
      <c r="AY27" s="33">
        <f>IF(COUNT($N$27:AX27)&gt;='Входные данные и результаты'!$F$26*12,0,-SUM(CF!$K$31:AW31)*'Входные данные и результаты'!$F$24/12)</f>
        <v>0</v>
      </c>
      <c r="AZ27" s="33">
        <f>IF(COUNT($N$27:AY27)&gt;='Входные данные и результаты'!$F$26*12,0,-SUM(CF!$K$31:AX31)*'Входные данные и результаты'!$F$24/12)</f>
        <v>0</v>
      </c>
      <c r="BA27" s="33">
        <f>IF(COUNT($N$27:AZ27)&gt;='Входные данные и результаты'!$F$26*12,0,-SUM(CF!$K$31:AY31)*'Входные данные и результаты'!$F$24/12)</f>
        <v>0</v>
      </c>
      <c r="BB27" s="33">
        <f>IF(COUNT($N$27:BA27)&gt;='Входные данные и результаты'!$F$26*12,0,-SUM(CF!$K$31:AZ31)*'Входные данные и результаты'!$F$24/12)</f>
        <v>0</v>
      </c>
      <c r="BC27" s="33">
        <f>IF(COUNT($N$27:BB27)&gt;='Входные данные и результаты'!$F$26*12,0,-SUM(CF!$K$31:BA31)*'Входные данные и результаты'!$F$24/12)</f>
        <v>0</v>
      </c>
      <c r="BD27" s="33">
        <f>IF(COUNT($N$27:BC27)&gt;='Входные данные и результаты'!$F$26*12,0,-SUM(CF!$K$31:BB31)*'Входные данные и результаты'!$F$24/12)</f>
        <v>0</v>
      </c>
      <c r="BE27" s="33">
        <f>IF(COUNT($N$27:BD27)&gt;='Входные данные и результаты'!$F$26*12,0,-SUM(CF!$K$31:BC31)*'Входные данные и результаты'!$F$24/12)</f>
        <v>0</v>
      </c>
      <c r="BF27" s="33">
        <f>IF(COUNT($N$27:BE27)&gt;='Входные данные и результаты'!$F$26*12,0,-SUM(CF!$K$31:BD31)*'Входные данные и результаты'!$F$24/12)</f>
        <v>0</v>
      </c>
      <c r="BG27" s="33">
        <f>IF(COUNT($N$27:BF27)&gt;='Входные данные и результаты'!$F$26*12,0,-SUM(CF!$K$31:BE31)*'Входные данные и результаты'!$F$24/12)</f>
        <v>0</v>
      </c>
      <c r="BH27" s="33">
        <f>IF(COUNT($N$27:BG27)&gt;='Входные данные и результаты'!$F$26*12,0,-SUM(CF!$K$31:BF31)*'Входные данные и результаты'!$F$24/12)</f>
        <v>0</v>
      </c>
      <c r="BI27" s="33">
        <f>IF(COUNT($N$27:BH27)&gt;='Входные данные и результаты'!$F$26*12,0,-SUM(CF!$K$31:BG31)*'Входные данные и результаты'!$F$24/12)</f>
        <v>0</v>
      </c>
      <c r="BJ27" s="33">
        <f>IF(COUNT($N$27:BI27)&gt;='Входные данные и результаты'!$F$26*12,0,-SUM(CF!$K$31:BH31)*'Входные данные и результаты'!$F$24/12)</f>
        <v>0</v>
      </c>
      <c r="BK27" s="33">
        <f>IF(COUNT($N$27:BJ27)&gt;='Входные данные и результаты'!$F$26*12,0,-SUM(CF!$K$31:BI31)*'Входные данные и результаты'!$F$24/12)</f>
        <v>0</v>
      </c>
      <c r="BL27" s="33">
        <f>IF(COUNT($N$27:BK27)&gt;='Входные данные и результаты'!$F$26*12,0,-SUM(CF!$K$31:BJ31)*'Входные данные и результаты'!$F$24/12)</f>
        <v>0</v>
      </c>
      <c r="BM27" s="33">
        <f>IF(COUNT($N$27:BL27)&gt;='Входные данные и результаты'!$F$26*12,0,-SUM(CF!$K$31:BK31)*'Входные данные и результаты'!$F$24/12)</f>
        <v>0</v>
      </c>
      <c r="BN27" s="33">
        <f>IF(COUNT($N$27:BM27)&gt;='Входные данные и результаты'!$F$26*12,0,-SUM(CF!$K$31:BL31)*'Входные данные и результаты'!$F$24/12)</f>
        <v>0</v>
      </c>
      <c r="BO27" s="33">
        <f>IF(COUNT($N$27:BN27)&gt;='Входные данные и результаты'!$F$26*12,0,-SUM(CF!$K$31:BM31)*'Входные данные и результаты'!$F$24/12)</f>
        <v>0</v>
      </c>
      <c r="BP27" s="33">
        <f>IF(COUNT($N$27:BO27)&gt;='Входные данные и результаты'!$F$26*12,0,-SUM(CF!$K$31:BN31)*'Входные данные и результаты'!$F$24/12)</f>
        <v>0</v>
      </c>
      <c r="BQ27" s="33">
        <f>IF(COUNT($N$27:BP27)&gt;='Входные данные и результаты'!$F$26*12,0,-SUM(CF!$K$31:BO31)*'Входные данные и результаты'!$F$24/12)</f>
        <v>0</v>
      </c>
      <c r="BR27" s="33">
        <f>IF(COUNT($N$27:BQ27)&gt;='Входные данные и результаты'!$F$26*12,0,-SUM(CF!$K$31:BP31)*'Входные данные и результаты'!$F$24/12)</f>
        <v>0</v>
      </c>
      <c r="BS27" s="33">
        <f>IF(COUNT($N$27:BR27)&gt;='Входные данные и результаты'!$F$26*12,0,-SUM(CF!$K$31:BQ31)*'Входные данные и результаты'!$F$24/12)</f>
        <v>0</v>
      </c>
      <c r="BT27" s="33">
        <f>IF(COUNT($N$27:BS27)&gt;='Входные данные и результаты'!$F$26*12,0,-SUM(CF!$K$31:BR31)*'Входные данные и результаты'!$F$24/12)</f>
        <v>0</v>
      </c>
      <c r="BU27" s="33">
        <f>IF(COUNT($N$27:BT27)&gt;='Входные данные и результаты'!$F$26*12,0,-SUM(CF!$K$31:BS31)*'Входные данные и результаты'!$F$24/12)</f>
        <v>0</v>
      </c>
      <c r="BV27" s="33">
        <f>IF(COUNT($N$27:BU27)&gt;='Входные данные и результаты'!$F$26*12,0,-SUM(CF!$K$31:BT31)*'Входные данные и результаты'!$F$24/12)</f>
        <v>0</v>
      </c>
      <c r="BW27" s="33">
        <f>IF(COUNT($N$27:BV27)&gt;='Входные данные и результаты'!$F$26*12,0,-SUM(CF!$K$31:BU31)*'Входные данные и результаты'!$F$24/12)</f>
        <v>0</v>
      </c>
      <c r="BX27" s="33"/>
    </row>
    <row r="28" spans="2:76">
      <c r="B28" s="19"/>
      <c r="C28" s="41"/>
      <c r="E28" s="69"/>
      <c r="L28" s="89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</row>
    <row r="29" spans="2:76" s="19" customFormat="1" ht="17.25" customHeight="1">
      <c r="B29" s="46" t="s">
        <v>147</v>
      </c>
      <c r="C29" s="41"/>
      <c r="D29" s="47">
        <f t="shared" si="9"/>
        <v>66430180.108833343</v>
      </c>
      <c r="E29" s="72"/>
      <c r="F29" s="47">
        <f t="shared" si="2"/>
        <v>-1555666.6666666667</v>
      </c>
      <c r="G29" s="47">
        <f t="shared" si="2"/>
        <v>12214120</v>
      </c>
      <c r="H29" s="47">
        <f t="shared" si="2"/>
        <v>12871924.000000002</v>
      </c>
      <c r="I29" s="47">
        <f t="shared" si="2"/>
        <v>13562618.200000001</v>
      </c>
      <c r="J29" s="47">
        <f t="shared" si="2"/>
        <v>14287847.109999998</v>
      </c>
      <c r="K29" s="47">
        <f t="shared" si="2"/>
        <v>15049337.465500003</v>
      </c>
      <c r="L29" s="88"/>
      <c r="M29" s="47">
        <f>SUM(M22,M24:M27)</f>
        <v>-463000.00000000006</v>
      </c>
      <c r="N29" s="47">
        <f t="shared" ref="N29:BW29" si="28">SUM(N22,N24:N27)</f>
        <v>-504666.66666666674</v>
      </c>
      <c r="O29" s="47">
        <f t="shared" si="28"/>
        <v>-588000</v>
      </c>
      <c r="P29" s="47">
        <f t="shared" si="28"/>
        <v>1017843.3333333333</v>
      </c>
      <c r="Q29" s="47">
        <f t="shared" si="28"/>
        <v>1017843.3333333333</v>
      </c>
      <c r="R29" s="47">
        <f t="shared" si="28"/>
        <v>1017843.3333333333</v>
      </c>
      <c r="S29" s="47">
        <f t="shared" si="28"/>
        <v>1017843.3333333333</v>
      </c>
      <c r="T29" s="47">
        <f t="shared" si="28"/>
        <v>1017843.3333333333</v>
      </c>
      <c r="U29" s="47">
        <f t="shared" si="28"/>
        <v>1017843.3333333333</v>
      </c>
      <c r="V29" s="47">
        <f t="shared" si="28"/>
        <v>1017843.3333333333</v>
      </c>
      <c r="W29" s="47">
        <f t="shared" si="28"/>
        <v>1017843.3333333333</v>
      </c>
      <c r="X29" s="47">
        <f t="shared" si="28"/>
        <v>1017843.3333333333</v>
      </c>
      <c r="Y29" s="47">
        <f t="shared" si="28"/>
        <v>1017843.3333333333</v>
      </c>
      <c r="Z29" s="47">
        <f t="shared" si="28"/>
        <v>1017843.3333333333</v>
      </c>
      <c r="AA29" s="47">
        <f t="shared" si="28"/>
        <v>1017843.3333333333</v>
      </c>
      <c r="AB29" s="47">
        <f t="shared" si="28"/>
        <v>1072660.3333333333</v>
      </c>
      <c r="AC29" s="47">
        <f t="shared" si="28"/>
        <v>1072660.3333333333</v>
      </c>
      <c r="AD29" s="47">
        <f t="shared" si="28"/>
        <v>1072660.3333333333</v>
      </c>
      <c r="AE29" s="47">
        <f t="shared" si="28"/>
        <v>1072660.3333333333</v>
      </c>
      <c r="AF29" s="47">
        <f t="shared" si="28"/>
        <v>1072660.3333333333</v>
      </c>
      <c r="AG29" s="47">
        <f t="shared" si="28"/>
        <v>1072660.3333333333</v>
      </c>
      <c r="AH29" s="47">
        <f t="shared" si="28"/>
        <v>1072660.3333333333</v>
      </c>
      <c r="AI29" s="47">
        <f t="shared" si="28"/>
        <v>1072660.3333333333</v>
      </c>
      <c r="AJ29" s="47">
        <f t="shared" si="28"/>
        <v>1072660.3333333333</v>
      </c>
      <c r="AK29" s="47">
        <f t="shared" si="28"/>
        <v>1072660.3333333333</v>
      </c>
      <c r="AL29" s="47">
        <f t="shared" si="28"/>
        <v>1072660.3333333333</v>
      </c>
      <c r="AM29" s="47">
        <f t="shared" si="28"/>
        <v>1072660.3333333333</v>
      </c>
      <c r="AN29" s="47">
        <f t="shared" si="28"/>
        <v>1130218.1833333331</v>
      </c>
      <c r="AO29" s="47">
        <f t="shared" si="28"/>
        <v>1130218.1833333331</v>
      </c>
      <c r="AP29" s="47">
        <f t="shared" si="28"/>
        <v>1130218.1833333331</v>
      </c>
      <c r="AQ29" s="47">
        <f t="shared" si="28"/>
        <v>1130218.1833333331</v>
      </c>
      <c r="AR29" s="47">
        <f t="shared" si="28"/>
        <v>1130218.1833333331</v>
      </c>
      <c r="AS29" s="47">
        <f t="shared" si="28"/>
        <v>1130218.1833333331</v>
      </c>
      <c r="AT29" s="47">
        <f t="shared" si="28"/>
        <v>1130218.1833333331</v>
      </c>
      <c r="AU29" s="47">
        <f t="shared" si="28"/>
        <v>1130218.1833333331</v>
      </c>
      <c r="AV29" s="47">
        <f t="shared" si="28"/>
        <v>1130218.1833333331</v>
      </c>
      <c r="AW29" s="47">
        <f t="shared" si="28"/>
        <v>1130218.1833333331</v>
      </c>
      <c r="AX29" s="47">
        <f t="shared" si="28"/>
        <v>1130218.1833333331</v>
      </c>
      <c r="AY29" s="47">
        <f t="shared" si="28"/>
        <v>1130218.1833333331</v>
      </c>
      <c r="AZ29" s="47">
        <f t="shared" si="28"/>
        <v>1190653.9258333328</v>
      </c>
      <c r="BA29" s="47">
        <f t="shared" si="28"/>
        <v>1190653.9258333328</v>
      </c>
      <c r="BB29" s="47">
        <f t="shared" si="28"/>
        <v>1190653.9258333328</v>
      </c>
      <c r="BC29" s="47">
        <f t="shared" si="28"/>
        <v>1190653.9258333328</v>
      </c>
      <c r="BD29" s="47">
        <f t="shared" si="28"/>
        <v>1190653.9258333328</v>
      </c>
      <c r="BE29" s="47">
        <f t="shared" si="28"/>
        <v>1190653.9258333328</v>
      </c>
      <c r="BF29" s="47">
        <f t="shared" si="28"/>
        <v>1190653.9258333328</v>
      </c>
      <c r="BG29" s="47">
        <f t="shared" si="28"/>
        <v>1190653.9258333328</v>
      </c>
      <c r="BH29" s="47">
        <f t="shared" si="28"/>
        <v>1190653.9258333328</v>
      </c>
      <c r="BI29" s="47">
        <f t="shared" si="28"/>
        <v>1190653.9258333328</v>
      </c>
      <c r="BJ29" s="47">
        <f t="shared" si="28"/>
        <v>1190653.9258333328</v>
      </c>
      <c r="BK29" s="47">
        <f t="shared" si="28"/>
        <v>1190653.9258333328</v>
      </c>
      <c r="BL29" s="47">
        <f t="shared" si="28"/>
        <v>1254111.4554583333</v>
      </c>
      <c r="BM29" s="47">
        <f t="shared" si="28"/>
        <v>1254111.4554583333</v>
      </c>
      <c r="BN29" s="47">
        <f t="shared" si="28"/>
        <v>1254111.4554583333</v>
      </c>
      <c r="BO29" s="47">
        <f t="shared" si="28"/>
        <v>1254111.4554583333</v>
      </c>
      <c r="BP29" s="47">
        <f t="shared" si="28"/>
        <v>1254111.4554583333</v>
      </c>
      <c r="BQ29" s="47">
        <f t="shared" si="28"/>
        <v>1254111.4554583333</v>
      </c>
      <c r="BR29" s="47">
        <f t="shared" si="28"/>
        <v>1254111.4554583333</v>
      </c>
      <c r="BS29" s="47">
        <f t="shared" si="28"/>
        <v>1254111.4554583333</v>
      </c>
      <c r="BT29" s="47">
        <f t="shared" si="28"/>
        <v>1254111.4554583333</v>
      </c>
      <c r="BU29" s="47">
        <f t="shared" si="28"/>
        <v>1254111.4554583333</v>
      </c>
      <c r="BV29" s="47">
        <f t="shared" si="28"/>
        <v>1254111.4554583333</v>
      </c>
      <c r="BW29" s="47">
        <f t="shared" si="28"/>
        <v>1254111.4554583333</v>
      </c>
    </row>
    <row r="30" spans="2:76" s="41" customFormat="1" ht="17.25" customHeight="1">
      <c r="B30" s="58"/>
      <c r="D30" s="59"/>
      <c r="F30" s="59"/>
      <c r="G30" s="59"/>
      <c r="H30" s="59"/>
      <c r="I30" s="59"/>
      <c r="J30" s="59"/>
      <c r="K30" s="59"/>
      <c r="L30" s="92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</row>
    <row r="31" spans="2:76" s="41" customFormat="1" ht="17.25" customHeight="1">
      <c r="B31" s="58"/>
      <c r="D31" s="59"/>
      <c r="F31" s="59"/>
      <c r="G31" s="59"/>
      <c r="H31" s="59"/>
      <c r="I31" s="59"/>
      <c r="J31" s="59"/>
      <c r="K31" s="59"/>
      <c r="L31" s="92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2:76">
      <c r="B32" s="19"/>
      <c r="C32" s="41"/>
      <c r="E32" s="41"/>
      <c r="L32" s="92"/>
    </row>
    <row r="33" spans="2:27">
      <c r="B33" s="19"/>
      <c r="C33" s="41"/>
      <c r="E33" s="41"/>
      <c r="L33" s="92"/>
    </row>
    <row r="34" spans="2:27">
      <c r="B34" s="19"/>
      <c r="C34" s="41"/>
      <c r="D34" s="34"/>
      <c r="E34" s="75"/>
      <c r="F34" s="34"/>
      <c r="G34" s="34"/>
      <c r="H34" s="34"/>
      <c r="I34" s="34"/>
      <c r="J34" s="34"/>
      <c r="K34" s="34"/>
      <c r="L34" s="93"/>
      <c r="M34" s="34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2:27">
      <c r="B35" s="19"/>
      <c r="C35" s="41"/>
      <c r="E35" s="41"/>
      <c r="L35" s="92"/>
    </row>
    <row r="36" spans="2:27">
      <c r="B36" s="19"/>
      <c r="C36" s="41"/>
      <c r="E36" s="41"/>
      <c r="L36" s="92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showGridLines="0" zoomScale="85" zoomScaleNormal="85" workbookViewId="0">
      <selection activeCell="H29" sqref="H29:H30"/>
    </sheetView>
  </sheetViews>
  <sheetFormatPr defaultRowHeight="15"/>
  <cols>
    <col min="2" max="2" width="48.85546875" customWidth="1"/>
    <col min="3" max="3" width="20.28515625" customWidth="1"/>
    <col min="4" max="4" width="13.5703125" customWidth="1"/>
    <col min="5" max="5" width="11.85546875" customWidth="1"/>
  </cols>
  <sheetData>
    <row r="1" spans="2:15" s="19" customFormat="1">
      <c r="B1" s="19" t="s">
        <v>97</v>
      </c>
      <c r="C1" s="19" t="s">
        <v>96</v>
      </c>
      <c r="D1" s="19" t="s">
        <v>98</v>
      </c>
      <c r="E1" s="19" t="s">
        <v>99</v>
      </c>
      <c r="F1" s="19" t="s">
        <v>100</v>
      </c>
      <c r="G1" s="19" t="s">
        <v>101</v>
      </c>
      <c r="H1" s="19" t="s">
        <v>102</v>
      </c>
      <c r="I1" s="19" t="s">
        <v>103</v>
      </c>
      <c r="J1" s="19" t="s">
        <v>104</v>
      </c>
      <c r="K1" s="19" t="s">
        <v>105</v>
      </c>
      <c r="L1" s="19" t="s">
        <v>106</v>
      </c>
      <c r="M1" s="19" t="s">
        <v>107</v>
      </c>
      <c r="N1" s="19" t="s">
        <v>108</v>
      </c>
    </row>
    <row r="2" spans="2:15">
      <c r="C2" s="20">
        <v>1</v>
      </c>
      <c r="D2" s="20">
        <v>1</v>
      </c>
      <c r="E2" s="20">
        <v>1</v>
      </c>
      <c r="F2" s="20">
        <v>1</v>
      </c>
      <c r="G2" s="20">
        <v>1</v>
      </c>
      <c r="H2" s="20">
        <v>1</v>
      </c>
      <c r="I2" s="20">
        <v>1</v>
      </c>
      <c r="J2" s="20">
        <v>1</v>
      </c>
      <c r="K2" s="20">
        <v>1</v>
      </c>
      <c r="L2" s="20">
        <v>1</v>
      </c>
      <c r="M2" s="20">
        <v>1</v>
      </c>
      <c r="N2" s="20">
        <v>1</v>
      </c>
      <c r="O2" s="19" t="s">
        <v>112</v>
      </c>
    </row>
    <row r="3" spans="2:15" s="21" customFormat="1">
      <c r="O3" s="63"/>
    </row>
    <row r="4" spans="2:15" s="21" customFormat="1">
      <c r="B4" s="64" t="s">
        <v>153</v>
      </c>
      <c r="C4" s="32">
        <v>0.05</v>
      </c>
      <c r="D4" s="21" t="s">
        <v>154</v>
      </c>
      <c r="O4" s="63"/>
    </row>
    <row r="5" spans="2:15" s="21" customFormat="1">
      <c r="O5" s="63"/>
    </row>
    <row r="6" spans="2:15" s="21" customFormat="1">
      <c r="O6" s="63"/>
    </row>
    <row r="7" spans="2:15">
      <c r="B7" s="23" t="s">
        <v>109</v>
      </c>
      <c r="C7" s="26" t="str">
        <f>'Входные данные и результаты'!F9</f>
        <v>Вариант закупки 1</v>
      </c>
      <c r="D7" s="9">
        <f>HLOOKUP(C7,CAPEX!H1:I20,20,)</f>
        <v>4709800</v>
      </c>
      <c r="E7" t="s">
        <v>88</v>
      </c>
      <c r="F7" s="22" t="s">
        <v>155</v>
      </c>
    </row>
    <row r="8" spans="2:15">
      <c r="B8" s="27" t="s">
        <v>145</v>
      </c>
      <c r="C8" s="26">
        <f>'Входные данные и результаты'!F5</f>
        <v>5</v>
      </c>
      <c r="D8" s="9" t="s">
        <v>146</v>
      </c>
      <c r="F8" s="22"/>
    </row>
    <row r="9" spans="2:15">
      <c r="B9" s="27" t="s">
        <v>116</v>
      </c>
      <c r="C9" s="24" t="s">
        <v>117</v>
      </c>
      <c r="D9" s="9"/>
      <c r="F9" s="22"/>
    </row>
    <row r="10" spans="2:15">
      <c r="C10" s="25"/>
    </row>
    <row r="11" spans="2:15">
      <c r="B11" s="23" t="s">
        <v>93</v>
      </c>
      <c r="C11" s="24">
        <v>250</v>
      </c>
      <c r="D11" t="s">
        <v>94</v>
      </c>
      <c r="E11" t="s">
        <v>226</v>
      </c>
    </row>
    <row r="12" spans="2:15">
      <c r="B12" s="23" t="s">
        <v>113</v>
      </c>
      <c r="C12" s="24">
        <v>50000</v>
      </c>
      <c r="D12" t="s">
        <v>55</v>
      </c>
    </row>
    <row r="14" spans="2:15">
      <c r="B14" s="16" t="s">
        <v>70</v>
      </c>
      <c r="C14" s="24">
        <v>50000</v>
      </c>
      <c r="D14" t="s">
        <v>55</v>
      </c>
    </row>
    <row r="15" spans="2:15">
      <c r="B15" s="16" t="s">
        <v>57</v>
      </c>
      <c r="C15" s="26">
        <f>C14/16666</f>
        <v>3.0001200048001921</v>
      </c>
      <c r="D15" t="s">
        <v>56</v>
      </c>
    </row>
    <row r="16" spans="2:15">
      <c r="B16" s="16" t="s">
        <v>54</v>
      </c>
      <c r="C16" s="26">
        <f>C14/C15</f>
        <v>16666</v>
      </c>
      <c r="D16" t="s">
        <v>71</v>
      </c>
    </row>
    <row r="17" spans="2:5">
      <c r="B17" s="16" t="s">
        <v>138</v>
      </c>
      <c r="C17" s="32">
        <v>0.1</v>
      </c>
      <c r="D17" t="s">
        <v>139</v>
      </c>
    </row>
    <row r="18" spans="2:5">
      <c r="B18" s="16"/>
    </row>
    <row r="19" spans="2:5">
      <c r="B19" s="16"/>
    </row>
    <row r="20" spans="2:5" ht="13.5" customHeight="1">
      <c r="B20" s="16" t="s">
        <v>111</v>
      </c>
      <c r="C20" s="24">
        <v>12000</v>
      </c>
      <c r="D20" t="s">
        <v>72</v>
      </c>
    </row>
    <row r="21" spans="2:5" ht="14.25" customHeight="1">
      <c r="B21" s="16" t="s">
        <v>86</v>
      </c>
      <c r="C21" s="24">
        <f>370/50000</f>
        <v>7.4000000000000003E-3</v>
      </c>
      <c r="D21" t="s">
        <v>85</v>
      </c>
      <c r="E21" s="17">
        <f>C21*C20*C14</f>
        <v>4440000</v>
      </c>
    </row>
    <row r="22" spans="2:5" ht="14.25" customHeight="1">
      <c r="B22" s="16" t="s">
        <v>86</v>
      </c>
      <c r="C22" s="24">
        <f>C21*C20</f>
        <v>88.8</v>
      </c>
      <c r="D22" t="s">
        <v>81</v>
      </c>
      <c r="E22" s="17" t="s">
        <v>87</v>
      </c>
    </row>
    <row r="23" spans="2:5">
      <c r="B23" s="16" t="s">
        <v>73</v>
      </c>
      <c r="C23" s="24">
        <v>2650</v>
      </c>
      <c r="D23" t="s">
        <v>74</v>
      </c>
    </row>
    <row r="24" spans="2:5">
      <c r="B24" s="16" t="s">
        <v>82</v>
      </c>
      <c r="C24" s="24">
        <v>3550</v>
      </c>
      <c r="D24" t="s">
        <v>74</v>
      </c>
    </row>
    <row r="25" spans="2:5">
      <c r="B25" s="16" t="s">
        <v>75</v>
      </c>
      <c r="C25" s="24">
        <v>170</v>
      </c>
      <c r="D25" t="s">
        <v>76</v>
      </c>
    </row>
    <row r="26" spans="2:5">
      <c r="B26" s="16" t="s">
        <v>77</v>
      </c>
      <c r="C26" s="24">
        <v>36</v>
      </c>
      <c r="D26" t="s">
        <v>78</v>
      </c>
    </row>
    <row r="27" spans="2:5">
      <c r="B27" s="16" t="s">
        <v>134</v>
      </c>
      <c r="C27" s="24">
        <v>400000</v>
      </c>
      <c r="D27" t="s">
        <v>81</v>
      </c>
    </row>
    <row r="28" spans="2:5">
      <c r="B28" s="16"/>
    </row>
    <row r="29" spans="2:5">
      <c r="B29" s="16" t="s">
        <v>79</v>
      </c>
      <c r="C29" s="24">
        <v>10</v>
      </c>
      <c r="D29" t="s">
        <v>80</v>
      </c>
    </row>
    <row r="30" spans="2:5">
      <c r="B30" s="16" t="s">
        <v>83</v>
      </c>
      <c r="C30" s="24">
        <f>C23/C29/C15</f>
        <v>88.329799999999992</v>
      </c>
      <c r="D30" t="s">
        <v>81</v>
      </c>
      <c r="E30" s="9">
        <f>C30*C16</f>
        <v>1472104.4467999998</v>
      </c>
    </row>
    <row r="31" spans="2:5">
      <c r="B31" s="16" t="s">
        <v>84</v>
      </c>
      <c r="C31" s="24">
        <f>C24/C29/C15</f>
        <v>118.32859999999999</v>
      </c>
      <c r="D31" t="s">
        <v>81</v>
      </c>
      <c r="E31" s="9">
        <f>C31*C16</f>
        <v>1972064.4475999998</v>
      </c>
    </row>
    <row r="32" spans="2:5">
      <c r="B32" s="16"/>
      <c r="E32" s="9"/>
    </row>
    <row r="33" spans="1:5">
      <c r="B33" s="16" t="s">
        <v>89</v>
      </c>
      <c r="C33" s="24">
        <f>88400/C14</f>
        <v>1.768</v>
      </c>
      <c r="D33" t="s">
        <v>88</v>
      </c>
      <c r="E33" s="9"/>
    </row>
    <row r="34" spans="1:5">
      <c r="B34" s="16" t="s">
        <v>90</v>
      </c>
      <c r="C34" s="24">
        <f>C26*0.283/3</f>
        <v>3.3959999999999995</v>
      </c>
      <c r="D34" t="s">
        <v>88</v>
      </c>
      <c r="E34" s="9"/>
    </row>
    <row r="35" spans="1:5">
      <c r="B35" s="16"/>
      <c r="E35" s="9"/>
    </row>
    <row r="36" spans="1:5">
      <c r="B36" s="16" t="s">
        <v>91</v>
      </c>
      <c r="C36" s="161">
        <f>ФОТ!D13</f>
        <v>860000</v>
      </c>
      <c r="D36" t="s">
        <v>92</v>
      </c>
      <c r="E36" s="31" t="s">
        <v>133</v>
      </c>
    </row>
    <row r="37" spans="1:5">
      <c r="B37" s="16" t="s">
        <v>156</v>
      </c>
      <c r="C37" s="65">
        <v>100000</v>
      </c>
      <c r="D37" t="s">
        <v>157</v>
      </c>
      <c r="E37" s="9"/>
    </row>
    <row r="38" spans="1:5">
      <c r="B38" s="16"/>
      <c r="E38" s="9"/>
    </row>
    <row r="39" spans="1:5" hidden="1">
      <c r="B39" s="16" t="s">
        <v>166</v>
      </c>
      <c r="C39" s="65" t="str">
        <f>'Входные данные и результаты'!F7</f>
        <v>ОСН</v>
      </c>
      <c r="E39" s="9"/>
    </row>
    <row r="40" spans="1:5" hidden="1">
      <c r="B40" s="16" t="s">
        <v>174</v>
      </c>
      <c r="C40" s="65" t="str">
        <f>'Входные данные и результаты'!F8</f>
        <v>ОСН</v>
      </c>
      <c r="E40" s="9"/>
    </row>
    <row r="41" spans="1:5" hidden="1">
      <c r="B41" s="16"/>
      <c r="E41" s="9"/>
    </row>
    <row r="42" spans="1:5">
      <c r="B42" s="16"/>
      <c r="E42" s="9"/>
    </row>
    <row r="43" spans="1:5" ht="18">
      <c r="A43" s="18" t="s">
        <v>58</v>
      </c>
    </row>
    <row r="44" spans="1:5" ht="18">
      <c r="A44" s="18" t="s">
        <v>59</v>
      </c>
    </row>
    <row r="45" spans="1:5" ht="18">
      <c r="A45" s="18" t="s">
        <v>60</v>
      </c>
    </row>
    <row r="46" spans="1:5" ht="18.75">
      <c r="A46" s="18" t="s">
        <v>61</v>
      </c>
    </row>
    <row r="47" spans="1:5" ht="18">
      <c r="A47" s="18" t="s">
        <v>62</v>
      </c>
    </row>
    <row r="48" spans="1:5" ht="18">
      <c r="A48" s="18" t="s">
        <v>63</v>
      </c>
    </row>
    <row r="49" spans="1:1" ht="18.75">
      <c r="A49" s="18" t="s">
        <v>64</v>
      </c>
    </row>
    <row r="50" spans="1:1" ht="18">
      <c r="A50" s="18" t="s">
        <v>65</v>
      </c>
    </row>
    <row r="51" spans="1:1" ht="18.75">
      <c r="A51" s="18" t="s">
        <v>66</v>
      </c>
    </row>
    <row r="52" spans="1:1" ht="18">
      <c r="A52" s="18" t="s">
        <v>67</v>
      </c>
    </row>
    <row r="53" spans="1:1" ht="18">
      <c r="A53" s="18" t="s">
        <v>68</v>
      </c>
    </row>
    <row r="54" spans="1:1" ht="18.75">
      <c r="A54" s="18" t="s">
        <v>69</v>
      </c>
    </row>
  </sheetData>
  <hyperlinks>
    <hyperlink ref="F7" location="CAPEX!A1" display="см. лист CAPEX"/>
    <hyperlink ref="E36" location="ФОТ!A1" display="см. лист ФОТ"/>
  </hyperlinks>
  <pageMargins left="0.7" right="0.7" top="0.75" bottom="0.75" header="0.3" footer="0.3"/>
  <legacyDrawing r:id="rId1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справочники!$A$1:$A$2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="55" zoomScaleNormal="55" workbookViewId="0">
      <selection activeCell="I19" sqref="I19"/>
    </sheetView>
  </sheetViews>
  <sheetFormatPr defaultRowHeight="15"/>
  <cols>
    <col min="2" max="2" width="45.140625" customWidth="1"/>
    <col min="3" max="3" width="32.28515625" customWidth="1"/>
    <col min="4" max="4" width="25" customWidth="1"/>
    <col min="5" max="5" width="14.42578125" customWidth="1"/>
    <col min="6" max="7" width="19.7109375" style="9" customWidth="1"/>
    <col min="8" max="9" width="24.7109375" style="9" customWidth="1"/>
  </cols>
  <sheetData>
    <row r="1" spans="1:9" ht="42.75" customHeight="1" thickBo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4" t="s">
        <v>6</v>
      </c>
      <c r="H1" s="14" t="s">
        <v>110</v>
      </c>
      <c r="I1" s="14" t="s">
        <v>53</v>
      </c>
    </row>
    <row r="2" spans="1:9" ht="32.25" customHeight="1" thickTop="1">
      <c r="A2" s="4">
        <v>1</v>
      </c>
      <c r="B2" s="5" t="s">
        <v>7</v>
      </c>
      <c r="C2" s="5" t="s">
        <v>8</v>
      </c>
      <c r="D2" s="6" t="s">
        <v>9</v>
      </c>
      <c r="E2" s="6">
        <v>1</v>
      </c>
      <c r="F2" s="7">
        <v>600000</v>
      </c>
      <c r="G2" s="7">
        <f>F2*E2</f>
        <v>600000</v>
      </c>
      <c r="H2" s="7">
        <f t="shared" ref="H2:H7" si="0">G2</f>
        <v>600000</v>
      </c>
      <c r="I2" s="7">
        <f>G2</f>
        <v>600000</v>
      </c>
    </row>
    <row r="3" spans="1:9" ht="32.25" customHeight="1">
      <c r="A3" s="1">
        <v>2</v>
      </c>
      <c r="B3" s="2" t="s">
        <v>7</v>
      </c>
      <c r="C3" s="2" t="s">
        <v>10</v>
      </c>
      <c r="D3" s="3" t="s">
        <v>9</v>
      </c>
      <c r="E3" s="3">
        <v>1</v>
      </c>
      <c r="F3" s="8">
        <v>600000</v>
      </c>
      <c r="G3" s="7">
        <f t="shared" ref="G3:G19" si="1">F3*E3</f>
        <v>600000</v>
      </c>
      <c r="H3" s="8">
        <f t="shared" si="0"/>
        <v>600000</v>
      </c>
      <c r="I3" s="7">
        <f t="shared" ref="I3:I19" si="2">G3</f>
        <v>600000</v>
      </c>
    </row>
    <row r="4" spans="1:9" ht="32.25" customHeight="1">
      <c r="A4" s="1">
        <v>3</v>
      </c>
      <c r="B4" s="2" t="s">
        <v>11</v>
      </c>
      <c r="C4" s="2" t="s">
        <v>12</v>
      </c>
      <c r="D4" s="3" t="s">
        <v>13</v>
      </c>
      <c r="E4" s="3">
        <v>1</v>
      </c>
      <c r="F4" s="8">
        <v>250000</v>
      </c>
      <c r="G4" s="7">
        <f t="shared" si="1"/>
        <v>250000</v>
      </c>
      <c r="H4" s="8">
        <f t="shared" si="0"/>
        <v>250000</v>
      </c>
      <c r="I4" s="7">
        <f t="shared" si="2"/>
        <v>250000</v>
      </c>
    </row>
    <row r="5" spans="1:9" ht="32.25" customHeight="1">
      <c r="A5" s="1">
        <v>4</v>
      </c>
      <c r="B5" s="2" t="s">
        <v>14</v>
      </c>
      <c r="C5" s="2" t="s">
        <v>15</v>
      </c>
      <c r="D5" s="3" t="s">
        <v>16</v>
      </c>
      <c r="E5" s="3">
        <v>3</v>
      </c>
      <c r="F5" s="8">
        <v>19500</v>
      </c>
      <c r="G5" s="7">
        <f t="shared" si="1"/>
        <v>58500</v>
      </c>
      <c r="H5" s="8">
        <f t="shared" si="0"/>
        <v>58500</v>
      </c>
      <c r="I5" s="7">
        <f t="shared" si="2"/>
        <v>58500</v>
      </c>
    </row>
    <row r="6" spans="1:9" ht="32.25" customHeight="1">
      <c r="A6" s="1">
        <v>5</v>
      </c>
      <c r="B6" s="2" t="s">
        <v>17</v>
      </c>
      <c r="C6" s="2" t="s">
        <v>18</v>
      </c>
      <c r="D6" s="3" t="s">
        <v>19</v>
      </c>
      <c r="E6" s="3">
        <v>1</v>
      </c>
      <c r="F6" s="8">
        <v>420000</v>
      </c>
      <c r="G6" s="7">
        <f t="shared" si="1"/>
        <v>420000</v>
      </c>
      <c r="H6" s="8">
        <f t="shared" si="0"/>
        <v>420000</v>
      </c>
      <c r="I6" s="7">
        <f t="shared" si="2"/>
        <v>420000</v>
      </c>
    </row>
    <row r="7" spans="1:9" ht="32.25" customHeight="1">
      <c r="A7" s="1">
        <v>6</v>
      </c>
      <c r="B7" s="2" t="s">
        <v>20</v>
      </c>
      <c r="C7" s="2" t="s">
        <v>21</v>
      </c>
      <c r="D7" s="3" t="s">
        <v>22</v>
      </c>
      <c r="E7" s="3">
        <v>2</v>
      </c>
      <c r="F7" s="8">
        <v>304950</v>
      </c>
      <c r="G7" s="7">
        <f t="shared" si="1"/>
        <v>609900</v>
      </c>
      <c r="H7" s="8">
        <f t="shared" si="0"/>
        <v>609900</v>
      </c>
      <c r="I7" s="11">
        <v>0</v>
      </c>
    </row>
    <row r="8" spans="1:9" ht="32.25" customHeight="1">
      <c r="A8" s="1">
        <v>7</v>
      </c>
      <c r="B8" s="2" t="s">
        <v>23</v>
      </c>
      <c r="C8" s="2" t="s">
        <v>24</v>
      </c>
      <c r="D8" s="3" t="s">
        <v>25</v>
      </c>
      <c r="E8" s="3">
        <v>1</v>
      </c>
      <c r="F8" s="8">
        <v>2570000</v>
      </c>
      <c r="G8" s="7">
        <f t="shared" si="1"/>
        <v>2570000</v>
      </c>
      <c r="H8" s="10">
        <v>0</v>
      </c>
      <c r="I8" s="7">
        <f t="shared" si="2"/>
        <v>2570000</v>
      </c>
    </row>
    <row r="9" spans="1:9" ht="32.25" customHeight="1">
      <c r="A9" s="1">
        <v>8</v>
      </c>
      <c r="B9" s="2" t="s">
        <v>26</v>
      </c>
      <c r="C9" s="2" t="s">
        <v>27</v>
      </c>
      <c r="D9" s="3" t="s">
        <v>28</v>
      </c>
      <c r="E9" s="3">
        <v>1</v>
      </c>
      <c r="F9" s="8">
        <v>104500</v>
      </c>
      <c r="G9" s="7">
        <f t="shared" si="1"/>
        <v>104500</v>
      </c>
      <c r="H9" s="8">
        <f>G9</f>
        <v>104500</v>
      </c>
      <c r="I9" s="7">
        <f t="shared" si="2"/>
        <v>104500</v>
      </c>
    </row>
    <row r="10" spans="1:9" ht="32.25" customHeight="1">
      <c r="A10" s="1">
        <v>9</v>
      </c>
      <c r="B10" s="2" t="s">
        <v>29</v>
      </c>
      <c r="C10" s="2" t="s">
        <v>30</v>
      </c>
      <c r="D10" s="3" t="s">
        <v>31</v>
      </c>
      <c r="E10" s="3">
        <v>1</v>
      </c>
      <c r="F10" s="8">
        <v>900000</v>
      </c>
      <c r="G10" s="7">
        <f t="shared" si="1"/>
        <v>900000</v>
      </c>
      <c r="H10" s="10">
        <v>0</v>
      </c>
      <c r="I10" s="7">
        <f t="shared" si="2"/>
        <v>900000</v>
      </c>
    </row>
    <row r="11" spans="1:9" ht="32.25" customHeight="1">
      <c r="A11" s="1">
        <v>10</v>
      </c>
      <c r="B11" s="2" t="s">
        <v>32</v>
      </c>
      <c r="C11" s="2" t="s">
        <v>33</v>
      </c>
      <c r="D11" s="3" t="s">
        <v>34</v>
      </c>
      <c r="E11" s="3">
        <v>2</v>
      </c>
      <c r="F11" s="8">
        <v>35000</v>
      </c>
      <c r="G11" s="7">
        <f t="shared" si="1"/>
        <v>70000</v>
      </c>
      <c r="H11" s="8">
        <f t="shared" ref="H11:H19" si="3">G11</f>
        <v>70000</v>
      </c>
      <c r="I11" s="11">
        <v>0</v>
      </c>
    </row>
    <row r="12" spans="1:9" ht="37.5" customHeight="1">
      <c r="A12" s="1">
        <v>12</v>
      </c>
      <c r="B12" s="2" t="s">
        <v>52</v>
      </c>
      <c r="C12" s="2" t="s">
        <v>35</v>
      </c>
      <c r="D12" s="3" t="s">
        <v>36</v>
      </c>
      <c r="E12" s="3">
        <v>1</v>
      </c>
      <c r="F12" s="8">
        <v>235600</v>
      </c>
      <c r="G12" s="7">
        <f t="shared" si="1"/>
        <v>235600</v>
      </c>
      <c r="H12" s="8">
        <f t="shared" si="3"/>
        <v>235600</v>
      </c>
      <c r="I12" s="7">
        <f t="shared" si="2"/>
        <v>235600</v>
      </c>
    </row>
    <row r="13" spans="1:9" ht="32.25" customHeight="1">
      <c r="A13" s="1">
        <v>13</v>
      </c>
      <c r="B13" s="2" t="s">
        <v>37</v>
      </c>
      <c r="C13" s="2" t="s">
        <v>35</v>
      </c>
      <c r="D13" s="3" t="s">
        <v>36</v>
      </c>
      <c r="E13" s="3">
        <v>1</v>
      </c>
      <c r="F13" s="8">
        <v>412300</v>
      </c>
      <c r="G13" s="7">
        <f t="shared" si="1"/>
        <v>412300</v>
      </c>
      <c r="H13" s="8">
        <f t="shared" si="3"/>
        <v>412300</v>
      </c>
      <c r="I13" s="7">
        <f t="shared" si="2"/>
        <v>412300</v>
      </c>
    </row>
    <row r="14" spans="1:9" ht="32.25" customHeight="1">
      <c r="A14" s="1">
        <v>14</v>
      </c>
      <c r="B14" s="2" t="s">
        <v>38</v>
      </c>
      <c r="C14" s="2" t="s">
        <v>39</v>
      </c>
      <c r="D14" s="3" t="s">
        <v>16</v>
      </c>
      <c r="E14" s="3">
        <v>2</v>
      </c>
      <c r="F14" s="8">
        <v>19500</v>
      </c>
      <c r="G14" s="7">
        <f t="shared" si="1"/>
        <v>39000</v>
      </c>
      <c r="H14" s="8">
        <f t="shared" si="3"/>
        <v>39000</v>
      </c>
      <c r="I14" s="7">
        <f t="shared" si="2"/>
        <v>39000</v>
      </c>
    </row>
    <row r="15" spans="1:9" ht="32.25" customHeight="1">
      <c r="A15" s="1">
        <v>15</v>
      </c>
      <c r="B15" s="2" t="s">
        <v>40</v>
      </c>
      <c r="C15" s="2"/>
      <c r="D15" s="3"/>
      <c r="E15" s="3">
        <v>1</v>
      </c>
      <c r="F15" s="8">
        <v>500000</v>
      </c>
      <c r="G15" s="7">
        <f t="shared" si="1"/>
        <v>500000</v>
      </c>
      <c r="H15" s="8">
        <f t="shared" si="3"/>
        <v>500000</v>
      </c>
      <c r="I15" s="7">
        <f t="shared" si="2"/>
        <v>500000</v>
      </c>
    </row>
    <row r="16" spans="1:9" ht="32.25" customHeight="1">
      <c r="A16" s="1">
        <v>16</v>
      </c>
      <c r="B16" s="2" t="s">
        <v>41</v>
      </c>
      <c r="C16" s="2" t="s">
        <v>42</v>
      </c>
      <c r="D16" s="3"/>
      <c r="E16" s="3">
        <v>2</v>
      </c>
      <c r="F16" s="8">
        <v>15000</v>
      </c>
      <c r="G16" s="7">
        <f t="shared" si="1"/>
        <v>30000</v>
      </c>
      <c r="H16" s="8">
        <f t="shared" si="3"/>
        <v>30000</v>
      </c>
      <c r="I16" s="7">
        <f t="shared" si="2"/>
        <v>30000</v>
      </c>
    </row>
    <row r="17" spans="1:9" ht="32.25" customHeight="1">
      <c r="A17" s="1">
        <v>17</v>
      </c>
      <c r="B17" s="2" t="s">
        <v>43</v>
      </c>
      <c r="C17" s="2" t="s">
        <v>44</v>
      </c>
      <c r="D17" s="3" t="s">
        <v>45</v>
      </c>
      <c r="E17" s="3">
        <v>1</v>
      </c>
      <c r="F17" s="8">
        <v>500000</v>
      </c>
      <c r="G17" s="7">
        <f t="shared" si="1"/>
        <v>500000</v>
      </c>
      <c r="H17" s="8">
        <f t="shared" si="3"/>
        <v>500000</v>
      </c>
      <c r="I17" s="7">
        <f t="shared" si="2"/>
        <v>500000</v>
      </c>
    </row>
    <row r="18" spans="1:9" ht="32.25" customHeight="1">
      <c r="A18" s="1">
        <v>18</v>
      </c>
      <c r="B18" s="2" t="s">
        <v>46</v>
      </c>
      <c r="C18" s="2" t="s">
        <v>47</v>
      </c>
      <c r="D18" s="3" t="s">
        <v>48</v>
      </c>
      <c r="E18" s="3">
        <v>1</v>
      </c>
      <c r="F18" s="8">
        <v>240000</v>
      </c>
      <c r="G18" s="7">
        <f t="shared" si="1"/>
        <v>240000</v>
      </c>
      <c r="H18" s="8">
        <f t="shared" si="3"/>
        <v>240000</v>
      </c>
      <c r="I18" s="11">
        <v>0</v>
      </c>
    </row>
    <row r="19" spans="1:9" ht="32.25" customHeight="1">
      <c r="A19" s="1">
        <v>19</v>
      </c>
      <c r="B19" s="2" t="s">
        <v>49</v>
      </c>
      <c r="C19" s="2" t="s">
        <v>50</v>
      </c>
      <c r="D19" s="3" t="s">
        <v>51</v>
      </c>
      <c r="E19" s="3">
        <v>1</v>
      </c>
      <c r="F19" s="8">
        <v>40000</v>
      </c>
      <c r="G19" s="7">
        <f t="shared" si="1"/>
        <v>40000</v>
      </c>
      <c r="H19" s="8">
        <f t="shared" si="3"/>
        <v>40000</v>
      </c>
      <c r="I19" s="7">
        <f t="shared" si="2"/>
        <v>40000</v>
      </c>
    </row>
    <row r="20" spans="1:9" ht="39.75" customHeight="1">
      <c r="G20" s="12">
        <f>SUM(G2:G19)</f>
        <v>8179800</v>
      </c>
      <c r="H20" s="12">
        <f t="shared" ref="H20:I20" si="4">SUM(H2:H19)</f>
        <v>4709800</v>
      </c>
      <c r="I20" s="12">
        <f t="shared" si="4"/>
        <v>7259900</v>
      </c>
    </row>
  </sheetData>
  <autoFilter ref="A1:G19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O33" sqref="O33"/>
    </sheetView>
  </sheetViews>
  <sheetFormatPr defaultRowHeight="15"/>
  <sheetData>
    <row r="1" spans="1:1">
      <c r="A1" t="s">
        <v>117</v>
      </c>
    </row>
    <row r="2" spans="1:1">
      <c r="A2" s="28" t="s">
        <v>118</v>
      </c>
    </row>
    <row r="4" spans="1:1">
      <c r="A4" t="s">
        <v>167</v>
      </c>
    </row>
    <row r="5" spans="1:1">
      <c r="A5" t="s">
        <v>168</v>
      </c>
    </row>
    <row r="7" spans="1:1">
      <c r="A7" t="s">
        <v>209</v>
      </c>
    </row>
    <row r="8" spans="1:1">
      <c r="A8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="70" zoomScaleNormal="70" workbookViewId="0">
      <selection activeCell="G20" sqref="G20"/>
    </sheetView>
  </sheetViews>
  <sheetFormatPr defaultRowHeight="15"/>
  <cols>
    <col min="1" max="1" width="41.5703125" customWidth="1"/>
    <col min="2" max="2" width="12.5703125" customWidth="1"/>
    <col min="3" max="3" width="16.28515625" customWidth="1"/>
    <col min="4" max="4" width="13.85546875" customWidth="1"/>
    <col min="5" max="5" width="12.140625" customWidth="1"/>
  </cols>
  <sheetData>
    <row r="1" spans="1:6" s="19" customFormat="1" ht="15.75" thickBot="1">
      <c r="A1" s="60" t="s">
        <v>120</v>
      </c>
      <c r="B1" s="60" t="s">
        <v>121</v>
      </c>
      <c r="C1" s="60" t="s">
        <v>122</v>
      </c>
      <c r="D1" s="60" t="s">
        <v>123</v>
      </c>
      <c r="E1" s="60" t="s">
        <v>141</v>
      </c>
    </row>
    <row r="2" spans="1:6" ht="15.75" thickTop="1">
      <c r="A2" s="15" t="s">
        <v>124</v>
      </c>
      <c r="B2">
        <v>2</v>
      </c>
      <c r="C2" s="9">
        <v>40000</v>
      </c>
      <c r="D2" s="17">
        <f t="shared" ref="D2:D12" si="0">SUM(C2:C2)*B2</f>
        <v>80000</v>
      </c>
      <c r="E2" s="17">
        <f>C2*30%</f>
        <v>12000</v>
      </c>
    </row>
    <row r="3" spans="1:6">
      <c r="A3" s="15" t="s">
        <v>125</v>
      </c>
      <c r="B3">
        <v>2</v>
      </c>
      <c r="C3" s="9">
        <v>40000</v>
      </c>
      <c r="D3" s="17">
        <f t="shared" si="0"/>
        <v>80000</v>
      </c>
      <c r="E3" s="17">
        <f t="shared" ref="E3:E12" si="1">C3*30%</f>
        <v>12000</v>
      </c>
    </row>
    <row r="4" spans="1:6">
      <c r="A4" s="15" t="s">
        <v>126</v>
      </c>
      <c r="B4">
        <v>2</v>
      </c>
      <c r="C4" s="9">
        <v>40000</v>
      </c>
      <c r="D4" s="17">
        <f t="shared" si="0"/>
        <v>80000</v>
      </c>
      <c r="E4" s="17">
        <f t="shared" si="1"/>
        <v>12000</v>
      </c>
    </row>
    <row r="5" spans="1:6">
      <c r="A5" s="15" t="s">
        <v>127</v>
      </c>
      <c r="B5">
        <v>4</v>
      </c>
      <c r="C5" s="9">
        <v>40000</v>
      </c>
      <c r="D5" s="17">
        <f t="shared" si="0"/>
        <v>160000</v>
      </c>
      <c r="E5" s="17">
        <f t="shared" si="1"/>
        <v>12000</v>
      </c>
    </row>
    <row r="6" spans="1:6">
      <c r="A6" s="15" t="s">
        <v>27</v>
      </c>
      <c r="B6">
        <v>1</v>
      </c>
      <c r="C6" s="9">
        <v>40000</v>
      </c>
      <c r="D6" s="17">
        <f t="shared" si="0"/>
        <v>40000</v>
      </c>
      <c r="E6" s="17">
        <f t="shared" si="1"/>
        <v>12000</v>
      </c>
    </row>
    <row r="7" spans="1:6">
      <c r="A7" s="15" t="s">
        <v>128</v>
      </c>
      <c r="B7">
        <v>1</v>
      </c>
      <c r="C7" s="9">
        <v>40000</v>
      </c>
      <c r="D7" s="17">
        <f t="shared" si="0"/>
        <v>40000</v>
      </c>
      <c r="E7" s="17">
        <f t="shared" si="1"/>
        <v>12000</v>
      </c>
    </row>
    <row r="8" spans="1:6">
      <c r="A8" s="15" t="s">
        <v>30</v>
      </c>
      <c r="B8">
        <v>2</v>
      </c>
      <c r="C8" s="9">
        <v>40000</v>
      </c>
      <c r="D8" s="17">
        <f t="shared" si="0"/>
        <v>80000</v>
      </c>
      <c r="E8" s="17">
        <f t="shared" si="1"/>
        <v>12000</v>
      </c>
    </row>
    <row r="9" spans="1:6">
      <c r="A9" s="15" t="s">
        <v>129</v>
      </c>
      <c r="B9">
        <v>1</v>
      </c>
      <c r="C9" s="9">
        <v>40000</v>
      </c>
      <c r="D9" s="17">
        <f t="shared" si="0"/>
        <v>40000</v>
      </c>
      <c r="E9" s="17">
        <f t="shared" si="1"/>
        <v>12000</v>
      </c>
    </row>
    <row r="10" spans="1:6">
      <c r="A10" s="15" t="s">
        <v>130</v>
      </c>
      <c r="B10">
        <v>1</v>
      </c>
      <c r="C10" s="9">
        <v>120000</v>
      </c>
      <c r="D10" s="17">
        <f t="shared" si="0"/>
        <v>120000</v>
      </c>
      <c r="E10" s="17">
        <f t="shared" si="1"/>
        <v>36000</v>
      </c>
      <c r="F10" t="s">
        <v>151</v>
      </c>
    </row>
    <row r="11" spans="1:6">
      <c r="A11" s="15" t="s">
        <v>131</v>
      </c>
      <c r="B11">
        <v>1</v>
      </c>
      <c r="C11" s="9">
        <v>60000</v>
      </c>
      <c r="D11" s="17">
        <f t="shared" si="0"/>
        <v>60000</v>
      </c>
      <c r="E11" s="17">
        <f t="shared" si="1"/>
        <v>18000</v>
      </c>
      <c r="F11" t="s">
        <v>151</v>
      </c>
    </row>
    <row r="12" spans="1:6">
      <c r="A12" s="15" t="s">
        <v>132</v>
      </c>
      <c r="B12">
        <v>1</v>
      </c>
      <c r="C12" s="9">
        <v>80000</v>
      </c>
      <c r="D12" s="17">
        <f t="shared" si="0"/>
        <v>80000</v>
      </c>
      <c r="E12" s="17">
        <f t="shared" si="1"/>
        <v>24000</v>
      </c>
      <c r="F12" t="s">
        <v>151</v>
      </c>
    </row>
    <row r="13" spans="1:6">
      <c r="A13" s="61"/>
      <c r="B13" s="61"/>
      <c r="C13" s="61"/>
      <c r="D13" s="62">
        <f>SUM(D2:D12)</f>
        <v>860000</v>
      </c>
      <c r="E13" s="62">
        <f>SUM(E2:E12)</f>
        <v>174000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Инструкции и допущения</vt:lpstr>
      <vt:lpstr>Входные данные и результаты</vt:lpstr>
      <vt:lpstr>CF</vt:lpstr>
      <vt:lpstr>PnL</vt:lpstr>
      <vt:lpstr>OPEX</vt:lpstr>
      <vt:lpstr>CAPEX</vt:lpstr>
      <vt:lpstr>справочники</vt:lpstr>
      <vt:lpstr>ФОТ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Котусова Айгуль Фарисовна</dc:creator>
  <cp:lastModifiedBy>HP</cp:lastModifiedBy>
  <dcterms:created xsi:type="dcterms:W3CDTF">2019-09-21T08:53:30Z</dcterms:created>
  <dcterms:modified xsi:type="dcterms:W3CDTF">2019-10-09T15:47:29Z</dcterms:modified>
</cp:coreProperties>
</file>