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4541EDED-A15B-4E88-ADC9-74F2E1D648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Показатели" sheetId="3" r:id="rId1"/>
    <sheet name="Графики" sheetId="5" r:id="rId2"/>
    <sheet name="Продажи" sheetId="1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D17" i="1"/>
  <c r="E20" i="1"/>
  <c r="E17" i="1" s="1"/>
  <c r="D22" i="1"/>
  <c r="E22" i="1"/>
  <c r="D23" i="1"/>
  <c r="E23" i="1" s="1"/>
  <c r="E21" i="1" s="1"/>
  <c r="D24" i="1"/>
  <c r="D25" i="1"/>
  <c r="E25" i="1"/>
  <c r="E24" i="1" s="1"/>
  <c r="D21" i="1" l="1"/>
  <c r="D27" i="1" s="1"/>
  <c r="D28" i="1" s="1"/>
  <c r="D32" i="1" s="1"/>
  <c r="E27" i="1"/>
  <c r="C8" i="5"/>
  <c r="D8" i="5" s="1"/>
  <c r="E8" i="5" s="1"/>
  <c r="F8" i="5" s="1"/>
  <c r="G8" i="5" s="1"/>
  <c r="H8" i="5" s="1"/>
  <c r="I8" i="5" s="1"/>
  <c r="J8" i="5" s="1"/>
  <c r="E28" i="1" l="1"/>
  <c r="E32" i="1" s="1"/>
  <c r="D33" i="1" s="1"/>
  <c r="D29" i="1"/>
  <c r="C7" i="5"/>
  <c r="D7" i="5" s="1"/>
  <c r="E7" i="5" s="1"/>
  <c r="F7" i="5" s="1"/>
  <c r="G7" i="5" s="1"/>
  <c r="H7" i="5" s="1"/>
  <c r="I7" i="5" s="1"/>
  <c r="J7" i="5" s="1"/>
  <c r="E29" i="1" l="1"/>
  <c r="D14" i="1"/>
  <c r="D13" i="1"/>
  <c r="F14" i="1" l="1"/>
  <c r="F13" i="1"/>
  <c r="T10" i="1"/>
  <c r="U10" i="1"/>
  <c r="V10" i="1"/>
  <c r="W10" i="1"/>
  <c r="X10" i="1"/>
  <c r="Y10" i="1"/>
  <c r="Z10" i="1"/>
  <c r="AA10" i="1"/>
  <c r="AB10" i="1"/>
  <c r="T11" i="1"/>
  <c r="U11" i="1"/>
  <c r="V11" i="1"/>
  <c r="W11" i="1"/>
  <c r="X11" i="1"/>
  <c r="Y11" i="1"/>
  <c r="Z11" i="1"/>
  <c r="AA11" i="1"/>
  <c r="AB11" i="1"/>
  <c r="S11" i="1"/>
  <c r="S10" i="1"/>
  <c r="O10" i="1"/>
  <c r="Q10" i="1"/>
  <c r="Q11" i="1"/>
  <c r="P11" i="1"/>
  <c r="P10" i="1"/>
  <c r="I10" i="1"/>
  <c r="J10" i="1"/>
  <c r="K10" i="1"/>
  <c r="L10" i="1"/>
  <c r="M10" i="1"/>
  <c r="N10" i="1"/>
  <c r="I11" i="1"/>
  <c r="J11" i="1"/>
  <c r="K11" i="1"/>
  <c r="L11" i="1"/>
  <c r="M11" i="1"/>
  <c r="N11" i="1"/>
  <c r="O11" i="1"/>
  <c r="H11" i="1"/>
  <c r="H10" i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F7" i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F36" i="4"/>
  <c r="G36" i="4" s="1"/>
  <c r="H36" i="4" s="1"/>
  <c r="I36" i="4" s="1"/>
  <c r="K36" i="4"/>
  <c r="L36" i="4" s="1"/>
  <c r="M36" i="4" s="1"/>
  <c r="N36" i="4" s="1"/>
  <c r="O36" i="4" s="1"/>
  <c r="P36" i="4" s="1"/>
  <c r="C8" i="3" l="1"/>
  <c r="C10" i="3"/>
  <c r="F26" i="4"/>
  <c r="F27" i="4"/>
  <c r="F28" i="4"/>
  <c r="F29" i="4"/>
  <c r="F37" i="4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R37" i="4" s="1"/>
  <c r="F25" i="4" l="1"/>
  <c r="S37" i="4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Q37" i="4"/>
  <c r="C11" i="3"/>
  <c r="S38" i="4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F38" i="4"/>
  <c r="F35" i="4"/>
  <c r="E34" i="4"/>
  <c r="F33" i="4"/>
  <c r="G33" i="4" s="1"/>
  <c r="H33" i="4" s="1"/>
  <c r="I33" i="4" s="1"/>
  <c r="J33" i="4" s="1"/>
  <c r="G35" i="4" l="1"/>
  <c r="F34" i="4"/>
  <c r="AD37" i="4"/>
  <c r="D37" i="4" s="1"/>
  <c r="AD38" i="4"/>
  <c r="G38" i="4"/>
  <c r="H38" i="4" s="1"/>
  <c r="I38" i="4" s="1"/>
  <c r="J38" i="4" s="1"/>
  <c r="K38" i="4" s="1"/>
  <c r="L38" i="4" s="1"/>
  <c r="M38" i="4" s="1"/>
  <c r="N38" i="4" s="1"/>
  <c r="O38" i="4" s="1"/>
  <c r="P38" i="4" s="1"/>
  <c r="S36" i="4"/>
  <c r="K33" i="4"/>
  <c r="E25" i="4"/>
  <c r="E31" i="4" s="1"/>
  <c r="G27" i="4"/>
  <c r="H27" i="4" s="1"/>
  <c r="G28" i="4"/>
  <c r="H28" i="4" s="1"/>
  <c r="I28" i="4" s="1"/>
  <c r="J28" i="4" s="1"/>
  <c r="K28" i="4" s="1"/>
  <c r="L28" i="4" s="1"/>
  <c r="M28" i="4" s="1"/>
  <c r="N28" i="4" s="1"/>
  <c r="O28" i="4" s="1"/>
  <c r="P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G29" i="4"/>
  <c r="H29" i="4" s="1"/>
  <c r="I29" i="4" s="1"/>
  <c r="J29" i="4" s="1"/>
  <c r="K29" i="4" s="1"/>
  <c r="L29" i="4" s="1"/>
  <c r="M29" i="4" s="1"/>
  <c r="N29" i="4" s="1"/>
  <c r="O29" i="4" s="1"/>
  <c r="P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AB29" i="4" s="1"/>
  <c r="AC29" i="4" s="1"/>
  <c r="AD9" i="1"/>
  <c r="AC9" i="1"/>
  <c r="AA9" i="1"/>
  <c r="Z9" i="1"/>
  <c r="AD3" i="1"/>
  <c r="AC3" i="1"/>
  <c r="AB3" i="1"/>
  <c r="AA3" i="1"/>
  <c r="Z3" i="1"/>
  <c r="Y3" i="1"/>
  <c r="X3" i="1"/>
  <c r="W3" i="1"/>
  <c r="V3" i="1"/>
  <c r="U3" i="1"/>
  <c r="T3" i="1"/>
  <c r="S3" i="1"/>
  <c r="AD20" i="4"/>
  <c r="AD19" i="4"/>
  <c r="AD18" i="4"/>
  <c r="AD17" i="4"/>
  <c r="AD15" i="4"/>
  <c r="AD14" i="4"/>
  <c r="AD13" i="4"/>
  <c r="AD11" i="4"/>
  <c r="AD10" i="4"/>
  <c r="AD9" i="4"/>
  <c r="Q20" i="4"/>
  <c r="Q19" i="4"/>
  <c r="Q18" i="4"/>
  <c r="Q17" i="4"/>
  <c r="Q15" i="4"/>
  <c r="Q14" i="4"/>
  <c r="Q13" i="4"/>
  <c r="D13" i="4" s="1"/>
  <c r="Q10" i="4"/>
  <c r="Q11" i="4"/>
  <c r="Q9" i="4"/>
  <c r="D9" i="4" s="1"/>
  <c r="E16" i="4"/>
  <c r="F16" i="4"/>
  <c r="G16" i="4"/>
  <c r="H16" i="4"/>
  <c r="I16" i="4"/>
  <c r="J16" i="4"/>
  <c r="K16" i="4"/>
  <c r="L16" i="4"/>
  <c r="M16" i="4"/>
  <c r="N16" i="4"/>
  <c r="O16" i="4"/>
  <c r="P16" i="4"/>
  <c r="R16" i="4"/>
  <c r="S16" i="4"/>
  <c r="T16" i="4"/>
  <c r="U16" i="4"/>
  <c r="V16" i="4"/>
  <c r="W16" i="4"/>
  <c r="X16" i="4"/>
  <c r="Y16" i="4"/>
  <c r="Z16" i="4"/>
  <c r="AA16" i="4"/>
  <c r="AB16" i="4"/>
  <c r="AC16" i="4"/>
  <c r="E12" i="4"/>
  <c r="F12" i="4"/>
  <c r="G12" i="4"/>
  <c r="H12" i="4"/>
  <c r="I12" i="4"/>
  <c r="J12" i="4"/>
  <c r="K12" i="4"/>
  <c r="L12" i="4"/>
  <c r="M12" i="4"/>
  <c r="N12" i="4"/>
  <c r="O12" i="4"/>
  <c r="P12" i="4"/>
  <c r="R12" i="4"/>
  <c r="S12" i="4"/>
  <c r="T12" i="4"/>
  <c r="U12" i="4"/>
  <c r="V12" i="4"/>
  <c r="W12" i="4"/>
  <c r="X12" i="4"/>
  <c r="Y12" i="4"/>
  <c r="Z12" i="4"/>
  <c r="AA12" i="4"/>
  <c r="AB12" i="4"/>
  <c r="AC12" i="4"/>
  <c r="F8" i="4"/>
  <c r="G8" i="4"/>
  <c r="H8" i="4"/>
  <c r="I8" i="4"/>
  <c r="J8" i="4"/>
  <c r="K8" i="4"/>
  <c r="L8" i="4"/>
  <c r="M8" i="4"/>
  <c r="N8" i="4"/>
  <c r="O8" i="4"/>
  <c r="P8" i="4"/>
  <c r="R8" i="4"/>
  <c r="S8" i="4"/>
  <c r="T8" i="4"/>
  <c r="U8" i="4"/>
  <c r="V8" i="4"/>
  <c r="W8" i="4"/>
  <c r="X8" i="4"/>
  <c r="Y8" i="4"/>
  <c r="Z8" i="4"/>
  <c r="AA8" i="4"/>
  <c r="AB8" i="4"/>
  <c r="AC8" i="4"/>
  <c r="E8" i="4"/>
  <c r="D14" i="4" l="1"/>
  <c r="D15" i="4"/>
  <c r="D18" i="4"/>
  <c r="D10" i="4"/>
  <c r="D11" i="4"/>
  <c r="H35" i="4"/>
  <c r="G34" i="4"/>
  <c r="P9" i="1"/>
  <c r="X9" i="1"/>
  <c r="W9" i="1"/>
  <c r="Q36" i="4"/>
  <c r="T36" i="4"/>
  <c r="U36" i="4" s="1"/>
  <c r="V36" i="4" s="1"/>
  <c r="W36" i="4" s="1"/>
  <c r="X36" i="4" s="1"/>
  <c r="Y36" i="4" s="1"/>
  <c r="Z36" i="4" s="1"/>
  <c r="AA36" i="4" s="1"/>
  <c r="AB36" i="4" s="1"/>
  <c r="AC36" i="4" s="1"/>
  <c r="Q38" i="4"/>
  <c r="D38" i="4" s="1"/>
  <c r="Y9" i="1"/>
  <c r="K9" i="1"/>
  <c r="S9" i="1"/>
  <c r="M9" i="1"/>
  <c r="Q9" i="1"/>
  <c r="N9" i="1"/>
  <c r="V9" i="1"/>
  <c r="L9" i="1"/>
  <c r="U9" i="1"/>
  <c r="O9" i="1"/>
  <c r="T9" i="1"/>
  <c r="R10" i="1"/>
  <c r="R11" i="1"/>
  <c r="G9" i="1"/>
  <c r="L33" i="4"/>
  <c r="F31" i="4"/>
  <c r="G26" i="4"/>
  <c r="G25" i="4" s="1"/>
  <c r="AD8" i="4"/>
  <c r="Q16" i="4"/>
  <c r="AD29" i="4"/>
  <c r="AD16" i="4"/>
  <c r="AD12" i="4"/>
  <c r="I27" i="4"/>
  <c r="J27" i="4" s="1"/>
  <c r="K27" i="4" s="1"/>
  <c r="L27" i="4" s="1"/>
  <c r="M27" i="4" s="1"/>
  <c r="N27" i="4" s="1"/>
  <c r="O27" i="4" s="1"/>
  <c r="P27" i="4" s="1"/>
  <c r="R27" i="4" s="1"/>
  <c r="Q29" i="4"/>
  <c r="Q28" i="4"/>
  <c r="J9" i="1"/>
  <c r="I9" i="1"/>
  <c r="H9" i="1"/>
  <c r="F9" i="1"/>
  <c r="Q12" i="4"/>
  <c r="Q8" i="4"/>
  <c r="D12" i="4" l="1"/>
  <c r="AF12" i="4" s="1"/>
  <c r="D8" i="4"/>
  <c r="AF8" i="4" s="1"/>
  <c r="D29" i="4"/>
  <c r="D16" i="4"/>
  <c r="AF16" i="4" s="1"/>
  <c r="I35" i="4"/>
  <c r="H34" i="4"/>
  <c r="AD36" i="4"/>
  <c r="D36" i="4" s="1"/>
  <c r="M33" i="4"/>
  <c r="H26" i="4"/>
  <c r="H25" i="4" s="1"/>
  <c r="G31" i="4"/>
  <c r="Q27" i="4"/>
  <c r="S27" i="4"/>
  <c r="AD28" i="4"/>
  <c r="D28" i="4" s="1"/>
  <c r="R9" i="1"/>
  <c r="J35" i="4" l="1"/>
  <c r="I34" i="4"/>
  <c r="N33" i="4"/>
  <c r="I26" i="4"/>
  <c r="I25" i="4" s="1"/>
  <c r="H31" i="4"/>
  <c r="T27" i="4"/>
  <c r="J34" i="4" l="1"/>
  <c r="K35" i="4"/>
  <c r="O33" i="4"/>
  <c r="J26" i="4"/>
  <c r="J25" i="4" s="1"/>
  <c r="I31" i="4"/>
  <c r="U27" i="4"/>
  <c r="K34" i="4" l="1"/>
  <c r="L35" i="4"/>
  <c r="P33" i="4"/>
  <c r="R33" i="4" s="1"/>
  <c r="J31" i="4"/>
  <c r="K26" i="4"/>
  <c r="K25" i="4" s="1"/>
  <c r="V27" i="4"/>
  <c r="L34" i="4" l="1"/>
  <c r="M35" i="4"/>
  <c r="Q33" i="4"/>
  <c r="S33" i="4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K31" i="4"/>
  <c r="L26" i="4"/>
  <c r="L25" i="4" s="1"/>
  <c r="W27" i="4"/>
  <c r="M34" i="4" l="1"/>
  <c r="N35" i="4"/>
  <c r="AD33" i="4"/>
  <c r="D33" i="4" s="1"/>
  <c r="AF33" i="4" s="1"/>
  <c r="L31" i="4"/>
  <c r="M26" i="4"/>
  <c r="M25" i="4" s="1"/>
  <c r="X27" i="4"/>
  <c r="N34" i="4" l="1"/>
  <c r="O35" i="4"/>
  <c r="M31" i="4"/>
  <c r="N26" i="4"/>
  <c r="N25" i="4" s="1"/>
  <c r="Y27" i="4"/>
  <c r="O34" i="4" l="1"/>
  <c r="P35" i="4"/>
  <c r="N31" i="4"/>
  <c r="O26" i="4"/>
  <c r="O25" i="4" s="1"/>
  <c r="Z27" i="4"/>
  <c r="R35" i="4" l="1"/>
  <c r="P34" i="4"/>
  <c r="Q35" i="4"/>
  <c r="O31" i="4"/>
  <c r="P26" i="4"/>
  <c r="P25" i="4" s="1"/>
  <c r="AA27" i="4"/>
  <c r="Q34" i="4" l="1"/>
  <c r="R34" i="4"/>
  <c r="S35" i="4"/>
  <c r="P31" i="4"/>
  <c r="R26" i="4"/>
  <c r="Q26" i="4"/>
  <c r="AB27" i="4"/>
  <c r="T35" i="4" l="1"/>
  <c r="S34" i="4"/>
  <c r="Q31" i="4"/>
  <c r="Q25" i="4"/>
  <c r="S26" i="4"/>
  <c r="R25" i="4"/>
  <c r="R31" i="4" s="1"/>
  <c r="AC27" i="4"/>
  <c r="U35" i="4" l="1"/>
  <c r="T34" i="4"/>
  <c r="S25" i="4"/>
  <c r="S31" i="4" s="1"/>
  <c r="T26" i="4"/>
  <c r="AD27" i="4"/>
  <c r="D27" i="4" s="1"/>
  <c r="V35" i="4" l="1"/>
  <c r="U34" i="4"/>
  <c r="U26" i="4"/>
  <c r="T25" i="4"/>
  <c r="T31" i="4" s="1"/>
  <c r="W35" i="4" l="1"/>
  <c r="V34" i="4"/>
  <c r="U25" i="4"/>
  <c r="U31" i="4" s="1"/>
  <c r="V26" i="4"/>
  <c r="X35" i="4" l="1"/>
  <c r="W34" i="4"/>
  <c r="W26" i="4"/>
  <c r="V25" i="4"/>
  <c r="V31" i="4" s="1"/>
  <c r="Y35" i="4" l="1"/>
  <c r="X34" i="4"/>
  <c r="X26" i="4"/>
  <c r="W25" i="4"/>
  <c r="W31" i="4" s="1"/>
  <c r="Z35" i="4" l="1"/>
  <c r="Y34" i="4"/>
  <c r="Y26" i="4"/>
  <c r="X25" i="4"/>
  <c r="X31" i="4" s="1"/>
  <c r="AA35" i="4" l="1"/>
  <c r="Z34" i="4"/>
  <c r="Z26" i="4"/>
  <c r="Y25" i="4"/>
  <c r="Y31" i="4" s="1"/>
  <c r="AA34" i="4" l="1"/>
  <c r="AB35" i="4"/>
  <c r="AA26" i="4"/>
  <c r="Z25" i="4"/>
  <c r="Z31" i="4" s="1"/>
  <c r="AB34" i="4" l="1"/>
  <c r="AC35" i="4"/>
  <c r="AC34" i="4" s="1"/>
  <c r="AB26" i="4"/>
  <c r="AA25" i="4"/>
  <c r="AA31" i="4" s="1"/>
  <c r="AD35" i="4" l="1"/>
  <c r="D35" i="4" s="1"/>
  <c r="AC26" i="4"/>
  <c r="AB25" i="4"/>
  <c r="AB31" i="4" s="1"/>
  <c r="AD34" i="4" l="1"/>
  <c r="D34" i="4" s="1"/>
  <c r="AF34" i="4" s="1"/>
  <c r="AC25" i="4"/>
  <c r="AC31" i="4" s="1"/>
  <c r="AD26" i="4"/>
  <c r="D26" i="4" s="1"/>
  <c r="AD31" i="4" l="1"/>
  <c r="D31" i="4" s="1"/>
  <c r="AF31" i="4" s="1"/>
  <c r="AD25" i="4"/>
  <c r="D25" i="4" s="1"/>
  <c r="AF25" i="4" s="1"/>
  <c r="AE4" i="1" l="1"/>
  <c r="AE5" i="1"/>
  <c r="AE11" i="1" s="1"/>
  <c r="E11" i="1" s="1"/>
  <c r="AE3" i="1"/>
  <c r="R4" i="1"/>
  <c r="E4" i="1" s="1"/>
  <c r="R5" i="1"/>
  <c r="G3" i="1"/>
  <c r="H3" i="1"/>
  <c r="I3" i="1"/>
  <c r="J3" i="1"/>
  <c r="K3" i="1"/>
  <c r="L3" i="1"/>
  <c r="M3" i="1"/>
  <c r="N3" i="1"/>
  <c r="O3" i="1"/>
  <c r="P3" i="1"/>
  <c r="Q3" i="1"/>
  <c r="F3" i="1"/>
  <c r="E5" i="1" l="1"/>
  <c r="E23" i="4"/>
  <c r="E6" i="4"/>
  <c r="AB9" i="1"/>
  <c r="AE9" i="1" s="1"/>
  <c r="E9" i="1" s="1"/>
  <c r="AE10" i="1"/>
  <c r="E10" i="1" s="1"/>
  <c r="E22" i="4"/>
  <c r="G13" i="1"/>
  <c r="G14" i="1"/>
  <c r="F6" i="4" s="1"/>
  <c r="R3" i="1"/>
  <c r="E3" i="1" s="1"/>
  <c r="E21" i="4" l="1"/>
  <c r="F22" i="4"/>
  <c r="H13" i="1"/>
  <c r="I13" i="1" s="1"/>
  <c r="E5" i="4"/>
  <c r="E4" i="4" s="1"/>
  <c r="F23" i="4"/>
  <c r="H14" i="1"/>
  <c r="G6" i="4" s="1"/>
  <c r="E32" i="4" l="1"/>
  <c r="E30" i="4" s="1"/>
  <c r="F21" i="4"/>
  <c r="H22" i="4"/>
  <c r="G22" i="4"/>
  <c r="F5" i="4"/>
  <c r="F4" i="4" s="1"/>
  <c r="G23" i="4"/>
  <c r="I14" i="1"/>
  <c r="H6" i="4" s="1"/>
  <c r="J13" i="1"/>
  <c r="G21" i="4" l="1"/>
  <c r="I22" i="4"/>
  <c r="G5" i="4"/>
  <c r="G4" i="4" s="1"/>
  <c r="F32" i="4"/>
  <c r="F30" i="4" s="1"/>
  <c r="H23" i="4"/>
  <c r="J14" i="1"/>
  <c r="I6" i="4" s="1"/>
  <c r="K13" i="1"/>
  <c r="G32" i="4" l="1"/>
  <c r="G30" i="4" s="1"/>
  <c r="G7" i="4" s="1"/>
  <c r="G39" i="4" s="1"/>
  <c r="C3" i="5"/>
  <c r="H21" i="4"/>
  <c r="F7" i="4"/>
  <c r="F39" i="4" s="1"/>
  <c r="J22" i="4"/>
  <c r="H5" i="4"/>
  <c r="H4" i="4" s="1"/>
  <c r="I23" i="4"/>
  <c r="K14" i="1"/>
  <c r="J6" i="4" s="1"/>
  <c r="L13" i="1"/>
  <c r="H32" i="4" l="1"/>
  <c r="H30" i="4" s="1"/>
  <c r="H7" i="4" s="1"/>
  <c r="H39" i="4" s="1"/>
  <c r="I21" i="4"/>
  <c r="K22" i="4"/>
  <c r="I5" i="4"/>
  <c r="I4" i="4" s="1"/>
  <c r="J23" i="4"/>
  <c r="J21" i="4" s="1"/>
  <c r="L14" i="1"/>
  <c r="K6" i="4" s="1"/>
  <c r="M13" i="1"/>
  <c r="I32" i="4" l="1"/>
  <c r="I30" i="4" s="1"/>
  <c r="I7" i="4" s="1"/>
  <c r="I39" i="4" s="1"/>
  <c r="L22" i="4"/>
  <c r="J5" i="4"/>
  <c r="J4" i="4" s="1"/>
  <c r="K23" i="4"/>
  <c r="M14" i="1"/>
  <c r="L6" i="4" s="1"/>
  <c r="N13" i="1"/>
  <c r="D3" i="5" l="1"/>
  <c r="K21" i="4"/>
  <c r="M22" i="4"/>
  <c r="K5" i="4"/>
  <c r="K4" i="4" s="1"/>
  <c r="J32" i="4"/>
  <c r="J30" i="4" s="1"/>
  <c r="L23" i="4"/>
  <c r="N14" i="1"/>
  <c r="M6" i="4" s="1"/>
  <c r="O13" i="1"/>
  <c r="K32" i="4" l="1"/>
  <c r="K30" i="4" s="1"/>
  <c r="K7" i="4" s="1"/>
  <c r="L21" i="4"/>
  <c r="J7" i="4"/>
  <c r="J39" i="4" s="1"/>
  <c r="N22" i="4"/>
  <c r="L5" i="4"/>
  <c r="L4" i="4" s="1"/>
  <c r="L32" i="4" s="1"/>
  <c r="L30" i="4" s="1"/>
  <c r="M23" i="4"/>
  <c r="O14" i="1"/>
  <c r="N6" i="4" s="1"/>
  <c r="P13" i="1"/>
  <c r="D4" i="5" l="1"/>
  <c r="D5" i="5" s="1"/>
  <c r="K39" i="4"/>
  <c r="M21" i="4"/>
  <c r="L7" i="4"/>
  <c r="L39" i="4" s="1"/>
  <c r="O22" i="4"/>
  <c r="M5" i="4"/>
  <c r="M4" i="4" s="1"/>
  <c r="M32" i="4" s="1"/>
  <c r="M30" i="4" s="1"/>
  <c r="N23" i="4"/>
  <c r="P14" i="1"/>
  <c r="O6" i="4" s="1"/>
  <c r="Q13" i="1"/>
  <c r="E3" i="5" l="1"/>
  <c r="N21" i="4"/>
  <c r="M7" i="4"/>
  <c r="M39" i="4" s="1"/>
  <c r="P22" i="4"/>
  <c r="N5" i="4"/>
  <c r="N4" i="4" s="1"/>
  <c r="O23" i="4"/>
  <c r="Q14" i="1"/>
  <c r="R13" i="1"/>
  <c r="S13" i="1"/>
  <c r="R22" i="4" s="1"/>
  <c r="E4" i="5" l="1"/>
  <c r="E5" i="5" s="1"/>
  <c r="N32" i="4"/>
  <c r="N30" i="4" s="1"/>
  <c r="N7" i="4" s="1"/>
  <c r="O21" i="4"/>
  <c r="R8" i="1"/>
  <c r="P6" i="4"/>
  <c r="Q6" i="4" s="1"/>
  <c r="O5" i="4"/>
  <c r="O4" i="4" s="1"/>
  <c r="O32" i="4" s="1"/>
  <c r="P23" i="4"/>
  <c r="Q23" i="4" s="1"/>
  <c r="R14" i="1"/>
  <c r="S14" i="1"/>
  <c r="T13" i="1"/>
  <c r="S22" i="4" s="1"/>
  <c r="Q22" i="4"/>
  <c r="N39" i="4" l="1"/>
  <c r="P21" i="4"/>
  <c r="O30" i="4"/>
  <c r="O7" i="4" s="1"/>
  <c r="O39" i="4" s="1"/>
  <c r="R6" i="4"/>
  <c r="R23" i="4"/>
  <c r="P5" i="4"/>
  <c r="R7" i="1"/>
  <c r="T14" i="1"/>
  <c r="U13" i="1"/>
  <c r="T22" i="4" s="1"/>
  <c r="S6" i="4" l="1"/>
  <c r="S23" i="4"/>
  <c r="Q5" i="4"/>
  <c r="P4" i="4"/>
  <c r="F3" i="5" s="1"/>
  <c r="R5" i="4"/>
  <c r="R4" i="4" s="1"/>
  <c r="U14" i="1"/>
  <c r="V13" i="1"/>
  <c r="U22" i="4" s="1"/>
  <c r="R21" i="4" l="1"/>
  <c r="T6" i="4"/>
  <c r="T23" i="4"/>
  <c r="S21" i="4"/>
  <c r="P32" i="4"/>
  <c r="P30" i="4" s="1"/>
  <c r="Q4" i="4"/>
  <c r="S5" i="4"/>
  <c r="S4" i="4" s="1"/>
  <c r="R32" i="4"/>
  <c r="R30" i="4" s="1"/>
  <c r="V14" i="1"/>
  <c r="W13" i="1"/>
  <c r="V22" i="4" s="1"/>
  <c r="R7" i="4" l="1"/>
  <c r="U6" i="4"/>
  <c r="U23" i="4"/>
  <c r="U21" i="4" s="1"/>
  <c r="T21" i="4"/>
  <c r="Q32" i="4"/>
  <c r="T5" i="4"/>
  <c r="T4" i="4" s="1"/>
  <c r="T32" i="4" s="1"/>
  <c r="T30" i="4" s="1"/>
  <c r="S32" i="4"/>
  <c r="S30" i="4" s="1"/>
  <c r="W14" i="1"/>
  <c r="X13" i="1"/>
  <c r="W22" i="4" s="1"/>
  <c r="G3" i="5" l="1"/>
  <c r="R39" i="4"/>
  <c r="Q30" i="4"/>
  <c r="T7" i="4"/>
  <c r="T39" i="4" s="1"/>
  <c r="S7" i="4"/>
  <c r="S39" i="4" s="1"/>
  <c r="P7" i="4"/>
  <c r="V6" i="4"/>
  <c r="V23" i="4"/>
  <c r="V21" i="4" s="1"/>
  <c r="U5" i="4"/>
  <c r="U4" i="4" s="1"/>
  <c r="X14" i="1"/>
  <c r="Y13" i="1"/>
  <c r="X22" i="4" s="1"/>
  <c r="P39" i="4" l="1"/>
  <c r="D5" i="3" s="1"/>
  <c r="F4" i="5"/>
  <c r="F5" i="5" s="1"/>
  <c r="G4" i="5"/>
  <c r="G5" i="5" s="1"/>
  <c r="U32" i="4"/>
  <c r="U30" i="4" s="1"/>
  <c r="U7" i="4" s="1"/>
  <c r="U39" i="4" s="1"/>
  <c r="W6" i="4"/>
  <c r="W23" i="4"/>
  <c r="V5" i="4"/>
  <c r="V4" i="4" s="1"/>
  <c r="V32" i="4" s="1"/>
  <c r="V30" i="4" s="1"/>
  <c r="Y14" i="1"/>
  <c r="Z13" i="1"/>
  <c r="Y22" i="4" s="1"/>
  <c r="V7" i="4" l="1"/>
  <c r="V39" i="4" s="1"/>
  <c r="X6" i="4"/>
  <c r="X23" i="4"/>
  <c r="X21" i="4" s="1"/>
  <c r="W21" i="4"/>
  <c r="W5" i="4"/>
  <c r="W4" i="4" s="1"/>
  <c r="W32" i="4" s="1"/>
  <c r="W30" i="4" s="1"/>
  <c r="Z14" i="1"/>
  <c r="AA13" i="1"/>
  <c r="Z22" i="4" s="1"/>
  <c r="H3" i="5" l="1"/>
  <c r="W7" i="4"/>
  <c r="W39" i="4" s="1"/>
  <c r="Y6" i="4"/>
  <c r="Y23" i="4"/>
  <c r="Y21" i="4" s="1"/>
  <c r="X5" i="4"/>
  <c r="X4" i="4" s="1"/>
  <c r="AA14" i="1"/>
  <c r="AB13" i="1"/>
  <c r="AA22" i="4" s="1"/>
  <c r="H4" i="5" l="1"/>
  <c r="H5" i="5" s="1"/>
  <c r="X32" i="4"/>
  <c r="X30" i="4" s="1"/>
  <c r="X7" i="4" s="1"/>
  <c r="Z6" i="4"/>
  <c r="Z23" i="4"/>
  <c r="Z21" i="4" s="1"/>
  <c r="Y5" i="4"/>
  <c r="Y4" i="4" s="1"/>
  <c r="Y32" i="4" s="1"/>
  <c r="Y30" i="4" s="1"/>
  <c r="AB14" i="1"/>
  <c r="AC13" i="1"/>
  <c r="AB22" i="4" s="1"/>
  <c r="X39" i="4" l="1"/>
  <c r="Y7" i="4"/>
  <c r="Y39" i="4" s="1"/>
  <c r="AA6" i="4"/>
  <c r="AA23" i="4"/>
  <c r="AA21" i="4" s="1"/>
  <c r="Z5" i="4"/>
  <c r="Z4" i="4" s="1"/>
  <c r="Z32" i="4" s="1"/>
  <c r="Z30" i="4" s="1"/>
  <c r="AC14" i="1"/>
  <c r="AD13" i="1"/>
  <c r="AC22" i="4" s="1"/>
  <c r="I3" i="5" l="1"/>
  <c r="Z7" i="4"/>
  <c r="Z39" i="4" s="1"/>
  <c r="AB6" i="4"/>
  <c r="AB23" i="4"/>
  <c r="AA5" i="4"/>
  <c r="AA4" i="4" s="1"/>
  <c r="AD14" i="1"/>
  <c r="AE13" i="1"/>
  <c r="I4" i="5" l="1"/>
  <c r="I5" i="5" s="1"/>
  <c r="AA32" i="4"/>
  <c r="AA30" i="4" s="1"/>
  <c r="AA7" i="4" s="1"/>
  <c r="AC6" i="4"/>
  <c r="AD6" i="4" s="1"/>
  <c r="D6" i="4" s="1"/>
  <c r="AC23" i="4"/>
  <c r="AC24" i="4" s="1"/>
  <c r="AB24" i="4"/>
  <c r="AB21" i="4" s="1"/>
  <c r="AB5" i="4"/>
  <c r="AD23" i="4"/>
  <c r="D23" i="4" s="1"/>
  <c r="AE14" i="1"/>
  <c r="AD22" i="4"/>
  <c r="D22" i="4" s="1"/>
  <c r="AA39" i="4" l="1"/>
  <c r="AE8" i="1"/>
  <c r="AC21" i="4"/>
  <c r="AD24" i="4"/>
  <c r="AD21" i="4" s="1"/>
  <c r="AB4" i="4"/>
  <c r="AC5" i="4"/>
  <c r="AD5" i="4" s="1"/>
  <c r="D5" i="4" s="1"/>
  <c r="AE7" i="1"/>
  <c r="AB32" i="4" l="1"/>
  <c r="AB30" i="4" s="1"/>
  <c r="AB7" i="4" s="1"/>
  <c r="AC4" i="4"/>
  <c r="AD4" i="4" s="1"/>
  <c r="D4" i="4" s="1"/>
  <c r="AB39" i="4" l="1"/>
  <c r="J3" i="5"/>
  <c r="AC32" i="4"/>
  <c r="AC30" i="4" s="1"/>
  <c r="AD32" i="4" l="1"/>
  <c r="D32" i="4" s="1"/>
  <c r="AC7" i="4"/>
  <c r="AC39" i="4" l="1"/>
  <c r="J4" i="5"/>
  <c r="J5" i="5" s="1"/>
  <c r="AD30" i="4"/>
  <c r="AD7" i="4" s="1"/>
  <c r="AD39" i="4" s="1"/>
  <c r="E5" i="3" s="1"/>
  <c r="D34" i="1" s="1"/>
  <c r="D30" i="4" l="1"/>
  <c r="AF30" i="4" s="1"/>
  <c r="E6" i="3"/>
  <c r="E7" i="4" l="1"/>
  <c r="E39" i="4" s="1"/>
  <c r="Q24" i="4"/>
  <c r="E40" i="4" l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C4" i="5"/>
  <c r="C5" i="5" s="1"/>
  <c r="C6" i="5" s="1"/>
  <c r="D6" i="5" s="1"/>
  <c r="E6" i="5" s="1"/>
  <c r="F6" i="5" s="1"/>
  <c r="G6" i="5" s="1"/>
  <c r="H6" i="5" s="1"/>
  <c r="I6" i="5" s="1"/>
  <c r="J6" i="5" s="1"/>
  <c r="Q21" i="4"/>
  <c r="D21" i="4" s="1"/>
  <c r="AF21" i="4" s="1"/>
  <c r="D24" i="4"/>
  <c r="R40" i="4" l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D40" i="4" s="1"/>
  <c r="E41" i="4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Q7" i="4"/>
  <c r="D6" i="3"/>
  <c r="D7" i="3"/>
  <c r="E7" i="3" s="1"/>
  <c r="E10" i="3" s="1"/>
  <c r="D10" i="3"/>
  <c r="D11" i="3" s="1"/>
  <c r="D8" i="3"/>
  <c r="D9" i="3" s="1"/>
  <c r="C6" i="3"/>
  <c r="Q39" i="4" l="1"/>
  <c r="D39" i="4" s="1"/>
  <c r="R41" i="4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D41" i="4" s="1"/>
  <c r="D7" i="4"/>
  <c r="E8" i="3"/>
  <c r="C9" i="3"/>
  <c r="E9" i="3" l="1"/>
  <c r="E11" i="3" l="1"/>
  <c r="C12" i="3" l="1"/>
  <c r="C15" i="3"/>
  <c r="C13" i="3" l="1"/>
  <c r="C16" i="3"/>
  <c r="C17" i="3"/>
  <c r="C14" i="3"/>
</calcChain>
</file>

<file path=xl/sharedStrings.xml><?xml version="1.0" encoding="utf-8"?>
<sst xmlns="http://schemas.openxmlformats.org/spreadsheetml/2006/main" count="188" uniqueCount="135">
  <si>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</si>
  <si>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</si>
  <si>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</si>
  <si>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</si>
  <si>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</si>
  <si>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</si>
  <si>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</si>
  <si>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</si>
  <si>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</si>
  <si>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</si>
  <si>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</si>
  <si>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</si>
  <si>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 год</t>
  </si>
  <si>
    <t>2 год</t>
  </si>
  <si>
    <t>№
п/п</t>
  </si>
  <si>
    <t>Планировка участка</t>
  </si>
  <si>
    <t>Строительство ГС+ПГБ</t>
  </si>
  <si>
    <t>Строительство ВС+ВНС</t>
  </si>
  <si>
    <t>Строительство автодороги с заездами к воротам</t>
  </si>
  <si>
    <t>Проект на съезды и дорогу</t>
  </si>
  <si>
    <t>Проект на газ</t>
  </si>
  <si>
    <t>Статья</t>
  </si>
  <si>
    <t>CashOut</t>
  </si>
  <si>
    <t xml:space="preserve"> </t>
  </si>
  <si>
    <t>---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</si>
  <si>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</si>
  <si>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</si>
  <si>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</si>
  <si>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</si>
  <si>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</si>
  <si>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</si>
  <si>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</si>
  <si>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</si>
  <si>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</si>
  <si>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</si>
  <si>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</si>
  <si>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</si>
  <si>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Себестоимость 1 этажного дома (120 кв. м.)</t>
  </si>
  <si>
    <t>Себестоимость 2 этажного дома (120 кв. м.)</t>
  </si>
  <si>
    <t>Себестоимость строительства домов</t>
  </si>
  <si>
    <t>Продажи 1 этажных домов (120 кв. м.)</t>
  </si>
  <si>
    <t>Продажи 2 этажных домов (120 кв. м.)</t>
  </si>
  <si>
    <t>Проектные работы (общая инфраструктура)</t>
  </si>
  <si>
    <t>Строительные работы (общая инфраструктура)</t>
  </si>
  <si>
    <t>Себестоимость 1 этажных домов (120 кв. м.)</t>
  </si>
  <si>
    <t>Себестоимость 2 этажных домов (120 кв. м.)</t>
  </si>
  <si>
    <t>Оплата труда</t>
  </si>
  <si>
    <t>Цена 1 этажного дома (120 кв. м.)</t>
  </si>
  <si>
    <t>Цена 2 этажного дома (120 кв. м.)</t>
  </si>
  <si>
    <t>Цена продажи домов</t>
  </si>
  <si>
    <t>Сумма за весь период</t>
  </si>
  <si>
    <t>Поступления денежных средств</t>
  </si>
  <si>
    <t>Выплаты денежных средств</t>
  </si>
  <si>
    <t>Значение
(руб.)</t>
  </si>
  <si>
    <t>Количество проданных домов (шт.)</t>
  </si>
  <si>
    <t>Количество построенных домов (шт.)</t>
  </si>
  <si>
    <t>Построено 1 этажных домов (120 кв. м.)</t>
  </si>
  <si>
    <t>Построено 2 этажных домов (120 кв. м.)</t>
  </si>
  <si>
    <t>Сотрудник 1</t>
  </si>
  <si>
    <t>Сотрудник 2</t>
  </si>
  <si>
    <t>Сотрудник 3</t>
  </si>
  <si>
    <t>Сотрудник 4</t>
  </si>
  <si>
    <t>Отчисления во внебюджетные фонды</t>
  </si>
  <si>
    <t>Налоги, сборы, пошлины</t>
  </si>
  <si>
    <t>Прочие налоги, сборы, пошлины</t>
  </si>
  <si>
    <t>Строительство домов (себестоимость строительства)</t>
  </si>
  <si>
    <t>Нлог на прибыль (УСН 6% от дохода)</t>
  </si>
  <si>
    <t>Показатель \ период</t>
  </si>
  <si>
    <t>0 период</t>
  </si>
  <si>
    <t>Денежный поток</t>
  </si>
  <si>
    <t>Прочие выплаты</t>
  </si>
  <si>
    <t>Аренда офиса</t>
  </si>
  <si>
    <t>Расходы на рекламу</t>
  </si>
  <si>
    <t>Прочие непредвиденные (административные)</t>
  </si>
  <si>
    <t>CF инициатора</t>
  </si>
  <si>
    <t>CF инвестора</t>
  </si>
  <si>
    <t>CF проекта</t>
  </si>
  <si>
    <t>DCF проекта (15%)</t>
  </si>
  <si>
    <t>DCF инвестора (15%)</t>
  </si>
  <si>
    <t>DCF инициатора (15%)</t>
  </si>
  <si>
    <t>Канцелярские принадлежности</t>
  </si>
  <si>
    <t>Движение денежных средств (руб.)</t>
  </si>
  <si>
    <t>Прочие (себестоимость строительства)</t>
  </si>
  <si>
    <t>Инвестиции (денежные средства)</t>
  </si>
  <si>
    <t>Инвестиции (земельные участки)</t>
  </si>
  <si>
    <t>Остаток денежных средств</t>
  </si>
  <si>
    <t>Прямой возврат инвестиций (ДС)</t>
  </si>
  <si>
    <t>NPV инвестора (15%)</t>
  </si>
  <si>
    <t>NPV проекта (15%)</t>
  </si>
  <si>
    <t>NPV инициатора (15%)</t>
  </si>
  <si>
    <t>IRR проекта</t>
  </si>
  <si>
    <t>IRR инвестора</t>
  </si>
  <si>
    <t>IRR инициатора</t>
  </si>
  <si>
    <t>Денежный поток кумулятивный</t>
  </si>
  <si>
    <t>Период окупаемости</t>
  </si>
  <si>
    <t>Поступления</t>
  </si>
  <si>
    <t>Выплаты</t>
  </si>
  <si>
    <t>Прибыль</t>
  </si>
  <si>
    <t>Прибыль нарастающим итогом</t>
  </si>
  <si>
    <t>Инвестиции (деньги)</t>
  </si>
  <si>
    <t>1 кв.</t>
  </si>
  <si>
    <t>2 кв.</t>
  </si>
  <si>
    <t>3 кв.</t>
  </si>
  <si>
    <t>4 кв.</t>
  </si>
  <si>
    <t>млн.руб.</t>
  </si>
  <si>
    <t>5 кв.</t>
  </si>
  <si>
    <t>6 кв.</t>
  </si>
  <si>
    <t>7 кв.</t>
  </si>
  <si>
    <t>8 кв.</t>
  </si>
  <si>
    <t xml:space="preserve">1 этажный </t>
  </si>
  <si>
    <t>2 этажный</t>
  </si>
  <si>
    <t>Непосредственное строительство дома</t>
  </si>
  <si>
    <t>Инфраструктура участка</t>
  </si>
  <si>
    <t>Инфраструктура всего поселка</t>
  </si>
  <si>
    <t>Структура затрат на создание объекта</t>
  </si>
  <si>
    <t>Цена земельного участка</t>
  </si>
  <si>
    <t>ИТОГО:</t>
  </si>
  <si>
    <t>Прямые затраты</t>
  </si>
  <si>
    <t>Косвенные затраты</t>
  </si>
  <si>
    <t>Прочие затраты</t>
  </si>
  <si>
    <t>Прочая себестоимость</t>
  </si>
  <si>
    <t>Инвестиции (земельный участок)</t>
  </si>
  <si>
    <t>Налог (6% от дохода)</t>
  </si>
  <si>
    <t>Цена продажи</t>
  </si>
  <si>
    <t>Прибыль от строительства и продажи 85 объектов</t>
  </si>
  <si>
    <t>Проверка</t>
  </si>
  <si>
    <t>Прибыль из вкладки показатели</t>
  </si>
  <si>
    <t>Прибыль расчет от затрат на строительство</t>
  </si>
  <si>
    <t>Окупаемость инвестиций (денежные средства)</t>
  </si>
  <si>
    <t>Окупаемость инвестиций (земельные участки)</t>
  </si>
  <si>
    <t>Налоги за 2017 и 2018 годы</t>
  </si>
  <si>
    <t>14 месяцев</t>
  </si>
  <si>
    <t>Долг по аренде офиса</t>
  </si>
  <si>
    <t>Долги ФЛ (займы, кредиты)</t>
  </si>
  <si>
    <t>Штрафы ДЛХ и ДСХ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</si>
</sst>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6" fillId="0" borderId="0" xfId="0" applyFont="1"/>
    <xf numFmtId="1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0" fillId="0" borderId="1" xfId="0" quotePrefix="1" applyNumberFormat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3" fontId="5" fillId="7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/>
    <xf numFmtId="3" fontId="14" fillId="0" borderId="1" xfId="0" applyNumberFormat="1" applyFont="1" applyBorder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5" borderId="3" xfId="0" applyFont="1" applyFill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6" fillId="8" borderId="5" xfId="0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9" fontId="16" fillId="0" borderId="2" xfId="0" applyNumberFormat="1" applyFont="1" applyBorder="1" applyAlignment="1">
      <alignment vertical="center"/>
    </xf>
    <xf numFmtId="0" fontId="16" fillId="8" borderId="7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Движение</a:t>
            </a:r>
            <a:r>
              <a:rPr lang="ru-RU" sz="1400" baseline="0"/>
              <a:t> денежных средств (млн. руб. поквартально)</a:t>
            </a:r>
            <a:endParaRPr lang="ru-RU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Графики!$B$3</c:f>
              <c:strCache>
                <c:ptCount val="1"/>
                <c:pt idx="0">
                  <c:v>Поступления</c:v>
                </c:pt>
              </c:strCache>
            </c:strRef>
          </c:tx>
          <c:marker>
            <c:symbol val="none"/>
          </c:marker>
          <c:cat>
            <c:strRef>
              <c:f>Графики!$C$2:$J$2</c:f>
              <c:strCache>
                <c:ptCount val="8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</c:strCache>
            </c:strRef>
          </c:cat>
          <c:val>
            <c:numRef>
              <c:f>Графики!$C$3:$J$3</c:f>
              <c:numCache>
                <c:formatCode>#,##0</c:formatCode>
                <c:ptCount val="8"/>
                <c:pt idx="0">
                  <c:v>0</c:v>
                </c:pt>
                <c:pt idx="1">
                  <c:v>26.2</c:v>
                </c:pt>
                <c:pt idx="2">
                  <c:v>78.599999999999994</c:v>
                </c:pt>
                <c:pt idx="3">
                  <c:v>78.599999999999994</c:v>
                </c:pt>
                <c:pt idx="4">
                  <c:v>78.599999999999994</c:v>
                </c:pt>
                <c:pt idx="5">
                  <c:v>117.9</c:v>
                </c:pt>
                <c:pt idx="6">
                  <c:v>98.3</c:v>
                </c:pt>
                <c:pt idx="7">
                  <c:v>78.599999999999994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B5-40EE-873D-F7B24D065584}"/>
            </c:ext>
          </c:extLst>
        </c:ser>
        <c:ser>
          <c:idx val="1"/>
          <c:order val="1"/>
          <c:tx>
            <c:strRef>
              <c:f>Графики!$B$4</c:f>
              <c:strCache>
                <c:ptCount val="1"/>
                <c:pt idx="0">
                  <c:v>Выплаты</c:v>
                </c:pt>
              </c:strCache>
            </c:strRef>
          </c:tx>
          <c:marker>
            <c:symbol val="none"/>
          </c:marker>
          <c:cat>
            <c:strRef>
              <c:f>Графики!$C$2:$J$2</c:f>
              <c:strCache>
                <c:ptCount val="8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</c:strCache>
            </c:strRef>
          </c:cat>
          <c:val>
            <c:numRef>
              <c:f>Графики!$C$4:$J$4</c:f>
              <c:numCache>
                <c:formatCode>#,##0</c:formatCode>
                <c:ptCount val="8"/>
                <c:pt idx="0">
                  <c:v>72.153999999999996</c:v>
                </c:pt>
                <c:pt idx="1">
                  <c:v>35.691000000000003</c:v>
                </c:pt>
                <c:pt idx="2">
                  <c:v>45.375</c:v>
                </c:pt>
                <c:pt idx="3">
                  <c:v>45.375</c:v>
                </c:pt>
                <c:pt idx="4">
                  <c:v>58.509</c:v>
                </c:pt>
                <c:pt idx="5">
                  <c:v>64.227000000000004</c:v>
                </c:pt>
                <c:pt idx="6">
                  <c:v>46.491</c:v>
                </c:pt>
                <c:pt idx="7">
                  <c:v>18.709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2B5-40EE-873D-F7B24D06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40288"/>
        <c:axId val="148941824"/>
      </c:lineChart>
      <c:catAx>
        <c:axId val="14894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941824"/>
        <c:crosses val="autoZero"/>
        <c:auto val="1"/>
        <c:lblAlgn val="ctr"/>
        <c:lblOffset val="100"/>
        <c:noMultiLvlLbl val="0"/>
      </c:catAx>
      <c:valAx>
        <c:axId val="14894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940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Окупаемость (млн. руб. поквартально)</a:t>
            </a:r>
          </a:p>
        </c:rich>
      </c:tx>
      <c:layout>
        <c:manualLayout>
          <c:xMode val="edge"/>
          <c:yMode val="edge"/>
          <c:x val="0.281359885587395"/>
          <c:y val="4.3137254901960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699487725020264E-2"/>
          <c:y val="0.16904770727188514"/>
          <c:w val="0.7509837805449775"/>
          <c:h val="0.71497236374864903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Графики!$B$6</c:f>
              <c:strCache>
                <c:ptCount val="1"/>
                <c:pt idx="0">
                  <c:v>Прибыль нарастающим итогом</c:v>
                </c:pt>
              </c:strCache>
            </c:strRef>
          </c:tx>
          <c:marker>
            <c:symbol val="none"/>
          </c:marker>
          <c:cat>
            <c:strRef>
              <c:f>Графики!$C$2:$J$2</c:f>
              <c:strCache>
                <c:ptCount val="8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</c:strCache>
            </c:strRef>
          </c:cat>
          <c:val>
            <c:numRef>
              <c:f>Графики!$C$6:$J$6</c:f>
              <c:numCache>
                <c:formatCode>#,##0</c:formatCode>
                <c:ptCount val="8"/>
                <c:pt idx="0">
                  <c:v>-72.153999999999996</c:v>
                </c:pt>
                <c:pt idx="1">
                  <c:v>-81.644999999999996</c:v>
                </c:pt>
                <c:pt idx="2">
                  <c:v>-48.42</c:v>
                </c:pt>
                <c:pt idx="3">
                  <c:v>-15.195000000000007</c:v>
                </c:pt>
                <c:pt idx="4">
                  <c:v>4.8959999999999866</c:v>
                </c:pt>
                <c:pt idx="5">
                  <c:v>58.568999999999988</c:v>
                </c:pt>
                <c:pt idx="6">
                  <c:v>110.37799999999999</c:v>
                </c:pt>
                <c:pt idx="7">
                  <c:v>170.26899999999998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FA-42DA-83FF-D59179497E49}"/>
            </c:ext>
          </c:extLst>
        </c:ser>
        <c:ser>
          <c:idx val="1"/>
          <c:order val="1"/>
          <c:tx>
            <c:strRef>
              <c:f>Графики!$B$8</c:f>
              <c:strCache>
                <c:ptCount val="1"/>
                <c:pt idx="0">
                  <c:v>Инвестиции (земельный участок)</c:v>
                </c:pt>
              </c:strCache>
            </c:strRef>
          </c:tx>
          <c:marker>
            <c:symbol val="none"/>
          </c:marker>
          <c:cat>
            <c:strRef>
              <c:f>Графики!$C$2:$J$2</c:f>
              <c:strCache>
                <c:ptCount val="8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</c:strCache>
            </c:strRef>
          </c:cat>
          <c:val>
            <c:numRef>
              <c:f>Графики!$C$8:$J$8</c:f>
              <c:numCache>
                <c:formatCode>#,##0</c:formatCode>
                <c:ptCount val="8"/>
                <c:pt idx="0" formatCode="General">
                  <c:v>42.5</c:v>
                </c:pt>
                <c:pt idx="1">
                  <c:v>42.5</c:v>
                </c:pt>
                <c:pt idx="2">
                  <c:v>42.5</c:v>
                </c:pt>
                <c:pt idx="3">
                  <c:v>42.5</c:v>
                </c:pt>
                <c:pt idx="4">
                  <c:v>42.5</c:v>
                </c:pt>
                <c:pt idx="5">
                  <c:v>42.5</c:v>
                </c:pt>
                <c:pt idx="6">
                  <c:v>42.5</c:v>
                </c:pt>
                <c:pt idx="7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A-42DA-83FF-D5917949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20320"/>
        <c:axId val="182921856"/>
      </c:lineChart>
      <c:catAx>
        <c:axId val="18292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 cmpd="sng"/>
        </c:spPr>
        <c:crossAx val="182921856"/>
        <c:crosses val="autoZero"/>
        <c:auto val="1"/>
        <c:lblAlgn val="ctr"/>
        <c:lblOffset val="100"/>
        <c:noMultiLvlLbl val="0"/>
      </c:catAx>
      <c:valAx>
        <c:axId val="182921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92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0274004171"/>
          <c:y val="0.24106499922803767"/>
          <c:w val="0.18999997259958284"/>
          <c:h val="0.467316967731974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85725</xdr:rowOff>
    </xdr:from>
    <xdr:to>
      <xdr:col>11</xdr:col>
      <xdr:colOff>9525</xdr:colOff>
      <xdr:row>17</xdr:row>
      <xdr:rowOff>85725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600074</xdr:colOff>
      <xdr:row>18</xdr:row>
      <xdr:rowOff>57150</xdr:rowOff>
    </xdr:from>
    <xdr:to>
      <xdr:col>11</xdr:col>
      <xdr:colOff>19050</xdr:colOff>
      <xdr:row>35</xdr:row>
      <xdr:rowOff>57150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361951</xdr:colOff>
      <xdr:row>29</xdr:row>
      <xdr:rowOff>114302</xdr:rowOff>
    </xdr:from>
    <xdr:to>
      <xdr:col>6</xdr:col>
      <xdr:colOff>647700</xdr:colOff>
      <xdr:row>39</xdr:row>
      <xdr:rowOff>95250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3914776" y="5638802"/>
          <a:ext cx="942974" cy="18859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27</xdr:row>
      <xdr:rowOff>180975</xdr:rowOff>
    </xdr:from>
    <xdr:to>
      <xdr:col>8</xdr:col>
      <xdr:colOff>0</xdr:colOff>
      <xdr:row>37</xdr:row>
      <xdr:rowOff>133351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 flipV="1">
          <a:off x="4533900" y="5324475"/>
          <a:ext cx="1057275" cy="18573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zoomScale="120" zoomScaleNormal="120" workbookViewId="0">
      <selection activeCell="C4" sqref="C4"/>
    </sheetView>
  </sheetViews>
  <sheetFormatPr defaultRowHeight="15" x14ac:dyDescent="0.25"/>
  <cols>
    <col min="1" max="1" width="8.5703125" customWidth="1"/>
    <col min="2" max="2" width="33.140625" customWidth="1"/>
    <col min="3" max="3" width="16.42578125" customWidth="1"/>
    <col min="4" max="4" width="16.5703125" customWidth="1"/>
    <col min="5" max="5" width="16.28515625" customWidth="1"/>
  </cols>
  <sheetData>
    <row r="2" spans="2:7" ht="16.5" thickBot="1" x14ac:dyDescent="0.3">
      <c r="B2" s="84" t="s">
        <v>67</v>
      </c>
      <c r="C2" s="85" t="s">
        <v>68</v>
      </c>
      <c r="D2" s="85" t="s">
        <v>12</v>
      </c>
      <c r="E2" s="85" t="s">
        <v>13</v>
      </c>
      <c r="F2" s="61"/>
      <c r="G2" s="9"/>
    </row>
    <row r="3" spans="2:7" ht="15.75" x14ac:dyDescent="0.25">
      <c r="B3" s="62" t="s">
        <v>83</v>
      </c>
      <c r="C3" s="87">
        <v>90000000</v>
      </c>
      <c r="D3" s="63"/>
      <c r="E3" s="63"/>
      <c r="F3" s="61"/>
      <c r="G3" s="9"/>
    </row>
    <row r="4" spans="2:7" ht="15.75" x14ac:dyDescent="0.25">
      <c r="B4" s="64" t="s">
        <v>84</v>
      </c>
      <c r="C4" s="88">
        <v>42500000</v>
      </c>
      <c r="D4" s="65"/>
      <c r="E4" s="65"/>
      <c r="F4" s="61"/>
      <c r="G4" s="9"/>
    </row>
    <row r="5" spans="2:7" s="53" customFormat="1" ht="15.75" x14ac:dyDescent="0.25">
      <c r="B5" s="66" t="s">
        <v>76</v>
      </c>
      <c r="C5" s="89">
        <f>-C3-C4</f>
        <v>-132500000</v>
      </c>
      <c r="D5" s="67">
        <f>SUM(CF!K39:P39)</f>
        <v>66450000</v>
      </c>
      <c r="E5" s="67">
        <f>CF!AD39</f>
        <v>185464000</v>
      </c>
      <c r="F5" s="68"/>
      <c r="G5" s="60"/>
    </row>
    <row r="6" spans="2:7" ht="15.75" x14ac:dyDescent="0.25">
      <c r="B6" s="69" t="s">
        <v>77</v>
      </c>
      <c r="C6" s="88">
        <f>C5/(1+15%)^0</f>
        <v>-132500000</v>
      </c>
      <c r="D6" s="65">
        <f>D5/(1+15%)^1</f>
        <v>57782608.695652179</v>
      </c>
      <c r="E6" s="65">
        <f>E5/(1+15%)^2</f>
        <v>140237429.11153123</v>
      </c>
      <c r="F6" s="61"/>
      <c r="G6" s="9"/>
    </row>
    <row r="7" spans="2:7" ht="15.75" x14ac:dyDescent="0.25">
      <c r="B7" s="70" t="s">
        <v>86</v>
      </c>
      <c r="C7" s="88">
        <v>0</v>
      </c>
      <c r="D7" s="65">
        <f>D5*70%</f>
        <v>46515000</v>
      </c>
      <c r="E7" s="65">
        <f>C3-D7</f>
        <v>43485000</v>
      </c>
      <c r="F7" s="61"/>
      <c r="G7" s="9"/>
    </row>
    <row r="8" spans="2:7" ht="15.75" x14ac:dyDescent="0.25">
      <c r="B8" s="70" t="s">
        <v>75</v>
      </c>
      <c r="C8" s="88">
        <f>-C3</f>
        <v>-90000000</v>
      </c>
      <c r="D8" s="65">
        <f>D5*70%</f>
        <v>46515000</v>
      </c>
      <c r="E8" s="65">
        <f>(E7/70%)*70%+(E5-E7/70%)*50%</f>
        <v>105156285.71428572</v>
      </c>
      <c r="F8" s="61"/>
      <c r="G8" s="9"/>
    </row>
    <row r="9" spans="2:7" ht="15.75" x14ac:dyDescent="0.25">
      <c r="B9" s="70" t="s">
        <v>78</v>
      </c>
      <c r="C9" s="88">
        <f>C8/(1+15%)^0</f>
        <v>-90000000</v>
      </c>
      <c r="D9" s="65">
        <f>D8/(1+15%)^1</f>
        <v>40447826.086956523</v>
      </c>
      <c r="E9" s="65">
        <f>E8/(1+15%)^2</f>
        <v>79513259.519308686</v>
      </c>
      <c r="F9" s="61"/>
      <c r="G9" s="9"/>
    </row>
    <row r="10" spans="2:7" ht="15.75" x14ac:dyDescent="0.25">
      <c r="B10" s="64" t="s">
        <v>74</v>
      </c>
      <c r="C10" s="88">
        <f>-C4</f>
        <v>-42500000</v>
      </c>
      <c r="D10" s="65">
        <f>D5*30%</f>
        <v>19935000</v>
      </c>
      <c r="E10" s="65">
        <f>(E7/70%)*30%+(E5-E7/70%)*50%</f>
        <v>80307714.285714284</v>
      </c>
      <c r="F10" s="61"/>
      <c r="G10" s="9"/>
    </row>
    <row r="11" spans="2:7" ht="15.75" x14ac:dyDescent="0.25">
      <c r="B11" s="64" t="s">
        <v>79</v>
      </c>
      <c r="C11" s="88">
        <f>C10/(1+15%)^0</f>
        <v>-42500000</v>
      </c>
      <c r="D11" s="65">
        <f>D10/(1+15%)^1</f>
        <v>17334782.608695652</v>
      </c>
      <c r="E11" s="65">
        <f>E10/(1+15%)^2</f>
        <v>60724169.592222534</v>
      </c>
      <c r="F11" s="61"/>
      <c r="G11" s="9"/>
    </row>
    <row r="12" spans="2:7" ht="15.75" x14ac:dyDescent="0.25">
      <c r="B12" s="69" t="s">
        <v>88</v>
      </c>
      <c r="C12" s="88">
        <f>C5+NPV(15%,D5:E5)</f>
        <v>65520037.807183385</v>
      </c>
      <c r="D12" s="71"/>
      <c r="E12" s="71"/>
      <c r="F12" s="61"/>
      <c r="G12" s="9"/>
    </row>
    <row r="13" spans="2:7" ht="15.75" x14ac:dyDescent="0.25">
      <c r="B13" s="70" t="s">
        <v>87</v>
      </c>
      <c r="C13" s="88">
        <f>C8+NPV(15%,D8:E8)</f>
        <v>29961085.606265202</v>
      </c>
      <c r="D13" s="71"/>
      <c r="E13" s="71"/>
      <c r="F13" s="61"/>
      <c r="G13" s="9"/>
    </row>
    <row r="14" spans="2:7" ht="15.75" x14ac:dyDescent="0.25">
      <c r="B14" s="64" t="s">
        <v>89</v>
      </c>
      <c r="C14" s="88">
        <f>C10+NPV(15%,D10:E10)</f>
        <v>35558952.200918183</v>
      </c>
      <c r="D14" s="71"/>
      <c r="E14" s="71"/>
      <c r="F14" s="61"/>
      <c r="G14" s="9"/>
    </row>
    <row r="15" spans="2:7" ht="15.75" x14ac:dyDescent="0.25">
      <c r="B15" s="69" t="s">
        <v>90</v>
      </c>
      <c r="C15" s="90">
        <f>IRR(C5:E5)</f>
        <v>0.46013729911760404</v>
      </c>
      <c r="D15" s="71"/>
      <c r="E15" s="71"/>
      <c r="F15" s="61"/>
      <c r="G15" s="9"/>
    </row>
    <row r="16" spans="2:7" ht="15.75" x14ac:dyDescent="0.25">
      <c r="B16" s="70" t="s">
        <v>91</v>
      </c>
      <c r="C16" s="90">
        <f>IRR(C8:E8)</f>
        <v>0.36980424452341332</v>
      </c>
      <c r="D16" s="71"/>
      <c r="E16" s="71"/>
      <c r="F16" s="61"/>
      <c r="G16" s="9"/>
    </row>
    <row r="17" spans="2:7" ht="15.75" x14ac:dyDescent="0.25">
      <c r="B17" s="64" t="s">
        <v>92</v>
      </c>
      <c r="C17" s="90">
        <f>IRR(C10:E10)</f>
        <v>0.62901760543779095</v>
      </c>
      <c r="D17" s="71"/>
      <c r="E17" s="71"/>
      <c r="F17" s="61"/>
      <c r="G17" s="9"/>
    </row>
    <row r="18" spans="2:7" ht="18.75" customHeight="1" thickBot="1" x14ac:dyDescent="0.3">
      <c r="B18" s="86" t="s">
        <v>94</v>
      </c>
      <c r="C18" s="91" t="s">
        <v>131</v>
      </c>
      <c r="D18" s="71"/>
      <c r="E18" s="71"/>
      <c r="F18" s="61"/>
      <c r="G18" s="9"/>
    </row>
    <row r="19" spans="2:7" x14ac:dyDescent="0.25">
      <c r="B19" s="72"/>
      <c r="C19" s="72"/>
      <c r="D19" s="72"/>
      <c r="E19" s="72"/>
      <c r="F19" s="61"/>
      <c r="G19" s="9"/>
    </row>
    <row r="20" spans="2:7" x14ac:dyDescent="0.25">
      <c r="B20" s="72"/>
      <c r="C20" s="73"/>
      <c r="D20" s="73"/>
      <c r="E20" s="72"/>
      <c r="F20" s="61"/>
      <c r="G20" s="9"/>
    </row>
    <row r="21" spans="2:7" x14ac:dyDescent="0.25">
      <c r="B21" s="72"/>
      <c r="C21" s="74"/>
      <c r="D21" s="74"/>
      <c r="E21" s="72"/>
      <c r="F21" s="61"/>
      <c r="G21" s="9"/>
    </row>
    <row r="22" spans="2:7" x14ac:dyDescent="0.25">
      <c r="B22" s="72"/>
      <c r="C22" s="74"/>
      <c r="D22" s="74"/>
      <c r="E22" s="72"/>
      <c r="F22" s="61"/>
      <c r="G22" s="9"/>
    </row>
    <row r="23" spans="2:7" x14ac:dyDescent="0.25">
      <c r="B23" s="9"/>
      <c r="C23" s="9"/>
      <c r="D23" s="9"/>
      <c r="E23" s="9"/>
      <c r="F23" s="9"/>
      <c r="G23" s="9"/>
    </row>
  </sheetData>
  <pageMargins left="0.70866141732283472" right="0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0"/>
  <sheetViews>
    <sheetView zoomScale="80" zoomScaleNormal="80" workbookViewId="0">
      <selection activeCell="U32" sqref="U32"/>
    </sheetView>
  </sheetViews>
  <sheetFormatPr defaultRowHeight="15" x14ac:dyDescent="0.25"/>
  <cols>
    <col min="2" max="2" width="14.5703125" customWidth="1"/>
    <col min="3" max="7" width="9.85546875" bestFit="1" customWidth="1"/>
    <col min="8" max="8" width="10.85546875" bestFit="1" customWidth="1"/>
    <col min="9" max="10" width="9.85546875" bestFit="1" customWidth="1"/>
  </cols>
  <sheetData>
    <row r="2" spans="2:15" x14ac:dyDescent="0.25">
      <c r="B2" t="s">
        <v>104</v>
      </c>
      <c r="C2" t="s">
        <v>100</v>
      </c>
      <c r="D2" t="s">
        <v>101</v>
      </c>
      <c r="E2" t="s">
        <v>102</v>
      </c>
      <c r="F2" t="s">
        <v>103</v>
      </c>
      <c r="G2" t="s">
        <v>105</v>
      </c>
      <c r="H2" t="s">
        <v>106</v>
      </c>
      <c r="I2" t="s">
        <v>107</v>
      </c>
      <c r="J2" t="s">
        <v>108</v>
      </c>
    </row>
    <row r="3" spans="2:15" x14ac:dyDescent="0.25">
      <c r="B3" t="s">
        <v>95</v>
      </c>
      <c r="C3" s="45">
        <f>SUM(CF!E4:G4)/1000000</f>
        <v>0</v>
      </c>
      <c r="D3" s="45">
        <f>SUM(CF!H4:J4)/1000000</f>
        <v>26.2</v>
      </c>
      <c r="E3" s="45">
        <f>SUM(CF!K4:M4)/1000000</f>
        <v>78.599999999999994</v>
      </c>
      <c r="F3" s="45">
        <f>SUM(CF!N4:P4)/1000000</f>
        <v>78.599999999999994</v>
      </c>
      <c r="G3" s="45">
        <f>SUM(CF!R4:T4)/1000000</f>
        <v>78.599999999999994</v>
      </c>
      <c r="H3" s="45">
        <f>SUM(CF!U4:W4)/1000000</f>
        <v>117.9</v>
      </c>
      <c r="I3" s="45">
        <f>SUM(CF!X4:Z4)/1000000</f>
        <v>98.3</v>
      </c>
      <c r="J3" s="45">
        <f>SUM(CF!AA4:AC4)/1000000</f>
        <v>78.599999999999994</v>
      </c>
    </row>
    <row r="4" spans="2:15" x14ac:dyDescent="0.25">
      <c r="B4" t="s">
        <v>96</v>
      </c>
      <c r="C4" s="45">
        <f>SUM(CF!E7:G7)/1000000</f>
        <v>72.153999999999996</v>
      </c>
      <c r="D4" s="45">
        <f>SUM(CF!H7:J7)/1000000</f>
        <v>35.691000000000003</v>
      </c>
      <c r="E4" s="45">
        <f>SUM(CF!K7:M7)/1000000</f>
        <v>45.375</v>
      </c>
      <c r="F4" s="45">
        <f>SUM(CF!N7:P7)/1000000</f>
        <v>45.375</v>
      </c>
      <c r="G4" s="45">
        <f>SUM(CF!R7:T7)/1000000</f>
        <v>58.509</v>
      </c>
      <c r="H4" s="45">
        <f>SUM(CF!U7:W7)/1000000</f>
        <v>64.227000000000004</v>
      </c>
      <c r="I4" s="45">
        <f>SUM(CF!X7:Z7)/1000000</f>
        <v>46.491</v>
      </c>
      <c r="J4" s="45">
        <f>SUM(CF!AA7:AC7)/1000000</f>
        <v>18.709</v>
      </c>
    </row>
    <row r="5" spans="2:15" x14ac:dyDescent="0.25">
      <c r="B5" t="s">
        <v>97</v>
      </c>
      <c r="C5" s="45">
        <f>C3-C4</f>
        <v>-72.153999999999996</v>
      </c>
      <c r="D5" s="45">
        <f t="shared" ref="D5:J5" si="0">D3-D4</f>
        <v>-9.4910000000000032</v>
      </c>
      <c r="E5" s="45">
        <f t="shared" si="0"/>
        <v>33.224999999999994</v>
      </c>
      <c r="F5" s="45">
        <f t="shared" si="0"/>
        <v>33.224999999999994</v>
      </c>
      <c r="G5" s="45">
        <f t="shared" si="0"/>
        <v>20.090999999999994</v>
      </c>
      <c r="H5" s="45">
        <f t="shared" si="0"/>
        <v>53.673000000000002</v>
      </c>
      <c r="I5" s="45">
        <f t="shared" si="0"/>
        <v>51.808999999999997</v>
      </c>
      <c r="J5" s="45">
        <f t="shared" si="0"/>
        <v>59.890999999999991</v>
      </c>
    </row>
    <row r="6" spans="2:15" x14ac:dyDescent="0.25">
      <c r="B6" t="s">
        <v>98</v>
      </c>
      <c r="C6" s="45">
        <f>C5</f>
        <v>-72.153999999999996</v>
      </c>
      <c r="D6" s="45">
        <f>C6+D5</f>
        <v>-81.644999999999996</v>
      </c>
      <c r="E6" s="45">
        <f t="shared" ref="E6:J6" si="1">D6+E5</f>
        <v>-48.42</v>
      </c>
      <c r="F6" s="45">
        <f t="shared" si="1"/>
        <v>-15.195000000000007</v>
      </c>
      <c r="G6" s="45">
        <f t="shared" si="1"/>
        <v>4.8959999999999866</v>
      </c>
      <c r="H6" s="45">
        <f t="shared" si="1"/>
        <v>58.568999999999988</v>
      </c>
      <c r="I6" s="45">
        <f t="shared" si="1"/>
        <v>110.37799999999999</v>
      </c>
      <c r="J6" s="45">
        <f t="shared" si="1"/>
        <v>170.26899999999998</v>
      </c>
    </row>
    <row r="7" spans="2:15" x14ac:dyDescent="0.25">
      <c r="B7" t="s">
        <v>99</v>
      </c>
      <c r="C7" s="45">
        <f>Показатели!C3/1000000</f>
        <v>90</v>
      </c>
      <c r="D7" s="45">
        <f>C7</f>
        <v>90</v>
      </c>
      <c r="E7" s="45">
        <f t="shared" ref="E7:J7" si="2">D7</f>
        <v>90</v>
      </c>
      <c r="F7" s="45">
        <f t="shared" si="2"/>
        <v>90</v>
      </c>
      <c r="G7" s="45">
        <f t="shared" si="2"/>
        <v>90</v>
      </c>
      <c r="H7" s="45">
        <f t="shared" si="2"/>
        <v>90</v>
      </c>
      <c r="I7" s="45">
        <f t="shared" si="2"/>
        <v>90</v>
      </c>
      <c r="J7" s="45">
        <f t="shared" si="2"/>
        <v>90</v>
      </c>
    </row>
    <row r="8" spans="2:15" x14ac:dyDescent="0.25">
      <c r="B8" t="s">
        <v>121</v>
      </c>
      <c r="C8">
        <f>Показатели!C4/1000000</f>
        <v>42.5</v>
      </c>
      <c r="D8" s="45">
        <f>C8</f>
        <v>42.5</v>
      </c>
      <c r="E8" s="45">
        <f t="shared" ref="E8" si="3">D8</f>
        <v>42.5</v>
      </c>
      <c r="F8" s="45">
        <f t="shared" ref="F8" si="4">E8</f>
        <v>42.5</v>
      </c>
      <c r="G8" s="45">
        <f t="shared" ref="G8" si="5">F8</f>
        <v>42.5</v>
      </c>
      <c r="H8" s="45">
        <f t="shared" ref="H8" si="6">G8</f>
        <v>42.5</v>
      </c>
      <c r="I8" s="45">
        <f t="shared" ref="I8" si="7">H8</f>
        <v>42.5</v>
      </c>
      <c r="J8" s="45">
        <f t="shared" ref="J8" si="8">I8</f>
        <v>42.5</v>
      </c>
    </row>
    <row r="12" spans="2:15" x14ac:dyDescent="0.25">
      <c r="O12" t="s">
        <v>23</v>
      </c>
    </row>
    <row r="18" spans="10:25" x14ac:dyDescent="0.25">
      <c r="J18" t="s">
        <v>23</v>
      </c>
    </row>
    <row r="23" spans="10:25" x14ac:dyDescent="0.25">
      <c r="Y23" t="s">
        <v>23</v>
      </c>
    </row>
    <row r="38" spans="8:9" x14ac:dyDescent="0.25">
      <c r="I38" t="s">
        <v>129</v>
      </c>
    </row>
    <row r="40" spans="8:9" x14ac:dyDescent="0.25">
      <c r="H40" t="s">
        <v>128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E34"/>
  <sheetViews>
    <sheetView zoomScale="120" zoomScaleNormal="120" workbookViewId="0">
      <selection activeCell="H37" sqref="H37"/>
    </sheetView>
  </sheetViews>
  <sheetFormatPr defaultRowHeight="15" outlineLevelCol="1" x14ac:dyDescent="0.25"/>
  <cols>
    <col min="1" max="1" width="4.85546875" customWidth="1"/>
    <col min="2" max="2" width="6.7109375" style="2" customWidth="1"/>
    <col min="3" max="3" width="49" customWidth="1"/>
    <col min="4" max="4" width="14.85546875" customWidth="1"/>
    <col min="5" max="5" width="14.85546875" style="1" customWidth="1"/>
    <col min="6" max="17" width="14.85546875" hidden="1" customWidth="1" outlineLevel="1"/>
    <col min="18" max="18" width="14.85546875" style="1" customWidth="1" collapsed="1"/>
    <col min="19" max="30" width="14.85546875" hidden="1" customWidth="1" outlineLevel="1"/>
    <col min="31" max="31" width="14.85546875" style="1" customWidth="1" collapsed="1"/>
  </cols>
  <sheetData>
    <row r="2" spans="2:31" s="9" customFormat="1" ht="30" x14ac:dyDescent="0.25">
      <c r="B2" s="4" t="s">
        <v>14</v>
      </c>
      <c r="C2" s="10" t="s">
        <v>21</v>
      </c>
      <c r="D2" s="13" t="s">
        <v>53</v>
      </c>
      <c r="E2" s="24" t="s">
        <v>50</v>
      </c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5</v>
      </c>
      <c r="L2" s="23" t="s">
        <v>6</v>
      </c>
      <c r="M2" s="23" t="s">
        <v>7</v>
      </c>
      <c r="N2" s="23" t="s">
        <v>8</v>
      </c>
      <c r="O2" s="23" t="s">
        <v>9</v>
      </c>
      <c r="P2" s="23" t="s">
        <v>10</v>
      </c>
      <c r="Q2" s="23" t="s">
        <v>11</v>
      </c>
      <c r="R2" s="24" t="s">
        <v>12</v>
      </c>
      <c r="S2" s="23" t="s">
        <v>25</v>
      </c>
      <c r="T2" s="23" t="s">
        <v>26</v>
      </c>
      <c r="U2" s="23" t="s">
        <v>27</v>
      </c>
      <c r="V2" s="23" t="s">
        <v>28</v>
      </c>
      <c r="W2" s="23" t="s">
        <v>29</v>
      </c>
      <c r="X2" s="23" t="s">
        <v>30</v>
      </c>
      <c r="Y2" s="23" t="s">
        <v>31</v>
      </c>
      <c r="Z2" s="23" t="s">
        <v>32</v>
      </c>
      <c r="AA2" s="23" t="s">
        <v>33</v>
      </c>
      <c r="AB2" s="23" t="s">
        <v>34</v>
      </c>
      <c r="AC2" s="23" t="s">
        <v>35</v>
      </c>
      <c r="AD2" s="23" t="s">
        <v>36</v>
      </c>
      <c r="AE2" s="24" t="s">
        <v>13</v>
      </c>
    </row>
    <row r="3" spans="2:31" x14ac:dyDescent="0.25">
      <c r="B3" s="7">
        <v>1</v>
      </c>
      <c r="C3" s="6" t="s">
        <v>54</v>
      </c>
      <c r="D3" s="32" t="s">
        <v>24</v>
      </c>
      <c r="E3" s="26">
        <f>R3+AE3</f>
        <v>85</v>
      </c>
      <c r="F3" s="27">
        <f t="shared" ref="F3:Q3" si="0">SUM(F4:F5)</f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2</v>
      </c>
      <c r="K3" s="27">
        <f t="shared" si="0"/>
        <v>2</v>
      </c>
      <c r="L3" s="27">
        <f t="shared" si="0"/>
        <v>4</v>
      </c>
      <c r="M3" s="27">
        <f t="shared" si="0"/>
        <v>4</v>
      </c>
      <c r="N3" s="27">
        <f t="shared" si="0"/>
        <v>4</v>
      </c>
      <c r="O3" s="27">
        <f t="shared" si="0"/>
        <v>4</v>
      </c>
      <c r="P3" s="27">
        <f t="shared" si="0"/>
        <v>4</v>
      </c>
      <c r="Q3" s="27">
        <f t="shared" si="0"/>
        <v>4</v>
      </c>
      <c r="R3" s="26">
        <f>SUM(F3:Q3)</f>
        <v>28</v>
      </c>
      <c r="S3" s="27">
        <f t="shared" ref="S3:AD3" si="1">SUM(S4:S5)</f>
        <v>4</v>
      </c>
      <c r="T3" s="27">
        <f t="shared" si="1"/>
        <v>4</v>
      </c>
      <c r="U3" s="27">
        <f t="shared" si="1"/>
        <v>4</v>
      </c>
      <c r="V3" s="27">
        <f t="shared" si="1"/>
        <v>6</v>
      </c>
      <c r="W3" s="27">
        <f t="shared" si="1"/>
        <v>6</v>
      </c>
      <c r="X3" s="27">
        <f t="shared" si="1"/>
        <v>6</v>
      </c>
      <c r="Y3" s="27">
        <f t="shared" si="1"/>
        <v>6</v>
      </c>
      <c r="Z3" s="27">
        <f t="shared" si="1"/>
        <v>5</v>
      </c>
      <c r="AA3" s="27">
        <f t="shared" si="1"/>
        <v>4</v>
      </c>
      <c r="AB3" s="27">
        <f t="shared" si="1"/>
        <v>4</v>
      </c>
      <c r="AC3" s="27">
        <f t="shared" si="1"/>
        <v>4</v>
      </c>
      <c r="AD3" s="27">
        <f t="shared" si="1"/>
        <v>4</v>
      </c>
      <c r="AE3" s="7">
        <f>SUM(S3:AD3)</f>
        <v>57</v>
      </c>
    </row>
    <row r="4" spans="2:31" x14ac:dyDescent="0.25">
      <c r="B4" s="10">
        <v>2</v>
      </c>
      <c r="C4" s="3" t="s">
        <v>40</v>
      </c>
      <c r="D4" s="31" t="s">
        <v>24</v>
      </c>
      <c r="E4" s="28">
        <f>R4+AE4</f>
        <v>43</v>
      </c>
      <c r="F4" s="29"/>
      <c r="G4" s="29"/>
      <c r="H4" s="29"/>
      <c r="I4" s="29"/>
      <c r="J4" s="29">
        <v>1</v>
      </c>
      <c r="K4" s="29">
        <v>1</v>
      </c>
      <c r="L4" s="29">
        <v>2</v>
      </c>
      <c r="M4" s="29">
        <v>2</v>
      </c>
      <c r="N4" s="29">
        <v>2</v>
      </c>
      <c r="O4" s="29">
        <v>2</v>
      </c>
      <c r="P4" s="29">
        <v>2</v>
      </c>
      <c r="Q4" s="29">
        <v>2</v>
      </c>
      <c r="R4" s="28">
        <f t="shared" ref="R4:R5" si="2">SUM(F4:Q4)</f>
        <v>14</v>
      </c>
      <c r="S4" s="29">
        <v>2</v>
      </c>
      <c r="T4" s="29">
        <v>2</v>
      </c>
      <c r="U4" s="29">
        <v>2</v>
      </c>
      <c r="V4" s="29">
        <v>3</v>
      </c>
      <c r="W4" s="29">
        <v>3</v>
      </c>
      <c r="X4" s="29">
        <v>3</v>
      </c>
      <c r="Y4" s="29">
        <v>3</v>
      </c>
      <c r="Z4" s="29">
        <v>3</v>
      </c>
      <c r="AA4" s="29">
        <v>2</v>
      </c>
      <c r="AB4" s="29">
        <v>2</v>
      </c>
      <c r="AC4" s="29">
        <v>2</v>
      </c>
      <c r="AD4" s="29">
        <v>2</v>
      </c>
      <c r="AE4" s="30">
        <f t="shared" ref="AE4:AE5" si="3">SUM(S4:AD4)</f>
        <v>29</v>
      </c>
    </row>
    <row r="5" spans="2:31" x14ac:dyDescent="0.25">
      <c r="B5" s="10">
        <v>3</v>
      </c>
      <c r="C5" s="3" t="s">
        <v>41</v>
      </c>
      <c r="D5" s="31" t="s">
        <v>24</v>
      </c>
      <c r="E5" s="28">
        <f>R5+AE5</f>
        <v>42</v>
      </c>
      <c r="F5" s="29"/>
      <c r="G5" s="29"/>
      <c r="H5" s="29"/>
      <c r="I5" s="29"/>
      <c r="J5" s="29">
        <v>1</v>
      </c>
      <c r="K5" s="29">
        <v>1</v>
      </c>
      <c r="L5" s="29">
        <v>2</v>
      </c>
      <c r="M5" s="29">
        <v>2</v>
      </c>
      <c r="N5" s="29">
        <v>2</v>
      </c>
      <c r="O5" s="29">
        <v>2</v>
      </c>
      <c r="P5" s="29">
        <v>2</v>
      </c>
      <c r="Q5" s="29">
        <v>2</v>
      </c>
      <c r="R5" s="28">
        <f t="shared" si="2"/>
        <v>14</v>
      </c>
      <c r="S5" s="29">
        <v>2</v>
      </c>
      <c r="T5" s="29">
        <v>2</v>
      </c>
      <c r="U5" s="29">
        <v>2</v>
      </c>
      <c r="V5" s="29">
        <v>3</v>
      </c>
      <c r="W5" s="29">
        <v>3</v>
      </c>
      <c r="X5" s="29">
        <v>3</v>
      </c>
      <c r="Y5" s="29">
        <v>3</v>
      </c>
      <c r="Z5" s="29">
        <v>2</v>
      </c>
      <c r="AA5" s="29">
        <v>2</v>
      </c>
      <c r="AB5" s="29">
        <v>2</v>
      </c>
      <c r="AC5" s="29">
        <v>2</v>
      </c>
      <c r="AD5" s="29">
        <v>2</v>
      </c>
      <c r="AE5" s="30">
        <f t="shared" si="3"/>
        <v>28</v>
      </c>
    </row>
    <row r="6" spans="2:31" x14ac:dyDescent="0.25">
      <c r="B6" s="7">
        <v>4</v>
      </c>
      <c r="C6" s="6" t="s">
        <v>49</v>
      </c>
      <c r="D6" s="32" t="s">
        <v>24</v>
      </c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8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8"/>
    </row>
    <row r="7" spans="2:31" x14ac:dyDescent="0.25">
      <c r="B7" s="10">
        <v>5</v>
      </c>
      <c r="C7" s="3" t="s">
        <v>47</v>
      </c>
      <c r="D7" s="12">
        <v>6600000</v>
      </c>
      <c r="E7" s="25"/>
      <c r="F7" s="12">
        <f>D7</f>
        <v>6600000</v>
      </c>
      <c r="G7" s="12">
        <f>F7</f>
        <v>6600000</v>
      </c>
      <c r="H7" s="12">
        <f t="shared" ref="H7:Q7" si="4">G7</f>
        <v>6600000</v>
      </c>
      <c r="I7" s="12">
        <f t="shared" si="4"/>
        <v>6600000</v>
      </c>
      <c r="J7" s="12">
        <f t="shared" si="4"/>
        <v>6600000</v>
      </c>
      <c r="K7" s="12">
        <f t="shared" si="4"/>
        <v>6600000</v>
      </c>
      <c r="L7" s="12">
        <f t="shared" si="4"/>
        <v>6600000</v>
      </c>
      <c r="M7" s="12">
        <f t="shared" si="4"/>
        <v>6600000</v>
      </c>
      <c r="N7" s="12">
        <f t="shared" si="4"/>
        <v>6600000</v>
      </c>
      <c r="O7" s="12">
        <f t="shared" si="4"/>
        <v>6600000</v>
      </c>
      <c r="P7" s="12">
        <f t="shared" si="4"/>
        <v>6600000</v>
      </c>
      <c r="Q7" s="12">
        <f t="shared" si="4"/>
        <v>6600000</v>
      </c>
      <c r="R7" s="25">
        <f>Q7</f>
        <v>6600000</v>
      </c>
      <c r="S7" s="12">
        <f>Q7</f>
        <v>6600000</v>
      </c>
      <c r="T7" s="12">
        <f>S7</f>
        <v>6600000</v>
      </c>
      <c r="U7" s="12">
        <f t="shared" ref="U7:AD7" si="5">T7</f>
        <v>6600000</v>
      </c>
      <c r="V7" s="12">
        <f t="shared" si="5"/>
        <v>6600000</v>
      </c>
      <c r="W7" s="12">
        <f t="shared" si="5"/>
        <v>6600000</v>
      </c>
      <c r="X7" s="12">
        <f t="shared" si="5"/>
        <v>6600000</v>
      </c>
      <c r="Y7" s="12">
        <f t="shared" si="5"/>
        <v>6600000</v>
      </c>
      <c r="Z7" s="12">
        <f t="shared" si="5"/>
        <v>6600000</v>
      </c>
      <c r="AA7" s="12">
        <f t="shared" si="5"/>
        <v>6600000</v>
      </c>
      <c r="AB7" s="12">
        <f t="shared" si="5"/>
        <v>6600000</v>
      </c>
      <c r="AC7" s="12">
        <f t="shared" si="5"/>
        <v>6600000</v>
      </c>
      <c r="AD7" s="12">
        <f t="shared" si="5"/>
        <v>6600000</v>
      </c>
      <c r="AE7" s="25">
        <f>AD7</f>
        <v>6600000</v>
      </c>
    </row>
    <row r="8" spans="2:31" x14ac:dyDescent="0.25">
      <c r="B8" s="10">
        <v>6</v>
      </c>
      <c r="C8" s="3" t="s">
        <v>48</v>
      </c>
      <c r="D8" s="12">
        <v>6500000</v>
      </c>
      <c r="E8" s="25"/>
      <c r="F8" s="12">
        <f>D8</f>
        <v>6500000</v>
      </c>
      <c r="G8" s="12">
        <f>F8</f>
        <v>6500000</v>
      </c>
      <c r="H8" s="12">
        <f t="shared" ref="H8:Q8" si="6">G8</f>
        <v>6500000</v>
      </c>
      <c r="I8" s="12">
        <f t="shared" si="6"/>
        <v>6500000</v>
      </c>
      <c r="J8" s="12">
        <f t="shared" si="6"/>
        <v>6500000</v>
      </c>
      <c r="K8" s="12">
        <f t="shared" si="6"/>
        <v>6500000</v>
      </c>
      <c r="L8" s="12">
        <f t="shared" si="6"/>
        <v>6500000</v>
      </c>
      <c r="M8" s="12">
        <f t="shared" si="6"/>
        <v>6500000</v>
      </c>
      <c r="N8" s="12">
        <f t="shared" si="6"/>
        <v>6500000</v>
      </c>
      <c r="O8" s="12">
        <f t="shared" si="6"/>
        <v>6500000</v>
      </c>
      <c r="P8" s="12">
        <f t="shared" si="6"/>
        <v>6500000</v>
      </c>
      <c r="Q8" s="12">
        <f t="shared" si="6"/>
        <v>6500000</v>
      </c>
      <c r="R8" s="25">
        <f t="shared" ref="R8" si="7">Q8</f>
        <v>6500000</v>
      </c>
      <c r="S8" s="12">
        <f>Q8</f>
        <v>6500000</v>
      </c>
      <c r="T8" s="12">
        <f>S8</f>
        <v>6500000</v>
      </c>
      <c r="U8" s="12">
        <f t="shared" ref="U8:AD8" si="8">T8</f>
        <v>6500000</v>
      </c>
      <c r="V8" s="12">
        <f t="shared" si="8"/>
        <v>6500000</v>
      </c>
      <c r="W8" s="12">
        <f t="shared" si="8"/>
        <v>6500000</v>
      </c>
      <c r="X8" s="12">
        <f t="shared" si="8"/>
        <v>6500000</v>
      </c>
      <c r="Y8" s="12">
        <f t="shared" si="8"/>
        <v>6500000</v>
      </c>
      <c r="Z8" s="12">
        <f t="shared" si="8"/>
        <v>6500000</v>
      </c>
      <c r="AA8" s="12">
        <f t="shared" si="8"/>
        <v>6500000</v>
      </c>
      <c r="AB8" s="12">
        <f t="shared" si="8"/>
        <v>6500000</v>
      </c>
      <c r="AC8" s="12">
        <f t="shared" si="8"/>
        <v>6500000</v>
      </c>
      <c r="AD8" s="12">
        <f t="shared" si="8"/>
        <v>6500000</v>
      </c>
      <c r="AE8" s="25">
        <f t="shared" ref="AE8" si="9">AD8</f>
        <v>6500000</v>
      </c>
    </row>
    <row r="9" spans="2:31" x14ac:dyDescent="0.25">
      <c r="B9" s="7">
        <v>7</v>
      </c>
      <c r="C9" s="6" t="s">
        <v>55</v>
      </c>
      <c r="D9" s="32" t="s">
        <v>24</v>
      </c>
      <c r="E9" s="26">
        <f>R9+AE9</f>
        <v>85</v>
      </c>
      <c r="F9" s="27">
        <f t="shared" ref="F9:Q9" si="10">SUM(F10:F11)</f>
        <v>0</v>
      </c>
      <c r="G9" s="27">
        <f t="shared" si="10"/>
        <v>0</v>
      </c>
      <c r="H9" s="27">
        <f t="shared" si="10"/>
        <v>2</v>
      </c>
      <c r="I9" s="27">
        <f t="shared" si="10"/>
        <v>2</v>
      </c>
      <c r="J9" s="27">
        <f t="shared" si="10"/>
        <v>4</v>
      </c>
      <c r="K9" s="27">
        <f t="shared" si="10"/>
        <v>4</v>
      </c>
      <c r="L9" s="27">
        <f t="shared" si="10"/>
        <v>4</v>
      </c>
      <c r="M9" s="27">
        <f t="shared" si="10"/>
        <v>4</v>
      </c>
      <c r="N9" s="27">
        <f t="shared" si="10"/>
        <v>4</v>
      </c>
      <c r="O9" s="27">
        <f t="shared" si="10"/>
        <v>4</v>
      </c>
      <c r="P9" s="27">
        <f t="shared" si="10"/>
        <v>4</v>
      </c>
      <c r="Q9" s="27">
        <f t="shared" si="10"/>
        <v>4</v>
      </c>
      <c r="R9" s="26">
        <f>SUM(F9:Q9)</f>
        <v>36</v>
      </c>
      <c r="S9" s="27">
        <f t="shared" ref="S9:AD9" si="11">SUM(S10:S11)</f>
        <v>4</v>
      </c>
      <c r="T9" s="27">
        <f t="shared" si="11"/>
        <v>6</v>
      </c>
      <c r="U9" s="27">
        <f t="shared" si="11"/>
        <v>6</v>
      </c>
      <c r="V9" s="27">
        <f t="shared" si="11"/>
        <v>6</v>
      </c>
      <c r="W9" s="27">
        <f t="shared" si="11"/>
        <v>6</v>
      </c>
      <c r="X9" s="27">
        <f t="shared" si="11"/>
        <v>5</v>
      </c>
      <c r="Y9" s="27">
        <f t="shared" si="11"/>
        <v>4</v>
      </c>
      <c r="Z9" s="27">
        <f t="shared" si="11"/>
        <v>4</v>
      </c>
      <c r="AA9" s="27">
        <f t="shared" si="11"/>
        <v>4</v>
      </c>
      <c r="AB9" s="27">
        <f t="shared" si="11"/>
        <v>4</v>
      </c>
      <c r="AC9" s="27">
        <f t="shared" si="11"/>
        <v>0</v>
      </c>
      <c r="AD9" s="27">
        <f t="shared" si="11"/>
        <v>0</v>
      </c>
      <c r="AE9" s="7">
        <f>SUM(S9:AD9)</f>
        <v>49</v>
      </c>
    </row>
    <row r="10" spans="2:31" x14ac:dyDescent="0.25">
      <c r="B10" s="10">
        <v>8</v>
      </c>
      <c r="C10" s="3" t="s">
        <v>56</v>
      </c>
      <c r="D10" s="31" t="s">
        <v>24</v>
      </c>
      <c r="E10" s="28">
        <f>R10+AE10</f>
        <v>43</v>
      </c>
      <c r="F10" s="43"/>
      <c r="G10" s="43"/>
      <c r="H10" s="43">
        <f>J4</f>
        <v>1</v>
      </c>
      <c r="I10" s="43">
        <f t="shared" ref="I10:N10" si="12">K4</f>
        <v>1</v>
      </c>
      <c r="J10" s="43">
        <f t="shared" si="12"/>
        <v>2</v>
      </c>
      <c r="K10" s="43">
        <f t="shared" si="12"/>
        <v>2</v>
      </c>
      <c r="L10" s="43">
        <f t="shared" si="12"/>
        <v>2</v>
      </c>
      <c r="M10" s="43">
        <f t="shared" si="12"/>
        <v>2</v>
      </c>
      <c r="N10" s="43">
        <f t="shared" si="12"/>
        <v>2</v>
      </c>
      <c r="O10" s="43">
        <f>Q4</f>
        <v>2</v>
      </c>
      <c r="P10" s="43">
        <f>S4</f>
        <v>2</v>
      </c>
      <c r="Q10" s="43">
        <f>T4</f>
        <v>2</v>
      </c>
      <c r="R10" s="28">
        <f t="shared" ref="R10:R11" si="13">SUM(F10:Q10)</f>
        <v>18</v>
      </c>
      <c r="S10" s="43">
        <f>U4</f>
        <v>2</v>
      </c>
      <c r="T10" s="43">
        <f t="shared" ref="T10:AB10" si="14">V4</f>
        <v>3</v>
      </c>
      <c r="U10" s="43">
        <f t="shared" si="14"/>
        <v>3</v>
      </c>
      <c r="V10" s="43">
        <f t="shared" si="14"/>
        <v>3</v>
      </c>
      <c r="W10" s="43">
        <f t="shared" si="14"/>
        <v>3</v>
      </c>
      <c r="X10" s="43">
        <f t="shared" si="14"/>
        <v>3</v>
      </c>
      <c r="Y10" s="43">
        <f t="shared" si="14"/>
        <v>2</v>
      </c>
      <c r="Z10" s="43">
        <f t="shared" si="14"/>
        <v>2</v>
      </c>
      <c r="AA10" s="43">
        <f t="shared" si="14"/>
        <v>2</v>
      </c>
      <c r="AB10" s="43">
        <f t="shared" si="14"/>
        <v>2</v>
      </c>
      <c r="AC10" s="43"/>
      <c r="AD10" s="43"/>
      <c r="AE10" s="28">
        <f t="shared" ref="AE10:AE11" si="15">SUM(S10:AD10)</f>
        <v>25</v>
      </c>
    </row>
    <row r="11" spans="2:31" x14ac:dyDescent="0.25">
      <c r="B11" s="10">
        <v>9</v>
      </c>
      <c r="C11" s="3" t="s">
        <v>57</v>
      </c>
      <c r="D11" s="31" t="s">
        <v>24</v>
      </c>
      <c r="E11" s="28">
        <f>R11+AE11</f>
        <v>42</v>
      </c>
      <c r="F11" s="43"/>
      <c r="G11" s="43"/>
      <c r="H11" s="43">
        <f>J5</f>
        <v>1</v>
      </c>
      <c r="I11" s="43">
        <f t="shared" ref="I11:O11" si="16">K5</f>
        <v>1</v>
      </c>
      <c r="J11" s="43">
        <f t="shared" si="16"/>
        <v>2</v>
      </c>
      <c r="K11" s="43">
        <f t="shared" si="16"/>
        <v>2</v>
      </c>
      <c r="L11" s="43">
        <f t="shared" si="16"/>
        <v>2</v>
      </c>
      <c r="M11" s="43">
        <f t="shared" si="16"/>
        <v>2</v>
      </c>
      <c r="N11" s="43">
        <f t="shared" si="16"/>
        <v>2</v>
      </c>
      <c r="O11" s="43">
        <f t="shared" si="16"/>
        <v>2</v>
      </c>
      <c r="P11" s="43">
        <f>S5</f>
        <v>2</v>
      </c>
      <c r="Q11" s="43">
        <f>T5</f>
        <v>2</v>
      </c>
      <c r="R11" s="28">
        <f t="shared" si="13"/>
        <v>18</v>
      </c>
      <c r="S11" s="43">
        <f>U5</f>
        <v>2</v>
      </c>
      <c r="T11" s="43">
        <f t="shared" ref="T11:AB11" si="17">V5</f>
        <v>3</v>
      </c>
      <c r="U11" s="43">
        <f t="shared" si="17"/>
        <v>3</v>
      </c>
      <c r="V11" s="43">
        <f t="shared" si="17"/>
        <v>3</v>
      </c>
      <c r="W11" s="43">
        <f t="shared" si="17"/>
        <v>3</v>
      </c>
      <c r="X11" s="43">
        <f t="shared" si="17"/>
        <v>2</v>
      </c>
      <c r="Y11" s="43">
        <f t="shared" si="17"/>
        <v>2</v>
      </c>
      <c r="Z11" s="43">
        <f t="shared" si="17"/>
        <v>2</v>
      </c>
      <c r="AA11" s="43">
        <f t="shared" si="17"/>
        <v>2</v>
      </c>
      <c r="AB11" s="43">
        <f t="shared" si="17"/>
        <v>2</v>
      </c>
      <c r="AC11" s="43"/>
      <c r="AD11" s="43"/>
      <c r="AE11" s="28">
        <f t="shared" si="15"/>
        <v>24</v>
      </c>
    </row>
    <row r="12" spans="2:31" x14ac:dyDescent="0.25">
      <c r="B12" s="7">
        <v>10</v>
      </c>
      <c r="C12" s="6" t="s">
        <v>39</v>
      </c>
      <c r="D12" s="32" t="s">
        <v>24</v>
      </c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8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8"/>
    </row>
    <row r="13" spans="2:31" x14ac:dyDescent="0.25">
      <c r="B13" s="10">
        <v>11</v>
      </c>
      <c r="C13" s="3" t="s">
        <v>37</v>
      </c>
      <c r="D13" s="12">
        <f>2760000+600000</f>
        <v>3360000</v>
      </c>
      <c r="E13" s="25"/>
      <c r="F13" s="12">
        <f>D13</f>
        <v>3360000</v>
      </c>
      <c r="G13" s="12">
        <f>F13</f>
        <v>3360000</v>
      </c>
      <c r="H13" s="12">
        <f t="shared" ref="H13:Q13" si="18">G13</f>
        <v>3360000</v>
      </c>
      <c r="I13" s="12">
        <f t="shared" si="18"/>
        <v>3360000</v>
      </c>
      <c r="J13" s="12">
        <f t="shared" si="18"/>
        <v>3360000</v>
      </c>
      <c r="K13" s="12">
        <f t="shared" si="18"/>
        <v>3360000</v>
      </c>
      <c r="L13" s="12">
        <f t="shared" si="18"/>
        <v>3360000</v>
      </c>
      <c r="M13" s="12">
        <f t="shared" si="18"/>
        <v>3360000</v>
      </c>
      <c r="N13" s="12">
        <f t="shared" si="18"/>
        <v>3360000</v>
      </c>
      <c r="O13" s="12">
        <f t="shared" si="18"/>
        <v>3360000</v>
      </c>
      <c r="P13" s="12">
        <f t="shared" si="18"/>
        <v>3360000</v>
      </c>
      <c r="Q13" s="12">
        <f t="shared" si="18"/>
        <v>3360000</v>
      </c>
      <c r="R13" s="25">
        <f>Q13</f>
        <v>3360000</v>
      </c>
      <c r="S13" s="12">
        <f>Q13</f>
        <v>3360000</v>
      </c>
      <c r="T13" s="12">
        <f>S13</f>
        <v>3360000</v>
      </c>
      <c r="U13" s="12">
        <f t="shared" ref="U13:AD13" si="19">T13</f>
        <v>3360000</v>
      </c>
      <c r="V13" s="12">
        <f t="shared" si="19"/>
        <v>3360000</v>
      </c>
      <c r="W13" s="12">
        <f t="shared" si="19"/>
        <v>3360000</v>
      </c>
      <c r="X13" s="12">
        <f t="shared" si="19"/>
        <v>3360000</v>
      </c>
      <c r="Y13" s="12">
        <f t="shared" si="19"/>
        <v>3360000</v>
      </c>
      <c r="Z13" s="12">
        <f t="shared" si="19"/>
        <v>3360000</v>
      </c>
      <c r="AA13" s="12">
        <f t="shared" si="19"/>
        <v>3360000</v>
      </c>
      <c r="AB13" s="12">
        <f t="shared" si="19"/>
        <v>3360000</v>
      </c>
      <c r="AC13" s="12">
        <f t="shared" si="19"/>
        <v>3360000</v>
      </c>
      <c r="AD13" s="12">
        <f t="shared" si="19"/>
        <v>3360000</v>
      </c>
      <c r="AE13" s="25">
        <f>AD13</f>
        <v>3360000</v>
      </c>
    </row>
    <row r="14" spans="2:31" x14ac:dyDescent="0.25">
      <c r="B14" s="10">
        <v>12</v>
      </c>
      <c r="C14" s="3" t="s">
        <v>38</v>
      </c>
      <c r="D14" s="12">
        <f>2640000+600000</f>
        <v>3240000</v>
      </c>
      <c r="E14" s="25"/>
      <c r="F14" s="12">
        <f>D14</f>
        <v>3240000</v>
      </c>
      <c r="G14" s="12">
        <f t="shared" ref="G14:R14" si="20">F14</f>
        <v>3240000</v>
      </c>
      <c r="H14" s="12">
        <f t="shared" si="20"/>
        <v>3240000</v>
      </c>
      <c r="I14" s="12">
        <f t="shared" si="20"/>
        <v>3240000</v>
      </c>
      <c r="J14" s="12">
        <f t="shared" si="20"/>
        <v>3240000</v>
      </c>
      <c r="K14" s="12">
        <f t="shared" si="20"/>
        <v>3240000</v>
      </c>
      <c r="L14" s="12">
        <f t="shared" si="20"/>
        <v>3240000</v>
      </c>
      <c r="M14" s="12">
        <f t="shared" si="20"/>
        <v>3240000</v>
      </c>
      <c r="N14" s="12">
        <f t="shared" si="20"/>
        <v>3240000</v>
      </c>
      <c r="O14" s="12">
        <f t="shared" si="20"/>
        <v>3240000</v>
      </c>
      <c r="P14" s="12">
        <f t="shared" si="20"/>
        <v>3240000</v>
      </c>
      <c r="Q14" s="12">
        <f t="shared" si="20"/>
        <v>3240000</v>
      </c>
      <c r="R14" s="25">
        <f t="shared" si="20"/>
        <v>3240000</v>
      </c>
      <c r="S14" s="12">
        <f t="shared" ref="S14" si="21">Q14</f>
        <v>3240000</v>
      </c>
      <c r="T14" s="12">
        <f t="shared" ref="T14:AE14" si="22">S14</f>
        <v>3240000</v>
      </c>
      <c r="U14" s="12">
        <f t="shared" si="22"/>
        <v>3240000</v>
      </c>
      <c r="V14" s="12">
        <f t="shared" si="22"/>
        <v>3240000</v>
      </c>
      <c r="W14" s="12">
        <f t="shared" si="22"/>
        <v>3240000</v>
      </c>
      <c r="X14" s="12">
        <f t="shared" si="22"/>
        <v>3240000</v>
      </c>
      <c r="Y14" s="12">
        <f t="shared" si="22"/>
        <v>3240000</v>
      </c>
      <c r="Z14" s="12">
        <f t="shared" si="22"/>
        <v>3240000</v>
      </c>
      <c r="AA14" s="12">
        <f t="shared" si="22"/>
        <v>3240000</v>
      </c>
      <c r="AB14" s="12">
        <f t="shared" si="22"/>
        <v>3240000</v>
      </c>
      <c r="AC14" s="12">
        <f t="shared" si="22"/>
        <v>3240000</v>
      </c>
      <c r="AD14" s="12">
        <f t="shared" si="22"/>
        <v>3240000</v>
      </c>
      <c r="AE14" s="25">
        <f t="shared" si="22"/>
        <v>3240000</v>
      </c>
    </row>
    <row r="16" spans="2:31" hidden="1" x14ac:dyDescent="0.25">
      <c r="C16" s="2" t="s">
        <v>114</v>
      </c>
      <c r="D16" s="2" t="s">
        <v>109</v>
      </c>
      <c r="E16" s="2" t="s">
        <v>110</v>
      </c>
    </row>
    <row r="17" spans="2:31" hidden="1" x14ac:dyDescent="0.25">
      <c r="C17" s="7" t="s">
        <v>117</v>
      </c>
      <c r="D17" s="46">
        <f>D18+D19+D20</f>
        <v>3410000</v>
      </c>
      <c r="E17" s="46">
        <f>E18+E19+E20</f>
        <v>3290000</v>
      </c>
    </row>
    <row r="18" spans="2:31" hidden="1" x14ac:dyDescent="0.25">
      <c r="C18" s="3" t="s">
        <v>111</v>
      </c>
      <c r="D18" s="12">
        <v>2760000</v>
      </c>
      <c r="E18" s="12">
        <v>2640000</v>
      </c>
      <c r="AC18" t="s">
        <v>23</v>
      </c>
    </row>
    <row r="19" spans="2:31" hidden="1" x14ac:dyDescent="0.25">
      <c r="C19" s="3" t="s">
        <v>112</v>
      </c>
      <c r="D19" s="12">
        <v>600000</v>
      </c>
      <c r="E19" s="12">
        <v>600000</v>
      </c>
    </row>
    <row r="20" spans="2:31" hidden="1" x14ac:dyDescent="0.25">
      <c r="C20" s="3" t="s">
        <v>120</v>
      </c>
      <c r="D20" s="12">
        <v>50000</v>
      </c>
      <c r="E20" s="12">
        <f>D20</f>
        <v>50000</v>
      </c>
    </row>
    <row r="21" spans="2:31" hidden="1" x14ac:dyDescent="0.25">
      <c r="C21" s="47" t="s">
        <v>118</v>
      </c>
      <c r="D21" s="46">
        <f>D22+D23</f>
        <v>1171823.5294117648</v>
      </c>
      <c r="E21" s="46">
        <f>E22+E23</f>
        <v>1171823.5294117648</v>
      </c>
    </row>
    <row r="22" spans="2:31" hidden="1" x14ac:dyDescent="0.25">
      <c r="C22" s="3" t="s">
        <v>113</v>
      </c>
      <c r="D22" s="12">
        <f>(CF!E8+CF!E12)/E3</f>
        <v>671823.5294117647</v>
      </c>
      <c r="E22" s="12">
        <f>(CF!E8+CF!E12)/E3</f>
        <v>671823.5294117647</v>
      </c>
    </row>
    <row r="23" spans="2:31" s="53" customFormat="1" hidden="1" x14ac:dyDescent="0.25">
      <c r="B23" s="50"/>
      <c r="C23" s="51" t="s">
        <v>115</v>
      </c>
      <c r="D23" s="52">
        <f>Показатели!C4/E3</f>
        <v>500000</v>
      </c>
      <c r="E23" s="52">
        <f>D23</f>
        <v>500000</v>
      </c>
      <c r="R23" s="54"/>
      <c r="AE23" s="54"/>
    </row>
    <row r="24" spans="2:31" hidden="1" x14ac:dyDescent="0.25">
      <c r="C24" s="47" t="s">
        <v>119</v>
      </c>
      <c r="D24" s="46">
        <f>D25+D26</f>
        <v>526000</v>
      </c>
      <c r="E24" s="46">
        <f>E25+E26</f>
        <v>520000</v>
      </c>
    </row>
    <row r="25" spans="2:31" hidden="1" x14ac:dyDescent="0.25">
      <c r="C25" s="3" t="s">
        <v>122</v>
      </c>
      <c r="D25" s="12">
        <f>D7*6%</f>
        <v>396000</v>
      </c>
      <c r="E25" s="12">
        <f>D8*6%</f>
        <v>390000</v>
      </c>
    </row>
    <row r="26" spans="2:31" s="58" customFormat="1" hidden="1" x14ac:dyDescent="0.25">
      <c r="B26" s="55"/>
      <c r="C26" s="56" t="s">
        <v>119</v>
      </c>
      <c r="D26" s="57">
        <v>130000</v>
      </c>
      <c r="E26" s="57">
        <v>130000</v>
      </c>
      <c r="R26" s="59"/>
      <c r="AE26" s="59"/>
    </row>
    <row r="27" spans="2:31" hidden="1" x14ac:dyDescent="0.25">
      <c r="B27"/>
      <c r="C27" s="8" t="s">
        <v>116</v>
      </c>
      <c r="D27" s="46">
        <f>D17+D21+D24</f>
        <v>5107823.5294117648</v>
      </c>
      <c r="E27" s="46">
        <f>E17+E21+E24</f>
        <v>4981823.5294117648</v>
      </c>
      <c r="AE27"/>
    </row>
    <row r="28" spans="2:31" hidden="1" x14ac:dyDescent="0.25">
      <c r="B28"/>
      <c r="C28" s="3" t="s">
        <v>97</v>
      </c>
      <c r="D28" s="12">
        <f>D7-D27</f>
        <v>1492176.4705882352</v>
      </c>
      <c r="E28" s="12">
        <f>D8-E27</f>
        <v>1518176.4705882352</v>
      </c>
      <c r="AE28"/>
    </row>
    <row r="29" spans="2:31" hidden="1" x14ac:dyDescent="0.25">
      <c r="B29"/>
      <c r="C29" s="8" t="s">
        <v>123</v>
      </c>
      <c r="D29" s="46">
        <f>D27+D28</f>
        <v>6600000</v>
      </c>
      <c r="E29" s="46">
        <f>E27+E28</f>
        <v>6500000</v>
      </c>
      <c r="H29" t="s">
        <v>23</v>
      </c>
      <c r="AE29"/>
    </row>
    <row r="30" spans="2:31" hidden="1" x14ac:dyDescent="0.25">
      <c r="B30"/>
      <c r="D30" s="45"/>
      <c r="E30" s="45"/>
      <c r="AE30"/>
    </row>
    <row r="31" spans="2:31" hidden="1" x14ac:dyDescent="0.25">
      <c r="B31"/>
      <c r="C31" s="49" t="s">
        <v>125</v>
      </c>
      <c r="D31" s="45"/>
      <c r="E31" s="45"/>
      <c r="AE31"/>
    </row>
    <row r="32" spans="2:31" hidden="1" x14ac:dyDescent="0.25">
      <c r="B32"/>
      <c r="C32" s="48" t="s">
        <v>124</v>
      </c>
      <c r="D32" s="12">
        <f>D28*85</f>
        <v>126834999.99999999</v>
      </c>
      <c r="E32" s="12">
        <f>E28*85</f>
        <v>129044999.99999999</v>
      </c>
      <c r="G32" t="s">
        <v>23</v>
      </c>
      <c r="AE32"/>
    </row>
    <row r="33" spans="3:10" customFormat="1" hidden="1" x14ac:dyDescent="0.25">
      <c r="C33" s="48" t="s">
        <v>127</v>
      </c>
      <c r="D33" s="92">
        <f>(D32+E32)/2</f>
        <v>127939999.99999999</v>
      </c>
      <c r="E33" s="93"/>
    </row>
    <row r="34" spans="3:10" customFormat="1" hidden="1" x14ac:dyDescent="0.25">
      <c r="C34" s="3" t="s">
        <v>126</v>
      </c>
      <c r="D34" s="92">
        <f>Показатели!C5+Показатели!D5+Показатели!E5</f>
        <v>119414000</v>
      </c>
      <c r="E34" s="93"/>
      <c r="J34" t="s">
        <v>23</v>
      </c>
    </row>
  </sheetData>
  <mergeCells count="2">
    <mergeCell ref="D33:E33"/>
    <mergeCell ref="D34:E3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46"/>
  <sheetViews>
    <sheetView topLeftCell="A7" zoomScale="120" zoomScaleNormal="120" workbookViewId="0">
      <selection activeCell="AK18" sqref="AK18"/>
    </sheetView>
  </sheetViews>
  <sheetFormatPr defaultColWidth="9.140625" defaultRowHeight="12.75" outlineLevelRow="1" outlineLevelCol="1" x14ac:dyDescent="0.2"/>
  <cols>
    <col min="1" max="1" width="2.42578125" style="77" customWidth="1"/>
    <col min="2" max="2" width="5.85546875" style="82" customWidth="1"/>
    <col min="3" max="3" width="52.140625" style="77" customWidth="1"/>
    <col min="4" max="4" width="11" style="78" customWidth="1"/>
    <col min="5" max="16" width="11" style="77" hidden="1" customWidth="1" outlineLevel="1"/>
    <col min="17" max="17" width="11" style="78" customWidth="1" collapsed="1"/>
    <col min="18" max="29" width="11" style="77" hidden="1" customWidth="1" outlineLevel="1"/>
    <col min="30" max="30" width="11" style="78" customWidth="1" collapsed="1"/>
    <col min="31" max="31" width="9.140625" style="77"/>
    <col min="32" max="32" width="0" style="77" hidden="1" customWidth="1"/>
    <col min="33" max="33" width="9.140625" style="77"/>
    <col min="34" max="16384" width="9.140625" style="14"/>
  </cols>
  <sheetData>
    <row r="2" spans="1:33" ht="20.25" customHeight="1" x14ac:dyDescent="0.2">
      <c r="B2" s="76" t="s">
        <v>81</v>
      </c>
      <c r="C2" s="75"/>
    </row>
    <row r="3" spans="1:33" ht="42.75" customHeight="1" x14ac:dyDescent="0.2">
      <c r="B3" s="15" t="s">
        <v>14</v>
      </c>
      <c r="C3" s="16" t="s">
        <v>21</v>
      </c>
      <c r="D3" s="41" t="s">
        <v>50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41" t="s">
        <v>12</v>
      </c>
      <c r="R3" s="5" t="s">
        <v>25</v>
      </c>
      <c r="S3" s="5" t="s">
        <v>26</v>
      </c>
      <c r="T3" s="5" t="s">
        <v>27</v>
      </c>
      <c r="U3" s="5" t="s">
        <v>28</v>
      </c>
      <c r="V3" s="5" t="s">
        <v>29</v>
      </c>
      <c r="W3" s="5" t="s">
        <v>30</v>
      </c>
      <c r="X3" s="5" t="s">
        <v>31</v>
      </c>
      <c r="Y3" s="5" t="s">
        <v>32</v>
      </c>
      <c r="Z3" s="5" t="s">
        <v>33</v>
      </c>
      <c r="AA3" s="5" t="s">
        <v>34</v>
      </c>
      <c r="AB3" s="5" t="s">
        <v>35</v>
      </c>
      <c r="AC3" s="5" t="s">
        <v>36</v>
      </c>
      <c r="AD3" s="41" t="s">
        <v>13</v>
      </c>
    </row>
    <row r="4" spans="1:33" x14ac:dyDescent="0.2">
      <c r="B4" s="17">
        <v>100</v>
      </c>
      <c r="C4" s="18" t="s">
        <v>51</v>
      </c>
      <c r="D4" s="38">
        <f>Q4+AD4</f>
        <v>556800000</v>
      </c>
      <c r="E4" s="34">
        <f t="shared" ref="E4:P4" si="0">SUM(E5:E6)</f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13100000</v>
      </c>
      <c r="J4" s="34">
        <f t="shared" si="0"/>
        <v>13100000</v>
      </c>
      <c r="K4" s="34">
        <f t="shared" si="0"/>
        <v>26200000</v>
      </c>
      <c r="L4" s="34">
        <f t="shared" si="0"/>
        <v>26200000</v>
      </c>
      <c r="M4" s="34">
        <f t="shared" si="0"/>
        <v>26200000</v>
      </c>
      <c r="N4" s="34">
        <f t="shared" si="0"/>
        <v>26200000</v>
      </c>
      <c r="O4" s="34">
        <f t="shared" si="0"/>
        <v>26200000</v>
      </c>
      <c r="P4" s="34">
        <f t="shared" si="0"/>
        <v>26200000</v>
      </c>
      <c r="Q4" s="38">
        <f>SUM(E4:P4)</f>
        <v>183400000</v>
      </c>
      <c r="R4" s="34">
        <f t="shared" ref="R4:AC4" si="1">SUM(R5:R6)</f>
        <v>26200000</v>
      </c>
      <c r="S4" s="34">
        <f t="shared" si="1"/>
        <v>26200000</v>
      </c>
      <c r="T4" s="34">
        <f t="shared" si="1"/>
        <v>26200000</v>
      </c>
      <c r="U4" s="34">
        <f t="shared" si="1"/>
        <v>39300000</v>
      </c>
      <c r="V4" s="34">
        <f t="shared" si="1"/>
        <v>39300000</v>
      </c>
      <c r="W4" s="34">
        <f t="shared" si="1"/>
        <v>39300000</v>
      </c>
      <c r="X4" s="34">
        <f t="shared" si="1"/>
        <v>39300000</v>
      </c>
      <c r="Y4" s="34">
        <f t="shared" si="1"/>
        <v>32800000</v>
      </c>
      <c r="Z4" s="34">
        <f t="shared" si="1"/>
        <v>26200000</v>
      </c>
      <c r="AA4" s="34">
        <f t="shared" si="1"/>
        <v>26200000</v>
      </c>
      <c r="AB4" s="34">
        <f t="shared" si="1"/>
        <v>26200000</v>
      </c>
      <c r="AC4" s="34">
        <f t="shared" si="1"/>
        <v>26200000</v>
      </c>
      <c r="AD4" s="38">
        <f>SUM(R4:AC4)</f>
        <v>373400000</v>
      </c>
    </row>
    <row r="5" spans="1:33" outlineLevel="1" x14ac:dyDescent="0.2">
      <c r="B5" s="19">
        <v>101</v>
      </c>
      <c r="C5" s="79" t="s">
        <v>40</v>
      </c>
      <c r="D5" s="39">
        <f>Q5+AD5</f>
        <v>283800000</v>
      </c>
      <c r="E5" s="35">
        <f>Продажи!F4*Продажи!F7</f>
        <v>0</v>
      </c>
      <c r="F5" s="35">
        <f>Продажи!G4*Продажи!G7</f>
        <v>0</v>
      </c>
      <c r="G5" s="35">
        <f>Продажи!H4*Продажи!H7</f>
        <v>0</v>
      </c>
      <c r="H5" s="35">
        <f>Продажи!I4*Продажи!I7</f>
        <v>0</v>
      </c>
      <c r="I5" s="35">
        <f>Продажи!J4*Продажи!J7</f>
        <v>6600000</v>
      </c>
      <c r="J5" s="35">
        <f>Продажи!K4*Продажи!K7</f>
        <v>6600000</v>
      </c>
      <c r="K5" s="35">
        <f>Продажи!L4*Продажи!L7</f>
        <v>13200000</v>
      </c>
      <c r="L5" s="35">
        <f>Продажи!M4*Продажи!M7</f>
        <v>13200000</v>
      </c>
      <c r="M5" s="35">
        <f>Продажи!N4*Продажи!N7</f>
        <v>13200000</v>
      </c>
      <c r="N5" s="35">
        <f>Продажи!O4*Продажи!O7</f>
        <v>13200000</v>
      </c>
      <c r="O5" s="35">
        <f>Продажи!P4*Продажи!P7</f>
        <v>13200000</v>
      </c>
      <c r="P5" s="35">
        <f>Продажи!Q4*Продажи!Q7</f>
        <v>13200000</v>
      </c>
      <c r="Q5" s="39">
        <f>SUM(E5:P5)</f>
        <v>92400000</v>
      </c>
      <c r="R5" s="35">
        <f>Продажи!S4*Продажи!S7</f>
        <v>13200000</v>
      </c>
      <c r="S5" s="35">
        <f>Продажи!T4*Продажи!T7</f>
        <v>13200000</v>
      </c>
      <c r="T5" s="35">
        <f>Продажи!U4*Продажи!U7</f>
        <v>13200000</v>
      </c>
      <c r="U5" s="35">
        <f>Продажи!V4*Продажи!V7</f>
        <v>19800000</v>
      </c>
      <c r="V5" s="35">
        <f>Продажи!W4*Продажи!W7</f>
        <v>19800000</v>
      </c>
      <c r="W5" s="35">
        <f>Продажи!X4*Продажи!X7</f>
        <v>19800000</v>
      </c>
      <c r="X5" s="35">
        <f>Продажи!Y4*Продажи!Y7</f>
        <v>19800000</v>
      </c>
      <c r="Y5" s="35">
        <f>Продажи!Z4*Продажи!Z7</f>
        <v>19800000</v>
      </c>
      <c r="Z5" s="35">
        <f>Продажи!AA4*Продажи!AA7</f>
        <v>13200000</v>
      </c>
      <c r="AA5" s="35">
        <f>Продажи!AB4*Продажи!AB7</f>
        <v>13200000</v>
      </c>
      <c r="AB5" s="35">
        <f>Продажи!AC4*Продажи!AC7</f>
        <v>13200000</v>
      </c>
      <c r="AC5" s="35">
        <f>Продажи!AD4*Продажи!AD7</f>
        <v>13200000</v>
      </c>
      <c r="AD5" s="39">
        <f>SUM(R5:AC5)</f>
        <v>191400000</v>
      </c>
    </row>
    <row r="6" spans="1:33" outlineLevel="1" x14ac:dyDescent="0.2">
      <c r="B6" s="19">
        <v>102</v>
      </c>
      <c r="C6" s="79" t="s">
        <v>41</v>
      </c>
      <c r="D6" s="39">
        <f>Q6+AD6</f>
        <v>273000000</v>
      </c>
      <c r="E6" s="35">
        <f>Продажи!F5*Продажи!F8</f>
        <v>0</v>
      </c>
      <c r="F6" s="35">
        <f>Продажи!G5*Продажи!G8</f>
        <v>0</v>
      </c>
      <c r="G6" s="35">
        <f>Продажи!H5*Продажи!H8</f>
        <v>0</v>
      </c>
      <c r="H6" s="35">
        <f>Продажи!I5*Продажи!I8</f>
        <v>0</v>
      </c>
      <c r="I6" s="35">
        <f>Продажи!J5*Продажи!J8</f>
        <v>6500000</v>
      </c>
      <c r="J6" s="35">
        <f>Продажи!K5*Продажи!K8</f>
        <v>6500000</v>
      </c>
      <c r="K6" s="35">
        <f>Продажи!L5*Продажи!L8</f>
        <v>13000000</v>
      </c>
      <c r="L6" s="35">
        <f>Продажи!M5*Продажи!M8</f>
        <v>13000000</v>
      </c>
      <c r="M6" s="35">
        <f>Продажи!N5*Продажи!N8</f>
        <v>13000000</v>
      </c>
      <c r="N6" s="35">
        <f>Продажи!O5*Продажи!O8</f>
        <v>13000000</v>
      </c>
      <c r="O6" s="35">
        <f>Продажи!P5*Продажи!P8</f>
        <v>13000000</v>
      </c>
      <c r="P6" s="35">
        <f>Продажи!Q5*Продажи!Q8</f>
        <v>13000000</v>
      </c>
      <c r="Q6" s="39">
        <f t="shared" ref="Q6" si="2">SUM(E6:P6)</f>
        <v>91000000</v>
      </c>
      <c r="R6" s="35">
        <f>Продажи!S5*Продажи!S8</f>
        <v>13000000</v>
      </c>
      <c r="S6" s="35">
        <f>Продажи!T5*Продажи!T8</f>
        <v>13000000</v>
      </c>
      <c r="T6" s="35">
        <f>Продажи!U5*Продажи!U8</f>
        <v>13000000</v>
      </c>
      <c r="U6" s="35">
        <f>Продажи!V5*Продажи!V8</f>
        <v>19500000</v>
      </c>
      <c r="V6" s="35">
        <f>Продажи!W5*Продажи!W8</f>
        <v>19500000</v>
      </c>
      <c r="W6" s="35">
        <f>Продажи!X5*Продажи!X8</f>
        <v>19500000</v>
      </c>
      <c r="X6" s="35">
        <f>Продажи!Y5*Продажи!Y8</f>
        <v>19500000</v>
      </c>
      <c r="Y6" s="35">
        <f>Продажи!Z5*Продажи!Z8</f>
        <v>13000000</v>
      </c>
      <c r="Z6" s="35">
        <f>Продажи!AA5*Продажи!AA8</f>
        <v>13000000</v>
      </c>
      <c r="AA6" s="35">
        <f>Продажи!AB5*Продажи!AB8</f>
        <v>13000000</v>
      </c>
      <c r="AB6" s="35">
        <f>Продажи!AC5*Продажи!AC8</f>
        <v>13000000</v>
      </c>
      <c r="AC6" s="35">
        <f>Продажи!AD5*Продажи!AD8</f>
        <v>13000000</v>
      </c>
      <c r="AD6" s="39">
        <f t="shared" ref="AD6" si="3">SUM(R6:AC6)</f>
        <v>182000000</v>
      </c>
    </row>
    <row r="7" spans="1:33" x14ac:dyDescent="0.2">
      <c r="B7" s="17">
        <v>200</v>
      </c>
      <c r="C7" s="18" t="s">
        <v>52</v>
      </c>
      <c r="D7" s="38">
        <f>Q7+AD7</f>
        <v>386531000</v>
      </c>
      <c r="E7" s="34">
        <f t="shared" ref="E7:AD7" si="4">E8+E12+E16+E21+E25+E30+E34</f>
        <v>64888000</v>
      </c>
      <c r="F7" s="34">
        <f t="shared" si="4"/>
        <v>283000</v>
      </c>
      <c r="G7" s="34">
        <f t="shared" si="4"/>
        <v>6983000</v>
      </c>
      <c r="H7" s="34">
        <f t="shared" si="4"/>
        <v>6983000</v>
      </c>
      <c r="I7" s="34">
        <f t="shared" si="4"/>
        <v>14369000</v>
      </c>
      <c r="J7" s="34">
        <f t="shared" si="4"/>
        <v>14339000</v>
      </c>
      <c r="K7" s="34">
        <f t="shared" si="4"/>
        <v>15125000</v>
      </c>
      <c r="L7" s="34">
        <f t="shared" si="4"/>
        <v>15125000</v>
      </c>
      <c r="M7" s="34">
        <f t="shared" si="4"/>
        <v>15125000</v>
      </c>
      <c r="N7" s="34">
        <f t="shared" si="4"/>
        <v>15125000</v>
      </c>
      <c r="O7" s="34">
        <f t="shared" si="4"/>
        <v>15125000</v>
      </c>
      <c r="P7" s="34">
        <f t="shared" si="4"/>
        <v>15125000</v>
      </c>
      <c r="Q7" s="38">
        <f t="shared" si="4"/>
        <v>198595000</v>
      </c>
      <c r="R7" s="34">
        <f t="shared" si="4"/>
        <v>15103000</v>
      </c>
      <c r="S7" s="34">
        <f t="shared" si="4"/>
        <v>21703000</v>
      </c>
      <c r="T7" s="34">
        <f t="shared" si="4"/>
        <v>21703000</v>
      </c>
      <c r="U7" s="34">
        <f t="shared" si="4"/>
        <v>22489000</v>
      </c>
      <c r="V7" s="34">
        <f t="shared" si="4"/>
        <v>22489000</v>
      </c>
      <c r="W7" s="34">
        <f t="shared" si="4"/>
        <v>19249000</v>
      </c>
      <c r="X7" s="34">
        <f t="shared" si="4"/>
        <v>15889000</v>
      </c>
      <c r="Y7" s="34">
        <f t="shared" si="4"/>
        <v>15499000</v>
      </c>
      <c r="Z7" s="34">
        <f t="shared" si="4"/>
        <v>15103000</v>
      </c>
      <c r="AA7" s="34">
        <f t="shared" si="4"/>
        <v>15103000</v>
      </c>
      <c r="AB7" s="34">
        <f t="shared" si="4"/>
        <v>1803000</v>
      </c>
      <c r="AC7" s="34">
        <f t="shared" si="4"/>
        <v>1803000</v>
      </c>
      <c r="AD7" s="38">
        <f t="shared" si="4"/>
        <v>187936000</v>
      </c>
    </row>
    <row r="8" spans="1:33" s="20" customFormat="1" x14ac:dyDescent="0.2">
      <c r="A8" s="80"/>
      <c r="B8" s="33">
        <v>210</v>
      </c>
      <c r="C8" s="81" t="s">
        <v>42</v>
      </c>
      <c r="D8" s="40">
        <f t="shared" ref="D8:D38" si="5">Q8+AD8</f>
        <v>2105000</v>
      </c>
      <c r="E8" s="37">
        <f>SUM(E9:E11)</f>
        <v>2105000</v>
      </c>
      <c r="F8" s="37">
        <f t="shared" ref="F8:AD8" si="6">SUM(F9:F11)</f>
        <v>0</v>
      </c>
      <c r="G8" s="37">
        <f t="shared" si="6"/>
        <v>0</v>
      </c>
      <c r="H8" s="37">
        <f t="shared" si="6"/>
        <v>0</v>
      </c>
      <c r="I8" s="37">
        <f t="shared" si="6"/>
        <v>0</v>
      </c>
      <c r="J8" s="37">
        <f t="shared" si="6"/>
        <v>0</v>
      </c>
      <c r="K8" s="37">
        <f t="shared" si="6"/>
        <v>0</v>
      </c>
      <c r="L8" s="37">
        <f t="shared" si="6"/>
        <v>0</v>
      </c>
      <c r="M8" s="37">
        <f t="shared" si="6"/>
        <v>0</v>
      </c>
      <c r="N8" s="37">
        <f t="shared" si="6"/>
        <v>0</v>
      </c>
      <c r="O8" s="37">
        <f t="shared" si="6"/>
        <v>0</v>
      </c>
      <c r="P8" s="37">
        <f t="shared" si="6"/>
        <v>0</v>
      </c>
      <c r="Q8" s="40">
        <f t="shared" si="6"/>
        <v>2105000</v>
      </c>
      <c r="R8" s="37">
        <f t="shared" si="6"/>
        <v>0</v>
      </c>
      <c r="S8" s="37">
        <f t="shared" si="6"/>
        <v>0</v>
      </c>
      <c r="T8" s="37">
        <f t="shared" si="6"/>
        <v>0</v>
      </c>
      <c r="U8" s="37">
        <f t="shared" si="6"/>
        <v>0</v>
      </c>
      <c r="V8" s="37">
        <f t="shared" si="6"/>
        <v>0</v>
      </c>
      <c r="W8" s="37">
        <f t="shared" si="6"/>
        <v>0</v>
      </c>
      <c r="X8" s="37">
        <f t="shared" si="6"/>
        <v>0</v>
      </c>
      <c r="Y8" s="37">
        <f t="shared" si="6"/>
        <v>0</v>
      </c>
      <c r="Z8" s="37">
        <f t="shared" si="6"/>
        <v>0</v>
      </c>
      <c r="AA8" s="37">
        <f t="shared" si="6"/>
        <v>0</v>
      </c>
      <c r="AB8" s="37">
        <f t="shared" si="6"/>
        <v>0</v>
      </c>
      <c r="AC8" s="37">
        <f t="shared" si="6"/>
        <v>0</v>
      </c>
      <c r="AD8" s="40">
        <f t="shared" si="6"/>
        <v>0</v>
      </c>
      <c r="AE8" s="80"/>
      <c r="AF8" s="40">
        <f>D8/85</f>
        <v>24764.705882352941</v>
      </c>
      <c r="AG8" s="80"/>
    </row>
    <row r="9" spans="1:33" outlineLevel="1" x14ac:dyDescent="0.2">
      <c r="B9" s="21">
        <v>211</v>
      </c>
      <c r="C9" s="22" t="s">
        <v>15</v>
      </c>
      <c r="D9" s="42">
        <f>Q9+AD9</f>
        <v>1500000</v>
      </c>
      <c r="E9" s="36">
        <v>1500000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42">
        <f>SUM(E9:P9)</f>
        <v>1500000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42">
        <f>SUM(R9:AC9)</f>
        <v>0</v>
      </c>
    </row>
    <row r="10" spans="1:33" outlineLevel="1" x14ac:dyDescent="0.2">
      <c r="B10" s="21">
        <v>212</v>
      </c>
      <c r="C10" s="22" t="s">
        <v>19</v>
      </c>
      <c r="D10" s="42">
        <f t="shared" si="5"/>
        <v>500000</v>
      </c>
      <c r="E10" s="36">
        <v>500000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42">
        <f t="shared" ref="Q10:Q11" si="7">SUM(E10:P10)</f>
        <v>500000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42">
        <f t="shared" ref="AD10:AD11" si="8">SUM(R10:AC10)</f>
        <v>0</v>
      </c>
    </row>
    <row r="11" spans="1:33" outlineLevel="1" x14ac:dyDescent="0.2">
      <c r="B11" s="21">
        <v>213</v>
      </c>
      <c r="C11" s="22" t="s">
        <v>20</v>
      </c>
      <c r="D11" s="42">
        <f t="shared" si="5"/>
        <v>105000</v>
      </c>
      <c r="E11" s="36">
        <v>105000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2">
        <f t="shared" si="7"/>
        <v>105000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42">
        <f t="shared" si="8"/>
        <v>0</v>
      </c>
    </row>
    <row r="12" spans="1:33" s="20" customFormat="1" x14ac:dyDescent="0.2">
      <c r="A12" s="80"/>
      <c r="B12" s="33">
        <v>220</v>
      </c>
      <c r="C12" s="81" t="s">
        <v>43</v>
      </c>
      <c r="D12" s="40">
        <f t="shared" si="5"/>
        <v>55000000</v>
      </c>
      <c r="E12" s="37">
        <f t="shared" ref="E12:AD12" si="9">SUM(E13:E15)</f>
        <v>55000000</v>
      </c>
      <c r="F12" s="37">
        <f t="shared" si="9"/>
        <v>0</v>
      </c>
      <c r="G12" s="37">
        <f t="shared" si="9"/>
        <v>0</v>
      </c>
      <c r="H12" s="37">
        <f t="shared" si="9"/>
        <v>0</v>
      </c>
      <c r="I12" s="37">
        <f t="shared" si="9"/>
        <v>0</v>
      </c>
      <c r="J12" s="37">
        <f t="shared" si="9"/>
        <v>0</v>
      </c>
      <c r="K12" s="37">
        <f t="shared" si="9"/>
        <v>0</v>
      </c>
      <c r="L12" s="37">
        <f t="shared" si="9"/>
        <v>0</v>
      </c>
      <c r="M12" s="37">
        <f t="shared" si="9"/>
        <v>0</v>
      </c>
      <c r="N12" s="37">
        <f t="shared" si="9"/>
        <v>0</v>
      </c>
      <c r="O12" s="37">
        <f t="shared" si="9"/>
        <v>0</v>
      </c>
      <c r="P12" s="37">
        <f t="shared" si="9"/>
        <v>0</v>
      </c>
      <c r="Q12" s="40">
        <f t="shared" si="9"/>
        <v>55000000</v>
      </c>
      <c r="R12" s="37">
        <f t="shared" si="9"/>
        <v>0</v>
      </c>
      <c r="S12" s="37">
        <f t="shared" si="9"/>
        <v>0</v>
      </c>
      <c r="T12" s="37">
        <f t="shared" si="9"/>
        <v>0</v>
      </c>
      <c r="U12" s="37">
        <f t="shared" si="9"/>
        <v>0</v>
      </c>
      <c r="V12" s="37">
        <f t="shared" si="9"/>
        <v>0</v>
      </c>
      <c r="W12" s="37">
        <f t="shared" si="9"/>
        <v>0</v>
      </c>
      <c r="X12" s="37">
        <f t="shared" si="9"/>
        <v>0</v>
      </c>
      <c r="Y12" s="37">
        <f t="shared" si="9"/>
        <v>0</v>
      </c>
      <c r="Z12" s="37">
        <f t="shared" si="9"/>
        <v>0</v>
      </c>
      <c r="AA12" s="37">
        <f t="shared" si="9"/>
        <v>0</v>
      </c>
      <c r="AB12" s="37">
        <f t="shared" si="9"/>
        <v>0</v>
      </c>
      <c r="AC12" s="37">
        <f t="shared" si="9"/>
        <v>0</v>
      </c>
      <c r="AD12" s="40">
        <f t="shared" si="9"/>
        <v>0</v>
      </c>
      <c r="AE12" s="80"/>
      <c r="AF12" s="40">
        <f>D12/85</f>
        <v>647058.82352941181</v>
      </c>
      <c r="AG12" s="80"/>
    </row>
    <row r="13" spans="1:33" outlineLevel="1" x14ac:dyDescent="0.2">
      <c r="B13" s="21">
        <v>221</v>
      </c>
      <c r="C13" s="22" t="s">
        <v>16</v>
      </c>
      <c r="D13" s="42">
        <f>Q13+AD13</f>
        <v>9000000</v>
      </c>
      <c r="E13" s="36">
        <v>9000000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2">
        <f t="shared" ref="Q13:Q15" si="10">SUM(E13:P13)</f>
        <v>9000000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42">
        <f t="shared" ref="AD13:AD15" si="11">SUM(R13:AC13)</f>
        <v>0</v>
      </c>
    </row>
    <row r="14" spans="1:33" outlineLevel="1" x14ac:dyDescent="0.2">
      <c r="B14" s="21">
        <v>222</v>
      </c>
      <c r="C14" s="22" t="s">
        <v>17</v>
      </c>
      <c r="D14" s="42">
        <f t="shared" si="5"/>
        <v>6000000</v>
      </c>
      <c r="E14" s="36">
        <v>6000000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42">
        <f t="shared" si="10"/>
        <v>6000000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42">
        <f t="shared" si="11"/>
        <v>0</v>
      </c>
    </row>
    <row r="15" spans="1:33" outlineLevel="1" x14ac:dyDescent="0.2">
      <c r="B15" s="21">
        <v>223</v>
      </c>
      <c r="C15" s="22" t="s">
        <v>18</v>
      </c>
      <c r="D15" s="42">
        <f t="shared" si="5"/>
        <v>40000000</v>
      </c>
      <c r="E15" s="36">
        <v>40000000</v>
      </c>
      <c r="F15" s="36"/>
      <c r="G15" s="36"/>
      <c r="H15" s="36"/>
      <c r="I15" s="36"/>
      <c r="J15" s="36"/>
      <c r="K15" s="36" t="s">
        <v>23</v>
      </c>
      <c r="L15" s="36"/>
      <c r="M15" s="36"/>
      <c r="N15" s="36"/>
      <c r="O15" s="36"/>
      <c r="P15" s="36"/>
      <c r="Q15" s="42">
        <f t="shared" si="10"/>
        <v>40000000</v>
      </c>
      <c r="R15" s="36" t="s">
        <v>23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42">
        <f t="shared" si="11"/>
        <v>0</v>
      </c>
    </row>
    <row r="16" spans="1:33" s="20" customFormat="1" x14ac:dyDescent="0.2">
      <c r="A16" s="80"/>
      <c r="B16" s="33">
        <v>230</v>
      </c>
      <c r="C16" s="81" t="s">
        <v>22</v>
      </c>
      <c r="D16" s="40">
        <f t="shared" si="5"/>
        <v>7500000</v>
      </c>
      <c r="E16" s="37">
        <f t="shared" ref="E16:AD16" si="12">SUM(E17:E20)</f>
        <v>7500000</v>
      </c>
      <c r="F16" s="37">
        <f t="shared" si="12"/>
        <v>0</v>
      </c>
      <c r="G16" s="37">
        <f t="shared" si="12"/>
        <v>0</v>
      </c>
      <c r="H16" s="37">
        <f t="shared" si="12"/>
        <v>0</v>
      </c>
      <c r="I16" s="37">
        <f t="shared" si="12"/>
        <v>0</v>
      </c>
      <c r="J16" s="37">
        <f t="shared" si="12"/>
        <v>0</v>
      </c>
      <c r="K16" s="37">
        <f t="shared" si="12"/>
        <v>0</v>
      </c>
      <c r="L16" s="37">
        <f t="shared" si="12"/>
        <v>0</v>
      </c>
      <c r="M16" s="37">
        <f t="shared" si="12"/>
        <v>0</v>
      </c>
      <c r="N16" s="37">
        <f t="shared" si="12"/>
        <v>0</v>
      </c>
      <c r="O16" s="37">
        <f t="shared" si="12"/>
        <v>0</v>
      </c>
      <c r="P16" s="37">
        <f t="shared" si="12"/>
        <v>0</v>
      </c>
      <c r="Q16" s="40">
        <f t="shared" si="12"/>
        <v>7500000</v>
      </c>
      <c r="R16" s="37">
        <f t="shared" si="12"/>
        <v>0</v>
      </c>
      <c r="S16" s="37">
        <f t="shared" si="12"/>
        <v>0</v>
      </c>
      <c r="T16" s="37">
        <f t="shared" si="12"/>
        <v>0</v>
      </c>
      <c r="U16" s="37">
        <f t="shared" si="12"/>
        <v>0</v>
      </c>
      <c r="V16" s="37">
        <f t="shared" si="12"/>
        <v>0</v>
      </c>
      <c r="W16" s="37">
        <f t="shared" si="12"/>
        <v>0</v>
      </c>
      <c r="X16" s="37">
        <f t="shared" si="12"/>
        <v>0</v>
      </c>
      <c r="Y16" s="37">
        <f t="shared" si="12"/>
        <v>0</v>
      </c>
      <c r="Z16" s="37">
        <f t="shared" si="12"/>
        <v>0</v>
      </c>
      <c r="AA16" s="37">
        <f t="shared" si="12"/>
        <v>0</v>
      </c>
      <c r="AB16" s="37">
        <f t="shared" si="12"/>
        <v>0</v>
      </c>
      <c r="AC16" s="37">
        <f t="shared" si="12"/>
        <v>0</v>
      </c>
      <c r="AD16" s="40">
        <f t="shared" si="12"/>
        <v>0</v>
      </c>
      <c r="AE16" s="80"/>
      <c r="AF16" s="40">
        <f>D16/85</f>
        <v>88235.294117647063</v>
      </c>
      <c r="AG16" s="80"/>
    </row>
    <row r="17" spans="1:33" outlineLevel="1" x14ac:dyDescent="0.2">
      <c r="B17" s="21">
        <v>231</v>
      </c>
      <c r="C17" s="22" t="s">
        <v>130</v>
      </c>
      <c r="D17" s="42">
        <v>2200000</v>
      </c>
      <c r="E17" s="36">
        <v>2200000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42">
        <f t="shared" ref="Q17:Q20" si="13">SUM(E17:P17)</f>
        <v>2200000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2">
        <f t="shared" ref="AD17:AD20" si="14">SUM(R17:AC17)</f>
        <v>0</v>
      </c>
    </row>
    <row r="18" spans="1:33" outlineLevel="1" x14ac:dyDescent="0.2">
      <c r="B18" s="21">
        <v>232</v>
      </c>
      <c r="C18" s="22" t="s">
        <v>132</v>
      </c>
      <c r="D18" s="42">
        <f t="shared" si="5"/>
        <v>600000</v>
      </c>
      <c r="E18" s="36">
        <v>600000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42">
        <f t="shared" si="13"/>
        <v>600000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42">
        <f t="shared" si="14"/>
        <v>0</v>
      </c>
    </row>
    <row r="19" spans="1:33" outlineLevel="1" x14ac:dyDescent="0.2">
      <c r="B19" s="21">
        <v>233</v>
      </c>
      <c r="C19" s="22" t="s">
        <v>133</v>
      </c>
      <c r="D19" s="42">
        <v>1800000</v>
      </c>
      <c r="E19" s="36">
        <v>1800000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42">
        <f t="shared" si="13"/>
        <v>1800000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2">
        <f t="shared" si="14"/>
        <v>0</v>
      </c>
    </row>
    <row r="20" spans="1:33" outlineLevel="1" x14ac:dyDescent="0.2">
      <c r="B20" s="21">
        <v>234</v>
      </c>
      <c r="C20" s="22" t="s">
        <v>134</v>
      </c>
      <c r="D20" s="42">
        <v>2900000</v>
      </c>
      <c r="E20" s="36">
        <v>2900000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42">
        <f t="shared" si="13"/>
        <v>2900000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42">
        <f t="shared" si="14"/>
        <v>0</v>
      </c>
    </row>
    <row r="21" spans="1:33" s="20" customFormat="1" x14ac:dyDescent="0.2">
      <c r="A21" s="80"/>
      <c r="B21" s="33">
        <v>240</v>
      </c>
      <c r="C21" s="81" t="s">
        <v>65</v>
      </c>
      <c r="D21" s="40">
        <f t="shared" si="5"/>
        <v>282560000</v>
      </c>
      <c r="E21" s="37">
        <f>SUM(E22:E24)</f>
        <v>0</v>
      </c>
      <c r="F21" s="37">
        <f t="shared" ref="F21:P21" si="15">SUM(F22:F24)</f>
        <v>0</v>
      </c>
      <c r="G21" s="37">
        <f t="shared" si="15"/>
        <v>6700000</v>
      </c>
      <c r="H21" s="37">
        <f t="shared" si="15"/>
        <v>6700000</v>
      </c>
      <c r="I21" s="37">
        <f t="shared" si="15"/>
        <v>13300000</v>
      </c>
      <c r="J21" s="37">
        <f t="shared" si="15"/>
        <v>13300000</v>
      </c>
      <c r="K21" s="37">
        <f t="shared" si="15"/>
        <v>13300000</v>
      </c>
      <c r="L21" s="37">
        <f t="shared" si="15"/>
        <v>13300000</v>
      </c>
      <c r="M21" s="37">
        <f t="shared" si="15"/>
        <v>13300000</v>
      </c>
      <c r="N21" s="37">
        <f t="shared" si="15"/>
        <v>13300000</v>
      </c>
      <c r="O21" s="37">
        <f t="shared" si="15"/>
        <v>13300000</v>
      </c>
      <c r="P21" s="37">
        <f t="shared" si="15"/>
        <v>13300000</v>
      </c>
      <c r="Q21" s="40">
        <f>SUM(Q22:Q24)</f>
        <v>119800000</v>
      </c>
      <c r="R21" s="37">
        <f>SUM(R22:R24)</f>
        <v>13300000</v>
      </c>
      <c r="S21" s="37">
        <f t="shared" ref="S21" si="16">SUM(S22:S24)</f>
        <v>19900000</v>
      </c>
      <c r="T21" s="37">
        <f t="shared" ref="T21" si="17">SUM(T22:T24)</f>
        <v>19900000</v>
      </c>
      <c r="U21" s="37">
        <f t="shared" ref="U21" si="18">SUM(U22:U24)</f>
        <v>19900000</v>
      </c>
      <c r="V21" s="37">
        <f t="shared" ref="V21" si="19">SUM(V22:V24)</f>
        <v>19900000</v>
      </c>
      <c r="W21" s="37">
        <f t="shared" ref="W21" si="20">SUM(W22:W24)</f>
        <v>16660000</v>
      </c>
      <c r="X21" s="37">
        <f t="shared" ref="X21" si="21">SUM(X22:X24)</f>
        <v>13300000</v>
      </c>
      <c r="Y21" s="37">
        <f t="shared" ref="Y21" si="22">SUM(Y22:Y24)</f>
        <v>13300000</v>
      </c>
      <c r="Z21" s="37">
        <f t="shared" ref="Z21" si="23">SUM(Z22:Z24)</f>
        <v>13300000</v>
      </c>
      <c r="AA21" s="37">
        <f t="shared" ref="AA21" si="24">SUM(AA22:AA24)</f>
        <v>13300000</v>
      </c>
      <c r="AB21" s="37">
        <f t="shared" ref="AB21" si="25">SUM(AB22:AB24)</f>
        <v>0</v>
      </c>
      <c r="AC21" s="37">
        <f t="shared" ref="AC21" si="26">SUM(AC22:AC24)</f>
        <v>0</v>
      </c>
      <c r="AD21" s="40">
        <f>SUM(AD22:AD24)</f>
        <v>162760000</v>
      </c>
      <c r="AE21" s="80"/>
      <c r="AF21" s="40">
        <f>D21/85</f>
        <v>3324235.2941176472</v>
      </c>
      <c r="AG21" s="80"/>
    </row>
    <row r="22" spans="1:33" hidden="1" outlineLevel="1" x14ac:dyDescent="0.2">
      <c r="B22" s="21">
        <v>241</v>
      </c>
      <c r="C22" s="22" t="s">
        <v>44</v>
      </c>
      <c r="D22" s="42">
        <f t="shared" si="5"/>
        <v>144480000</v>
      </c>
      <c r="E22" s="36">
        <f>Продажи!F10*Продажи!F13</f>
        <v>0</v>
      </c>
      <c r="F22" s="36">
        <f>Продажи!G10*Продажи!G13</f>
        <v>0</v>
      </c>
      <c r="G22" s="36">
        <f>Продажи!H10*Продажи!H13</f>
        <v>3360000</v>
      </c>
      <c r="H22" s="36">
        <f>Продажи!I10*Продажи!I13</f>
        <v>3360000</v>
      </c>
      <c r="I22" s="36">
        <f>Продажи!J10*Продажи!J13</f>
        <v>6720000</v>
      </c>
      <c r="J22" s="36">
        <f>Продажи!K10*Продажи!K13</f>
        <v>6720000</v>
      </c>
      <c r="K22" s="36">
        <f>Продажи!L10*Продажи!L13</f>
        <v>6720000</v>
      </c>
      <c r="L22" s="36">
        <f>Продажи!M10*Продажи!M13</f>
        <v>6720000</v>
      </c>
      <c r="M22" s="36">
        <f>Продажи!N10*Продажи!N13</f>
        <v>6720000</v>
      </c>
      <c r="N22" s="36">
        <f>Продажи!O10*Продажи!O13</f>
        <v>6720000</v>
      </c>
      <c r="O22" s="36">
        <f>Продажи!P10*Продажи!P13</f>
        <v>6720000</v>
      </c>
      <c r="P22" s="36">
        <f>Продажи!Q10*Продажи!Q13</f>
        <v>6720000</v>
      </c>
      <c r="Q22" s="42">
        <f t="shared" ref="Q22:Q24" si="27">SUM(E22:P22)</f>
        <v>60480000</v>
      </c>
      <c r="R22" s="36">
        <f>Продажи!S10*Продажи!S13</f>
        <v>6720000</v>
      </c>
      <c r="S22" s="36">
        <f>Продажи!T10*Продажи!T13</f>
        <v>10080000</v>
      </c>
      <c r="T22" s="36">
        <f>Продажи!U10*Продажи!U13</f>
        <v>10080000</v>
      </c>
      <c r="U22" s="36">
        <f>Продажи!V10*Продажи!V13</f>
        <v>10080000</v>
      </c>
      <c r="V22" s="36">
        <f>Продажи!W10*Продажи!W13</f>
        <v>10080000</v>
      </c>
      <c r="W22" s="36">
        <f>Продажи!X10*Продажи!X13</f>
        <v>10080000</v>
      </c>
      <c r="X22" s="36">
        <f>Продажи!Y10*Продажи!Y13</f>
        <v>6720000</v>
      </c>
      <c r="Y22" s="36">
        <f>Продажи!Z10*Продажи!Z13</f>
        <v>6720000</v>
      </c>
      <c r="Z22" s="36">
        <f>Продажи!AA10*Продажи!AA13</f>
        <v>6720000</v>
      </c>
      <c r="AA22" s="36">
        <f>Продажи!AB10*Продажи!AB13</f>
        <v>6720000</v>
      </c>
      <c r="AB22" s="36">
        <f>Продажи!AC10*Продажи!AC13</f>
        <v>0</v>
      </c>
      <c r="AC22" s="36">
        <f>Продажи!AD10*Продажи!AD13</f>
        <v>0</v>
      </c>
      <c r="AD22" s="42">
        <f t="shared" ref="AD22:AD24" si="28">SUM(R22:AC22)</f>
        <v>84000000</v>
      </c>
    </row>
    <row r="23" spans="1:33" hidden="1" outlineLevel="1" x14ac:dyDescent="0.2">
      <c r="B23" s="21">
        <v>242</v>
      </c>
      <c r="C23" s="22" t="s">
        <v>45</v>
      </c>
      <c r="D23" s="42">
        <f t="shared" si="5"/>
        <v>136080000</v>
      </c>
      <c r="E23" s="36">
        <f>Продажи!F11*Продажи!F14</f>
        <v>0</v>
      </c>
      <c r="F23" s="36">
        <f>Продажи!G11*Продажи!G14</f>
        <v>0</v>
      </c>
      <c r="G23" s="36">
        <f>Продажи!H11*Продажи!H14</f>
        <v>3240000</v>
      </c>
      <c r="H23" s="36">
        <f>Продажи!I11*Продажи!I14</f>
        <v>3240000</v>
      </c>
      <c r="I23" s="36">
        <f>Продажи!J11*Продажи!J14</f>
        <v>6480000</v>
      </c>
      <c r="J23" s="36">
        <f>Продажи!K11*Продажи!K14</f>
        <v>6480000</v>
      </c>
      <c r="K23" s="36">
        <f>Продажи!L11*Продажи!L14</f>
        <v>6480000</v>
      </c>
      <c r="L23" s="36">
        <f>Продажи!M11*Продажи!M14</f>
        <v>6480000</v>
      </c>
      <c r="M23" s="36">
        <f>Продажи!N11*Продажи!N14</f>
        <v>6480000</v>
      </c>
      <c r="N23" s="36">
        <f>Продажи!O11*Продажи!O14</f>
        <v>6480000</v>
      </c>
      <c r="O23" s="36">
        <f>Продажи!P11*Продажи!P14</f>
        <v>6480000</v>
      </c>
      <c r="P23" s="36">
        <f>Продажи!Q11*Продажи!Q14</f>
        <v>6480000</v>
      </c>
      <c r="Q23" s="42">
        <f t="shared" si="27"/>
        <v>58320000</v>
      </c>
      <c r="R23" s="36">
        <f>Продажи!S11*Продажи!S14</f>
        <v>6480000</v>
      </c>
      <c r="S23" s="36">
        <f>Продажи!T11*Продажи!T14</f>
        <v>9720000</v>
      </c>
      <c r="T23" s="36">
        <f>Продажи!U11*Продажи!U14</f>
        <v>9720000</v>
      </c>
      <c r="U23" s="36">
        <f>Продажи!V11*Продажи!V14</f>
        <v>9720000</v>
      </c>
      <c r="V23" s="36">
        <f>Продажи!W11*Продажи!W14</f>
        <v>9720000</v>
      </c>
      <c r="W23" s="36">
        <f>Продажи!X11*Продажи!X14</f>
        <v>6480000</v>
      </c>
      <c r="X23" s="36">
        <f>Продажи!Y11*Продажи!Y14</f>
        <v>6480000</v>
      </c>
      <c r="Y23" s="36">
        <f>Продажи!Z11*Продажи!Z14</f>
        <v>6480000</v>
      </c>
      <c r="Z23" s="36">
        <f>Продажи!AA11*Продажи!AA14</f>
        <v>6480000</v>
      </c>
      <c r="AA23" s="36">
        <f>Продажи!AB11*Продажи!AB14</f>
        <v>6480000</v>
      </c>
      <c r="AB23" s="36">
        <f>Продажи!AC11*Продажи!AC14</f>
        <v>0</v>
      </c>
      <c r="AC23" s="36">
        <f>Продажи!AD11*Продажи!AD14</f>
        <v>0</v>
      </c>
      <c r="AD23" s="42">
        <f t="shared" si="28"/>
        <v>77760000</v>
      </c>
    </row>
    <row r="24" spans="1:33" hidden="1" outlineLevel="1" x14ac:dyDescent="0.2">
      <c r="B24" s="21">
        <v>243</v>
      </c>
      <c r="C24" s="22" t="s">
        <v>82</v>
      </c>
      <c r="D24" s="42">
        <f t="shared" si="5"/>
        <v>2000000</v>
      </c>
      <c r="E24" s="36">
        <v>0</v>
      </c>
      <c r="F24" s="36">
        <v>0</v>
      </c>
      <c r="G24" s="36">
        <v>100000</v>
      </c>
      <c r="H24" s="36">
        <v>100000</v>
      </c>
      <c r="I24" s="36">
        <v>100000</v>
      </c>
      <c r="J24" s="36">
        <v>100000</v>
      </c>
      <c r="K24" s="36">
        <v>100000</v>
      </c>
      <c r="L24" s="36">
        <v>100000</v>
      </c>
      <c r="M24" s="36">
        <v>100000</v>
      </c>
      <c r="N24" s="36">
        <v>100000</v>
      </c>
      <c r="O24" s="36">
        <v>100000</v>
      </c>
      <c r="P24" s="36">
        <v>100000</v>
      </c>
      <c r="Q24" s="42">
        <f t="shared" si="27"/>
        <v>1000000</v>
      </c>
      <c r="R24" s="36">
        <v>100000</v>
      </c>
      <c r="S24" s="36">
        <v>100000</v>
      </c>
      <c r="T24" s="36">
        <v>100000</v>
      </c>
      <c r="U24" s="36">
        <v>100000</v>
      </c>
      <c r="V24" s="36">
        <v>100000</v>
      </c>
      <c r="W24" s="36">
        <v>100000</v>
      </c>
      <c r="X24" s="36">
        <v>100000</v>
      </c>
      <c r="Y24" s="36">
        <v>100000</v>
      </c>
      <c r="Z24" s="36">
        <v>100000</v>
      </c>
      <c r="AA24" s="36">
        <v>100000</v>
      </c>
      <c r="AB24" s="36">
        <f t="shared" ref="AB24" si="29">IF(AB22=0,0,100000)+IF(AB23=0,0,100000)</f>
        <v>0</v>
      </c>
      <c r="AC24" s="36">
        <f t="shared" ref="AC24" si="30">IF(AC22=0,0,100000)+IF(AC23=0,0,100000)</f>
        <v>0</v>
      </c>
      <c r="AD24" s="42">
        <f t="shared" si="28"/>
        <v>1000000</v>
      </c>
    </row>
    <row r="25" spans="1:33" s="20" customFormat="1" collapsed="1" x14ac:dyDescent="0.2">
      <c r="A25" s="80"/>
      <c r="B25" s="33">
        <v>250</v>
      </c>
      <c r="C25" s="81" t="s">
        <v>46</v>
      </c>
      <c r="D25" s="40">
        <f t="shared" si="5"/>
        <v>3840000</v>
      </c>
      <c r="E25" s="37">
        <f t="shared" ref="E25:AD25" si="31">SUM(E26:E29)</f>
        <v>160000</v>
      </c>
      <c r="F25" s="37">
        <f t="shared" si="31"/>
        <v>160000</v>
      </c>
      <c r="G25" s="37">
        <f t="shared" si="31"/>
        <v>160000</v>
      </c>
      <c r="H25" s="37">
        <f t="shared" si="31"/>
        <v>160000</v>
      </c>
      <c r="I25" s="37">
        <f t="shared" si="31"/>
        <v>160000</v>
      </c>
      <c r="J25" s="37">
        <f t="shared" si="31"/>
        <v>160000</v>
      </c>
      <c r="K25" s="37">
        <f t="shared" si="31"/>
        <v>160000</v>
      </c>
      <c r="L25" s="37">
        <f t="shared" si="31"/>
        <v>160000</v>
      </c>
      <c r="M25" s="37">
        <f t="shared" si="31"/>
        <v>160000</v>
      </c>
      <c r="N25" s="37">
        <f t="shared" si="31"/>
        <v>160000</v>
      </c>
      <c r="O25" s="37">
        <f t="shared" si="31"/>
        <v>160000</v>
      </c>
      <c r="P25" s="37">
        <f t="shared" si="31"/>
        <v>160000</v>
      </c>
      <c r="Q25" s="40">
        <f t="shared" si="31"/>
        <v>1920000</v>
      </c>
      <c r="R25" s="37">
        <f t="shared" si="31"/>
        <v>160000</v>
      </c>
      <c r="S25" s="37">
        <f t="shared" si="31"/>
        <v>160000</v>
      </c>
      <c r="T25" s="37">
        <f t="shared" si="31"/>
        <v>160000</v>
      </c>
      <c r="U25" s="37">
        <f t="shared" si="31"/>
        <v>160000</v>
      </c>
      <c r="V25" s="37">
        <f t="shared" si="31"/>
        <v>160000</v>
      </c>
      <c r="W25" s="37">
        <f t="shared" si="31"/>
        <v>160000</v>
      </c>
      <c r="X25" s="37">
        <f t="shared" si="31"/>
        <v>160000</v>
      </c>
      <c r="Y25" s="37">
        <f t="shared" si="31"/>
        <v>160000</v>
      </c>
      <c r="Z25" s="37">
        <f t="shared" si="31"/>
        <v>160000</v>
      </c>
      <c r="AA25" s="37">
        <f t="shared" si="31"/>
        <v>160000</v>
      </c>
      <c r="AB25" s="37">
        <f t="shared" si="31"/>
        <v>160000</v>
      </c>
      <c r="AC25" s="37">
        <f t="shared" si="31"/>
        <v>160000</v>
      </c>
      <c r="AD25" s="40">
        <f t="shared" si="31"/>
        <v>1920000</v>
      </c>
      <c r="AE25" s="80"/>
      <c r="AF25" s="40">
        <f>D25/85</f>
        <v>45176.470588235294</v>
      </c>
      <c r="AG25" s="80"/>
    </row>
    <row r="26" spans="1:33" hidden="1" outlineLevel="1" x14ac:dyDescent="0.2">
      <c r="B26" s="21">
        <v>251</v>
      </c>
      <c r="C26" s="22" t="s">
        <v>58</v>
      </c>
      <c r="D26" s="42">
        <f t="shared" si="5"/>
        <v>960000</v>
      </c>
      <c r="E26" s="36">
        <v>40000</v>
      </c>
      <c r="F26" s="36">
        <f t="shared" ref="F26:P26" si="32">E26</f>
        <v>40000</v>
      </c>
      <c r="G26" s="36">
        <f t="shared" si="32"/>
        <v>40000</v>
      </c>
      <c r="H26" s="36">
        <f t="shared" si="32"/>
        <v>40000</v>
      </c>
      <c r="I26" s="36">
        <f t="shared" si="32"/>
        <v>40000</v>
      </c>
      <c r="J26" s="36">
        <f t="shared" si="32"/>
        <v>40000</v>
      </c>
      <c r="K26" s="36">
        <f t="shared" si="32"/>
        <v>40000</v>
      </c>
      <c r="L26" s="36">
        <f t="shared" si="32"/>
        <v>40000</v>
      </c>
      <c r="M26" s="36">
        <f t="shared" si="32"/>
        <v>40000</v>
      </c>
      <c r="N26" s="36">
        <f t="shared" si="32"/>
        <v>40000</v>
      </c>
      <c r="O26" s="36">
        <f t="shared" si="32"/>
        <v>40000</v>
      </c>
      <c r="P26" s="36">
        <f t="shared" si="32"/>
        <v>40000</v>
      </c>
      <c r="Q26" s="42">
        <f t="shared" ref="Q26:Q38" si="33">SUM(E26:P26)</f>
        <v>480000</v>
      </c>
      <c r="R26" s="36">
        <f>P26</f>
        <v>40000</v>
      </c>
      <c r="S26" s="36">
        <f>R26</f>
        <v>40000</v>
      </c>
      <c r="T26" s="36">
        <f t="shared" ref="T26:AC26" si="34">S26</f>
        <v>40000</v>
      </c>
      <c r="U26" s="36">
        <f t="shared" si="34"/>
        <v>40000</v>
      </c>
      <c r="V26" s="36">
        <f t="shared" si="34"/>
        <v>40000</v>
      </c>
      <c r="W26" s="36">
        <f t="shared" si="34"/>
        <v>40000</v>
      </c>
      <c r="X26" s="36">
        <f t="shared" si="34"/>
        <v>40000</v>
      </c>
      <c r="Y26" s="36">
        <f t="shared" si="34"/>
        <v>40000</v>
      </c>
      <c r="Z26" s="36">
        <f t="shared" si="34"/>
        <v>40000</v>
      </c>
      <c r="AA26" s="36">
        <f t="shared" si="34"/>
        <v>40000</v>
      </c>
      <c r="AB26" s="36">
        <f t="shared" si="34"/>
        <v>40000</v>
      </c>
      <c r="AC26" s="36">
        <f t="shared" si="34"/>
        <v>40000</v>
      </c>
      <c r="AD26" s="42">
        <f t="shared" ref="AD26:AD29" si="35">SUM(R26:AC26)</f>
        <v>480000</v>
      </c>
    </row>
    <row r="27" spans="1:33" hidden="1" outlineLevel="1" x14ac:dyDescent="0.2">
      <c r="B27" s="21">
        <v>252</v>
      </c>
      <c r="C27" s="22" t="s">
        <v>59</v>
      </c>
      <c r="D27" s="42">
        <f t="shared" si="5"/>
        <v>960000</v>
      </c>
      <c r="E27" s="36">
        <v>40000</v>
      </c>
      <c r="F27" s="36">
        <f t="shared" ref="F27:P29" si="36">E27</f>
        <v>40000</v>
      </c>
      <c r="G27" s="36">
        <f t="shared" si="36"/>
        <v>40000</v>
      </c>
      <c r="H27" s="36">
        <f t="shared" si="36"/>
        <v>40000</v>
      </c>
      <c r="I27" s="36">
        <f t="shared" si="36"/>
        <v>40000</v>
      </c>
      <c r="J27" s="36">
        <f t="shared" si="36"/>
        <v>40000</v>
      </c>
      <c r="K27" s="36">
        <f t="shared" si="36"/>
        <v>40000</v>
      </c>
      <c r="L27" s="36">
        <f t="shared" si="36"/>
        <v>40000</v>
      </c>
      <c r="M27" s="36">
        <f t="shared" si="36"/>
        <v>40000</v>
      </c>
      <c r="N27" s="36">
        <f t="shared" si="36"/>
        <v>40000</v>
      </c>
      <c r="O27" s="36">
        <f t="shared" si="36"/>
        <v>40000</v>
      </c>
      <c r="P27" s="36">
        <f t="shared" si="36"/>
        <v>40000</v>
      </c>
      <c r="Q27" s="42">
        <f t="shared" si="33"/>
        <v>480000</v>
      </c>
      <c r="R27" s="36">
        <f>P27</f>
        <v>40000</v>
      </c>
      <c r="S27" s="36">
        <f t="shared" ref="S27:AC29" si="37">R27</f>
        <v>40000</v>
      </c>
      <c r="T27" s="36">
        <f t="shared" si="37"/>
        <v>40000</v>
      </c>
      <c r="U27" s="36">
        <f t="shared" si="37"/>
        <v>40000</v>
      </c>
      <c r="V27" s="36">
        <f t="shared" si="37"/>
        <v>40000</v>
      </c>
      <c r="W27" s="36">
        <f t="shared" si="37"/>
        <v>40000</v>
      </c>
      <c r="X27" s="36">
        <f t="shared" si="37"/>
        <v>40000</v>
      </c>
      <c r="Y27" s="36">
        <f t="shared" si="37"/>
        <v>40000</v>
      </c>
      <c r="Z27" s="36">
        <f t="shared" si="37"/>
        <v>40000</v>
      </c>
      <c r="AA27" s="36">
        <f t="shared" si="37"/>
        <v>40000</v>
      </c>
      <c r="AB27" s="36">
        <f t="shared" si="37"/>
        <v>40000</v>
      </c>
      <c r="AC27" s="36">
        <f t="shared" si="37"/>
        <v>40000</v>
      </c>
      <c r="AD27" s="42">
        <f t="shared" si="35"/>
        <v>480000</v>
      </c>
    </row>
    <row r="28" spans="1:33" hidden="1" outlineLevel="1" x14ac:dyDescent="0.2">
      <c r="B28" s="21">
        <v>253</v>
      </c>
      <c r="C28" s="22" t="s">
        <v>60</v>
      </c>
      <c r="D28" s="42">
        <f t="shared" si="5"/>
        <v>960000</v>
      </c>
      <c r="E28" s="36">
        <v>40000</v>
      </c>
      <c r="F28" s="36">
        <f t="shared" si="36"/>
        <v>40000</v>
      </c>
      <c r="G28" s="36">
        <f t="shared" si="36"/>
        <v>40000</v>
      </c>
      <c r="H28" s="36">
        <f t="shared" si="36"/>
        <v>40000</v>
      </c>
      <c r="I28" s="36">
        <f t="shared" si="36"/>
        <v>40000</v>
      </c>
      <c r="J28" s="36">
        <f t="shared" si="36"/>
        <v>40000</v>
      </c>
      <c r="K28" s="36">
        <f t="shared" si="36"/>
        <v>40000</v>
      </c>
      <c r="L28" s="36">
        <f t="shared" si="36"/>
        <v>40000</v>
      </c>
      <c r="M28" s="36">
        <f t="shared" si="36"/>
        <v>40000</v>
      </c>
      <c r="N28" s="36">
        <f t="shared" si="36"/>
        <v>40000</v>
      </c>
      <c r="O28" s="36">
        <f t="shared" si="36"/>
        <v>40000</v>
      </c>
      <c r="P28" s="36">
        <f t="shared" si="36"/>
        <v>40000</v>
      </c>
      <c r="Q28" s="42">
        <f t="shared" si="33"/>
        <v>480000</v>
      </c>
      <c r="R28" s="36">
        <f>P28</f>
        <v>40000</v>
      </c>
      <c r="S28" s="36">
        <f t="shared" si="37"/>
        <v>40000</v>
      </c>
      <c r="T28" s="36">
        <f t="shared" si="37"/>
        <v>40000</v>
      </c>
      <c r="U28" s="36">
        <f t="shared" si="37"/>
        <v>40000</v>
      </c>
      <c r="V28" s="36">
        <f t="shared" si="37"/>
        <v>40000</v>
      </c>
      <c r="W28" s="36">
        <f t="shared" si="37"/>
        <v>40000</v>
      </c>
      <c r="X28" s="36">
        <f t="shared" si="37"/>
        <v>40000</v>
      </c>
      <c r="Y28" s="36">
        <f t="shared" si="37"/>
        <v>40000</v>
      </c>
      <c r="Z28" s="36">
        <f t="shared" si="37"/>
        <v>40000</v>
      </c>
      <c r="AA28" s="36">
        <f t="shared" si="37"/>
        <v>40000</v>
      </c>
      <c r="AB28" s="36">
        <f t="shared" si="37"/>
        <v>40000</v>
      </c>
      <c r="AC28" s="36">
        <f t="shared" si="37"/>
        <v>40000</v>
      </c>
      <c r="AD28" s="42">
        <f t="shared" si="35"/>
        <v>480000</v>
      </c>
    </row>
    <row r="29" spans="1:33" hidden="1" outlineLevel="1" x14ac:dyDescent="0.2">
      <c r="B29" s="21">
        <v>254</v>
      </c>
      <c r="C29" s="22" t="s">
        <v>61</v>
      </c>
      <c r="D29" s="42">
        <f t="shared" si="5"/>
        <v>960000</v>
      </c>
      <c r="E29" s="36">
        <v>40000</v>
      </c>
      <c r="F29" s="36">
        <f t="shared" si="36"/>
        <v>40000</v>
      </c>
      <c r="G29" s="36">
        <f t="shared" si="36"/>
        <v>40000</v>
      </c>
      <c r="H29" s="36">
        <f t="shared" si="36"/>
        <v>40000</v>
      </c>
      <c r="I29" s="36">
        <f t="shared" si="36"/>
        <v>40000</v>
      </c>
      <c r="J29" s="36">
        <f t="shared" si="36"/>
        <v>40000</v>
      </c>
      <c r="K29" s="36">
        <f t="shared" si="36"/>
        <v>40000</v>
      </c>
      <c r="L29" s="36">
        <f t="shared" si="36"/>
        <v>40000</v>
      </c>
      <c r="M29" s="36">
        <f t="shared" si="36"/>
        <v>40000</v>
      </c>
      <c r="N29" s="36">
        <f t="shared" si="36"/>
        <v>40000</v>
      </c>
      <c r="O29" s="36">
        <f t="shared" si="36"/>
        <v>40000</v>
      </c>
      <c r="P29" s="36">
        <f t="shared" si="36"/>
        <v>40000</v>
      </c>
      <c r="Q29" s="42">
        <f t="shared" si="33"/>
        <v>480000</v>
      </c>
      <c r="R29" s="36">
        <f>P29</f>
        <v>40000</v>
      </c>
      <c r="S29" s="36">
        <f t="shared" si="37"/>
        <v>40000</v>
      </c>
      <c r="T29" s="36">
        <f t="shared" si="37"/>
        <v>40000</v>
      </c>
      <c r="U29" s="36">
        <f t="shared" si="37"/>
        <v>40000</v>
      </c>
      <c r="V29" s="36">
        <f t="shared" si="37"/>
        <v>40000</v>
      </c>
      <c r="W29" s="36">
        <f t="shared" si="37"/>
        <v>40000</v>
      </c>
      <c r="X29" s="36">
        <f t="shared" si="37"/>
        <v>40000</v>
      </c>
      <c r="Y29" s="36">
        <f t="shared" si="37"/>
        <v>40000</v>
      </c>
      <c r="Z29" s="36">
        <f t="shared" si="37"/>
        <v>40000</v>
      </c>
      <c r="AA29" s="36">
        <f t="shared" si="37"/>
        <v>40000</v>
      </c>
      <c r="AB29" s="36">
        <f t="shared" si="37"/>
        <v>40000</v>
      </c>
      <c r="AC29" s="36">
        <f t="shared" si="37"/>
        <v>40000</v>
      </c>
      <c r="AD29" s="42">
        <f t="shared" si="35"/>
        <v>480000</v>
      </c>
    </row>
    <row r="30" spans="1:33" s="20" customFormat="1" collapsed="1" x14ac:dyDescent="0.2">
      <c r="A30" s="80"/>
      <c r="B30" s="33">
        <v>260</v>
      </c>
      <c r="C30" s="81" t="s">
        <v>63</v>
      </c>
      <c r="D30" s="40">
        <f t="shared" si="5"/>
        <v>34584000</v>
      </c>
      <c r="E30" s="37">
        <f t="shared" ref="E30:AD30" si="38">SUM(E31:E33)</f>
        <v>49000</v>
      </c>
      <c r="F30" s="37">
        <f t="shared" si="38"/>
        <v>49000</v>
      </c>
      <c r="G30" s="37">
        <f t="shared" si="38"/>
        <v>49000</v>
      </c>
      <c r="H30" s="37">
        <f t="shared" si="38"/>
        <v>49000</v>
      </c>
      <c r="I30" s="37">
        <f t="shared" si="38"/>
        <v>835000</v>
      </c>
      <c r="J30" s="37">
        <f t="shared" si="38"/>
        <v>835000</v>
      </c>
      <c r="K30" s="37">
        <f t="shared" si="38"/>
        <v>1621000</v>
      </c>
      <c r="L30" s="37">
        <f t="shared" si="38"/>
        <v>1621000</v>
      </c>
      <c r="M30" s="37">
        <f t="shared" si="38"/>
        <v>1621000</v>
      </c>
      <c r="N30" s="37">
        <f t="shared" si="38"/>
        <v>1621000</v>
      </c>
      <c r="O30" s="37">
        <f t="shared" si="38"/>
        <v>1621000</v>
      </c>
      <c r="P30" s="37">
        <f t="shared" si="38"/>
        <v>1621000</v>
      </c>
      <c r="Q30" s="40">
        <f t="shared" si="38"/>
        <v>11592000</v>
      </c>
      <c r="R30" s="37">
        <f t="shared" si="38"/>
        <v>1621000</v>
      </c>
      <c r="S30" s="37">
        <f t="shared" si="38"/>
        <v>1621000</v>
      </c>
      <c r="T30" s="37">
        <f t="shared" si="38"/>
        <v>1621000</v>
      </c>
      <c r="U30" s="37">
        <f t="shared" si="38"/>
        <v>2407000</v>
      </c>
      <c r="V30" s="37">
        <f t="shared" si="38"/>
        <v>2407000</v>
      </c>
      <c r="W30" s="37">
        <f t="shared" si="38"/>
        <v>2407000</v>
      </c>
      <c r="X30" s="37">
        <f t="shared" si="38"/>
        <v>2407000</v>
      </c>
      <c r="Y30" s="37">
        <f t="shared" si="38"/>
        <v>2017000</v>
      </c>
      <c r="Z30" s="37">
        <f t="shared" si="38"/>
        <v>1621000</v>
      </c>
      <c r="AA30" s="37">
        <f t="shared" si="38"/>
        <v>1621000</v>
      </c>
      <c r="AB30" s="37">
        <f t="shared" si="38"/>
        <v>1621000</v>
      </c>
      <c r="AC30" s="37">
        <f t="shared" si="38"/>
        <v>1621000</v>
      </c>
      <c r="AD30" s="40">
        <f t="shared" si="38"/>
        <v>22992000</v>
      </c>
      <c r="AE30" s="80"/>
      <c r="AF30" s="40">
        <f>D30/85</f>
        <v>406870.5882352941</v>
      </c>
      <c r="AG30" s="80"/>
    </row>
    <row r="31" spans="1:33" outlineLevel="1" x14ac:dyDescent="0.2">
      <c r="B31" s="21">
        <v>261</v>
      </c>
      <c r="C31" s="22" t="s">
        <v>62</v>
      </c>
      <c r="D31" s="42">
        <f t="shared" si="5"/>
        <v>1152000</v>
      </c>
      <c r="E31" s="36">
        <f>E25*30%</f>
        <v>48000</v>
      </c>
      <c r="F31" s="36">
        <f t="shared" ref="F31:P31" si="39">F25*30%</f>
        <v>48000</v>
      </c>
      <c r="G31" s="36">
        <f t="shared" si="39"/>
        <v>48000</v>
      </c>
      <c r="H31" s="36">
        <f t="shared" si="39"/>
        <v>48000</v>
      </c>
      <c r="I31" s="36">
        <f t="shared" si="39"/>
        <v>48000</v>
      </c>
      <c r="J31" s="36">
        <f t="shared" si="39"/>
        <v>48000</v>
      </c>
      <c r="K31" s="36">
        <f t="shared" si="39"/>
        <v>48000</v>
      </c>
      <c r="L31" s="36">
        <f t="shared" si="39"/>
        <v>48000</v>
      </c>
      <c r="M31" s="36">
        <f t="shared" si="39"/>
        <v>48000</v>
      </c>
      <c r="N31" s="36">
        <f t="shared" si="39"/>
        <v>48000</v>
      </c>
      <c r="O31" s="36">
        <f t="shared" si="39"/>
        <v>48000</v>
      </c>
      <c r="P31" s="36">
        <f t="shared" si="39"/>
        <v>48000</v>
      </c>
      <c r="Q31" s="42">
        <f t="shared" si="33"/>
        <v>576000</v>
      </c>
      <c r="R31" s="36">
        <f>R25*30%</f>
        <v>48000</v>
      </c>
      <c r="S31" s="36">
        <f t="shared" ref="S31:AC31" si="40">S25*30%</f>
        <v>48000</v>
      </c>
      <c r="T31" s="36">
        <f t="shared" si="40"/>
        <v>48000</v>
      </c>
      <c r="U31" s="36">
        <f t="shared" si="40"/>
        <v>48000</v>
      </c>
      <c r="V31" s="36">
        <f t="shared" si="40"/>
        <v>48000</v>
      </c>
      <c r="W31" s="36">
        <f t="shared" si="40"/>
        <v>48000</v>
      </c>
      <c r="X31" s="36">
        <f t="shared" si="40"/>
        <v>48000</v>
      </c>
      <c r="Y31" s="36">
        <f t="shared" si="40"/>
        <v>48000</v>
      </c>
      <c r="Z31" s="36">
        <f t="shared" si="40"/>
        <v>48000</v>
      </c>
      <c r="AA31" s="36">
        <f t="shared" si="40"/>
        <v>48000</v>
      </c>
      <c r="AB31" s="36">
        <f t="shared" si="40"/>
        <v>48000</v>
      </c>
      <c r="AC31" s="36">
        <f t="shared" si="40"/>
        <v>48000</v>
      </c>
      <c r="AD31" s="42">
        <f t="shared" ref="AD31:AD38" si="41">SUM(R31:AC31)</f>
        <v>576000</v>
      </c>
      <c r="AF31" s="40">
        <f>D31/85</f>
        <v>13552.941176470587</v>
      </c>
    </row>
    <row r="32" spans="1:33" outlineLevel="1" x14ac:dyDescent="0.2">
      <c r="B32" s="21">
        <v>262</v>
      </c>
      <c r="C32" s="22" t="s">
        <v>66</v>
      </c>
      <c r="D32" s="42">
        <f t="shared" si="5"/>
        <v>33408000</v>
      </c>
      <c r="E32" s="36">
        <f t="shared" ref="E32:P32" si="42">E4*6%</f>
        <v>0</v>
      </c>
      <c r="F32" s="36">
        <f t="shared" si="42"/>
        <v>0</v>
      </c>
      <c r="G32" s="36">
        <f t="shared" si="42"/>
        <v>0</v>
      </c>
      <c r="H32" s="36">
        <f t="shared" si="42"/>
        <v>0</v>
      </c>
      <c r="I32" s="36">
        <f t="shared" si="42"/>
        <v>786000</v>
      </c>
      <c r="J32" s="36">
        <f t="shared" si="42"/>
        <v>786000</v>
      </c>
      <c r="K32" s="36">
        <f t="shared" si="42"/>
        <v>1572000</v>
      </c>
      <c r="L32" s="36">
        <f t="shared" si="42"/>
        <v>1572000</v>
      </c>
      <c r="M32" s="36">
        <f t="shared" si="42"/>
        <v>1572000</v>
      </c>
      <c r="N32" s="36">
        <f t="shared" si="42"/>
        <v>1572000</v>
      </c>
      <c r="O32" s="36">
        <f t="shared" si="42"/>
        <v>1572000</v>
      </c>
      <c r="P32" s="36">
        <f t="shared" si="42"/>
        <v>1572000</v>
      </c>
      <c r="Q32" s="42">
        <f t="shared" si="33"/>
        <v>11004000</v>
      </c>
      <c r="R32" s="36">
        <f t="shared" ref="R32:AC32" si="43">R4*6%</f>
        <v>1572000</v>
      </c>
      <c r="S32" s="36">
        <f t="shared" si="43"/>
        <v>1572000</v>
      </c>
      <c r="T32" s="36">
        <f t="shared" si="43"/>
        <v>1572000</v>
      </c>
      <c r="U32" s="36">
        <f t="shared" si="43"/>
        <v>2358000</v>
      </c>
      <c r="V32" s="36">
        <f t="shared" si="43"/>
        <v>2358000</v>
      </c>
      <c r="W32" s="36">
        <f t="shared" si="43"/>
        <v>2358000</v>
      </c>
      <c r="X32" s="36">
        <f t="shared" si="43"/>
        <v>2358000</v>
      </c>
      <c r="Y32" s="36">
        <f t="shared" si="43"/>
        <v>1968000</v>
      </c>
      <c r="Z32" s="36">
        <f t="shared" si="43"/>
        <v>1572000</v>
      </c>
      <c r="AA32" s="36">
        <f t="shared" si="43"/>
        <v>1572000</v>
      </c>
      <c r="AB32" s="36">
        <f t="shared" si="43"/>
        <v>1572000</v>
      </c>
      <c r="AC32" s="36">
        <f t="shared" si="43"/>
        <v>1572000</v>
      </c>
      <c r="AD32" s="42">
        <f t="shared" si="41"/>
        <v>22404000</v>
      </c>
    </row>
    <row r="33" spans="1:33" outlineLevel="1" x14ac:dyDescent="0.2">
      <c r="B33" s="21">
        <v>263</v>
      </c>
      <c r="C33" s="22" t="s">
        <v>64</v>
      </c>
      <c r="D33" s="42">
        <f t="shared" si="5"/>
        <v>24000</v>
      </c>
      <c r="E33" s="36">
        <v>1000</v>
      </c>
      <c r="F33" s="36">
        <f>E33</f>
        <v>1000</v>
      </c>
      <c r="G33" s="36">
        <f t="shared" ref="G33:P33" si="44">F33</f>
        <v>1000</v>
      </c>
      <c r="H33" s="36">
        <f t="shared" si="44"/>
        <v>1000</v>
      </c>
      <c r="I33" s="36">
        <f t="shared" si="44"/>
        <v>1000</v>
      </c>
      <c r="J33" s="36">
        <f t="shared" si="44"/>
        <v>1000</v>
      </c>
      <c r="K33" s="36">
        <f t="shared" si="44"/>
        <v>1000</v>
      </c>
      <c r="L33" s="36">
        <f t="shared" si="44"/>
        <v>1000</v>
      </c>
      <c r="M33" s="36">
        <f t="shared" si="44"/>
        <v>1000</v>
      </c>
      <c r="N33" s="36">
        <f t="shared" si="44"/>
        <v>1000</v>
      </c>
      <c r="O33" s="36">
        <f t="shared" si="44"/>
        <v>1000</v>
      </c>
      <c r="P33" s="36">
        <f t="shared" si="44"/>
        <v>1000</v>
      </c>
      <c r="Q33" s="42">
        <f t="shared" si="33"/>
        <v>12000</v>
      </c>
      <c r="R33" s="36">
        <f>P33</f>
        <v>1000</v>
      </c>
      <c r="S33" s="36">
        <f>R33</f>
        <v>1000</v>
      </c>
      <c r="T33" s="36">
        <f t="shared" ref="T33:AC33" si="45">S33</f>
        <v>1000</v>
      </c>
      <c r="U33" s="36">
        <f t="shared" si="45"/>
        <v>1000</v>
      </c>
      <c r="V33" s="36">
        <f t="shared" si="45"/>
        <v>1000</v>
      </c>
      <c r="W33" s="36">
        <f t="shared" si="45"/>
        <v>1000</v>
      </c>
      <c r="X33" s="36">
        <f t="shared" si="45"/>
        <v>1000</v>
      </c>
      <c r="Y33" s="36">
        <f t="shared" si="45"/>
        <v>1000</v>
      </c>
      <c r="Z33" s="36">
        <f t="shared" si="45"/>
        <v>1000</v>
      </c>
      <c r="AA33" s="36">
        <f t="shared" si="45"/>
        <v>1000</v>
      </c>
      <c r="AB33" s="36">
        <f t="shared" si="45"/>
        <v>1000</v>
      </c>
      <c r="AC33" s="36">
        <f t="shared" si="45"/>
        <v>1000</v>
      </c>
      <c r="AD33" s="42">
        <f t="shared" si="41"/>
        <v>12000</v>
      </c>
      <c r="AF33" s="40">
        <f>D33/85</f>
        <v>282.35294117647061</v>
      </c>
    </row>
    <row r="34" spans="1:33" s="20" customFormat="1" x14ac:dyDescent="0.2">
      <c r="A34" s="80"/>
      <c r="B34" s="33">
        <v>270</v>
      </c>
      <c r="C34" s="81" t="s">
        <v>70</v>
      </c>
      <c r="D34" s="40">
        <f t="shared" si="5"/>
        <v>942000</v>
      </c>
      <c r="E34" s="37">
        <f>SUM(E35:E38)</f>
        <v>74000</v>
      </c>
      <c r="F34" s="37">
        <f t="shared" ref="F34:P34" si="46">SUM(F35:F38)</f>
        <v>74000</v>
      </c>
      <c r="G34" s="37">
        <f t="shared" si="46"/>
        <v>74000</v>
      </c>
      <c r="H34" s="37">
        <f t="shared" si="46"/>
        <v>74000</v>
      </c>
      <c r="I34" s="37">
        <f t="shared" si="46"/>
        <v>74000</v>
      </c>
      <c r="J34" s="37">
        <f t="shared" si="46"/>
        <v>44000</v>
      </c>
      <c r="K34" s="37">
        <f t="shared" si="46"/>
        <v>44000</v>
      </c>
      <c r="L34" s="37">
        <f t="shared" si="46"/>
        <v>44000</v>
      </c>
      <c r="M34" s="37">
        <f t="shared" si="46"/>
        <v>44000</v>
      </c>
      <c r="N34" s="37">
        <f t="shared" si="46"/>
        <v>44000</v>
      </c>
      <c r="O34" s="37">
        <f t="shared" si="46"/>
        <v>44000</v>
      </c>
      <c r="P34" s="37">
        <f t="shared" si="46"/>
        <v>44000</v>
      </c>
      <c r="Q34" s="40">
        <f t="shared" ref="Q34:AD34" si="47">SUM(Q35:Q38)</f>
        <v>678000</v>
      </c>
      <c r="R34" s="37">
        <f t="shared" si="47"/>
        <v>22000</v>
      </c>
      <c r="S34" s="37">
        <f t="shared" si="47"/>
        <v>22000</v>
      </c>
      <c r="T34" s="37">
        <f t="shared" si="47"/>
        <v>22000</v>
      </c>
      <c r="U34" s="37">
        <f t="shared" si="47"/>
        <v>22000</v>
      </c>
      <c r="V34" s="37">
        <f t="shared" si="47"/>
        <v>22000</v>
      </c>
      <c r="W34" s="37">
        <f t="shared" si="47"/>
        <v>22000</v>
      </c>
      <c r="X34" s="37">
        <f t="shared" si="47"/>
        <v>22000</v>
      </c>
      <c r="Y34" s="37">
        <f t="shared" si="47"/>
        <v>22000</v>
      </c>
      <c r="Z34" s="37">
        <f t="shared" si="47"/>
        <v>22000</v>
      </c>
      <c r="AA34" s="37">
        <f t="shared" si="47"/>
        <v>22000</v>
      </c>
      <c r="AB34" s="37">
        <f t="shared" si="47"/>
        <v>22000</v>
      </c>
      <c r="AC34" s="37">
        <f t="shared" si="47"/>
        <v>22000</v>
      </c>
      <c r="AD34" s="40">
        <f t="shared" si="47"/>
        <v>264000</v>
      </c>
      <c r="AE34" s="80"/>
      <c r="AF34" s="40">
        <f>D34/85</f>
        <v>11082.35294117647</v>
      </c>
      <c r="AG34" s="80"/>
    </row>
    <row r="35" spans="1:33" hidden="1" outlineLevel="1" x14ac:dyDescent="0.2">
      <c r="B35" s="21">
        <v>271</v>
      </c>
      <c r="C35" s="22" t="s">
        <v>71</v>
      </c>
      <c r="D35" s="42">
        <f t="shared" si="5"/>
        <v>240000</v>
      </c>
      <c r="E35" s="36">
        <v>10000</v>
      </c>
      <c r="F35" s="36">
        <f>E35</f>
        <v>10000</v>
      </c>
      <c r="G35" s="36">
        <f t="shared" ref="G35:P35" si="48">F35</f>
        <v>10000</v>
      </c>
      <c r="H35" s="36">
        <f t="shared" si="48"/>
        <v>10000</v>
      </c>
      <c r="I35" s="36">
        <f t="shared" si="48"/>
        <v>10000</v>
      </c>
      <c r="J35" s="36">
        <f t="shared" si="48"/>
        <v>10000</v>
      </c>
      <c r="K35" s="36">
        <f t="shared" si="48"/>
        <v>10000</v>
      </c>
      <c r="L35" s="36">
        <f t="shared" si="48"/>
        <v>10000</v>
      </c>
      <c r="M35" s="36">
        <f t="shared" si="48"/>
        <v>10000</v>
      </c>
      <c r="N35" s="36">
        <f t="shared" si="48"/>
        <v>10000</v>
      </c>
      <c r="O35" s="36">
        <f t="shared" si="48"/>
        <v>10000</v>
      </c>
      <c r="P35" s="36">
        <f t="shared" si="48"/>
        <v>10000</v>
      </c>
      <c r="Q35" s="42">
        <f t="shared" si="33"/>
        <v>120000</v>
      </c>
      <c r="R35" s="36">
        <f>P35</f>
        <v>10000</v>
      </c>
      <c r="S35" s="36">
        <f>R35</f>
        <v>10000</v>
      </c>
      <c r="T35" s="36">
        <f t="shared" ref="T35:AC35" si="49">S35</f>
        <v>10000</v>
      </c>
      <c r="U35" s="36">
        <f t="shared" si="49"/>
        <v>10000</v>
      </c>
      <c r="V35" s="36">
        <f t="shared" si="49"/>
        <v>10000</v>
      </c>
      <c r="W35" s="36">
        <f t="shared" si="49"/>
        <v>10000</v>
      </c>
      <c r="X35" s="36">
        <f t="shared" si="49"/>
        <v>10000</v>
      </c>
      <c r="Y35" s="36">
        <f t="shared" si="49"/>
        <v>10000</v>
      </c>
      <c r="Z35" s="36">
        <f t="shared" si="49"/>
        <v>10000</v>
      </c>
      <c r="AA35" s="36">
        <f t="shared" si="49"/>
        <v>10000</v>
      </c>
      <c r="AB35" s="36">
        <f t="shared" si="49"/>
        <v>10000</v>
      </c>
      <c r="AC35" s="36">
        <f t="shared" si="49"/>
        <v>10000</v>
      </c>
      <c r="AD35" s="42">
        <f t="shared" si="41"/>
        <v>120000</v>
      </c>
    </row>
    <row r="36" spans="1:33" hidden="1" outlineLevel="1" x14ac:dyDescent="0.2">
      <c r="B36" s="21">
        <v>272</v>
      </c>
      <c r="C36" s="22" t="s">
        <v>72</v>
      </c>
      <c r="D36" s="42">
        <f t="shared" si="5"/>
        <v>630000</v>
      </c>
      <c r="E36" s="36">
        <v>60000</v>
      </c>
      <c r="F36" s="36">
        <f>E36</f>
        <v>60000</v>
      </c>
      <c r="G36" s="36">
        <f t="shared" ref="G36:P38" si="50">F36</f>
        <v>60000</v>
      </c>
      <c r="H36" s="36">
        <f t="shared" si="50"/>
        <v>60000</v>
      </c>
      <c r="I36" s="36">
        <f t="shared" si="50"/>
        <v>60000</v>
      </c>
      <c r="J36" s="36">
        <v>30000</v>
      </c>
      <c r="K36" s="36">
        <f t="shared" si="50"/>
        <v>30000</v>
      </c>
      <c r="L36" s="36">
        <f t="shared" si="50"/>
        <v>30000</v>
      </c>
      <c r="M36" s="36">
        <f t="shared" si="50"/>
        <v>30000</v>
      </c>
      <c r="N36" s="36">
        <f t="shared" si="50"/>
        <v>30000</v>
      </c>
      <c r="O36" s="36">
        <f t="shared" si="50"/>
        <v>30000</v>
      </c>
      <c r="P36" s="36">
        <f t="shared" si="50"/>
        <v>30000</v>
      </c>
      <c r="Q36" s="42">
        <f t="shared" si="33"/>
        <v>510000</v>
      </c>
      <c r="R36" s="36">
        <v>10000</v>
      </c>
      <c r="S36" s="36">
        <f>R36</f>
        <v>10000</v>
      </c>
      <c r="T36" s="36">
        <f t="shared" ref="T36:AC38" si="51">S36</f>
        <v>10000</v>
      </c>
      <c r="U36" s="36">
        <f t="shared" si="51"/>
        <v>10000</v>
      </c>
      <c r="V36" s="36">
        <f t="shared" si="51"/>
        <v>10000</v>
      </c>
      <c r="W36" s="36">
        <f t="shared" si="51"/>
        <v>10000</v>
      </c>
      <c r="X36" s="36">
        <f t="shared" si="51"/>
        <v>10000</v>
      </c>
      <c r="Y36" s="36">
        <f t="shared" si="51"/>
        <v>10000</v>
      </c>
      <c r="Z36" s="36">
        <f t="shared" si="51"/>
        <v>10000</v>
      </c>
      <c r="AA36" s="36">
        <f t="shared" si="51"/>
        <v>10000</v>
      </c>
      <c r="AB36" s="36">
        <f t="shared" si="51"/>
        <v>10000</v>
      </c>
      <c r="AC36" s="36">
        <f t="shared" si="51"/>
        <v>10000</v>
      </c>
      <c r="AD36" s="42">
        <f t="shared" si="41"/>
        <v>120000</v>
      </c>
    </row>
    <row r="37" spans="1:33" hidden="1" outlineLevel="1" x14ac:dyDescent="0.2">
      <c r="B37" s="21">
        <v>273</v>
      </c>
      <c r="C37" s="22" t="s">
        <v>80</v>
      </c>
      <c r="D37" s="42">
        <f t="shared" si="5"/>
        <v>24000</v>
      </c>
      <c r="E37" s="36">
        <v>1000</v>
      </c>
      <c r="F37" s="36">
        <f>E37</f>
        <v>1000</v>
      </c>
      <c r="G37" s="36">
        <f t="shared" ref="G37" si="52">F37</f>
        <v>1000</v>
      </c>
      <c r="H37" s="36">
        <f t="shared" ref="H37" si="53">G37</f>
        <v>1000</v>
      </c>
      <c r="I37" s="36">
        <f t="shared" ref="I37" si="54">H37</f>
        <v>1000</v>
      </c>
      <c r="J37" s="36">
        <f t="shared" ref="J37" si="55">I37</f>
        <v>1000</v>
      </c>
      <c r="K37" s="36">
        <f t="shared" ref="K37" si="56">J37</f>
        <v>1000</v>
      </c>
      <c r="L37" s="36">
        <f t="shared" ref="L37" si="57">K37</f>
        <v>1000</v>
      </c>
      <c r="M37" s="36">
        <f t="shared" ref="M37" si="58">L37</f>
        <v>1000</v>
      </c>
      <c r="N37" s="36">
        <f t="shared" ref="N37" si="59">M37</f>
        <v>1000</v>
      </c>
      <c r="O37" s="36">
        <f t="shared" ref="O37" si="60">N37</f>
        <v>1000</v>
      </c>
      <c r="P37" s="36">
        <f t="shared" ref="P37" si="61">O37</f>
        <v>1000</v>
      </c>
      <c r="Q37" s="42">
        <f t="shared" si="33"/>
        <v>12000</v>
      </c>
      <c r="R37" s="36">
        <f>P37</f>
        <v>1000</v>
      </c>
      <c r="S37" s="36">
        <f>R37</f>
        <v>1000</v>
      </c>
      <c r="T37" s="36">
        <f t="shared" ref="T37" si="62">S37</f>
        <v>1000</v>
      </c>
      <c r="U37" s="36">
        <f t="shared" ref="U37" si="63">T37</f>
        <v>1000</v>
      </c>
      <c r="V37" s="36">
        <f t="shared" ref="V37" si="64">U37</f>
        <v>1000</v>
      </c>
      <c r="W37" s="36">
        <f t="shared" ref="W37" si="65">V37</f>
        <v>1000</v>
      </c>
      <c r="X37" s="36">
        <f t="shared" ref="X37" si="66">W37</f>
        <v>1000</v>
      </c>
      <c r="Y37" s="36">
        <f t="shared" ref="Y37" si="67">X37</f>
        <v>1000</v>
      </c>
      <c r="Z37" s="36">
        <f t="shared" ref="Z37" si="68">Y37</f>
        <v>1000</v>
      </c>
      <c r="AA37" s="36">
        <f t="shared" ref="AA37" si="69">Z37</f>
        <v>1000</v>
      </c>
      <c r="AB37" s="36">
        <f t="shared" ref="AB37" si="70">AA37</f>
        <v>1000</v>
      </c>
      <c r="AC37" s="36">
        <f t="shared" ref="AC37" si="71">AB37</f>
        <v>1000</v>
      </c>
      <c r="AD37" s="42">
        <f t="shared" si="41"/>
        <v>12000</v>
      </c>
    </row>
    <row r="38" spans="1:33" hidden="1" outlineLevel="1" x14ac:dyDescent="0.2">
      <c r="B38" s="21">
        <v>274</v>
      </c>
      <c r="C38" s="22" t="s">
        <v>73</v>
      </c>
      <c r="D38" s="42">
        <f t="shared" si="5"/>
        <v>48000</v>
      </c>
      <c r="E38" s="36">
        <v>3000</v>
      </c>
      <c r="F38" s="36">
        <f>E38</f>
        <v>3000</v>
      </c>
      <c r="G38" s="36">
        <f t="shared" si="50"/>
        <v>3000</v>
      </c>
      <c r="H38" s="36">
        <f t="shared" si="50"/>
        <v>3000</v>
      </c>
      <c r="I38" s="36">
        <f t="shared" si="50"/>
        <v>3000</v>
      </c>
      <c r="J38" s="36">
        <f t="shared" si="50"/>
        <v>3000</v>
      </c>
      <c r="K38" s="36">
        <f t="shared" si="50"/>
        <v>3000</v>
      </c>
      <c r="L38" s="36">
        <f t="shared" si="50"/>
        <v>3000</v>
      </c>
      <c r="M38" s="36">
        <f t="shared" si="50"/>
        <v>3000</v>
      </c>
      <c r="N38" s="36">
        <f t="shared" si="50"/>
        <v>3000</v>
      </c>
      <c r="O38" s="36">
        <f t="shared" si="50"/>
        <v>3000</v>
      </c>
      <c r="P38" s="36">
        <f t="shared" si="50"/>
        <v>3000</v>
      </c>
      <c r="Q38" s="42">
        <f t="shared" si="33"/>
        <v>36000</v>
      </c>
      <c r="R38" s="36">
        <v>1000</v>
      </c>
      <c r="S38" s="36">
        <f>R38</f>
        <v>1000</v>
      </c>
      <c r="T38" s="36">
        <f t="shared" si="51"/>
        <v>1000</v>
      </c>
      <c r="U38" s="36">
        <f t="shared" si="51"/>
        <v>1000</v>
      </c>
      <c r="V38" s="36">
        <f t="shared" si="51"/>
        <v>1000</v>
      </c>
      <c r="W38" s="36">
        <f t="shared" si="51"/>
        <v>1000</v>
      </c>
      <c r="X38" s="36">
        <f t="shared" si="51"/>
        <v>1000</v>
      </c>
      <c r="Y38" s="36">
        <f t="shared" si="51"/>
        <v>1000</v>
      </c>
      <c r="Z38" s="36">
        <f t="shared" si="51"/>
        <v>1000</v>
      </c>
      <c r="AA38" s="36">
        <f t="shared" si="51"/>
        <v>1000</v>
      </c>
      <c r="AB38" s="36">
        <f t="shared" si="51"/>
        <v>1000</v>
      </c>
      <c r="AC38" s="36">
        <f t="shared" si="51"/>
        <v>1000</v>
      </c>
      <c r="AD38" s="42">
        <f t="shared" si="41"/>
        <v>12000</v>
      </c>
    </row>
    <row r="39" spans="1:33" collapsed="1" x14ac:dyDescent="0.2">
      <c r="B39" s="17">
        <v>300</v>
      </c>
      <c r="C39" s="18" t="s">
        <v>69</v>
      </c>
      <c r="D39" s="38">
        <f>Q39+AD39</f>
        <v>170269000</v>
      </c>
      <c r="E39" s="34">
        <f t="shared" ref="E39:AD39" si="72">E4-E7</f>
        <v>-64888000</v>
      </c>
      <c r="F39" s="34">
        <f t="shared" si="72"/>
        <v>-283000</v>
      </c>
      <c r="G39" s="34">
        <f t="shared" si="72"/>
        <v>-6983000</v>
      </c>
      <c r="H39" s="34">
        <f t="shared" si="72"/>
        <v>-6983000</v>
      </c>
      <c r="I39" s="34">
        <f t="shared" si="72"/>
        <v>-1269000</v>
      </c>
      <c r="J39" s="34">
        <f t="shared" si="72"/>
        <v>-1239000</v>
      </c>
      <c r="K39" s="34">
        <f t="shared" si="72"/>
        <v>11075000</v>
      </c>
      <c r="L39" s="34">
        <f t="shared" si="72"/>
        <v>11075000</v>
      </c>
      <c r="M39" s="34">
        <f t="shared" si="72"/>
        <v>11075000</v>
      </c>
      <c r="N39" s="34">
        <f t="shared" si="72"/>
        <v>11075000</v>
      </c>
      <c r="O39" s="34">
        <f t="shared" si="72"/>
        <v>11075000</v>
      </c>
      <c r="P39" s="34">
        <f t="shared" si="72"/>
        <v>11075000</v>
      </c>
      <c r="Q39" s="38">
        <f t="shared" si="72"/>
        <v>-15195000</v>
      </c>
      <c r="R39" s="34">
        <f t="shared" si="72"/>
        <v>11097000</v>
      </c>
      <c r="S39" s="34">
        <f t="shared" si="72"/>
        <v>4497000</v>
      </c>
      <c r="T39" s="34">
        <f t="shared" si="72"/>
        <v>4497000</v>
      </c>
      <c r="U39" s="34">
        <f t="shared" si="72"/>
        <v>16811000</v>
      </c>
      <c r="V39" s="34">
        <f t="shared" si="72"/>
        <v>16811000</v>
      </c>
      <c r="W39" s="34">
        <f t="shared" si="72"/>
        <v>20051000</v>
      </c>
      <c r="X39" s="34">
        <f t="shared" si="72"/>
        <v>23411000</v>
      </c>
      <c r="Y39" s="34">
        <f t="shared" si="72"/>
        <v>17301000</v>
      </c>
      <c r="Z39" s="34">
        <f t="shared" si="72"/>
        <v>11097000</v>
      </c>
      <c r="AA39" s="34">
        <f t="shared" si="72"/>
        <v>11097000</v>
      </c>
      <c r="AB39" s="34">
        <f t="shared" si="72"/>
        <v>24397000</v>
      </c>
      <c r="AC39" s="34">
        <f t="shared" si="72"/>
        <v>24397000</v>
      </c>
      <c r="AD39" s="38">
        <f t="shared" si="72"/>
        <v>185464000</v>
      </c>
    </row>
    <row r="40" spans="1:33" x14ac:dyDescent="0.2">
      <c r="B40" s="17">
        <v>400</v>
      </c>
      <c r="C40" s="18" t="s">
        <v>93</v>
      </c>
      <c r="D40" s="38">
        <f>AD40</f>
        <v>170269000</v>
      </c>
      <c r="E40" s="34">
        <f>E39</f>
        <v>-64888000</v>
      </c>
      <c r="F40" s="34">
        <f>E40+F39</f>
        <v>-65171000</v>
      </c>
      <c r="G40" s="34">
        <f t="shared" ref="G40:P40" si="73">F40+G39</f>
        <v>-72154000</v>
      </c>
      <c r="H40" s="34">
        <f t="shared" si="73"/>
        <v>-79137000</v>
      </c>
      <c r="I40" s="34">
        <f t="shared" si="73"/>
        <v>-80406000</v>
      </c>
      <c r="J40" s="34">
        <f t="shared" si="73"/>
        <v>-81645000</v>
      </c>
      <c r="K40" s="34">
        <f t="shared" si="73"/>
        <v>-70570000</v>
      </c>
      <c r="L40" s="34">
        <f t="shared" si="73"/>
        <v>-59495000</v>
      </c>
      <c r="M40" s="34">
        <f t="shared" si="73"/>
        <v>-48420000</v>
      </c>
      <c r="N40" s="34">
        <f t="shared" si="73"/>
        <v>-37345000</v>
      </c>
      <c r="O40" s="34">
        <f t="shared" si="73"/>
        <v>-26270000</v>
      </c>
      <c r="P40" s="34">
        <f t="shared" si="73"/>
        <v>-15195000</v>
      </c>
      <c r="Q40" s="38">
        <f>P40</f>
        <v>-15195000</v>
      </c>
      <c r="R40" s="34">
        <f>P40+R39</f>
        <v>-4098000</v>
      </c>
      <c r="S40" s="44">
        <f>R40+S39</f>
        <v>399000</v>
      </c>
      <c r="T40" s="34">
        <f t="shared" ref="T40:AC40" si="74">S40+T39</f>
        <v>4896000</v>
      </c>
      <c r="U40" s="34">
        <f t="shared" si="74"/>
        <v>21707000</v>
      </c>
      <c r="V40" s="34">
        <f t="shared" si="74"/>
        <v>38518000</v>
      </c>
      <c r="W40" s="34">
        <f t="shared" si="74"/>
        <v>58569000</v>
      </c>
      <c r="X40" s="34">
        <f t="shared" si="74"/>
        <v>81980000</v>
      </c>
      <c r="Y40" s="34">
        <f t="shared" si="74"/>
        <v>99281000</v>
      </c>
      <c r="Z40" s="34">
        <f t="shared" si="74"/>
        <v>110378000</v>
      </c>
      <c r="AA40" s="34">
        <f t="shared" si="74"/>
        <v>121475000</v>
      </c>
      <c r="AB40" s="34">
        <f t="shared" si="74"/>
        <v>145872000</v>
      </c>
      <c r="AC40" s="34">
        <f t="shared" si="74"/>
        <v>170269000</v>
      </c>
      <c r="AD40" s="38">
        <f>AC40</f>
        <v>170269000</v>
      </c>
    </row>
    <row r="41" spans="1:33" x14ac:dyDescent="0.2">
      <c r="B41" s="17">
        <v>500</v>
      </c>
      <c r="C41" s="18" t="s">
        <v>85</v>
      </c>
      <c r="D41" s="38">
        <f>AD41</f>
        <v>260269000</v>
      </c>
      <c r="E41" s="34">
        <f>E39+Показатели!C3</f>
        <v>25112000</v>
      </c>
      <c r="F41" s="34">
        <f>E41+F39</f>
        <v>24829000</v>
      </c>
      <c r="G41" s="34">
        <f t="shared" ref="G41:P41" si="75">F41+G39</f>
        <v>17846000</v>
      </c>
      <c r="H41" s="34">
        <f t="shared" si="75"/>
        <v>10863000</v>
      </c>
      <c r="I41" s="34">
        <f t="shared" si="75"/>
        <v>9594000</v>
      </c>
      <c r="J41" s="34">
        <f t="shared" si="75"/>
        <v>8355000</v>
      </c>
      <c r="K41" s="34">
        <f t="shared" si="75"/>
        <v>19430000</v>
      </c>
      <c r="L41" s="34">
        <f t="shared" si="75"/>
        <v>30505000</v>
      </c>
      <c r="M41" s="34">
        <f t="shared" si="75"/>
        <v>41580000</v>
      </c>
      <c r="N41" s="34">
        <f t="shared" si="75"/>
        <v>52655000</v>
      </c>
      <c r="O41" s="34">
        <f t="shared" si="75"/>
        <v>63730000</v>
      </c>
      <c r="P41" s="34">
        <f t="shared" si="75"/>
        <v>74805000</v>
      </c>
      <c r="Q41" s="38">
        <f>P41</f>
        <v>74805000</v>
      </c>
      <c r="R41" s="34">
        <f>P41+R39</f>
        <v>85902000</v>
      </c>
      <c r="S41" s="34">
        <f>R41+S39</f>
        <v>90399000</v>
      </c>
      <c r="T41" s="34">
        <f t="shared" ref="T41:AC41" si="76">S41+T39</f>
        <v>94896000</v>
      </c>
      <c r="U41" s="34">
        <f t="shared" si="76"/>
        <v>111707000</v>
      </c>
      <c r="V41" s="34">
        <f t="shared" si="76"/>
        <v>128518000</v>
      </c>
      <c r="W41" s="34">
        <f t="shared" si="76"/>
        <v>148569000</v>
      </c>
      <c r="X41" s="34">
        <f t="shared" si="76"/>
        <v>171980000</v>
      </c>
      <c r="Y41" s="34">
        <f t="shared" si="76"/>
        <v>189281000</v>
      </c>
      <c r="Z41" s="34">
        <f t="shared" si="76"/>
        <v>200378000</v>
      </c>
      <c r="AA41" s="34">
        <f t="shared" si="76"/>
        <v>211475000</v>
      </c>
      <c r="AB41" s="34">
        <f t="shared" si="76"/>
        <v>235872000</v>
      </c>
      <c r="AC41" s="34">
        <f t="shared" si="76"/>
        <v>260269000</v>
      </c>
      <c r="AD41" s="38">
        <f>AC41</f>
        <v>260269000</v>
      </c>
    </row>
    <row r="42" spans="1:33" x14ac:dyDescent="0.2">
      <c r="E42" s="83"/>
    </row>
    <row r="43" spans="1:33" x14ac:dyDescent="0.2">
      <c r="E43" s="83"/>
    </row>
    <row r="45" spans="1:33" x14ac:dyDescent="0.2">
      <c r="H45" s="77" t="s">
        <v>23</v>
      </c>
      <c r="J45" s="77" t="s">
        <v>23</v>
      </c>
    </row>
    <row r="46" spans="1:33" x14ac:dyDescent="0.2">
      <c r="AD46" s="78" t="s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Графики</vt:lpstr>
      <vt:lpstr>Продажи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2019-12-11T13:52:13Z</dcterms:modified>
</cp:coreProperties>
</file>