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ШКОЛА\"/>
    </mc:Choice>
  </mc:AlternateContent>
  <bookViews>
    <workbookView xWindow="0" yWindow="0" windowWidth="20490" windowHeight="8925" tabRatio="929" firstSheet="6" activeTab="6"/>
  </bookViews>
  <sheets>
    <sheet name="Окружение" sheetId="2" r:id="rId1"/>
    <sheet name="Пр-во и Продажи" sheetId="1" r:id="rId2"/>
    <sheet name="Персонал" sheetId="4" r:id="rId3"/>
    <sheet name="Затраты" sheetId="5" r:id="rId4"/>
    <sheet name="Оборот. К." sheetId="8" r:id="rId5"/>
    <sheet name="НА и ОС" sheetId="6" r:id="rId6"/>
    <sheet name="Финан-е" sheetId="9" r:id="rId7"/>
    <sheet name="Анализ рисков" sheetId="29" r:id="rId8"/>
    <sheet name="Форма 1" sheetId="19" r:id="rId9"/>
    <sheet name="Форма 2" sheetId="7" r:id="rId10"/>
    <sheet name="CF" sheetId="18" r:id="rId11"/>
    <sheet name="Анализ проекта" sheetId="10" r:id="rId12"/>
    <sheet name="Прогнозные отчеты" sheetId="21" r:id="rId13"/>
    <sheet name="Общий анализ" sheetId="26" r:id="rId14"/>
    <sheet name="Горизонт. анализ" sheetId="23" r:id="rId15"/>
    <sheet name="Вертикальный анализ" sheetId="25" r:id="rId16"/>
    <sheet name="Анализ рентабельности" sheetId="32" r:id="rId17"/>
    <sheet name="Анализ ликвидности" sheetId="27" r:id="rId18"/>
    <sheet name="Анализ платежеспособности" sheetId="31" r:id="rId19"/>
    <sheet name="Анализ оборачиваемости" sheetId="28" r:id="rId20"/>
    <sheet name="Анализ долг. и налог. нагрузки" sheetId="34" r:id="rId21"/>
  </sheets>
  <calcPr calcId="162913"/>
</workbook>
</file>

<file path=xl/calcChain.xml><?xml version="1.0" encoding="utf-8"?>
<calcChain xmlns="http://schemas.openxmlformats.org/spreadsheetml/2006/main">
  <c r="F21" i="5" l="1"/>
  <c r="F19" i="5"/>
  <c r="F17" i="5"/>
  <c r="F15" i="5"/>
  <c r="F9" i="5"/>
  <c r="F8" i="5"/>
  <c r="F7" i="5"/>
  <c r="F8" i="7"/>
  <c r="D19" i="8"/>
  <c r="F43" i="6"/>
  <c r="E22" i="4" l="1"/>
  <c r="E24" i="4"/>
  <c r="E20" i="4"/>
  <c r="E18" i="4"/>
  <c r="E16" i="4"/>
  <c r="E14" i="4"/>
  <c r="E12" i="4"/>
  <c r="E10" i="4"/>
  <c r="E8" i="4"/>
  <c r="E6" i="4"/>
  <c r="D5" i="8" l="1"/>
  <c r="E5" i="8" s="1"/>
  <c r="F5" i="8" s="1"/>
  <c r="G5" i="8" s="1"/>
  <c r="H5" i="8" s="1"/>
  <c r="I5" i="8" s="1"/>
  <c r="J5" i="8" s="1"/>
  <c r="K5" i="8" s="1"/>
  <c r="L5" i="8" s="1"/>
  <c r="M5" i="8" s="1"/>
  <c r="H43" i="6"/>
  <c r="I24" i="6"/>
  <c r="I37" i="6"/>
  <c r="I46" i="6" s="1"/>
  <c r="G19" i="5"/>
  <c r="H19" i="5" s="1"/>
  <c r="I19" i="5" s="1"/>
  <c r="J19" i="5" s="1"/>
  <c r="K19" i="5" s="1"/>
  <c r="L19" i="5" s="1"/>
  <c r="M19" i="5" s="1"/>
  <c r="N19" i="5" s="1"/>
  <c r="O19" i="5" s="1"/>
  <c r="G17" i="5"/>
  <c r="H17" i="5" s="1"/>
  <c r="I17" i="5" s="1"/>
  <c r="J17" i="5" s="1"/>
  <c r="K17" i="5" s="1"/>
  <c r="L17" i="5" s="1"/>
  <c r="M17" i="5" s="1"/>
  <c r="N17" i="5" s="1"/>
  <c r="O17" i="5" s="1"/>
  <c r="F16" i="5"/>
  <c r="G16" i="5" s="1"/>
  <c r="H16" i="5" s="1"/>
  <c r="I16" i="5" s="1"/>
  <c r="J16" i="5" s="1"/>
  <c r="K16" i="5" s="1"/>
  <c r="L16" i="5" s="1"/>
  <c r="M16" i="5" s="1"/>
  <c r="N16" i="5" s="1"/>
  <c r="O16" i="5" s="1"/>
  <c r="G7" i="5"/>
  <c r="H7" i="5" s="1"/>
  <c r="I7" i="5" s="1"/>
  <c r="J7" i="5" s="1"/>
  <c r="K7" i="5" s="1"/>
  <c r="L7" i="5" s="1"/>
  <c r="M7" i="5" s="1"/>
  <c r="N7" i="5" s="1"/>
  <c r="O7" i="5" s="1"/>
  <c r="J43" i="6" l="1"/>
  <c r="L43" i="6" s="1"/>
  <c r="N43" i="6" s="1"/>
  <c r="P43" i="6" s="1"/>
  <c r="I43" i="6"/>
  <c r="K43" i="6" s="1"/>
  <c r="M43" i="6" s="1"/>
  <c r="O43" i="6" s="1"/>
  <c r="Q43" i="6" s="1"/>
  <c r="F23" i="5"/>
  <c r="F20" i="5"/>
  <c r="G20" i="5" s="1"/>
  <c r="H20" i="5" s="1"/>
  <c r="I20" i="5" s="1"/>
  <c r="J20" i="5" s="1"/>
  <c r="K20" i="5" s="1"/>
  <c r="L20" i="5" s="1"/>
  <c r="M20" i="5" s="1"/>
  <c r="N20" i="5" s="1"/>
  <c r="O20" i="5" s="1"/>
  <c r="G21" i="5"/>
  <c r="H21" i="5" s="1"/>
  <c r="I21" i="5" s="1"/>
  <c r="J21" i="5" s="1"/>
  <c r="K21" i="5" s="1"/>
  <c r="L21" i="5" s="1"/>
  <c r="M21" i="5" s="1"/>
  <c r="N21" i="5" s="1"/>
  <c r="O21" i="5" s="1"/>
  <c r="F18" i="5"/>
  <c r="G18" i="5" s="1"/>
  <c r="F22" i="5"/>
  <c r="G22" i="5" s="1"/>
  <c r="H22" i="5" s="1"/>
  <c r="I22" i="5" s="1"/>
  <c r="J22" i="5" s="1"/>
  <c r="K22" i="5" s="1"/>
  <c r="L22" i="5" s="1"/>
  <c r="M22" i="5" s="1"/>
  <c r="N22" i="5" s="1"/>
  <c r="O22" i="5" s="1"/>
  <c r="F11" i="5"/>
  <c r="E36" i="4"/>
  <c r="E34" i="4"/>
  <c r="E32" i="4"/>
  <c r="E30" i="4"/>
  <c r="E28" i="4"/>
  <c r="E26" i="4"/>
  <c r="F38" i="4"/>
  <c r="F36" i="4"/>
  <c r="F34" i="4"/>
  <c r="G34" i="4" s="1"/>
  <c r="H34" i="4" s="1"/>
  <c r="I34" i="4" s="1"/>
  <c r="J34" i="4" s="1"/>
  <c r="K34" i="4" s="1"/>
  <c r="L34" i="4" s="1"/>
  <c r="M34" i="4" s="1"/>
  <c r="N34" i="4" s="1"/>
  <c r="O34" i="4" s="1"/>
  <c r="F32" i="4"/>
  <c r="G32" i="4" s="1"/>
  <c r="H32" i="4" s="1"/>
  <c r="I32" i="4" s="1"/>
  <c r="J32" i="4" s="1"/>
  <c r="K32" i="4" s="1"/>
  <c r="L32" i="4" s="1"/>
  <c r="M32" i="4" s="1"/>
  <c r="N32" i="4" s="1"/>
  <c r="O32" i="4" s="1"/>
  <c r="F30" i="4"/>
  <c r="G30" i="4" s="1"/>
  <c r="H30" i="4" s="1"/>
  <c r="I30" i="4" s="1"/>
  <c r="J30" i="4" s="1"/>
  <c r="K30" i="4" s="1"/>
  <c r="L30" i="4" s="1"/>
  <c r="M30" i="4" s="1"/>
  <c r="N30" i="4" s="1"/>
  <c r="O30" i="4" s="1"/>
  <c r="F28" i="4"/>
  <c r="G28" i="4" s="1"/>
  <c r="H28" i="4" s="1"/>
  <c r="I28" i="4" s="1"/>
  <c r="J28" i="4" s="1"/>
  <c r="K28" i="4" s="1"/>
  <c r="L28" i="4" s="1"/>
  <c r="M28" i="4" s="1"/>
  <c r="N28" i="4" s="1"/>
  <c r="O28" i="4" s="1"/>
  <c r="F26" i="4"/>
  <c r="G26" i="4" s="1"/>
  <c r="H26" i="4" s="1"/>
  <c r="I26" i="4" s="1"/>
  <c r="J26" i="4" s="1"/>
  <c r="K26" i="4" s="1"/>
  <c r="L26" i="4" s="1"/>
  <c r="M26" i="4" s="1"/>
  <c r="N26" i="4" s="1"/>
  <c r="O26" i="4" s="1"/>
  <c r="F24" i="4"/>
  <c r="G24" i="4" s="1"/>
  <c r="H24" i="4" s="1"/>
  <c r="I24" i="4" s="1"/>
  <c r="J24" i="4" s="1"/>
  <c r="K24" i="4" s="1"/>
  <c r="L24" i="4" s="1"/>
  <c r="M24" i="4" s="1"/>
  <c r="N24" i="4" s="1"/>
  <c r="O24" i="4" s="1"/>
  <c r="E11" i="1"/>
  <c r="G22" i="4"/>
  <c r="H22" i="4" s="1"/>
  <c r="I22" i="4" s="1"/>
  <c r="J22" i="4" s="1"/>
  <c r="K22" i="4" s="1"/>
  <c r="L22" i="4" s="1"/>
  <c r="M22" i="4" s="1"/>
  <c r="N22" i="4" s="1"/>
  <c r="O22" i="4" s="1"/>
  <c r="F20" i="4"/>
  <c r="F16" i="4"/>
  <c r="F14" i="4"/>
  <c r="G12" i="4"/>
  <c r="H12" i="4" s="1"/>
  <c r="I12" i="4" s="1"/>
  <c r="J12" i="4" s="1"/>
  <c r="K12" i="4" s="1"/>
  <c r="L12" i="4" s="1"/>
  <c r="M12" i="4" s="1"/>
  <c r="N12" i="4" s="1"/>
  <c r="O12" i="4" s="1"/>
  <c r="F22" i="4"/>
  <c r="F18" i="4"/>
  <c r="G14" i="4"/>
  <c r="H14" i="4" s="1"/>
  <c r="I14" i="4" s="1"/>
  <c r="J14" i="4" s="1"/>
  <c r="K14" i="4" s="1"/>
  <c r="L14" i="4" s="1"/>
  <c r="M14" i="4" s="1"/>
  <c r="N14" i="4" s="1"/>
  <c r="O14" i="4" s="1"/>
  <c r="F12" i="4"/>
  <c r="F10" i="4"/>
  <c r="F8" i="4"/>
  <c r="F6" i="4"/>
  <c r="G19" i="4"/>
  <c r="H19" i="4" s="1"/>
  <c r="I19" i="4" s="1"/>
  <c r="J19" i="4" s="1"/>
  <c r="K19" i="4" s="1"/>
  <c r="L19" i="4" s="1"/>
  <c r="M19" i="4" s="1"/>
  <c r="N19" i="4" s="1"/>
  <c r="O19" i="4" s="1"/>
  <c r="F24" i="5" l="1"/>
  <c r="G24" i="5" s="1"/>
  <c r="H24" i="5" s="1"/>
  <c r="I24" i="5" s="1"/>
  <c r="J24" i="5" s="1"/>
  <c r="K24" i="5" s="1"/>
  <c r="L24" i="5" s="1"/>
  <c r="M24" i="5" s="1"/>
  <c r="N24" i="5" s="1"/>
  <c r="O24" i="5" s="1"/>
  <c r="F47" i="5"/>
  <c r="G23" i="5"/>
  <c r="F39" i="4"/>
  <c r="G36" i="4"/>
  <c r="H36" i="4" s="1"/>
  <c r="I36" i="4" s="1"/>
  <c r="J36" i="4" s="1"/>
  <c r="K36" i="4" s="1"/>
  <c r="L36" i="4" s="1"/>
  <c r="M36" i="4" s="1"/>
  <c r="N36" i="4" s="1"/>
  <c r="O36" i="4" s="1"/>
  <c r="D7" i="1"/>
  <c r="D13" i="1" s="1"/>
  <c r="F28" i="5" s="1"/>
  <c r="H23" i="5" l="1"/>
  <c r="G10" i="7"/>
  <c r="F10" i="7"/>
  <c r="G39" i="4"/>
  <c r="G41" i="4" s="1"/>
  <c r="E19" i="8"/>
  <c r="F19" i="8" s="1"/>
  <c r="G19" i="8" s="1"/>
  <c r="H19" i="8" s="1"/>
  <c r="I19" i="8" s="1"/>
  <c r="J19" i="8" s="1"/>
  <c r="K19" i="8" s="1"/>
  <c r="L19" i="8" s="1"/>
  <c r="M19" i="8" s="1"/>
  <c r="F41" i="4"/>
  <c r="F31" i="5"/>
  <c r="G6" i="18"/>
  <c r="I23" i="5" l="1"/>
  <c r="H10" i="7"/>
  <c r="H39" i="4"/>
  <c r="H41" i="4" s="1"/>
  <c r="G23" i="21"/>
  <c r="E15" i="21"/>
  <c r="F15" i="21"/>
  <c r="G15" i="21"/>
  <c r="E14" i="21"/>
  <c r="F14" i="21"/>
  <c r="G14" i="21"/>
  <c r="E13" i="21"/>
  <c r="F13" i="21"/>
  <c r="G13" i="21"/>
  <c r="J23" i="5" l="1"/>
  <c r="I10" i="7"/>
  <c r="I39" i="4"/>
  <c r="J39" i="4" s="1"/>
  <c r="J34" i="6"/>
  <c r="K34" i="6" s="1"/>
  <c r="L34" i="6" s="1"/>
  <c r="M34" i="6" s="1"/>
  <c r="N34" i="6" s="1"/>
  <c r="O34" i="6" s="1"/>
  <c r="P34" i="6" s="1"/>
  <c r="I34" i="6"/>
  <c r="G31" i="6"/>
  <c r="H35" i="6" s="1"/>
  <c r="H22" i="6"/>
  <c r="I22" i="6" s="1"/>
  <c r="J22" i="6" s="1"/>
  <c r="K22" i="6" s="1"/>
  <c r="L22" i="6" s="1"/>
  <c r="M22" i="6" s="1"/>
  <c r="N22" i="6" s="1"/>
  <c r="O22" i="6" s="1"/>
  <c r="P22" i="6" s="1"/>
  <c r="Q22" i="6" s="1"/>
  <c r="F7" i="6"/>
  <c r="K23" i="5" l="1"/>
  <c r="J10" i="7"/>
  <c r="I41" i="4"/>
  <c r="H38" i="6"/>
  <c r="H45" i="6"/>
  <c r="H25" i="6"/>
  <c r="C23" i="21"/>
  <c r="G7" i="6"/>
  <c r="K39" i="4"/>
  <c r="J41" i="4"/>
  <c r="L23" i="5" l="1"/>
  <c r="K10" i="7"/>
  <c r="L39" i="4"/>
  <c r="K41" i="4"/>
  <c r="F23" i="18"/>
  <c r="M23" i="5" l="1"/>
  <c r="L10" i="7"/>
  <c r="M39" i="4"/>
  <c r="L41" i="4"/>
  <c r="N23" i="5" l="1"/>
  <c r="M10" i="7"/>
  <c r="N39" i="4"/>
  <c r="M41" i="4"/>
  <c r="G8" i="5"/>
  <c r="E5" i="1"/>
  <c r="O23" i="5" l="1"/>
  <c r="O10" i="7" s="1"/>
  <c r="N10" i="7"/>
  <c r="H8" i="5"/>
  <c r="O39" i="4"/>
  <c r="O41" i="4" s="1"/>
  <c r="N41" i="4"/>
  <c r="F5" i="1"/>
  <c r="E7" i="1"/>
  <c r="E15" i="2"/>
  <c r="I8" i="5" l="1"/>
  <c r="G5" i="1"/>
  <c r="F7" i="1"/>
  <c r="E5" i="2"/>
  <c r="F5" i="2" s="1"/>
  <c r="G5" i="2" s="1"/>
  <c r="H5" i="2" s="1"/>
  <c r="I5" i="2" s="1"/>
  <c r="J5" i="2" s="1"/>
  <c r="K5" i="2" s="1"/>
  <c r="L5" i="2" s="1"/>
  <c r="M5" i="2" s="1"/>
  <c r="J8" i="5" l="1"/>
  <c r="H5" i="1"/>
  <c r="G7" i="1"/>
  <c r="K8" i="5" l="1"/>
  <c r="I5" i="1"/>
  <c r="H7" i="1"/>
  <c r="H53" i="5"/>
  <c r="H52" i="5"/>
  <c r="L8" i="5" l="1"/>
  <c r="J5" i="1"/>
  <c r="I7" i="1"/>
  <c r="H54" i="5"/>
  <c r="H41" i="5" s="1"/>
  <c r="F15" i="9"/>
  <c r="E9" i="9"/>
  <c r="F6" i="9" l="1"/>
  <c r="G6" i="9" s="1"/>
  <c r="H6" i="9" s="1"/>
  <c r="I6" i="9" s="1"/>
  <c r="J6" i="9" s="1"/>
  <c r="K6" i="9" s="1"/>
  <c r="L6" i="9" s="1"/>
  <c r="M6" i="9" s="1"/>
  <c r="N6" i="9" s="1"/>
  <c r="O6" i="9" s="1"/>
  <c r="F22" i="18"/>
  <c r="F21" i="18" s="1"/>
  <c r="I41" i="5"/>
  <c r="M8" i="5"/>
  <c r="K5" i="1"/>
  <c r="J7" i="1"/>
  <c r="F26" i="9"/>
  <c r="G26" i="9" s="1"/>
  <c r="H26" i="9" s="1"/>
  <c r="I26" i="9" s="1"/>
  <c r="J26" i="9" s="1"/>
  <c r="K26" i="9" s="1"/>
  <c r="L26" i="9" s="1"/>
  <c r="M26" i="9" s="1"/>
  <c r="N26" i="9" s="1"/>
  <c r="O26" i="9" s="1"/>
  <c r="E21" i="9"/>
  <c r="F32" i="9" s="1"/>
  <c r="G32" i="9" s="1"/>
  <c r="H32" i="9" s="1"/>
  <c r="I32" i="9" s="1"/>
  <c r="J32" i="9" s="1"/>
  <c r="K32" i="9" s="1"/>
  <c r="L32" i="9" s="1"/>
  <c r="M32" i="9" s="1"/>
  <c r="N32" i="9" s="1"/>
  <c r="O32" i="9" s="1"/>
  <c r="F27" i="19"/>
  <c r="C29" i="21" s="1"/>
  <c r="F18" i="9"/>
  <c r="G16" i="9"/>
  <c r="F17" i="9"/>
  <c r="F27" i="9" s="1"/>
  <c r="J41" i="5" l="1"/>
  <c r="K41" i="5" s="1"/>
  <c r="L41" i="5" s="1"/>
  <c r="M41" i="5" s="1"/>
  <c r="N41" i="5" s="1"/>
  <c r="O41" i="5" s="1"/>
  <c r="O23" i="10"/>
  <c r="E37" i="9"/>
  <c r="N8" i="5"/>
  <c r="L5" i="1"/>
  <c r="K7" i="1"/>
  <c r="P24" i="10"/>
  <c r="P25" i="10" s="1"/>
  <c r="O8" i="5" l="1"/>
  <c r="M5" i="1"/>
  <c r="M7" i="1" s="1"/>
  <c r="L7" i="1"/>
  <c r="P26" i="10"/>
  <c r="P27" i="10" l="1"/>
  <c r="P28" i="10" l="1"/>
  <c r="P29" i="10" l="1"/>
  <c r="P30" i="10" l="1"/>
  <c r="P31" i="10" l="1"/>
  <c r="P32" i="10" l="1"/>
  <c r="P33" i="10" l="1"/>
  <c r="H37" i="9" l="1"/>
  <c r="G37" i="9"/>
  <c r="D11" i="8" l="1"/>
  <c r="G30" i="19" l="1"/>
  <c r="H30" i="19" s="1"/>
  <c r="I30" i="19" s="1"/>
  <c r="J30" i="19" s="1"/>
  <c r="K30" i="19" s="1"/>
  <c r="L30" i="19" s="1"/>
  <c r="M30" i="19" s="1"/>
  <c r="N30" i="19" s="1"/>
  <c r="O30" i="19" s="1"/>
  <c r="L4" i="1" l="1"/>
  <c r="I35" i="6" l="1"/>
  <c r="F44" i="6"/>
  <c r="H44" i="6" s="1"/>
  <c r="J35" i="6" l="1"/>
  <c r="I45" i="6"/>
  <c r="J44" i="6"/>
  <c r="L44" i="6" s="1"/>
  <c r="N44" i="6" s="1"/>
  <c r="P44" i="6" s="1"/>
  <c r="I44" i="6"/>
  <c r="K44" i="6" s="1"/>
  <c r="M44" i="6" s="1"/>
  <c r="O44" i="6" s="1"/>
  <c r="Q44" i="6" s="1"/>
  <c r="P21" i="6"/>
  <c r="N21" i="6"/>
  <c r="L21" i="6"/>
  <c r="K21" i="6"/>
  <c r="J21" i="6"/>
  <c r="I21" i="6"/>
  <c r="H21" i="6"/>
  <c r="I31" i="6"/>
  <c r="M31" i="6" s="1"/>
  <c r="O31" i="6" s="1"/>
  <c r="Q31" i="6" s="1"/>
  <c r="K35" i="6" l="1"/>
  <c r="J45" i="6"/>
  <c r="J37" i="6"/>
  <c r="K37" i="6" l="1"/>
  <c r="L35" i="6"/>
  <c r="K45" i="6"/>
  <c r="M21" i="6"/>
  <c r="M35" i="6" l="1"/>
  <c r="L45" i="6"/>
  <c r="L37" i="6"/>
  <c r="O21" i="6"/>
  <c r="H9" i="9"/>
  <c r="I9" i="9" s="1"/>
  <c r="J9" i="9" s="1"/>
  <c r="K9" i="9" s="1"/>
  <c r="L9" i="9" s="1"/>
  <c r="M9" i="9" s="1"/>
  <c r="N9" i="9" s="1"/>
  <c r="O9" i="9" s="1"/>
  <c r="M37" i="6" l="1"/>
  <c r="N35" i="6"/>
  <c r="M45" i="6"/>
  <c r="Q21" i="6"/>
  <c r="O35" i="6" l="1"/>
  <c r="N45" i="6"/>
  <c r="N37" i="6"/>
  <c r="I102" i="10"/>
  <c r="O37" i="6" l="1"/>
  <c r="P35" i="6"/>
  <c r="O45" i="6"/>
  <c r="I110" i="10"/>
  <c r="J24" i="6"/>
  <c r="J46" i="6" s="1"/>
  <c r="G17" i="9"/>
  <c r="H24" i="18"/>
  <c r="I24" i="18" s="1"/>
  <c r="J24" i="18" s="1"/>
  <c r="K24" i="18" s="1"/>
  <c r="L24" i="18" s="1"/>
  <c r="M24" i="18" s="1"/>
  <c r="N24" i="18" s="1"/>
  <c r="O24" i="18" s="1"/>
  <c r="P24" i="18" s="1"/>
  <c r="G15" i="18"/>
  <c r="F16" i="7"/>
  <c r="D20" i="8"/>
  <c r="H16" i="9"/>
  <c r="I16" i="9" s="1"/>
  <c r="J16" i="9" s="1"/>
  <c r="K16" i="9" s="1"/>
  <c r="L16" i="9" s="1"/>
  <c r="M16" i="9" s="1"/>
  <c r="N16" i="9" s="1"/>
  <c r="O16" i="9" s="1"/>
  <c r="Q35" i="6" l="1"/>
  <c r="Q45" i="6" s="1"/>
  <c r="P45" i="6"/>
  <c r="P37" i="6"/>
  <c r="H11" i="7"/>
  <c r="K110" i="10"/>
  <c r="I123" i="10"/>
  <c r="K24" i="6"/>
  <c r="K46" i="6" s="1"/>
  <c r="G27" i="9"/>
  <c r="G27" i="19"/>
  <c r="D29" i="21" s="1"/>
  <c r="H17" i="9"/>
  <c r="Q37" i="6" l="1"/>
  <c r="L24" i="6"/>
  <c r="L46" i="6" s="1"/>
  <c r="M110" i="10"/>
  <c r="K123" i="10"/>
  <c r="I11" i="7"/>
  <c r="J11" i="7" s="1"/>
  <c r="H27" i="9"/>
  <c r="H27" i="19"/>
  <c r="E29" i="21" s="1"/>
  <c r="F12" i="5"/>
  <c r="I17" i="9"/>
  <c r="F38" i="5" l="1"/>
  <c r="H39" i="10"/>
  <c r="F7" i="7"/>
  <c r="D55" i="21"/>
  <c r="K11" i="7"/>
  <c r="L11" i="7" s="1"/>
  <c r="M123" i="10"/>
  <c r="O110" i="10"/>
  <c r="O123" i="10" s="1"/>
  <c r="M24" i="6"/>
  <c r="M46" i="6" s="1"/>
  <c r="I27" i="9"/>
  <c r="I27" i="19"/>
  <c r="F29" i="21" s="1"/>
  <c r="J17" i="9"/>
  <c r="E55" i="21" l="1"/>
  <c r="N24" i="6"/>
  <c r="N46" i="6" s="1"/>
  <c r="M11" i="7"/>
  <c r="N11" i="7" s="1"/>
  <c r="J27" i="9"/>
  <c r="J27" i="19"/>
  <c r="G29" i="21" s="1"/>
  <c r="K17" i="9"/>
  <c r="O11" i="7" l="1"/>
  <c r="O24" i="6"/>
  <c r="O46" i="6" s="1"/>
  <c r="F55" i="21"/>
  <c r="K27" i="9"/>
  <c r="K27" i="19"/>
  <c r="L17" i="9"/>
  <c r="G55" i="21" l="1"/>
  <c r="P24" i="6"/>
  <c r="P46" i="6" s="1"/>
  <c r="L27" i="9"/>
  <c r="L27" i="19"/>
  <c r="M17" i="9"/>
  <c r="Q24" i="6" l="1"/>
  <c r="Q46" i="6" s="1"/>
  <c r="L28" i="9"/>
  <c r="L29" i="9" s="1"/>
  <c r="M27" i="9"/>
  <c r="M27" i="19"/>
  <c r="N17" i="9"/>
  <c r="N27" i="9" l="1"/>
  <c r="N27" i="19"/>
  <c r="O17" i="9"/>
  <c r="O27" i="9" l="1"/>
  <c r="O27" i="19"/>
  <c r="F5" i="7" l="1"/>
  <c r="K102" i="10" l="1"/>
  <c r="M102" i="10" s="1"/>
  <c r="O102" i="10" s="1"/>
  <c r="G31" i="9" l="1"/>
  <c r="F31" i="9"/>
  <c r="G15" i="2" l="1"/>
  <c r="I15" i="2" s="1"/>
  <c r="K15" i="2" s="1"/>
  <c r="M15" i="2" s="1"/>
  <c r="F15" i="2"/>
  <c r="E9" i="2"/>
  <c r="E10" i="2"/>
  <c r="F10" i="2" s="1"/>
  <c r="G10" i="2" s="1"/>
  <c r="H10" i="2" s="1"/>
  <c r="I10" i="2" s="1"/>
  <c r="J10" i="2" s="1"/>
  <c r="K10" i="2" s="1"/>
  <c r="L10" i="2" s="1"/>
  <c r="M10" i="2" s="1"/>
  <c r="E11" i="2"/>
  <c r="F11" i="2" s="1"/>
  <c r="G11" i="2" s="1"/>
  <c r="H11" i="2" s="1"/>
  <c r="I11" i="2" s="1"/>
  <c r="J11" i="2" s="1"/>
  <c r="K11" i="2" s="1"/>
  <c r="L11" i="2" s="1"/>
  <c r="M11" i="2" s="1"/>
  <c r="E12" i="2"/>
  <c r="F12" i="2" s="1"/>
  <c r="G12" i="2" s="1"/>
  <c r="H12" i="2" s="1"/>
  <c r="J12" i="2" s="1"/>
  <c r="K12" i="2" s="1"/>
  <c r="L12" i="2" s="1"/>
  <c r="M12" i="2" s="1"/>
  <c r="K31" i="9"/>
  <c r="E15" i="1"/>
  <c r="F15" i="1" s="1"/>
  <c r="G15" i="1" s="1"/>
  <c r="I15" i="1"/>
  <c r="J15" i="1" s="1"/>
  <c r="K15" i="1" s="1"/>
  <c r="M15" i="1"/>
  <c r="F17" i="1"/>
  <c r="G17" i="1" s="1"/>
  <c r="H17" i="1" s="1"/>
  <c r="I17" i="1" s="1"/>
  <c r="J17" i="1" s="1"/>
  <c r="K17" i="1" s="1"/>
  <c r="L17" i="1" s="1"/>
  <c r="M17" i="1" s="1"/>
  <c r="G5" i="4"/>
  <c r="H5" i="4" s="1"/>
  <c r="I5" i="4" s="1"/>
  <c r="J5" i="4" s="1"/>
  <c r="K5" i="4" s="1"/>
  <c r="L5" i="4" s="1"/>
  <c r="M5" i="4" s="1"/>
  <c r="N5" i="4" s="1"/>
  <c r="O5" i="4" s="1"/>
  <c r="G9" i="4"/>
  <c r="G9" i="5"/>
  <c r="G11" i="5" s="1"/>
  <c r="G14" i="9"/>
  <c r="G18" i="9" s="1"/>
  <c r="G35" i="9"/>
  <c r="H35" i="9" s="1"/>
  <c r="I35" i="9" s="1"/>
  <c r="J35" i="9" s="1"/>
  <c r="E25" i="29"/>
  <c r="F25" i="29" s="1"/>
  <c r="E26" i="29"/>
  <c r="F26" i="29" s="1"/>
  <c r="E27" i="29"/>
  <c r="F27" i="29" s="1"/>
  <c r="E28" i="29"/>
  <c r="F28" i="29" s="1"/>
  <c r="E29" i="29"/>
  <c r="F29" i="29" s="1"/>
  <c r="G22" i="19"/>
  <c r="H22" i="19"/>
  <c r="I22" i="19"/>
  <c r="J22" i="19"/>
  <c r="K22" i="19"/>
  <c r="L22" i="19"/>
  <c r="M22" i="19"/>
  <c r="N22" i="19"/>
  <c r="O22" i="19"/>
  <c r="F25" i="26"/>
  <c r="H22" i="18"/>
  <c r="I22" i="18"/>
  <c r="J22" i="18"/>
  <c r="K22" i="18"/>
  <c r="L22" i="18"/>
  <c r="M22" i="18"/>
  <c r="N22" i="18"/>
  <c r="O22" i="18"/>
  <c r="P22" i="18"/>
  <c r="H25" i="18"/>
  <c r="I25" i="18"/>
  <c r="J25" i="18"/>
  <c r="K25" i="18"/>
  <c r="L25" i="18"/>
  <c r="M25" i="18"/>
  <c r="N25" i="18"/>
  <c r="O25" i="18"/>
  <c r="P25" i="18"/>
  <c r="I15" i="10"/>
  <c r="J15" i="10" s="1"/>
  <c r="K15" i="10" s="1"/>
  <c r="L15" i="10" s="1"/>
  <c r="M15" i="10" s="1"/>
  <c r="N15" i="10" s="1"/>
  <c r="O15" i="10" s="1"/>
  <c r="P15" i="10" s="1"/>
  <c r="Q15" i="10" s="1"/>
  <c r="C73" i="23"/>
  <c r="C74" i="23"/>
  <c r="C75" i="23"/>
  <c r="C76" i="23"/>
  <c r="C40" i="28"/>
  <c r="C41" i="28"/>
  <c r="C42" i="28"/>
  <c r="E6" i="2"/>
  <c r="G47" i="5" l="1"/>
  <c r="H9" i="4"/>
  <c r="G10" i="4"/>
  <c r="H9" i="5"/>
  <c r="H11" i="5" s="1"/>
  <c r="H6" i="18"/>
  <c r="M31" i="9"/>
  <c r="O31" i="9"/>
  <c r="I31" i="9"/>
  <c r="G15" i="5"/>
  <c r="F106" i="10"/>
  <c r="F9" i="2"/>
  <c r="G9" i="2" s="1"/>
  <c r="H9" i="2" s="1"/>
  <c r="I9" i="2" s="1"/>
  <c r="J9" i="2" s="1"/>
  <c r="K9" i="2" s="1"/>
  <c r="L9" i="2" s="1"/>
  <c r="M9" i="2" s="1"/>
  <c r="H31" i="9"/>
  <c r="H15" i="2"/>
  <c r="M21" i="18"/>
  <c r="K21" i="18"/>
  <c r="G21" i="18"/>
  <c r="H14" i="9"/>
  <c r="N21" i="18"/>
  <c r="J21" i="18"/>
  <c r="O21" i="18"/>
  <c r="I21" i="18"/>
  <c r="P21" i="18"/>
  <c r="H21" i="18"/>
  <c r="L21" i="18"/>
  <c r="D24" i="23"/>
  <c r="D25" i="26"/>
  <c r="G15" i="4"/>
  <c r="H15" i="4" s="1"/>
  <c r="I15" i="4" s="1"/>
  <c r="J15" i="4" s="1"/>
  <c r="K15" i="4" s="1"/>
  <c r="L15" i="4" s="1"/>
  <c r="M15" i="4" s="1"/>
  <c r="N15" i="4" s="1"/>
  <c r="O15" i="4" s="1"/>
  <c r="G24" i="23"/>
  <c r="G25" i="26"/>
  <c r="E24" i="23"/>
  <c r="F24" i="23"/>
  <c r="E25" i="26"/>
  <c r="H47" i="5" l="1"/>
  <c r="H12" i="5"/>
  <c r="J39" i="10" s="1"/>
  <c r="I9" i="4"/>
  <c r="J9" i="4" s="1"/>
  <c r="K9" i="4" s="1"/>
  <c r="L9" i="4" s="1"/>
  <c r="M9" i="4" s="1"/>
  <c r="N9" i="4" s="1"/>
  <c r="O9" i="4" s="1"/>
  <c r="H10" i="4"/>
  <c r="E13" i="1"/>
  <c r="I14" i="9"/>
  <c r="H18" i="9"/>
  <c r="I9" i="5"/>
  <c r="J15" i="2"/>
  <c r="J31" i="9"/>
  <c r="F23" i="23"/>
  <c r="G24" i="26"/>
  <c r="F24" i="26"/>
  <c r="D24" i="26"/>
  <c r="D23" i="23"/>
  <c r="F28" i="9"/>
  <c r="E23" i="23"/>
  <c r="E24" i="26"/>
  <c r="G23" i="23"/>
  <c r="F6" i="2"/>
  <c r="G7" i="4"/>
  <c r="G5" i="7" l="1"/>
  <c r="J9" i="5"/>
  <c r="J11" i="5" s="1"/>
  <c r="I11" i="5"/>
  <c r="J10" i="4"/>
  <c r="L10" i="4" s="1"/>
  <c r="N10" i="4" s="1"/>
  <c r="I10" i="4"/>
  <c r="K10" i="4" s="1"/>
  <c r="M10" i="4" s="1"/>
  <c r="O10" i="4" s="1"/>
  <c r="I15" i="18"/>
  <c r="F20" i="8"/>
  <c r="H16" i="7"/>
  <c r="J14" i="9"/>
  <c r="I18" i="9"/>
  <c r="G38" i="4"/>
  <c r="H38" i="4" s="1"/>
  <c r="I38" i="4" s="1"/>
  <c r="J38" i="4" s="1"/>
  <c r="K38" i="4" s="1"/>
  <c r="L38" i="4" s="1"/>
  <c r="M38" i="4" s="1"/>
  <c r="N38" i="4" s="1"/>
  <c r="O38" i="4" s="1"/>
  <c r="I6" i="18"/>
  <c r="G7" i="7"/>
  <c r="C51" i="21" s="1"/>
  <c r="H15" i="5"/>
  <c r="G6" i="2"/>
  <c r="F11" i="1"/>
  <c r="L15" i="2"/>
  <c r="L31" i="9"/>
  <c r="H15" i="18"/>
  <c r="G16" i="7"/>
  <c r="E20" i="8"/>
  <c r="C37" i="21" s="1"/>
  <c r="F29" i="9"/>
  <c r="C48" i="21"/>
  <c r="G12" i="5"/>
  <c r="G28" i="9"/>
  <c r="H7" i="4"/>
  <c r="I47" i="5" l="1"/>
  <c r="G38" i="5"/>
  <c r="I39" i="10"/>
  <c r="J47" i="5"/>
  <c r="I12" i="5"/>
  <c r="K39" i="10" s="1"/>
  <c r="J12" i="5"/>
  <c r="L39" i="10" s="1"/>
  <c r="K9" i="5"/>
  <c r="K11" i="5" s="1"/>
  <c r="F13" i="1"/>
  <c r="H5" i="7" s="1"/>
  <c r="K14" i="9"/>
  <c r="J18" i="9"/>
  <c r="H7" i="7"/>
  <c r="F30" i="9"/>
  <c r="F33" i="9" s="1"/>
  <c r="F36" i="9" s="1"/>
  <c r="J6" i="18"/>
  <c r="I15" i="5"/>
  <c r="H6" i="2"/>
  <c r="G11" i="1"/>
  <c r="N31" i="9"/>
  <c r="F120" i="10"/>
  <c r="J15" i="18"/>
  <c r="I16" i="7"/>
  <c r="G20" i="8"/>
  <c r="D37" i="21" s="1"/>
  <c r="C63" i="21"/>
  <c r="C59" i="21"/>
  <c r="H38" i="5"/>
  <c r="D21" i="8"/>
  <c r="D6" i="8" s="1"/>
  <c r="F31" i="19" s="1"/>
  <c r="F32" i="19" s="1"/>
  <c r="G20" i="4"/>
  <c r="G6" i="4"/>
  <c r="G8" i="4"/>
  <c r="G18" i="4"/>
  <c r="H18" i="4" s="1"/>
  <c r="C30" i="21"/>
  <c r="C33" i="21"/>
  <c r="D33" i="23" s="1"/>
  <c r="G29" i="9"/>
  <c r="I7" i="4"/>
  <c r="K47" i="5" l="1"/>
  <c r="M39" i="10"/>
  <c r="K12" i="5"/>
  <c r="L9" i="5"/>
  <c r="L11" i="5" s="1"/>
  <c r="G13" i="1"/>
  <c r="I5" i="7" s="1"/>
  <c r="K15" i="18"/>
  <c r="H20" i="8"/>
  <c r="J16" i="7"/>
  <c r="L14" i="9"/>
  <c r="K18" i="9"/>
  <c r="K16" i="7" s="1"/>
  <c r="G30" i="9"/>
  <c r="G33" i="9" s="1"/>
  <c r="G36" i="9" s="1"/>
  <c r="K6" i="18"/>
  <c r="J15" i="5"/>
  <c r="K15" i="5" s="1"/>
  <c r="F39" i="5"/>
  <c r="I6" i="2"/>
  <c r="M9" i="5"/>
  <c r="M11" i="5" s="1"/>
  <c r="H11" i="1"/>
  <c r="H8" i="10"/>
  <c r="H9" i="10" s="1"/>
  <c r="C26" i="31"/>
  <c r="C5" i="34"/>
  <c r="D59" i="21"/>
  <c r="D63" i="21"/>
  <c r="F38" i="9"/>
  <c r="I28" i="9"/>
  <c r="I29" i="9" s="1"/>
  <c r="F107" i="10"/>
  <c r="G39" i="5"/>
  <c r="E21" i="8"/>
  <c r="E6" i="8" s="1"/>
  <c r="G31" i="19" s="1"/>
  <c r="G32" i="19" s="1"/>
  <c r="H20" i="4"/>
  <c r="H8" i="4"/>
  <c r="H6" i="4"/>
  <c r="H28" i="9"/>
  <c r="H29" i="9" s="1"/>
  <c r="G16" i="4"/>
  <c r="J7" i="4"/>
  <c r="M47" i="5" l="1"/>
  <c r="L47" i="5"/>
  <c r="I20" i="8"/>
  <c r="M12" i="5"/>
  <c r="O39" i="10" s="1"/>
  <c r="L12" i="5"/>
  <c r="N39" i="10" s="1"/>
  <c r="L15" i="18"/>
  <c r="E37" i="21"/>
  <c r="H13" i="1"/>
  <c r="J5" i="7" s="1"/>
  <c r="M14" i="9"/>
  <c r="L18" i="9"/>
  <c r="I30" i="9"/>
  <c r="I33" i="9" s="1"/>
  <c r="L6" i="18"/>
  <c r="J6" i="2"/>
  <c r="I11" i="1"/>
  <c r="I7" i="7"/>
  <c r="D51" i="21" s="1"/>
  <c r="I38" i="5"/>
  <c r="N9" i="5"/>
  <c r="N11" i="5" s="1"/>
  <c r="I120" i="10"/>
  <c r="D48" i="21"/>
  <c r="D26" i="31"/>
  <c r="D5" i="34"/>
  <c r="D61" i="26"/>
  <c r="D61" i="23"/>
  <c r="E63" i="21"/>
  <c r="E59" i="21"/>
  <c r="H30" i="9"/>
  <c r="H33" i="9" s="1"/>
  <c r="H36" i="9" s="1"/>
  <c r="F29" i="5"/>
  <c r="F32" i="5" s="1"/>
  <c r="G28" i="5"/>
  <c r="G31" i="5" s="1"/>
  <c r="H18" i="5"/>
  <c r="H39" i="5" s="1"/>
  <c r="F21" i="8"/>
  <c r="F6" i="8" s="1"/>
  <c r="H31" i="19" s="1"/>
  <c r="H32" i="19" s="1"/>
  <c r="I20" i="4"/>
  <c r="I8" i="4"/>
  <c r="I18" i="4"/>
  <c r="I6" i="4"/>
  <c r="C35" i="21"/>
  <c r="D35" i="23" s="1"/>
  <c r="C13" i="21"/>
  <c r="L15" i="5"/>
  <c r="H16" i="4"/>
  <c r="C36" i="21"/>
  <c r="I8" i="10"/>
  <c r="I9" i="10" s="1"/>
  <c r="G38" i="9"/>
  <c r="K7" i="4"/>
  <c r="N47" i="5" l="1"/>
  <c r="N12" i="5"/>
  <c r="P39" i="10" s="1"/>
  <c r="K8" i="10"/>
  <c r="I36" i="9"/>
  <c r="J38" i="5"/>
  <c r="I13" i="1"/>
  <c r="M18" i="9"/>
  <c r="N14" i="9"/>
  <c r="M15" i="18"/>
  <c r="J20" i="8"/>
  <c r="L16" i="7"/>
  <c r="K7" i="7"/>
  <c r="M6" i="18"/>
  <c r="K6" i="2"/>
  <c r="J11" i="1"/>
  <c r="F34" i="5"/>
  <c r="F99" i="10"/>
  <c r="J7" i="7"/>
  <c r="O9" i="5"/>
  <c r="O11" i="5" s="1"/>
  <c r="K11" i="1"/>
  <c r="J8" i="10"/>
  <c r="J9" i="10" s="1"/>
  <c r="K9" i="10" s="1"/>
  <c r="F108" i="10"/>
  <c r="F121" i="10" s="1"/>
  <c r="F100" i="10"/>
  <c r="E5" i="34"/>
  <c r="E26" i="31"/>
  <c r="E61" i="26"/>
  <c r="E61" i="23"/>
  <c r="K38" i="5"/>
  <c r="G29" i="5"/>
  <c r="G32" i="5" s="1"/>
  <c r="H28" i="5"/>
  <c r="F35" i="5"/>
  <c r="I18" i="5"/>
  <c r="I39" i="5" s="1"/>
  <c r="C14" i="21"/>
  <c r="J18" i="4"/>
  <c r="K18" i="4" s="1"/>
  <c r="L18" i="4" s="1"/>
  <c r="M18" i="4" s="1"/>
  <c r="N18" i="4" s="1"/>
  <c r="O18" i="4" s="1"/>
  <c r="J8" i="4"/>
  <c r="G21" i="8"/>
  <c r="G6" i="8" s="1"/>
  <c r="I31" i="19" s="1"/>
  <c r="I32" i="19" s="1"/>
  <c r="J6" i="4"/>
  <c r="L6" i="2"/>
  <c r="J20" i="4"/>
  <c r="K20" i="4" s="1"/>
  <c r="L20" i="4" s="1"/>
  <c r="M20" i="4" s="1"/>
  <c r="N20" i="4" s="1"/>
  <c r="O20" i="4" s="1"/>
  <c r="I16" i="4"/>
  <c r="C23" i="27"/>
  <c r="D13" i="23"/>
  <c r="M15" i="5"/>
  <c r="J28" i="9"/>
  <c r="J29" i="9" s="1"/>
  <c r="H38" i="9"/>
  <c r="H18" i="10"/>
  <c r="H23" i="6"/>
  <c r="L7" i="4"/>
  <c r="O47" i="5" l="1"/>
  <c r="F48" i="5"/>
  <c r="H47" i="10" s="1"/>
  <c r="H49" i="10" s="1"/>
  <c r="H40" i="10"/>
  <c r="H48" i="10"/>
  <c r="O12" i="5"/>
  <c r="Q39" i="10" s="1"/>
  <c r="F42" i="5"/>
  <c r="G10" i="18"/>
  <c r="G14" i="18" s="1"/>
  <c r="C53" i="21"/>
  <c r="I28" i="5"/>
  <c r="I31" i="5" s="1"/>
  <c r="H31" i="5"/>
  <c r="K13" i="1"/>
  <c r="J13" i="1"/>
  <c r="E51" i="21"/>
  <c r="N15" i="18"/>
  <c r="K20" i="8"/>
  <c r="F37" i="21" s="1"/>
  <c r="M16" i="7"/>
  <c r="F59" i="21" s="1"/>
  <c r="N18" i="9"/>
  <c r="O14" i="9"/>
  <c r="O18" i="9" s="1"/>
  <c r="G34" i="5"/>
  <c r="L7" i="7"/>
  <c r="N6" i="18"/>
  <c r="O6" i="18"/>
  <c r="G8" i="18"/>
  <c r="F40" i="5"/>
  <c r="J28" i="5"/>
  <c r="J31" i="5" s="1"/>
  <c r="H11" i="18"/>
  <c r="G43" i="4"/>
  <c r="F119" i="10"/>
  <c r="I25" i="6"/>
  <c r="G11" i="18"/>
  <c r="F43" i="4"/>
  <c r="F37" i="5" s="1"/>
  <c r="M6" i="2"/>
  <c r="L11" i="1"/>
  <c r="F9" i="7"/>
  <c r="C54" i="21"/>
  <c r="J30" i="9"/>
  <c r="J33" i="9" s="1"/>
  <c r="J36" i="9" s="1"/>
  <c r="K28" i="9"/>
  <c r="K29" i="9" s="1"/>
  <c r="G35" i="5"/>
  <c r="H29" i="5"/>
  <c r="H32" i="5" s="1"/>
  <c r="J18" i="5"/>
  <c r="J39" i="5" s="1"/>
  <c r="C34" i="21"/>
  <c r="D34" i="23" s="1"/>
  <c r="C11" i="32"/>
  <c r="H21" i="8"/>
  <c r="H6" i="8" s="1"/>
  <c r="J31" i="19" s="1"/>
  <c r="J32" i="19" s="1"/>
  <c r="K8" i="4"/>
  <c r="L8" i="4" s="1"/>
  <c r="M8" i="4" s="1"/>
  <c r="N8" i="4" s="1"/>
  <c r="O8" i="4" s="1"/>
  <c r="K6" i="4"/>
  <c r="L6" i="4" s="1"/>
  <c r="M6" i="4" s="1"/>
  <c r="N6" i="4" s="1"/>
  <c r="O6" i="4" s="1"/>
  <c r="N15" i="5"/>
  <c r="D33" i="21"/>
  <c r="L38" i="5"/>
  <c r="J16" i="4"/>
  <c r="F102" i="10"/>
  <c r="H102" i="10" s="1"/>
  <c r="F110" i="10"/>
  <c r="H36" i="6"/>
  <c r="L30" i="9"/>
  <c r="L33" i="9" s="1"/>
  <c r="L36" i="9" s="1"/>
  <c r="I38" i="9"/>
  <c r="I23" i="6"/>
  <c r="M7" i="4"/>
  <c r="D14" i="8"/>
  <c r="G48" i="5" l="1"/>
  <c r="I47" i="10" s="1"/>
  <c r="I49" i="10" s="1"/>
  <c r="I40" i="10"/>
  <c r="I48" i="10"/>
  <c r="G42" i="5"/>
  <c r="F103" i="10" s="1"/>
  <c r="D53" i="21"/>
  <c r="F63" i="21"/>
  <c r="F61" i="26" s="1"/>
  <c r="L13" i="1"/>
  <c r="H7" i="18"/>
  <c r="G37" i="5"/>
  <c r="K5" i="7"/>
  <c r="F48" i="21" s="1"/>
  <c r="N16" i="7"/>
  <c r="O15" i="18"/>
  <c r="L20" i="8"/>
  <c r="P15" i="18"/>
  <c r="M20" i="8"/>
  <c r="O16" i="7"/>
  <c r="H8" i="18"/>
  <c r="G40" i="5"/>
  <c r="K30" i="9"/>
  <c r="K33" i="9" s="1"/>
  <c r="K36" i="9" s="1"/>
  <c r="P6" i="18"/>
  <c r="I99" i="10"/>
  <c r="K28" i="5"/>
  <c r="I100" i="10"/>
  <c r="G8" i="7"/>
  <c r="I11" i="18"/>
  <c r="H43" i="4"/>
  <c r="K120" i="10"/>
  <c r="J25" i="6"/>
  <c r="G7" i="18"/>
  <c r="F6" i="7"/>
  <c r="F13" i="7" s="1"/>
  <c r="F15" i="7" s="1"/>
  <c r="M11" i="1"/>
  <c r="L8" i="10"/>
  <c r="L9" i="10" s="1"/>
  <c r="H10" i="18"/>
  <c r="H14" i="18" s="1"/>
  <c r="G9" i="7"/>
  <c r="F44" i="5"/>
  <c r="F45" i="5" s="1"/>
  <c r="H46" i="10" s="1"/>
  <c r="I108" i="10"/>
  <c r="I121" i="10" s="1"/>
  <c r="D54" i="21"/>
  <c r="H35" i="5"/>
  <c r="I29" i="5"/>
  <c r="I32" i="5" s="1"/>
  <c r="K18" i="5"/>
  <c r="K39" i="5" s="1"/>
  <c r="C21" i="27"/>
  <c r="C38" i="21"/>
  <c r="C37" i="27" s="1"/>
  <c r="C52" i="28"/>
  <c r="C26" i="27"/>
  <c r="C21" i="32"/>
  <c r="C50" i="25"/>
  <c r="C57" i="28"/>
  <c r="C5" i="28"/>
  <c r="C47" i="25"/>
  <c r="C63" i="25"/>
  <c r="C47" i="28"/>
  <c r="C23" i="32"/>
  <c r="C26" i="28"/>
  <c r="C16" i="32"/>
  <c r="C20" i="28"/>
  <c r="C6" i="32"/>
  <c r="C54" i="25"/>
  <c r="E14" i="8"/>
  <c r="G12" i="19" s="1"/>
  <c r="I36" i="6"/>
  <c r="E33" i="23"/>
  <c r="D34" i="26"/>
  <c r="D29" i="23"/>
  <c r="D30" i="21"/>
  <c r="D30" i="26"/>
  <c r="K16" i="4"/>
  <c r="L16" i="4" s="1"/>
  <c r="M16" i="4" s="1"/>
  <c r="N16" i="4" s="1"/>
  <c r="O16" i="4" s="1"/>
  <c r="I21" i="8"/>
  <c r="I6" i="8" s="1"/>
  <c r="K31" i="19" s="1"/>
  <c r="K32" i="19" s="1"/>
  <c r="O15" i="5"/>
  <c r="D37" i="23"/>
  <c r="D38" i="26"/>
  <c r="J38" i="9"/>
  <c r="D7" i="8"/>
  <c r="D8" i="8" s="1"/>
  <c r="G19" i="18" s="1"/>
  <c r="F12" i="19"/>
  <c r="N7" i="4"/>
  <c r="J23" i="6"/>
  <c r="F14" i="8"/>
  <c r="G45" i="5" l="1"/>
  <c r="I46" i="10" s="1"/>
  <c r="E53" i="21"/>
  <c r="H42" i="5"/>
  <c r="F20" i="7"/>
  <c r="F21" i="7" s="1"/>
  <c r="F18" i="7"/>
  <c r="F61" i="23"/>
  <c r="F26" i="31"/>
  <c r="F5" i="34"/>
  <c r="F98" i="10"/>
  <c r="G44" i="5"/>
  <c r="L28" i="5"/>
  <c r="L29" i="5" s="1"/>
  <c r="L32" i="5" s="1"/>
  <c r="K31" i="5"/>
  <c r="M38" i="5"/>
  <c r="N7" i="7"/>
  <c r="M7" i="7"/>
  <c r="F51" i="21" s="1"/>
  <c r="M13" i="1"/>
  <c r="E48" i="21"/>
  <c r="I7" i="18"/>
  <c r="H37" i="5"/>
  <c r="L5" i="7"/>
  <c r="M5" i="7"/>
  <c r="G63" i="21"/>
  <c r="G59" i="21"/>
  <c r="G37" i="21"/>
  <c r="H34" i="5"/>
  <c r="H40" i="5"/>
  <c r="I34" i="5"/>
  <c r="O7" i="7"/>
  <c r="I8" i="18"/>
  <c r="K99" i="10"/>
  <c r="H8" i="7"/>
  <c r="C52" i="21"/>
  <c r="C51" i="25" s="1"/>
  <c r="I119" i="10"/>
  <c r="J11" i="18"/>
  <c r="I43" i="4"/>
  <c r="I106" i="10"/>
  <c r="G5" i="18"/>
  <c r="K25" i="6"/>
  <c r="N8" i="10"/>
  <c r="I10" i="18"/>
  <c r="H9" i="7"/>
  <c r="F109" i="10"/>
  <c r="F122" i="10" s="1"/>
  <c r="F101" i="10"/>
  <c r="H5" i="18"/>
  <c r="G17" i="18"/>
  <c r="M120" i="10"/>
  <c r="G6" i="7"/>
  <c r="G13" i="7" s="1"/>
  <c r="G15" i="7" s="1"/>
  <c r="C52" i="25"/>
  <c r="G13" i="18"/>
  <c r="N28" i="9"/>
  <c r="N29" i="9" s="1"/>
  <c r="N38" i="5"/>
  <c r="I107" i="10"/>
  <c r="I35" i="5"/>
  <c r="J29" i="5"/>
  <c r="J32" i="5" s="1"/>
  <c r="L18" i="5"/>
  <c r="L39" i="5" s="1"/>
  <c r="C6" i="27"/>
  <c r="C12" i="27"/>
  <c r="C15" i="31"/>
  <c r="C17" i="27"/>
  <c r="C20" i="31"/>
  <c r="E7" i="8"/>
  <c r="D8" i="26"/>
  <c r="J21" i="8"/>
  <c r="J6" i="8" s="1"/>
  <c r="L31" i="19" s="1"/>
  <c r="L32" i="19" s="1"/>
  <c r="D36" i="21"/>
  <c r="D36" i="23" s="1"/>
  <c r="D14" i="21"/>
  <c r="M28" i="9"/>
  <c r="M29" i="9" s="1"/>
  <c r="J36" i="6"/>
  <c r="D13" i="21"/>
  <c r="D35" i="21"/>
  <c r="D31" i="26"/>
  <c r="D30" i="23"/>
  <c r="M8" i="10"/>
  <c r="M9" i="10" s="1"/>
  <c r="K38" i="9"/>
  <c r="F111" i="10"/>
  <c r="H111" i="10" s="1"/>
  <c r="H12" i="19"/>
  <c r="F7" i="8"/>
  <c r="K23" i="6"/>
  <c r="O7" i="4"/>
  <c r="H26" i="6"/>
  <c r="I48" i="5" l="1"/>
  <c r="K48" i="10" s="1"/>
  <c r="K40" i="10"/>
  <c r="H48" i="5"/>
  <c r="J48" i="10" s="1"/>
  <c r="J40" i="10"/>
  <c r="F23" i="7"/>
  <c r="F26" i="7" s="1"/>
  <c r="F27" i="7" s="1"/>
  <c r="F23" i="19" s="1"/>
  <c r="F53" i="21"/>
  <c r="I42" i="5"/>
  <c r="G18" i="7"/>
  <c r="G19" i="7" s="1"/>
  <c r="G20" i="7" s="1"/>
  <c r="G21" i="7" s="1"/>
  <c r="G23" i="7" s="1"/>
  <c r="G26" i="7" s="1"/>
  <c r="M28" i="5"/>
  <c r="M29" i="5" s="1"/>
  <c r="M32" i="5" s="1"/>
  <c r="L31" i="5"/>
  <c r="J8" i="18"/>
  <c r="I8" i="7"/>
  <c r="D52" i="21" s="1"/>
  <c r="D50" i="26" s="1"/>
  <c r="I37" i="5"/>
  <c r="N5" i="7"/>
  <c r="I40" i="5"/>
  <c r="G5" i="34"/>
  <c r="G26" i="31"/>
  <c r="G61" i="26"/>
  <c r="G61" i="23"/>
  <c r="M30" i="9"/>
  <c r="M33" i="9" s="1"/>
  <c r="M36" i="9" s="1"/>
  <c r="J7" i="18"/>
  <c r="K11" i="18"/>
  <c r="J43" i="4"/>
  <c r="N9" i="10"/>
  <c r="I38" i="6"/>
  <c r="I47" i="6" s="1"/>
  <c r="F8" i="19"/>
  <c r="L25" i="6"/>
  <c r="E8" i="8"/>
  <c r="H19" i="18" s="1"/>
  <c r="I9" i="7"/>
  <c r="J10" i="18"/>
  <c r="F112" i="10"/>
  <c r="K100" i="10"/>
  <c r="K121" i="10" s="1"/>
  <c r="H44" i="5"/>
  <c r="H45" i="5" s="1"/>
  <c r="J46" i="10" s="1"/>
  <c r="K108" i="10"/>
  <c r="F54" i="21"/>
  <c r="E54" i="21"/>
  <c r="G27" i="18"/>
  <c r="G28" i="18" s="1"/>
  <c r="O38" i="5"/>
  <c r="L11" i="18"/>
  <c r="K43" i="4"/>
  <c r="K37" i="5" s="1"/>
  <c r="K29" i="5"/>
  <c r="K32" i="5" s="1"/>
  <c r="J34" i="5"/>
  <c r="M18" i="5"/>
  <c r="M39" i="5" s="1"/>
  <c r="G51" i="21"/>
  <c r="D34" i="21"/>
  <c r="D8" i="23"/>
  <c r="E36" i="23"/>
  <c r="D37" i="26"/>
  <c r="K36" i="6"/>
  <c r="D14" i="23"/>
  <c r="D14" i="26"/>
  <c r="D36" i="26"/>
  <c r="E35" i="23"/>
  <c r="D13" i="26"/>
  <c r="D25" i="28"/>
  <c r="D23" i="27"/>
  <c r="D21" i="28"/>
  <c r="H39" i="6"/>
  <c r="L38" i="9"/>
  <c r="O28" i="9"/>
  <c r="N30" i="9"/>
  <c r="N33" i="9" s="1"/>
  <c r="N36" i="9" s="1"/>
  <c r="G14" i="8"/>
  <c r="C12" i="21"/>
  <c r="L23" i="6"/>
  <c r="I26" i="6"/>
  <c r="J47" i="10" l="1"/>
  <c r="J49" i="10" s="1"/>
  <c r="C25" i="21"/>
  <c r="F21" i="19"/>
  <c r="F25" i="19" s="1"/>
  <c r="F34" i="19" s="1"/>
  <c r="K47" i="10"/>
  <c r="K49" i="10" s="1"/>
  <c r="J48" i="5"/>
  <c r="L48" i="10" s="1"/>
  <c r="G27" i="7"/>
  <c r="G23" i="19" s="1"/>
  <c r="L47" i="10"/>
  <c r="L49" i="10" s="1"/>
  <c r="I98" i="10"/>
  <c r="I44" i="5"/>
  <c r="N28" i="5"/>
  <c r="N29" i="5" s="1"/>
  <c r="N32" i="5" s="1"/>
  <c r="M31" i="5"/>
  <c r="J8" i="7"/>
  <c r="J37" i="5"/>
  <c r="K98" i="10" s="1"/>
  <c r="O5" i="7"/>
  <c r="G48" i="21" s="1"/>
  <c r="K34" i="5"/>
  <c r="J35" i="5"/>
  <c r="J42" i="5" s="1"/>
  <c r="J40" i="5"/>
  <c r="D49" i="23"/>
  <c r="M99" i="10"/>
  <c r="I103" i="10"/>
  <c r="K7" i="18"/>
  <c r="F8" i="8"/>
  <c r="I19" i="18" s="1"/>
  <c r="I17" i="18" s="1"/>
  <c r="H17" i="18"/>
  <c r="I6" i="10" s="1"/>
  <c r="J38" i="6"/>
  <c r="J47" i="6" s="1"/>
  <c r="G8" i="19"/>
  <c r="M25" i="6"/>
  <c r="K106" i="10"/>
  <c r="H48" i="6"/>
  <c r="O8" i="10"/>
  <c r="O9" i="10" s="1"/>
  <c r="I109" i="10"/>
  <c r="I122" i="10" s="1"/>
  <c r="I6" i="7"/>
  <c r="I13" i="7" s="1"/>
  <c r="I15" i="7" s="1"/>
  <c r="I18" i="7" s="1"/>
  <c r="I101" i="10"/>
  <c r="M100" i="10"/>
  <c r="L7" i="18"/>
  <c r="K8" i="7"/>
  <c r="O120" i="10"/>
  <c r="H6" i="7"/>
  <c r="H13" i="7" s="1"/>
  <c r="H15" i="7" s="1"/>
  <c r="I18" i="10"/>
  <c r="H6" i="10"/>
  <c r="H7" i="10" s="1"/>
  <c r="C50" i="21"/>
  <c r="C53" i="25"/>
  <c r="K119" i="10"/>
  <c r="C15" i="21"/>
  <c r="K35" i="5"/>
  <c r="K42" i="5" s="1"/>
  <c r="C58" i="25"/>
  <c r="N18" i="5"/>
  <c r="N39" i="5" s="1"/>
  <c r="K21" i="8"/>
  <c r="K6" i="8" s="1"/>
  <c r="M31" i="19" s="1"/>
  <c r="M32" i="19" s="1"/>
  <c r="L21" i="8"/>
  <c r="L6" i="8" s="1"/>
  <c r="N31" i="19" s="1"/>
  <c r="N32" i="19" s="1"/>
  <c r="E29" i="23"/>
  <c r="L36" i="6"/>
  <c r="I39" i="6"/>
  <c r="D38" i="21"/>
  <c r="D35" i="28"/>
  <c r="D31" i="28"/>
  <c r="D32" i="28" s="1"/>
  <c r="D35" i="26"/>
  <c r="E34" i="23"/>
  <c r="D21" i="27"/>
  <c r="D48" i="23"/>
  <c r="D49" i="26"/>
  <c r="P8" i="10"/>
  <c r="M38" i="9"/>
  <c r="O29" i="9"/>
  <c r="J26" i="6"/>
  <c r="M23" i="6"/>
  <c r="C31" i="27"/>
  <c r="C11" i="27"/>
  <c r="C22" i="27"/>
  <c r="C24" i="27" s="1"/>
  <c r="F23" i="9"/>
  <c r="F14" i="19"/>
  <c r="F15" i="19" s="1"/>
  <c r="G7" i="8"/>
  <c r="I12" i="19"/>
  <c r="D25" i="21" l="1"/>
  <c r="G21" i="19"/>
  <c r="G25" i="19" s="1"/>
  <c r="G34" i="19" s="1"/>
  <c r="K48" i="5"/>
  <c r="M47" i="10" s="1"/>
  <c r="M49" i="10" s="1"/>
  <c r="M40" i="10"/>
  <c r="L40" i="10"/>
  <c r="H18" i="7"/>
  <c r="H19" i="7" s="1"/>
  <c r="K8" i="18"/>
  <c r="G53" i="21"/>
  <c r="C7" i="21"/>
  <c r="H49" i="6"/>
  <c r="F7" i="19" s="1"/>
  <c r="I45" i="5"/>
  <c r="K46" i="10" s="1"/>
  <c r="J44" i="5"/>
  <c r="O28" i="5"/>
  <c r="N31" i="5"/>
  <c r="E52" i="21"/>
  <c r="E50" i="26" s="1"/>
  <c r="L8" i="18"/>
  <c r="J9" i="7"/>
  <c r="K10" i="18"/>
  <c r="K40" i="5"/>
  <c r="I10" i="10"/>
  <c r="G8" i="8"/>
  <c r="J19" i="18" s="1"/>
  <c r="J17" i="18" s="1"/>
  <c r="M106" i="10"/>
  <c r="M11" i="18"/>
  <c r="L43" i="4"/>
  <c r="H27" i="18"/>
  <c r="H28" i="18" s="1"/>
  <c r="O24" i="10" s="1"/>
  <c r="P9" i="10"/>
  <c r="N25" i="6"/>
  <c r="I48" i="6"/>
  <c r="K38" i="6"/>
  <c r="K47" i="6" s="1"/>
  <c r="H8" i="19"/>
  <c r="I7" i="10"/>
  <c r="I112" i="10"/>
  <c r="K9" i="7"/>
  <c r="L10" i="18"/>
  <c r="K103" i="10"/>
  <c r="M103" i="10" s="1"/>
  <c r="O103" i="10" s="1"/>
  <c r="M108" i="10"/>
  <c r="M121" i="10" s="1"/>
  <c r="C57" i="21"/>
  <c r="C32" i="27"/>
  <c r="I125" i="10"/>
  <c r="D50" i="23"/>
  <c r="D51" i="26"/>
  <c r="G54" i="21"/>
  <c r="H10" i="10"/>
  <c r="C30" i="28"/>
  <c r="C10" i="28"/>
  <c r="C36" i="28"/>
  <c r="C16" i="28"/>
  <c r="C49" i="25"/>
  <c r="E38" i="26"/>
  <c r="L35" i="5"/>
  <c r="L42" i="5" s="1"/>
  <c r="O18" i="5"/>
  <c r="O39" i="5" s="1"/>
  <c r="D15" i="23"/>
  <c r="M21" i="8"/>
  <c r="M6" i="8" s="1"/>
  <c r="O31" i="19" s="1"/>
  <c r="O32" i="19" s="1"/>
  <c r="D63" i="25"/>
  <c r="D46" i="26"/>
  <c r="D23" i="32"/>
  <c r="D5" i="28"/>
  <c r="D47" i="25"/>
  <c r="D26" i="27"/>
  <c r="D57" i="28"/>
  <c r="D6" i="32"/>
  <c r="D51" i="25"/>
  <c r="D45" i="23"/>
  <c r="D74" i="23" s="1"/>
  <c r="D11" i="32"/>
  <c r="D47" i="28"/>
  <c r="D52" i="25"/>
  <c r="D50" i="25"/>
  <c r="D20" i="28"/>
  <c r="D22" i="28" s="1"/>
  <c r="D52" i="28"/>
  <c r="D16" i="32"/>
  <c r="D26" i="28"/>
  <c r="D27" i="28" s="1"/>
  <c r="D41" i="28" s="1"/>
  <c r="D6" i="27"/>
  <c r="D15" i="31"/>
  <c r="D20" i="31"/>
  <c r="D38" i="23"/>
  <c r="D12" i="27"/>
  <c r="D17" i="27"/>
  <c r="D37" i="27"/>
  <c r="D39" i="26"/>
  <c r="F33" i="23"/>
  <c r="E34" i="26"/>
  <c r="F29" i="23"/>
  <c r="E30" i="21"/>
  <c r="E30" i="23" s="1"/>
  <c r="E30" i="26"/>
  <c r="J39" i="6"/>
  <c r="I14" i="8"/>
  <c r="K12" i="19" s="1"/>
  <c r="O30" i="9"/>
  <c r="N38" i="9"/>
  <c r="N23" i="6"/>
  <c r="D21" i="32"/>
  <c r="D53" i="26"/>
  <c r="D54" i="25"/>
  <c r="D52" i="23"/>
  <c r="K26" i="6"/>
  <c r="H14" i="8"/>
  <c r="M48" i="10" l="1"/>
  <c r="I19" i="7"/>
  <c r="I20" i="7" s="1"/>
  <c r="I21" i="7" s="1"/>
  <c r="J14" i="18" s="1"/>
  <c r="J5" i="18" s="1"/>
  <c r="J27" i="18" s="1"/>
  <c r="H20" i="7"/>
  <c r="H21" i="7" s="1"/>
  <c r="I14" i="18" s="1"/>
  <c r="I5" i="18" s="1"/>
  <c r="J6" i="10" s="1"/>
  <c r="J7" i="10" s="1"/>
  <c r="C61" i="21"/>
  <c r="C65" i="21" s="1"/>
  <c r="G7" i="19"/>
  <c r="F9" i="19"/>
  <c r="F17" i="19" s="1"/>
  <c r="F36" i="19" s="1"/>
  <c r="C58" i="28"/>
  <c r="C9" i="21"/>
  <c r="I49" i="6"/>
  <c r="I51" i="6" s="1"/>
  <c r="H51" i="6"/>
  <c r="K44" i="5"/>
  <c r="J45" i="5"/>
  <c r="L46" i="10" s="1"/>
  <c r="O31" i="5"/>
  <c r="O29" i="5"/>
  <c r="O32" i="5" s="1"/>
  <c r="M7" i="18"/>
  <c r="L37" i="5"/>
  <c r="H12" i="10"/>
  <c r="H16" i="10"/>
  <c r="H17" i="10" s="1"/>
  <c r="I16" i="10"/>
  <c r="L34" i="5"/>
  <c r="L40" i="5"/>
  <c r="O33" i="9"/>
  <c r="O36" i="9" s="1"/>
  <c r="O99" i="10"/>
  <c r="L8" i="7"/>
  <c r="N11" i="18"/>
  <c r="M43" i="4"/>
  <c r="N7" i="18" s="1"/>
  <c r="M119" i="10"/>
  <c r="G14" i="19"/>
  <c r="G15" i="19" s="1"/>
  <c r="G23" i="9"/>
  <c r="I12" i="10"/>
  <c r="J48" i="6"/>
  <c r="E7" i="21" s="1"/>
  <c r="O25" i="6"/>
  <c r="L38" i="6"/>
  <c r="L47" i="6" s="1"/>
  <c r="I8" i="19"/>
  <c r="D7" i="21"/>
  <c r="D9" i="21" s="1"/>
  <c r="L9" i="7"/>
  <c r="M10" i="18"/>
  <c r="K101" i="10"/>
  <c r="J124" i="10"/>
  <c r="J119" i="10"/>
  <c r="J121" i="10"/>
  <c r="J122" i="10"/>
  <c r="J123" i="10"/>
  <c r="J120" i="10"/>
  <c r="J6" i="7"/>
  <c r="J13" i="7" s="1"/>
  <c r="J15" i="7" s="1"/>
  <c r="K6" i="7"/>
  <c r="K13" i="7" s="1"/>
  <c r="K15" i="7" s="1"/>
  <c r="K18" i="7" s="1"/>
  <c r="I104" i="10"/>
  <c r="J102" i="10" s="1"/>
  <c r="F104" i="10"/>
  <c r="H103" i="10" s="1"/>
  <c r="I11" i="10"/>
  <c r="I13" i="10" s="1"/>
  <c r="H11" i="10"/>
  <c r="H13" i="10" s="1"/>
  <c r="C5" i="32"/>
  <c r="C7" i="32" s="1"/>
  <c r="C56" i="25"/>
  <c r="E37" i="23"/>
  <c r="K107" i="10"/>
  <c r="M35" i="5"/>
  <c r="M42" i="5" s="1"/>
  <c r="I7" i="8"/>
  <c r="E49" i="23"/>
  <c r="K39" i="6"/>
  <c r="N36" i="6"/>
  <c r="E8" i="23"/>
  <c r="M36" i="6"/>
  <c r="E31" i="26"/>
  <c r="L26" i="6"/>
  <c r="O23" i="6"/>
  <c r="I111" i="10"/>
  <c r="J111" i="10" s="1"/>
  <c r="D6" i="26"/>
  <c r="D6" i="23"/>
  <c r="J12" i="19"/>
  <c r="H7" i="8"/>
  <c r="H8" i="8" s="1"/>
  <c r="K19" i="18" s="1"/>
  <c r="K17" i="18" s="1"/>
  <c r="J14" i="8"/>
  <c r="L48" i="5" l="1"/>
  <c r="N47" i="10" s="1"/>
  <c r="N49" i="10" s="1"/>
  <c r="N40" i="10"/>
  <c r="N48" i="10"/>
  <c r="J10" i="10"/>
  <c r="J11" i="10" s="1"/>
  <c r="H23" i="7"/>
  <c r="H26" i="7" s="1"/>
  <c r="H27" i="7" s="1"/>
  <c r="H23" i="19" s="1"/>
  <c r="I27" i="18"/>
  <c r="I28" i="18" s="1"/>
  <c r="H14" i="19" s="1"/>
  <c r="H15" i="19" s="1"/>
  <c r="C67" i="21"/>
  <c r="C67" i="25" s="1"/>
  <c r="K6" i="10"/>
  <c r="K7" i="10" s="1"/>
  <c r="K16" i="10" s="1"/>
  <c r="I23" i="7"/>
  <c r="I26" i="7" s="1"/>
  <c r="I27" i="7" s="1"/>
  <c r="I23" i="19" s="1"/>
  <c r="I21" i="19" s="1"/>
  <c r="J18" i="7"/>
  <c r="J19" i="7" s="1"/>
  <c r="J49" i="6"/>
  <c r="J51" i="6" s="1"/>
  <c r="H7" i="19"/>
  <c r="G9" i="19"/>
  <c r="G17" i="19" s="1"/>
  <c r="G36" i="19" s="1"/>
  <c r="K45" i="5"/>
  <c r="M46" i="10" s="1"/>
  <c r="L44" i="5"/>
  <c r="M8" i="7"/>
  <c r="F52" i="21" s="1"/>
  <c r="M37" i="5"/>
  <c r="M98" i="10" s="1"/>
  <c r="J12" i="10"/>
  <c r="J16" i="10"/>
  <c r="O38" i="9"/>
  <c r="Q8" i="10"/>
  <c r="Q9" i="10" s="1"/>
  <c r="M8" i="18"/>
  <c r="M40" i="5"/>
  <c r="K10" i="10"/>
  <c r="K11" i="10" s="1"/>
  <c r="O11" i="18"/>
  <c r="N43" i="4"/>
  <c r="C16" i="21"/>
  <c r="K48" i="6"/>
  <c r="F7" i="21" s="1"/>
  <c r="M38" i="6"/>
  <c r="M47" i="6" s="1"/>
  <c r="J8" i="19"/>
  <c r="D7" i="23"/>
  <c r="D7" i="26"/>
  <c r="D58" i="28"/>
  <c r="P25" i="6"/>
  <c r="D15" i="21"/>
  <c r="D15" i="26" s="1"/>
  <c r="K109" i="10"/>
  <c r="K122" i="10" s="1"/>
  <c r="O100" i="10"/>
  <c r="O108" i="10"/>
  <c r="O121" i="10" s="1"/>
  <c r="J125" i="10"/>
  <c r="J103" i="10"/>
  <c r="K104" i="10"/>
  <c r="C32" i="32"/>
  <c r="C25" i="31"/>
  <c r="C27" i="31" s="1"/>
  <c r="C6" i="34"/>
  <c r="C7" i="34" s="1"/>
  <c r="C60" i="25"/>
  <c r="C15" i="32"/>
  <c r="C17" i="32" s="1"/>
  <c r="C49" i="32"/>
  <c r="C20" i="32"/>
  <c r="C22" i="32" s="1"/>
  <c r="C24" i="32" s="1"/>
  <c r="E8" i="26"/>
  <c r="M34" i="5"/>
  <c r="N35" i="5"/>
  <c r="N42" i="5" s="1"/>
  <c r="E49" i="26"/>
  <c r="I8" i="8"/>
  <c r="L19" i="18" s="1"/>
  <c r="L17" i="18" s="1"/>
  <c r="E14" i="26"/>
  <c r="F36" i="23"/>
  <c r="E37" i="26"/>
  <c r="O36" i="6"/>
  <c r="E21" i="28"/>
  <c r="E13" i="23"/>
  <c r="E23" i="27"/>
  <c r="E25" i="28"/>
  <c r="E13" i="26"/>
  <c r="F35" i="23"/>
  <c r="E36" i="26"/>
  <c r="L39" i="6"/>
  <c r="P23" i="6"/>
  <c r="J7" i="8"/>
  <c r="J8" i="8" s="1"/>
  <c r="M19" i="18" s="1"/>
  <c r="M17" i="18" s="1"/>
  <c r="L12" i="19"/>
  <c r="D9" i="26"/>
  <c r="D48" i="28"/>
  <c r="D49" i="28" s="1"/>
  <c r="D9" i="23"/>
  <c r="K14" i="8"/>
  <c r="D12" i="21"/>
  <c r="M26" i="6"/>
  <c r="E25" i="21" l="1"/>
  <c r="H21" i="19"/>
  <c r="H25" i="19" s="1"/>
  <c r="H34" i="19" s="1"/>
  <c r="M48" i="5"/>
  <c r="O48" i="10" s="1"/>
  <c r="O40" i="10"/>
  <c r="O47" i="10"/>
  <c r="O49" i="10" s="1"/>
  <c r="H23" i="9"/>
  <c r="J28" i="18"/>
  <c r="O25" i="10" s="1"/>
  <c r="K19" i="7"/>
  <c r="K20" i="7" s="1"/>
  <c r="K21" i="7" s="1"/>
  <c r="K23" i="7" s="1"/>
  <c r="K26" i="7" s="1"/>
  <c r="J20" i="7"/>
  <c r="J21" i="7" s="1"/>
  <c r="J23" i="7" s="1"/>
  <c r="J26" i="7" s="1"/>
  <c r="J27" i="7" s="1"/>
  <c r="J23" i="19" s="1"/>
  <c r="I7" i="19"/>
  <c r="H9" i="19"/>
  <c r="H17" i="19" s="1"/>
  <c r="K49" i="6"/>
  <c r="K51" i="6" s="1"/>
  <c r="M44" i="5"/>
  <c r="L45" i="5"/>
  <c r="N46" i="10" s="1"/>
  <c r="N8" i="7"/>
  <c r="N37" i="5"/>
  <c r="I25" i="19"/>
  <c r="I34" i="19" s="1"/>
  <c r="F25" i="21"/>
  <c r="N34" i="5"/>
  <c r="P40" i="10" s="1"/>
  <c r="N40" i="5"/>
  <c r="M50" i="10"/>
  <c r="J50" i="10"/>
  <c r="N8" i="18"/>
  <c r="L50" i="10"/>
  <c r="I50" i="10"/>
  <c r="O7" i="18"/>
  <c r="O106" i="10"/>
  <c r="P11" i="18"/>
  <c r="O43" i="4"/>
  <c r="O119" i="10"/>
  <c r="J13" i="10"/>
  <c r="K125" i="10"/>
  <c r="L119" i="10" s="1"/>
  <c r="K13" i="10"/>
  <c r="L120" i="10"/>
  <c r="Q25" i="6"/>
  <c r="M101" i="10"/>
  <c r="L48" i="6"/>
  <c r="N38" i="6"/>
  <c r="N47" i="6" s="1"/>
  <c r="K8" i="19"/>
  <c r="M109" i="10"/>
  <c r="M122" i="10" s="1"/>
  <c r="N9" i="7"/>
  <c r="O10" i="18"/>
  <c r="K112" i="10"/>
  <c r="N10" i="18"/>
  <c r="M9" i="7"/>
  <c r="K12" i="10"/>
  <c r="F125" i="10"/>
  <c r="L6" i="7"/>
  <c r="L13" i="7" s="1"/>
  <c r="C26" i="21"/>
  <c r="C50" i="32" s="1"/>
  <c r="K14" i="18"/>
  <c r="K5" i="18" s="1"/>
  <c r="C65" i="25"/>
  <c r="C11" i="34"/>
  <c r="C69" i="21"/>
  <c r="H110" i="10"/>
  <c r="H98" i="10"/>
  <c r="H101" i="10"/>
  <c r="H104" i="10"/>
  <c r="H99" i="10"/>
  <c r="H100" i="10"/>
  <c r="E56" i="23"/>
  <c r="D56" i="23"/>
  <c r="D57" i="26"/>
  <c r="D58" i="25"/>
  <c r="E57" i="26"/>
  <c r="O35" i="5"/>
  <c r="O42" i="5" s="1"/>
  <c r="E48" i="23"/>
  <c r="E21" i="32"/>
  <c r="E14" i="23"/>
  <c r="M14" i="8"/>
  <c r="P36" i="6"/>
  <c r="M39" i="6"/>
  <c r="E38" i="21"/>
  <c r="F34" i="23"/>
  <c r="E35" i="26"/>
  <c r="E21" i="27"/>
  <c r="E31" i="28"/>
  <c r="E32" i="28" s="1"/>
  <c r="E35" i="28"/>
  <c r="J18" i="10"/>
  <c r="N26" i="6"/>
  <c r="D31" i="27"/>
  <c r="D22" i="27"/>
  <c r="D24" i="27" s="1"/>
  <c r="D25" i="27" s="1"/>
  <c r="D27" i="27" s="1"/>
  <c r="D11" i="27"/>
  <c r="D12" i="26"/>
  <c r="D15" i="28"/>
  <c r="D6" i="28"/>
  <c r="D7" i="28" s="1"/>
  <c r="D12" i="23"/>
  <c r="D11" i="28"/>
  <c r="L14" i="8"/>
  <c r="M12" i="19"/>
  <c r="K7" i="8"/>
  <c r="K8" i="8" s="1"/>
  <c r="N19" i="18" s="1"/>
  <c r="N17" i="18" s="1"/>
  <c r="Q23" i="6"/>
  <c r="H36" i="19" l="1"/>
  <c r="G25" i="21"/>
  <c r="J21" i="19"/>
  <c r="J25" i="19" s="1"/>
  <c r="J34" i="19" s="1"/>
  <c r="I14" i="19"/>
  <c r="I15" i="19" s="1"/>
  <c r="D16" i="21" s="1"/>
  <c r="I23" i="9"/>
  <c r="O8" i="18"/>
  <c r="N48" i="5"/>
  <c r="L49" i="6"/>
  <c r="L51" i="6" s="1"/>
  <c r="G7" i="21"/>
  <c r="J7" i="19"/>
  <c r="I9" i="19"/>
  <c r="N44" i="5"/>
  <c r="M45" i="5"/>
  <c r="O46" i="10" s="1"/>
  <c r="O8" i="7"/>
  <c r="G52" i="21" s="1"/>
  <c r="O37" i="5"/>
  <c r="O98" i="10" s="1"/>
  <c r="O34" i="5"/>
  <c r="O40" i="5"/>
  <c r="K50" i="10"/>
  <c r="N50" i="10"/>
  <c r="L121" i="10"/>
  <c r="P7" i="18"/>
  <c r="L122" i="10"/>
  <c r="L123" i="10"/>
  <c r="L124" i="10"/>
  <c r="M6" i="7"/>
  <c r="M13" i="7" s="1"/>
  <c r="M15" i="7" s="1"/>
  <c r="M18" i="7" s="1"/>
  <c r="M112" i="10"/>
  <c r="M125" i="10"/>
  <c r="N119" i="10" s="1"/>
  <c r="O38" i="6"/>
  <c r="O47" i="6" s="1"/>
  <c r="L8" i="19"/>
  <c r="M48" i="6"/>
  <c r="P10" i="18"/>
  <c r="O9" i="7"/>
  <c r="H124" i="10"/>
  <c r="H120" i="10"/>
  <c r="H122" i="10"/>
  <c r="H119" i="10"/>
  <c r="H123" i="10"/>
  <c r="H121" i="10"/>
  <c r="C5" i="31"/>
  <c r="E51" i="26"/>
  <c r="L15" i="7"/>
  <c r="M104" i="10"/>
  <c r="C11" i="31"/>
  <c r="C16" i="31"/>
  <c r="C17" i="31" s="1"/>
  <c r="C40" i="21"/>
  <c r="C41" i="21" s="1"/>
  <c r="D53" i="25"/>
  <c r="K27" i="7"/>
  <c r="K23" i="19" s="1"/>
  <c r="K21" i="19" s="1"/>
  <c r="D52" i="26"/>
  <c r="E50" i="23"/>
  <c r="L14" i="18"/>
  <c r="L5" i="18" s="1"/>
  <c r="M6" i="10" s="1"/>
  <c r="E52" i="23"/>
  <c r="K27" i="18"/>
  <c r="K28" i="18" s="1"/>
  <c r="L6" i="10"/>
  <c r="C70" i="21"/>
  <c r="C10" i="32"/>
  <c r="C12" i="32" s="1"/>
  <c r="C27" i="32"/>
  <c r="C69" i="25"/>
  <c r="C10" i="34"/>
  <c r="C12" i="34" s="1"/>
  <c r="C15" i="34" s="1"/>
  <c r="C16" i="34" s="1"/>
  <c r="C37" i="32"/>
  <c r="C42" i="32"/>
  <c r="E54" i="25"/>
  <c r="E53" i="26"/>
  <c r="F38" i="26"/>
  <c r="H106" i="10"/>
  <c r="H107" i="10"/>
  <c r="H112" i="10"/>
  <c r="H108" i="10"/>
  <c r="H109" i="10"/>
  <c r="J110" i="10"/>
  <c r="E15" i="23"/>
  <c r="M7" i="8"/>
  <c r="O12" i="19"/>
  <c r="E52" i="25"/>
  <c r="E63" i="25"/>
  <c r="E58" i="25"/>
  <c r="E50" i="25"/>
  <c r="E26" i="27"/>
  <c r="E23" i="32"/>
  <c r="E46" i="26"/>
  <c r="E5" i="28"/>
  <c r="E57" i="28"/>
  <c r="E6" i="32"/>
  <c r="E51" i="25"/>
  <c r="E52" i="28"/>
  <c r="E16" i="32"/>
  <c r="E11" i="32"/>
  <c r="E47" i="25"/>
  <c r="E20" i="28"/>
  <c r="E22" i="28" s="1"/>
  <c r="E47" i="28"/>
  <c r="E45" i="23"/>
  <c r="E74" i="23" s="1"/>
  <c r="E26" i="28"/>
  <c r="E27" i="28" s="1"/>
  <c r="E41" i="28" s="1"/>
  <c r="F30" i="26"/>
  <c r="F30" i="21"/>
  <c r="F30" i="23" s="1"/>
  <c r="G29" i="23"/>
  <c r="N39" i="6"/>
  <c r="Q36" i="6"/>
  <c r="G33" i="23"/>
  <c r="F34" i="26"/>
  <c r="E6" i="27"/>
  <c r="E37" i="27"/>
  <c r="E17" i="27"/>
  <c r="E12" i="27"/>
  <c r="E20" i="31"/>
  <c r="E15" i="31"/>
  <c r="E39" i="26"/>
  <c r="E38" i="23"/>
  <c r="F37" i="23"/>
  <c r="D65" i="23"/>
  <c r="L7" i="8"/>
  <c r="L8" i="8" s="1"/>
  <c r="N12" i="19"/>
  <c r="C16" i="27"/>
  <c r="C17" i="21"/>
  <c r="O26" i="6"/>
  <c r="O48" i="5" l="1"/>
  <c r="Q47" i="10" s="1"/>
  <c r="Q49" i="10" s="1"/>
  <c r="Q40" i="10"/>
  <c r="I17" i="19"/>
  <c r="I36" i="19" s="1"/>
  <c r="P47" i="10"/>
  <c r="P49" i="10" s="1"/>
  <c r="P48" i="10"/>
  <c r="L18" i="7"/>
  <c r="L19" i="7" s="1"/>
  <c r="K7" i="19"/>
  <c r="J9" i="19"/>
  <c r="O44" i="5"/>
  <c r="O45" i="5" s="1"/>
  <c r="Q46" i="10" s="1"/>
  <c r="N45" i="5"/>
  <c r="P46" i="10" s="1"/>
  <c r="P5" i="18"/>
  <c r="P8" i="18"/>
  <c r="O50" i="10"/>
  <c r="M10" i="10"/>
  <c r="P50" i="10"/>
  <c r="L125" i="10"/>
  <c r="N121" i="10"/>
  <c r="N123" i="10"/>
  <c r="N124" i="10"/>
  <c r="N120" i="10"/>
  <c r="N122" i="10"/>
  <c r="M49" i="6"/>
  <c r="M51" i="6" s="1"/>
  <c r="E9" i="21"/>
  <c r="N48" i="6"/>
  <c r="N49" i="6" s="1"/>
  <c r="N51" i="6" s="1"/>
  <c r="P38" i="6"/>
  <c r="P47" i="6" s="1"/>
  <c r="M8" i="19"/>
  <c r="M14" i="18"/>
  <c r="M5" i="18" s="1"/>
  <c r="N6" i="10" s="1"/>
  <c r="O109" i="10"/>
  <c r="O122" i="10" s="1"/>
  <c r="O101" i="10"/>
  <c r="H125" i="10"/>
  <c r="O19" i="18"/>
  <c r="N6" i="7"/>
  <c r="N13" i="7" s="1"/>
  <c r="N15" i="7" s="1"/>
  <c r="N18" i="7" s="1"/>
  <c r="L27" i="18"/>
  <c r="L28" i="18" s="1"/>
  <c r="O29" i="10" s="1"/>
  <c r="K25" i="19"/>
  <c r="K34" i="19" s="1"/>
  <c r="C36" i="25"/>
  <c r="C38" i="25"/>
  <c r="C37" i="25"/>
  <c r="C31" i="25"/>
  <c r="C30" i="25"/>
  <c r="C39" i="25"/>
  <c r="C27" i="25"/>
  <c r="C34" i="25"/>
  <c r="C35" i="25"/>
  <c r="C26" i="25"/>
  <c r="C25" i="25"/>
  <c r="C41" i="25"/>
  <c r="C24" i="25"/>
  <c r="J23" i="9"/>
  <c r="J14" i="19"/>
  <c r="J15" i="19" s="1"/>
  <c r="D51" i="23"/>
  <c r="D50" i="21"/>
  <c r="D57" i="21" s="1"/>
  <c r="D61" i="21" s="1"/>
  <c r="L10" i="10"/>
  <c r="L7" i="10"/>
  <c r="M7" i="10"/>
  <c r="M16" i="10" s="1"/>
  <c r="J101" i="10"/>
  <c r="J109" i="10"/>
  <c r="J104" i="10"/>
  <c r="J100" i="10"/>
  <c r="J99" i="10"/>
  <c r="J98" i="10"/>
  <c r="J112" i="10"/>
  <c r="J107" i="10"/>
  <c r="J106" i="10"/>
  <c r="J108" i="10"/>
  <c r="G8" i="23"/>
  <c r="F37" i="26"/>
  <c r="F50" i="26"/>
  <c r="F49" i="23"/>
  <c r="F31" i="26"/>
  <c r="O39" i="6"/>
  <c r="M8" i="8"/>
  <c r="P26" i="6"/>
  <c r="F8" i="23"/>
  <c r="E6" i="26"/>
  <c r="E6" i="23"/>
  <c r="C19" i="21"/>
  <c r="C30" i="27"/>
  <c r="C33" i="27" s="1"/>
  <c r="C36" i="27"/>
  <c r="C38" i="27" s="1"/>
  <c r="C59" i="28" s="1"/>
  <c r="C60" i="28" s="1"/>
  <c r="C5" i="27"/>
  <c r="C10" i="27"/>
  <c r="Q48" i="10" l="1"/>
  <c r="L20" i="7"/>
  <c r="L21" i="7" s="1"/>
  <c r="L23" i="7" s="1"/>
  <c r="L26" i="7" s="1"/>
  <c r="L27" i="7" s="1"/>
  <c r="L23" i="19" s="1"/>
  <c r="M19" i="7"/>
  <c r="M20" i="7" s="1"/>
  <c r="M21" i="7" s="1"/>
  <c r="L7" i="19"/>
  <c r="K9" i="19"/>
  <c r="L12" i="10"/>
  <c r="L16" i="10"/>
  <c r="D26" i="10" s="1"/>
  <c r="D28" i="10" s="1"/>
  <c r="N7" i="10"/>
  <c r="Q50" i="10"/>
  <c r="D10" i="28"/>
  <c r="D12" i="28" s="1"/>
  <c r="D48" i="26"/>
  <c r="K23" i="9"/>
  <c r="O26" i="10"/>
  <c r="O17" i="18"/>
  <c r="N125" i="10"/>
  <c r="N10" i="10"/>
  <c r="N11" i="10" s="1"/>
  <c r="N13" i="10" s="1"/>
  <c r="O112" i="10"/>
  <c r="M27" i="18"/>
  <c r="M28" i="18" s="1"/>
  <c r="O48" i="6"/>
  <c r="O49" i="6" s="1"/>
  <c r="O51" i="6" s="1"/>
  <c r="Q38" i="6"/>
  <c r="Q47" i="6" s="1"/>
  <c r="N8" i="19"/>
  <c r="E7" i="23"/>
  <c r="E7" i="26"/>
  <c r="E58" i="28"/>
  <c r="E15" i="26"/>
  <c r="M12" i="10"/>
  <c r="L11" i="10"/>
  <c r="L13" i="10" s="1"/>
  <c r="P19" i="18"/>
  <c r="P17" i="18" s="1"/>
  <c r="D47" i="23"/>
  <c r="D32" i="27"/>
  <c r="O6" i="7"/>
  <c r="O13" i="7" s="1"/>
  <c r="O15" i="7" s="1"/>
  <c r="O18" i="7" s="1"/>
  <c r="K14" i="19"/>
  <c r="K15" i="19" s="1"/>
  <c r="E16" i="21" s="1"/>
  <c r="D65" i="21"/>
  <c r="D16" i="28"/>
  <c r="D17" i="28" s="1"/>
  <c r="D40" i="28" s="1"/>
  <c r="D43" i="28" s="1"/>
  <c r="D36" i="28"/>
  <c r="D37" i="28" s="1"/>
  <c r="D42" i="28" s="1"/>
  <c r="D30" i="28"/>
  <c r="D49" i="25"/>
  <c r="M11" i="10"/>
  <c r="M13" i="10" s="1"/>
  <c r="J17" i="19"/>
  <c r="J36" i="19" s="1"/>
  <c r="M107" i="10"/>
  <c r="F8" i="26"/>
  <c r="G36" i="23"/>
  <c r="F36" i="26"/>
  <c r="G35" i="23"/>
  <c r="F25" i="28"/>
  <c r="F21" i="28"/>
  <c r="F13" i="26"/>
  <c r="F13" i="23"/>
  <c r="F23" i="27"/>
  <c r="P39" i="6"/>
  <c r="G34" i="26"/>
  <c r="K18" i="10"/>
  <c r="K111" i="10"/>
  <c r="C12" i="25"/>
  <c r="C43" i="21"/>
  <c r="C8" i="25"/>
  <c r="C15" i="25"/>
  <c r="C21" i="31"/>
  <c r="C22" i="31" s="1"/>
  <c r="C13" i="25"/>
  <c r="C17" i="25"/>
  <c r="C6" i="25"/>
  <c r="C16" i="25"/>
  <c r="C7" i="25"/>
  <c r="C6" i="31"/>
  <c r="C7" i="31" s="1"/>
  <c r="C9" i="25"/>
  <c r="C19" i="25"/>
  <c r="C10" i="31"/>
  <c r="C12" i="31" s="1"/>
  <c r="C14" i="25"/>
  <c r="E9" i="26"/>
  <c r="E9" i="23"/>
  <c r="E48" i="28"/>
  <c r="E49" i="28" s="1"/>
  <c r="Q26" i="6"/>
  <c r="L21" i="19" l="1"/>
  <c r="L25" i="19" s="1"/>
  <c r="L34" i="19" s="1"/>
  <c r="N19" i="7"/>
  <c r="N20" i="7" s="1"/>
  <c r="N21" i="7" s="1"/>
  <c r="N23" i="7" s="1"/>
  <c r="N26" i="7" s="1"/>
  <c r="M7" i="19"/>
  <c r="L9" i="19"/>
  <c r="M17" i="10"/>
  <c r="L14" i="19"/>
  <c r="L15" i="19" s="1"/>
  <c r="O30" i="10"/>
  <c r="N12" i="10"/>
  <c r="N16" i="10"/>
  <c r="P48" i="6"/>
  <c r="P49" i="6" s="1"/>
  <c r="P51" i="6" s="1"/>
  <c r="O8" i="19"/>
  <c r="K17" i="19"/>
  <c r="K36" i="19" s="1"/>
  <c r="L23" i="9"/>
  <c r="D6" i="34"/>
  <c r="D7" i="34" s="1"/>
  <c r="D58" i="23"/>
  <c r="D49" i="32"/>
  <c r="D44" i="28"/>
  <c r="D54" i="23"/>
  <c r="D5" i="32"/>
  <c r="D7" i="32" s="1"/>
  <c r="D25" i="31"/>
  <c r="D27" i="31" s="1"/>
  <c r="D56" i="25"/>
  <c r="D55" i="26"/>
  <c r="D32" i="32"/>
  <c r="D15" i="32"/>
  <c r="D17" i="32" s="1"/>
  <c r="D59" i="26"/>
  <c r="D60" i="25"/>
  <c r="D20" i="32"/>
  <c r="D22" i="32" s="1"/>
  <c r="D24" i="32" s="1"/>
  <c r="D67" i="21"/>
  <c r="D69" i="21" s="1"/>
  <c r="D67" i="23" s="1"/>
  <c r="D73" i="23" s="1"/>
  <c r="N14" i="18"/>
  <c r="N5" i="18" s="1"/>
  <c r="M23" i="7"/>
  <c r="M26" i="7" s="1"/>
  <c r="M27" i="7" s="1"/>
  <c r="M23" i="19" s="1"/>
  <c r="O14" i="18"/>
  <c r="O5" i="18" s="1"/>
  <c r="D11" i="34"/>
  <c r="F50" i="25"/>
  <c r="F14" i="26"/>
  <c r="F14" i="23"/>
  <c r="F49" i="26"/>
  <c r="F48" i="23"/>
  <c r="F38" i="21"/>
  <c r="F35" i="28"/>
  <c r="F21" i="27"/>
  <c r="F35" i="26"/>
  <c r="F31" i="28"/>
  <c r="F32" i="28" s="1"/>
  <c r="G34" i="23"/>
  <c r="Q39" i="6"/>
  <c r="L103" i="10"/>
  <c r="L111" i="10"/>
  <c r="F21" i="32"/>
  <c r="F53" i="26"/>
  <c r="F52" i="23"/>
  <c r="M21" i="19" l="1"/>
  <c r="M25" i="19" s="1"/>
  <c r="M34" i="19" s="1"/>
  <c r="O19" i="7"/>
  <c r="O20" i="7" s="1"/>
  <c r="O21" i="7" s="1"/>
  <c r="L17" i="19"/>
  <c r="L36" i="19" s="1"/>
  <c r="N7" i="19"/>
  <c r="M9" i="19"/>
  <c r="F16" i="21"/>
  <c r="N17" i="10"/>
  <c r="D29" i="10"/>
  <c r="Q48" i="6"/>
  <c r="D65" i="25"/>
  <c r="D63" i="23"/>
  <c r="E50" i="21"/>
  <c r="E57" i="21" s="1"/>
  <c r="E61" i="21" s="1"/>
  <c r="D63" i="26"/>
  <c r="E51" i="23"/>
  <c r="E52" i="26"/>
  <c r="N27" i="7"/>
  <c r="N23" i="19" s="1"/>
  <c r="N21" i="19" s="1"/>
  <c r="N27" i="18"/>
  <c r="N28" i="18" s="1"/>
  <c r="O6" i="10"/>
  <c r="E53" i="25"/>
  <c r="O23" i="7"/>
  <c r="O26" i="7" s="1"/>
  <c r="P14" i="18"/>
  <c r="O27" i="18"/>
  <c r="P6" i="10"/>
  <c r="D67" i="25"/>
  <c r="D65" i="26"/>
  <c r="F51" i="26"/>
  <c r="F50" i="23"/>
  <c r="D42" i="32"/>
  <c r="D70" i="21"/>
  <c r="D67" i="26"/>
  <c r="D37" i="32"/>
  <c r="D10" i="34"/>
  <c r="D12" i="34" s="1"/>
  <c r="D15" i="34" s="1"/>
  <c r="D16" i="34" s="1"/>
  <c r="D10" i="32"/>
  <c r="D12" i="32" s="1"/>
  <c r="D27" i="32"/>
  <c r="D69" i="25"/>
  <c r="G38" i="26"/>
  <c r="G49" i="23"/>
  <c r="F45" i="23"/>
  <c r="F74" i="23" s="1"/>
  <c r="F20" i="28"/>
  <c r="F22" i="28" s="1"/>
  <c r="F54" i="25"/>
  <c r="F23" i="32"/>
  <c r="F63" i="25"/>
  <c r="G37" i="26"/>
  <c r="F51" i="25"/>
  <c r="F5" i="28"/>
  <c r="F46" i="26"/>
  <c r="F26" i="28"/>
  <c r="F27" i="28" s="1"/>
  <c r="F41" i="28" s="1"/>
  <c r="F52" i="28"/>
  <c r="F16" i="32"/>
  <c r="F57" i="28"/>
  <c r="F6" i="32"/>
  <c r="F52" i="25"/>
  <c r="F47" i="25"/>
  <c r="F11" i="32"/>
  <c r="F26" i="27"/>
  <c r="F47" i="28"/>
  <c r="O107" i="10"/>
  <c r="F17" i="27"/>
  <c r="F39" i="26"/>
  <c r="F37" i="27"/>
  <c r="F12" i="27"/>
  <c r="F20" i="31"/>
  <c r="F15" i="31"/>
  <c r="F38" i="23"/>
  <c r="F6" i="27"/>
  <c r="G51" i="26"/>
  <c r="G30" i="26"/>
  <c r="G30" i="21"/>
  <c r="G37" i="23"/>
  <c r="E12" i="26"/>
  <c r="E31" i="27"/>
  <c r="E11" i="27"/>
  <c r="E22" i="27"/>
  <c r="E24" i="27" s="1"/>
  <c r="E25" i="27" s="1"/>
  <c r="E27" i="27" s="1"/>
  <c r="E12" i="23"/>
  <c r="E15" i="28"/>
  <c r="E6" i="28"/>
  <c r="E7" i="28" s="1"/>
  <c r="E11" i="28"/>
  <c r="E65" i="23"/>
  <c r="O7" i="19" l="1"/>
  <c r="O9" i="19" s="1"/>
  <c r="N9" i="19"/>
  <c r="G31" i="26"/>
  <c r="G30" i="23"/>
  <c r="O27" i="10"/>
  <c r="O31" i="10"/>
  <c r="P10" i="10"/>
  <c r="E49" i="25"/>
  <c r="Q49" i="6"/>
  <c r="Q51" i="6" s="1"/>
  <c r="F9" i="21"/>
  <c r="E47" i="23"/>
  <c r="E32" i="27"/>
  <c r="E55" i="26"/>
  <c r="E36" i="28"/>
  <c r="E37" i="28" s="1"/>
  <c r="E42" i="28" s="1"/>
  <c r="E30" i="28"/>
  <c r="E48" i="26"/>
  <c r="E10" i="28"/>
  <c r="E16" i="28"/>
  <c r="E17" i="28" s="1"/>
  <c r="E40" i="28" s="1"/>
  <c r="E43" i="28" s="1"/>
  <c r="N25" i="19"/>
  <c r="N34" i="19" s="1"/>
  <c r="O28" i="18"/>
  <c r="O10" i="10"/>
  <c r="O7" i="10"/>
  <c r="O16" i="10" s="1"/>
  <c r="O17" i="10" s="1"/>
  <c r="I17" i="10"/>
  <c r="P7" i="10"/>
  <c r="O27" i="7"/>
  <c r="O23" i="19" s="1"/>
  <c r="O21" i="19" s="1"/>
  <c r="D26" i="26"/>
  <c r="D25" i="23"/>
  <c r="D26" i="21"/>
  <c r="D26" i="23" s="1"/>
  <c r="D76" i="23" s="1"/>
  <c r="Q6" i="10"/>
  <c r="D27" i="10" s="1"/>
  <c r="P27" i="18"/>
  <c r="P28" i="18" s="1"/>
  <c r="M14" i="19"/>
  <c r="G16" i="21" s="1"/>
  <c r="M23" i="9"/>
  <c r="E12" i="28"/>
  <c r="E5" i="32"/>
  <c r="E7" i="32" s="1"/>
  <c r="G8" i="26"/>
  <c r="G50" i="26"/>
  <c r="G50" i="23"/>
  <c r="G36" i="26"/>
  <c r="F6" i="26"/>
  <c r="F6" i="23"/>
  <c r="M111" i="10"/>
  <c r="O28" i="10" l="1"/>
  <c r="O33" i="10"/>
  <c r="P12" i="10"/>
  <c r="P16" i="10"/>
  <c r="P17" i="10" s="1"/>
  <c r="N23" i="9"/>
  <c r="O32" i="10"/>
  <c r="E44" i="28"/>
  <c r="F58" i="28"/>
  <c r="F7" i="26"/>
  <c r="F7" i="23"/>
  <c r="N14" i="19"/>
  <c r="N15" i="19" s="1"/>
  <c r="N17" i="19" s="1"/>
  <c r="N36" i="19" s="1"/>
  <c r="O12" i="10"/>
  <c r="E54" i="23"/>
  <c r="E6" i="34"/>
  <c r="E7" i="34" s="1"/>
  <c r="E56" i="25"/>
  <c r="O25" i="19"/>
  <c r="O34" i="19" s="1"/>
  <c r="O11" i="10"/>
  <c r="O13" i="10" s="1"/>
  <c r="P11" i="10"/>
  <c r="P13" i="10" s="1"/>
  <c r="Q10" i="10"/>
  <c r="Q11" i="10" s="1"/>
  <c r="Q13" i="10" s="1"/>
  <c r="Q7" i="10"/>
  <c r="Q16" i="10" s="1"/>
  <c r="D16" i="23"/>
  <c r="M15" i="19"/>
  <c r="O23" i="9"/>
  <c r="O14" i="19"/>
  <c r="O15" i="19" s="1"/>
  <c r="D16" i="31"/>
  <c r="D17" i="31" s="1"/>
  <c r="D50" i="32"/>
  <c r="D51" i="32" s="1"/>
  <c r="D52" i="32" s="1"/>
  <c r="D11" i="31"/>
  <c r="D5" i="31"/>
  <c r="D40" i="21"/>
  <c r="D40" i="23" s="1"/>
  <c r="D27" i="26"/>
  <c r="D43" i="32"/>
  <c r="D44" i="32" s="1"/>
  <c r="F15" i="23"/>
  <c r="F15" i="26"/>
  <c r="G56" i="23"/>
  <c r="G14" i="23"/>
  <c r="G14" i="26"/>
  <c r="G21" i="28"/>
  <c r="G25" i="28"/>
  <c r="G13" i="26"/>
  <c r="G23" i="27"/>
  <c r="G13" i="23"/>
  <c r="L18" i="10"/>
  <c r="F9" i="26"/>
  <c r="F9" i="23"/>
  <c r="F48" i="28"/>
  <c r="F49" i="28" s="1"/>
  <c r="N103" i="10"/>
  <c r="N111" i="10"/>
  <c r="P34" i="10" l="1"/>
  <c r="Q17" i="10"/>
  <c r="H19" i="10" s="1"/>
  <c r="E59" i="26"/>
  <c r="Q12" i="10"/>
  <c r="E20" i="32"/>
  <c r="E22" i="32" s="1"/>
  <c r="E24" i="32" s="1"/>
  <c r="E32" i="32"/>
  <c r="E49" i="32"/>
  <c r="O125" i="10"/>
  <c r="E58" i="23"/>
  <c r="E65" i="21"/>
  <c r="E63" i="23" s="1"/>
  <c r="E60" i="25"/>
  <c r="E25" i="31"/>
  <c r="E27" i="31" s="1"/>
  <c r="E15" i="32"/>
  <c r="E17" i="32" s="1"/>
  <c r="O104" i="10"/>
  <c r="O17" i="19"/>
  <c r="O36" i="19" s="1"/>
  <c r="M17" i="19"/>
  <c r="M36" i="19" s="1"/>
  <c r="E67" i="21"/>
  <c r="D16" i="27"/>
  <c r="D18" i="27" s="1"/>
  <c r="D16" i="26"/>
  <c r="D17" i="21"/>
  <c r="D17" i="23" s="1"/>
  <c r="D24" i="25"/>
  <c r="D31" i="25"/>
  <c r="D39" i="25"/>
  <c r="D27" i="25"/>
  <c r="D30" i="25"/>
  <c r="D34" i="25"/>
  <c r="D25" i="25"/>
  <c r="D38" i="25"/>
  <c r="D36" i="25"/>
  <c r="D35" i="25"/>
  <c r="D37" i="25"/>
  <c r="D26" i="25"/>
  <c r="D41" i="25"/>
  <c r="D41" i="21"/>
  <c r="D41" i="26"/>
  <c r="L106" i="10"/>
  <c r="L98" i="10"/>
  <c r="L109" i="10"/>
  <c r="L107" i="10"/>
  <c r="L110" i="10"/>
  <c r="L108" i="10"/>
  <c r="L112" i="10"/>
  <c r="L104" i="10"/>
  <c r="L99" i="10"/>
  <c r="L101" i="10"/>
  <c r="L102" i="10"/>
  <c r="L100" i="10"/>
  <c r="F56" i="23"/>
  <c r="F57" i="26"/>
  <c r="F58" i="25"/>
  <c r="G57" i="26"/>
  <c r="F11" i="27"/>
  <c r="G38" i="21"/>
  <c r="G31" i="28"/>
  <c r="G32" i="28" s="1"/>
  <c r="G35" i="26"/>
  <c r="G35" i="28"/>
  <c r="G21" i="27"/>
  <c r="G48" i="23"/>
  <c r="G49" i="26"/>
  <c r="F12" i="26"/>
  <c r="H21" i="10" l="1"/>
  <c r="E69" i="21"/>
  <c r="E67" i="23" s="1"/>
  <c r="E73" i="23" s="1"/>
  <c r="P124" i="10"/>
  <c r="P119" i="10"/>
  <c r="P121" i="10"/>
  <c r="P122" i="10"/>
  <c r="P123" i="10"/>
  <c r="P120" i="10"/>
  <c r="E65" i="25"/>
  <c r="E11" i="34"/>
  <c r="E63" i="26"/>
  <c r="F12" i="23"/>
  <c r="F11" i="28"/>
  <c r="F22" i="27"/>
  <c r="F24" i="27" s="1"/>
  <c r="F25" i="27" s="1"/>
  <c r="F27" i="27" s="1"/>
  <c r="F53" i="25"/>
  <c r="D5" i="27"/>
  <c r="D7" i="27" s="1"/>
  <c r="D30" i="27"/>
  <c r="D33" i="27" s="1"/>
  <c r="D17" i="26"/>
  <c r="D19" i="21"/>
  <c r="D19" i="23" s="1"/>
  <c r="D75" i="23" s="1"/>
  <c r="D10" i="27"/>
  <c r="D13" i="27" s="1"/>
  <c r="D36" i="27"/>
  <c r="D38" i="27" s="1"/>
  <c r="D59" i="28" s="1"/>
  <c r="D60" i="28" s="1"/>
  <c r="D61" i="28" s="1"/>
  <c r="E67" i="25"/>
  <c r="E65" i="26"/>
  <c r="F51" i="23"/>
  <c r="F15" i="28"/>
  <c r="F6" i="28"/>
  <c r="F7" i="28" s="1"/>
  <c r="F31" i="27"/>
  <c r="G15" i="26"/>
  <c r="G15" i="23"/>
  <c r="G51" i="25"/>
  <c r="G26" i="27"/>
  <c r="G11" i="32"/>
  <c r="G50" i="25"/>
  <c r="G52" i="28"/>
  <c r="G6" i="32"/>
  <c r="G57" i="28"/>
  <c r="G20" i="28"/>
  <c r="G22" i="28" s="1"/>
  <c r="G58" i="25"/>
  <c r="G47" i="28"/>
  <c r="G45" i="23"/>
  <c r="G74" i="23" s="1"/>
  <c r="G47" i="25"/>
  <c r="G16" i="32"/>
  <c r="G26" i="28"/>
  <c r="G27" i="28" s="1"/>
  <c r="G41" i="28" s="1"/>
  <c r="G23" i="32"/>
  <c r="G46" i="26"/>
  <c r="G5" i="28"/>
  <c r="G52" i="25"/>
  <c r="G63" i="25"/>
  <c r="G15" i="31"/>
  <c r="G6" i="27"/>
  <c r="G37" i="27"/>
  <c r="G17" i="27"/>
  <c r="G20" i="31"/>
  <c r="G38" i="23"/>
  <c r="G39" i="26"/>
  <c r="G12" i="27"/>
  <c r="G58" i="28"/>
  <c r="F65" i="23"/>
  <c r="G21" i="32"/>
  <c r="G53" i="26"/>
  <c r="G54" i="25"/>
  <c r="G52" i="23"/>
  <c r="E10" i="34" l="1"/>
  <c r="E12" i="34" s="1"/>
  <c r="E15" i="34" s="1"/>
  <c r="E16" i="34" s="1"/>
  <c r="E27" i="32"/>
  <c r="E70" i="21"/>
  <c r="E37" i="32"/>
  <c r="E69" i="25"/>
  <c r="E42" i="32"/>
  <c r="E67" i="26"/>
  <c r="E10" i="32"/>
  <c r="E12" i="32" s="1"/>
  <c r="P125" i="10"/>
  <c r="F52" i="26"/>
  <c r="F50" i="21"/>
  <c r="F57" i="21" s="1"/>
  <c r="F61" i="21" s="1"/>
  <c r="E26" i="21"/>
  <c r="E26" i="23" s="1"/>
  <c r="E76" i="23" s="1"/>
  <c r="E25" i="23"/>
  <c r="E26" i="26"/>
  <c r="D38" i="32"/>
  <c r="D39" i="32" s="1"/>
  <c r="D62" i="28"/>
  <c r="D10" i="31"/>
  <c r="D12" i="31" s="1"/>
  <c r="D16" i="25"/>
  <c r="D12" i="25"/>
  <c r="D15" i="25"/>
  <c r="D8" i="25"/>
  <c r="D6" i="31"/>
  <c r="D7" i="31" s="1"/>
  <c r="D21" i="31"/>
  <c r="D22" i="31" s="1"/>
  <c r="D28" i="32"/>
  <c r="D29" i="32" s="1"/>
  <c r="D33" i="32"/>
  <c r="D34" i="32" s="1"/>
  <c r="D9" i="25"/>
  <c r="D7" i="25"/>
  <c r="D19" i="26"/>
  <c r="D19" i="25"/>
  <c r="D43" i="21"/>
  <c r="D6" i="25"/>
  <c r="D13" i="25"/>
  <c r="D14" i="25"/>
  <c r="D17" i="25"/>
  <c r="D53" i="28"/>
  <c r="D54" i="28" s="1"/>
  <c r="J17" i="10"/>
  <c r="N101" i="10"/>
  <c r="N109" i="10"/>
  <c r="N100" i="10"/>
  <c r="N98" i="10"/>
  <c r="N104" i="10"/>
  <c r="N99" i="10"/>
  <c r="N102" i="10"/>
  <c r="N107" i="10"/>
  <c r="N108" i="10"/>
  <c r="N106" i="10"/>
  <c r="N112" i="10"/>
  <c r="N110" i="10"/>
  <c r="G7" i="26"/>
  <c r="G7" i="23"/>
  <c r="O111" i="10"/>
  <c r="G6" i="26"/>
  <c r="G9" i="21"/>
  <c r="G6" i="23"/>
  <c r="F47" i="23" l="1"/>
  <c r="F32" i="27"/>
  <c r="F10" i="28"/>
  <c r="F12" i="28" s="1"/>
  <c r="F30" i="28"/>
  <c r="F16" i="28"/>
  <c r="F17" i="28" s="1"/>
  <c r="F40" i="28" s="1"/>
  <c r="F43" i="28" s="1"/>
  <c r="F49" i="25"/>
  <c r="F36" i="28"/>
  <c r="F37" i="28" s="1"/>
  <c r="F42" i="28" s="1"/>
  <c r="F48" i="26"/>
  <c r="E16" i="23"/>
  <c r="E50" i="32"/>
  <c r="E51" i="32" s="1"/>
  <c r="E52" i="32" s="1"/>
  <c r="E40" i="21"/>
  <c r="E40" i="23" s="1"/>
  <c r="E5" i="31"/>
  <c r="E43" i="32"/>
  <c r="E44" i="32" s="1"/>
  <c r="E45" i="32" s="1"/>
  <c r="E27" i="26"/>
  <c r="E16" i="31"/>
  <c r="E17" i="31" s="1"/>
  <c r="E11" i="31"/>
  <c r="P111" i="10"/>
  <c r="P112" i="10"/>
  <c r="P107" i="10"/>
  <c r="P109" i="10"/>
  <c r="P108" i="10"/>
  <c r="P110" i="10"/>
  <c r="P106" i="10"/>
  <c r="G9" i="26"/>
  <c r="G48" i="28"/>
  <c r="G49" i="28" s="1"/>
  <c r="G9" i="23"/>
  <c r="P103" i="10"/>
  <c r="P104" i="10"/>
  <c r="P99" i="10"/>
  <c r="P101" i="10"/>
  <c r="P100" i="10"/>
  <c r="P102" i="10"/>
  <c r="P98" i="10"/>
  <c r="F54" i="23" l="1"/>
  <c r="F65" i="21"/>
  <c r="F56" i="25"/>
  <c r="F5" i="32"/>
  <c r="F7" i="32" s="1"/>
  <c r="F44" i="28"/>
  <c r="F55" i="26"/>
  <c r="F67" i="25"/>
  <c r="F65" i="26"/>
  <c r="E27" i="25"/>
  <c r="E37" i="25"/>
  <c r="E31" i="25"/>
  <c r="E24" i="25"/>
  <c r="E35" i="25"/>
  <c r="E38" i="25"/>
  <c r="E41" i="25"/>
  <c r="E41" i="21"/>
  <c r="E39" i="25"/>
  <c r="E25" i="25"/>
  <c r="E26" i="25"/>
  <c r="E41" i="26"/>
  <c r="E36" i="25"/>
  <c r="E30" i="25"/>
  <c r="E34" i="25"/>
  <c r="E16" i="27"/>
  <c r="E18" i="27" s="1"/>
  <c r="E16" i="26"/>
  <c r="E17" i="21"/>
  <c r="E17" i="23" s="1"/>
  <c r="G31" i="27"/>
  <c r="G22" i="27"/>
  <c r="G24" i="27" s="1"/>
  <c r="G25" i="27" s="1"/>
  <c r="G27" i="27" s="1"/>
  <c r="G12" i="26"/>
  <c r="G11" i="27"/>
  <c r="G11" i="28"/>
  <c r="G12" i="23"/>
  <c r="G15" i="28"/>
  <c r="G6" i="28"/>
  <c r="G7" i="28" s="1"/>
  <c r="F6" i="34" l="1"/>
  <c r="F7" i="34" s="1"/>
  <c r="F58" i="23"/>
  <c r="F49" i="32"/>
  <c r="F25" i="31"/>
  <c r="F27" i="31" s="1"/>
  <c r="F60" i="25"/>
  <c r="F32" i="32"/>
  <c r="F15" i="32"/>
  <c r="F17" i="32" s="1"/>
  <c r="F20" i="32"/>
  <c r="F22" i="32" s="1"/>
  <c r="F24" i="32" s="1"/>
  <c r="F59" i="26"/>
  <c r="K17" i="10"/>
  <c r="F16" i="26"/>
  <c r="F25" i="23"/>
  <c r="E17" i="26"/>
  <c r="E10" i="27"/>
  <c r="E13" i="27" s="1"/>
  <c r="E36" i="27"/>
  <c r="E38" i="27" s="1"/>
  <c r="E59" i="28" s="1"/>
  <c r="E60" i="28" s="1"/>
  <c r="E61" i="28" s="1"/>
  <c r="E5" i="27"/>
  <c r="E7" i="27" s="1"/>
  <c r="E30" i="27"/>
  <c r="E33" i="27" s="1"/>
  <c r="E19" i="21"/>
  <c r="E19" i="23" s="1"/>
  <c r="E75" i="23" s="1"/>
  <c r="F65" i="25"/>
  <c r="F63" i="26" l="1"/>
  <c r="F63" i="23"/>
  <c r="F69" i="21"/>
  <c r="F11" i="34"/>
  <c r="F16" i="23"/>
  <c r="F16" i="27"/>
  <c r="F18" i="27" s="1"/>
  <c r="F17" i="21"/>
  <c r="F26" i="26"/>
  <c r="F26" i="21"/>
  <c r="F26" i="23" s="1"/>
  <c r="F76" i="23" s="1"/>
  <c r="E19" i="26"/>
  <c r="E9" i="25"/>
  <c r="E17" i="25"/>
  <c r="E7" i="25"/>
  <c r="E19" i="25"/>
  <c r="E21" i="31"/>
  <c r="E22" i="31" s="1"/>
  <c r="E10" i="31"/>
  <c r="E12" i="31" s="1"/>
  <c r="E15" i="25"/>
  <c r="E16" i="25"/>
  <c r="E28" i="32"/>
  <c r="E29" i="32" s="1"/>
  <c r="E53" i="28"/>
  <c r="E54" i="28" s="1"/>
  <c r="E14" i="25"/>
  <c r="E13" i="25"/>
  <c r="E6" i="25"/>
  <c r="E8" i="25"/>
  <c r="E12" i="25"/>
  <c r="E43" i="21"/>
  <c r="E6" i="31"/>
  <c r="E7" i="31" s="1"/>
  <c r="E33" i="32"/>
  <c r="E34" i="32" s="1"/>
  <c r="E62" i="28"/>
  <c r="E38" i="32"/>
  <c r="E39" i="32" s="1"/>
  <c r="F67" i="23" l="1"/>
  <c r="F73" i="23" s="1"/>
  <c r="F10" i="27"/>
  <c r="F13" i="27" s="1"/>
  <c r="F5" i="27"/>
  <c r="F7" i="27" s="1"/>
  <c r="F70" i="21"/>
  <c r="F27" i="32"/>
  <c r="F10" i="32"/>
  <c r="F12" i="32" s="1"/>
  <c r="F37" i="32"/>
  <c r="F67" i="26"/>
  <c r="F42" i="32"/>
  <c r="F69" i="25"/>
  <c r="F10" i="34"/>
  <c r="F12" i="34" s="1"/>
  <c r="F15" i="34" s="1"/>
  <c r="F16" i="34" s="1"/>
  <c r="F17" i="23"/>
  <c r="F30" i="27"/>
  <c r="F33" i="27" s="1"/>
  <c r="F19" i="21"/>
  <c r="F14" i="25" s="1"/>
  <c r="F17" i="26"/>
  <c r="F36" i="27"/>
  <c r="F38" i="27" s="1"/>
  <c r="F59" i="28" s="1"/>
  <c r="F60" i="28" s="1"/>
  <c r="F61" i="28" s="1"/>
  <c r="F27" i="26"/>
  <c r="F16" i="31"/>
  <c r="F17" i="31" s="1"/>
  <c r="F5" i="31"/>
  <c r="F50" i="32"/>
  <c r="F51" i="32" s="1"/>
  <c r="F52" i="32" s="1"/>
  <c r="F40" i="21"/>
  <c r="F40" i="23" s="1"/>
  <c r="F11" i="31"/>
  <c r="F43" i="32"/>
  <c r="G67" i="25"/>
  <c r="G65" i="26"/>
  <c r="F44" i="32" l="1"/>
  <c r="F45" i="32" s="1"/>
  <c r="F19" i="23"/>
  <c r="F75" i="23" s="1"/>
  <c r="F16" i="25"/>
  <c r="F6" i="31"/>
  <c r="F7" i="31" s="1"/>
  <c r="F6" i="25"/>
  <c r="F53" i="28"/>
  <c r="F54" i="28" s="1"/>
  <c r="F21" i="31"/>
  <c r="F22" i="31" s="1"/>
  <c r="F17" i="25"/>
  <c r="F19" i="25"/>
  <c r="F13" i="25"/>
  <c r="F33" i="32"/>
  <c r="F34" i="32" s="1"/>
  <c r="F28" i="32"/>
  <c r="F29" i="32" s="1"/>
  <c r="F10" i="31"/>
  <c r="F12" i="31" s="1"/>
  <c r="F12" i="25"/>
  <c r="F9" i="25"/>
  <c r="F15" i="25"/>
  <c r="F7" i="25"/>
  <c r="F19" i="26"/>
  <c r="F8" i="25"/>
  <c r="F43" i="21"/>
  <c r="F34" i="25"/>
  <c r="F31" i="25"/>
  <c r="F24" i="25"/>
  <c r="F35" i="25"/>
  <c r="F38" i="25"/>
  <c r="F36" i="25"/>
  <c r="F27" i="25"/>
  <c r="F30" i="25"/>
  <c r="F39" i="25"/>
  <c r="F37" i="25"/>
  <c r="F41" i="21"/>
  <c r="F26" i="25"/>
  <c r="F41" i="25"/>
  <c r="F41" i="26"/>
  <c r="F25" i="25"/>
  <c r="F38" i="32"/>
  <c r="F39" i="32" s="1"/>
  <c r="F62" i="28"/>
  <c r="L17" i="10" l="1"/>
  <c r="G25" i="23"/>
  <c r="G26" i="26" l="1"/>
  <c r="G26" i="21"/>
  <c r="G26" i="23" s="1"/>
  <c r="G76" i="23" s="1"/>
  <c r="G5" i="31" l="1"/>
  <c r="G16" i="31"/>
  <c r="G17" i="31" s="1"/>
  <c r="G11" i="31"/>
  <c r="G43" i="32"/>
  <c r="G27" i="26"/>
  <c r="G40" i="21"/>
  <c r="G40" i="23" s="1"/>
  <c r="G50" i="32"/>
  <c r="G51" i="32" s="1"/>
  <c r="G25" i="25" l="1"/>
  <c r="G37" i="25"/>
  <c r="G24" i="25"/>
  <c r="G31" i="25"/>
  <c r="G39" i="25"/>
  <c r="G35" i="25"/>
  <c r="G30" i="25"/>
  <c r="G41" i="21"/>
  <c r="G27" i="25"/>
  <c r="G36" i="25"/>
  <c r="G41" i="26"/>
  <c r="G38" i="25"/>
  <c r="G41" i="25"/>
  <c r="G34" i="25"/>
  <c r="G26" i="25"/>
  <c r="G16" i="26"/>
  <c r="G16" i="27"/>
  <c r="G18" i="27" s="1"/>
  <c r="G17" i="21"/>
  <c r="G5" i="27" s="1"/>
  <c r="G16" i="23"/>
  <c r="G52" i="26"/>
  <c r="G10" i="27" l="1"/>
  <c r="G13" i="27" s="1"/>
  <c r="G36" i="27"/>
  <c r="G38" i="27" s="1"/>
  <c r="G59" i="28" s="1"/>
  <c r="G60" i="28" s="1"/>
  <c r="G61" i="28" s="1"/>
  <c r="G7" i="27"/>
  <c r="G19" i="21"/>
  <c r="G19" i="23" s="1"/>
  <c r="G75" i="23" s="1"/>
  <c r="G30" i="27"/>
  <c r="G17" i="26"/>
  <c r="G17" i="23"/>
  <c r="G51" i="23"/>
  <c r="G50" i="21"/>
  <c r="G57" i="21" s="1"/>
  <c r="G61" i="21" s="1"/>
  <c r="G53" i="25"/>
  <c r="G47" i="23" l="1"/>
  <c r="G32" i="27"/>
  <c r="G12" i="25"/>
  <c r="G19" i="25"/>
  <c r="G6" i="31"/>
  <c r="G7" i="31" s="1"/>
  <c r="G7" i="25"/>
  <c r="G16" i="25"/>
  <c r="G9" i="25"/>
  <c r="G15" i="25"/>
  <c r="G10" i="31"/>
  <c r="G12" i="31" s="1"/>
  <c r="G33" i="32"/>
  <c r="G28" i="32"/>
  <c r="G19" i="26"/>
  <c r="G14" i="25"/>
  <c r="G8" i="25"/>
  <c r="G6" i="25"/>
  <c r="G17" i="25"/>
  <c r="G21" i="31"/>
  <c r="G22" i="31" s="1"/>
  <c r="G13" i="25"/>
  <c r="G53" i="28"/>
  <c r="G54" i="28" s="1"/>
  <c r="G43" i="21"/>
  <c r="G38" i="32"/>
  <c r="G62" i="28"/>
  <c r="G30" i="28"/>
  <c r="G10" i="28"/>
  <c r="G12" i="28" s="1"/>
  <c r="G16" i="28"/>
  <c r="G17" i="28" s="1"/>
  <c r="G40" i="28" s="1"/>
  <c r="G43" i="28" s="1"/>
  <c r="G36" i="28"/>
  <c r="G37" i="28" s="1"/>
  <c r="G42" i="28" s="1"/>
  <c r="G49" i="25"/>
  <c r="G48" i="26"/>
  <c r="G33" i="27"/>
  <c r="G54" i="23" l="1"/>
  <c r="G65" i="21"/>
  <c r="G44" i="28"/>
  <c r="G56" i="25"/>
  <c r="G55" i="26"/>
  <c r="G5" i="32"/>
  <c r="G7" i="32" s="1"/>
  <c r="G58" i="23" l="1"/>
  <c r="G59" i="26"/>
  <c r="G49" i="32"/>
  <c r="G52" i="32" s="1"/>
  <c r="G6" i="34"/>
  <c r="G7" i="34" s="1"/>
  <c r="G25" i="31"/>
  <c r="G27" i="31" s="1"/>
  <c r="G60" i="25"/>
  <c r="G32" i="32"/>
  <c r="G34" i="32" s="1"/>
  <c r="G15" i="32"/>
  <c r="G17" i="32" s="1"/>
  <c r="G20" i="32"/>
  <c r="G22" i="32" s="1"/>
  <c r="G24" i="32" s="1"/>
  <c r="G63" i="23"/>
  <c r="G65" i="25" l="1"/>
  <c r="G11" i="34"/>
  <c r="G69" i="21"/>
  <c r="G63" i="26"/>
  <c r="G67" i="23" l="1"/>
  <c r="G73" i="23" s="1"/>
  <c r="G42" i="32"/>
  <c r="G44" i="32" s="1"/>
  <c r="G70" i="21"/>
  <c r="G37" i="32"/>
  <c r="G39" i="32" s="1"/>
  <c r="G10" i="34"/>
  <c r="G12" i="34" s="1"/>
  <c r="G15" i="34" s="1"/>
  <c r="G16" i="34" s="1"/>
  <c r="G69" i="25"/>
  <c r="G67" i="26"/>
  <c r="G27" i="32"/>
  <c r="G29" i="32" s="1"/>
  <c r="G10" i="32"/>
  <c r="G12" i="32" s="1"/>
  <c r="G45" i="32" l="1"/>
  <c r="G46" i="32"/>
</calcChain>
</file>

<file path=xl/sharedStrings.xml><?xml version="1.0" encoding="utf-8"?>
<sst xmlns="http://schemas.openxmlformats.org/spreadsheetml/2006/main" count="1440" uniqueCount="484">
  <si>
    <t>Изменение конъюктуры рынка</t>
  </si>
  <si>
    <t>Рост ставки процента</t>
  </si>
  <si>
    <t>Штраф за нарушение экологии</t>
  </si>
  <si>
    <t>Необходимость смены кадров - затраты на поиск новых работников + временная неэффективность работы</t>
  </si>
  <si>
    <t>Зависит от конректной ошибки</t>
  </si>
  <si>
    <t>Ущерб оценен ниже в количественной оценке риска</t>
  </si>
  <si>
    <t>Неэффективность рекламной компании; неверное определение ценовых сегментов и ценообразования</t>
  </si>
  <si>
    <t>Формирование инвестиционных и капитальных вложений, гарантирующих создание стабильной ситуации; использование финансовых инструментов для создания имунного пакета</t>
  </si>
  <si>
    <t>Регулярный контроль, ремонт по необходимости</t>
  </si>
  <si>
    <t>Валовая прибыль</t>
  </si>
  <si>
    <t>Прибыль (убыток) от продаж</t>
  </si>
  <si>
    <t>- проценты к уплате</t>
  </si>
  <si>
    <t>Средняя стоимость имущества за период</t>
  </si>
  <si>
    <t>Прибыль до налогообложения</t>
  </si>
  <si>
    <t>- налог на прибыль</t>
  </si>
  <si>
    <t>Чистая прибыль (убыток)</t>
  </si>
  <si>
    <t>- дивиденды</t>
  </si>
  <si>
    <t>Продвижение товара на рынок (реклама, СМИ и т.д.) (с НДС)</t>
  </si>
  <si>
    <t>Сбой в работе оборудования</t>
  </si>
  <si>
    <t>Инструктаж по работе для персонала, регулярные проверки и ремонт</t>
  </si>
  <si>
    <t>Срыв поставок компонентов</t>
  </si>
  <si>
    <t>Долгосрочные договоры, формирование достаточных запасов необходимых материалов</t>
  </si>
  <si>
    <t>Утечка компонентов</t>
  </si>
  <si>
    <t>Соблюдение техники безопасности</t>
  </si>
  <si>
    <t>Конфликты в коллективе</t>
  </si>
  <si>
    <t>Ошибки руководства</t>
  </si>
  <si>
    <t>Подбор квалицифированного персонала, разработка долгосрочной и краткосрочной стратегии развития</t>
  </si>
  <si>
    <t>Ставка процента</t>
  </si>
  <si>
    <t xml:space="preserve"> </t>
  </si>
  <si>
    <t>Уставный капитал, в том числе</t>
  </si>
  <si>
    <t>- учредительный капитал</t>
  </si>
  <si>
    <t>Нераспределенная прибыль (+) / убыток (-)</t>
  </si>
  <si>
    <t>Поступления учредительного капитала</t>
  </si>
  <si>
    <t xml:space="preserve"> - текущие обязательства</t>
  </si>
  <si>
    <t>Сальдо баланса</t>
  </si>
  <si>
    <t>Основные показатели эффективности</t>
  </si>
  <si>
    <t>Анализ точки безубыточности</t>
  </si>
  <si>
    <t>Точка безубыточности</t>
  </si>
  <si>
    <t>Итого</t>
  </si>
  <si>
    <t>Ед.</t>
  </si>
  <si>
    <t>Объем продаж</t>
  </si>
  <si>
    <t>тыс. руб.</t>
  </si>
  <si>
    <t>Инфляция нарастающим итогом</t>
  </si>
  <si>
    <t>Макроэкономическое окружение</t>
  </si>
  <si>
    <t>%</t>
  </si>
  <si>
    <t xml:space="preserve">ИНФЛЯЦИЯ  </t>
  </si>
  <si>
    <t>НАЛОГОВОЕ ОКРУЖЕНИЕ</t>
  </si>
  <si>
    <t>НДС</t>
  </si>
  <si>
    <t>Налог на имущество</t>
  </si>
  <si>
    <t>Налог на прибыль</t>
  </si>
  <si>
    <t>Всего сотрудников</t>
  </si>
  <si>
    <t>чел.</t>
  </si>
  <si>
    <t>Текущие затраты</t>
  </si>
  <si>
    <t>в том числе НДС</t>
  </si>
  <si>
    <t>Прямые материальные расходы</t>
  </si>
  <si>
    <t>Коммерческие расходы</t>
  </si>
  <si>
    <t>Всего коммерческие расходы</t>
  </si>
  <si>
    <t>Планируемые к приобретению ОС</t>
  </si>
  <si>
    <t>Значение</t>
  </si>
  <si>
    <t>Стоимость ОС (с НДС)</t>
  </si>
  <si>
    <t>График оплаты ОС</t>
  </si>
  <si>
    <t xml:space="preserve">Вложения в ОС </t>
  </si>
  <si>
    <t>Амортизация</t>
  </si>
  <si>
    <t>Остаточная стоимость</t>
  </si>
  <si>
    <t>Накопленная амортизация</t>
  </si>
  <si>
    <t>Выручка</t>
  </si>
  <si>
    <t>оплата труда</t>
  </si>
  <si>
    <t>налоги, относимые на текущие результаты</t>
  </si>
  <si>
    <t>амортизация</t>
  </si>
  <si>
    <t>Материальные расходы (без НДС)</t>
  </si>
  <si>
    <t>Общепроизводственные расходы (без НДС)</t>
  </si>
  <si>
    <t>Коммерческие расходы (без НДС)</t>
  </si>
  <si>
    <t>Расходы на заработную плату и ЕСН</t>
  </si>
  <si>
    <t>= нераспределенная прибыль</t>
  </si>
  <si>
    <t>= то же нарастающим итогом</t>
  </si>
  <si>
    <t>Отчет о движении денежных средств (тыс. руб.)</t>
  </si>
  <si>
    <t>Денежные потоки от операционной деятельности</t>
  </si>
  <si>
    <t>Поступления от продаж</t>
  </si>
  <si>
    <t>Затраты на оплату труда</t>
  </si>
  <si>
    <t>Налоги</t>
  </si>
  <si>
    <t>Выплата процентов по кредитам</t>
  </si>
  <si>
    <t>Денежные потоки от инвестиционной деятельности</t>
  </si>
  <si>
    <t>Инвестиции в основные средства</t>
  </si>
  <si>
    <t>Инвестиции в оборотный капитал</t>
  </si>
  <si>
    <t>Денежные потоки от финансовой деятельности</t>
  </si>
  <si>
    <t>Целевое финансирование</t>
  </si>
  <si>
    <t>Поступление кредитов</t>
  </si>
  <si>
    <t>Возврат кредитов</t>
  </si>
  <si>
    <t>Суммарный денежный поток за период</t>
  </si>
  <si>
    <t>Денежные средства на конец периода</t>
  </si>
  <si>
    <t>Оборотный капитал</t>
  </si>
  <si>
    <t>НДС уплаченный</t>
  </si>
  <si>
    <t>Источники финансирования</t>
  </si>
  <si>
    <t>Собственный капитал</t>
  </si>
  <si>
    <t>Годовая процентная ставка</t>
  </si>
  <si>
    <t>Поступления от кредита</t>
  </si>
  <si>
    <t>Справочно: свободные денежные средства</t>
  </si>
  <si>
    <t>Анализ проекта</t>
  </si>
  <si>
    <t>Денежный поток</t>
  </si>
  <si>
    <t>Дисконтированный денежный поток</t>
  </si>
  <si>
    <t>Дисконтированный денежный поток нарастающим итогом</t>
  </si>
  <si>
    <t>NPV</t>
  </si>
  <si>
    <t>IRR</t>
  </si>
  <si>
    <t>PP</t>
  </si>
  <si>
    <t>DPP</t>
  </si>
  <si>
    <t>лет</t>
  </si>
  <si>
    <t>Денежный поток нарастающим итогом</t>
  </si>
  <si>
    <t>1. АКТИВЫ</t>
  </si>
  <si>
    <t>Постоянные активы</t>
  </si>
  <si>
    <t xml:space="preserve"> - балансовая стоимость</t>
  </si>
  <si>
    <t xml:space="preserve"> - начисленный износ</t>
  </si>
  <si>
    <t xml:space="preserve"> - остаточная стоимость</t>
  </si>
  <si>
    <t>Незавершенные капитальные вложения</t>
  </si>
  <si>
    <t>Оборотные активы</t>
  </si>
  <si>
    <t xml:space="preserve"> - свободные денежные средства</t>
  </si>
  <si>
    <t>2. ПАССИВЫ</t>
  </si>
  <si>
    <t>Источники собственных средств</t>
  </si>
  <si>
    <t>Долгосрочные пассивы (кредиты)</t>
  </si>
  <si>
    <t>Краткосрочные пассивы</t>
  </si>
  <si>
    <t xml:space="preserve"> = Итого краткосрочные пассивы</t>
  </si>
  <si>
    <t xml:space="preserve"> = Итого пассивы</t>
  </si>
  <si>
    <t xml:space="preserve"> - текущие активы</t>
  </si>
  <si>
    <t>Уставной капитал</t>
  </si>
  <si>
    <t>Долгосрочный кредит (займ) 1</t>
  </si>
  <si>
    <t>Итого Собственный капитал</t>
  </si>
  <si>
    <t>Расчет WACC</t>
  </si>
  <si>
    <t>Первоначальная стоимость</t>
  </si>
  <si>
    <t>Балансовая (остаточная) стоимость</t>
  </si>
  <si>
    <t>Минимальная цена</t>
  </si>
  <si>
    <t>Абсолютное отклонение</t>
  </si>
  <si>
    <t>Запас прочности</t>
  </si>
  <si>
    <t>Исходные данные</t>
  </si>
  <si>
    <t>Текущие активы</t>
  </si>
  <si>
    <t>Запас готовой продукции</t>
  </si>
  <si>
    <t>Текущие пассивы</t>
  </si>
  <si>
    <t>Всего текущие пассивы</t>
  </si>
  <si>
    <t xml:space="preserve">Текущие обязательства </t>
  </si>
  <si>
    <t>Оплата труда</t>
  </si>
  <si>
    <t>Собственные средства</t>
  </si>
  <si>
    <t>Заемные средства</t>
  </si>
  <si>
    <t>Доля заемных средств</t>
  </si>
  <si>
    <t>Стоимость заемных средств</t>
  </si>
  <si>
    <t>Стоимость собственных средств</t>
  </si>
  <si>
    <t>WACC</t>
  </si>
  <si>
    <t>Доля собственных средств</t>
  </si>
  <si>
    <t>Чистая прибыль</t>
  </si>
  <si>
    <t>EBITDA</t>
  </si>
  <si>
    <t xml:space="preserve"> = Итого активы</t>
  </si>
  <si>
    <t>Коэффициент абсолютной ликвидности</t>
  </si>
  <si>
    <t>Коэффициент дисконтирования</t>
  </si>
  <si>
    <t>Функция дисконтирования</t>
  </si>
  <si>
    <t>Требуемая норма доходности венчурного капиталиста</t>
  </si>
  <si>
    <t>Стадия жизненного цикла</t>
  </si>
  <si>
    <t>Типичная требуемая норма доходности</t>
  </si>
  <si>
    <t>Старт-ап</t>
  </si>
  <si>
    <t>Первый раунд финансирования</t>
  </si>
  <si>
    <t>Второй раунд финансирования</t>
  </si>
  <si>
    <t>50-70%</t>
  </si>
  <si>
    <t>40-60%</t>
  </si>
  <si>
    <t>35-50%</t>
  </si>
  <si>
    <t>25-35%</t>
  </si>
  <si>
    <t>ТРЕБУЕМАЯ ИНВЕСТОРОМ НОРМА ДОХОДНОСТИ</t>
  </si>
  <si>
    <t>Источник: Damodaran A. Valuing Young, Start-Up and Growth Companies: Estimation Issues and Valuation Challenges, 2009. P. 15.</t>
  </si>
  <si>
    <t>Всего текущие активы (без денежных средств)</t>
  </si>
  <si>
    <t>Текущие активы (без денежных средств)</t>
  </si>
  <si>
    <t xml:space="preserve"> - НДС как актив</t>
  </si>
  <si>
    <t xml:space="preserve"> = Итого собственные средства</t>
  </si>
  <si>
    <t>Выплата дивидендов</t>
  </si>
  <si>
    <t>-</t>
  </si>
  <si>
    <t>Денежные средства и их эквиваленты</t>
  </si>
  <si>
    <t>НДС к получению</t>
  </si>
  <si>
    <t>Основные средства</t>
  </si>
  <si>
    <t>Нематериальные активы</t>
  </si>
  <si>
    <t>Кредиторская задолженность</t>
  </si>
  <si>
    <t>Уставный капитал</t>
  </si>
  <si>
    <t>Планируемые к приобретению НА</t>
  </si>
  <si>
    <t>Нематериальные активы и Основные средства</t>
  </si>
  <si>
    <t>Авансы поставщикам</t>
  </si>
  <si>
    <t>Дебиторская задолженность</t>
  </si>
  <si>
    <t>Авансы покупателей</t>
  </si>
  <si>
    <t>Краткосрочные кредиты и займы</t>
  </si>
  <si>
    <t>Задолженность перед персоналом</t>
  </si>
  <si>
    <t>Кредиторская задолженность перед поставщиками</t>
  </si>
  <si>
    <t>Чистый оборотный капитал</t>
  </si>
  <si>
    <t>Изменения чистого оборотного капитала</t>
  </si>
  <si>
    <t>Долгосрочные кредиты и займы</t>
  </si>
  <si>
    <t>Задолженность по НДС к уплате</t>
  </si>
  <si>
    <t>Возврат тела кредита</t>
  </si>
  <si>
    <t>Начисленные проценты к уплате</t>
  </si>
  <si>
    <t>Выплаченные проценты по кредиту</t>
  </si>
  <si>
    <t>Коэффициент периода обеспеченности ликвидными активами</t>
  </si>
  <si>
    <t>Товарные запасы</t>
  </si>
  <si>
    <t>Коэффициент общей ликвидности</t>
  </si>
  <si>
    <t>Коэффициент срочной ликвидности</t>
  </si>
  <si>
    <t>Денежные средства</t>
  </si>
  <si>
    <t>Потребность в оборотном капитале</t>
  </si>
  <si>
    <t>Средняя потребность в оборотном капитале</t>
  </si>
  <si>
    <t>Коэффициент обесепеченности продаж оборотным капиталом</t>
  </si>
  <si>
    <t>Среднедневные операционные расходы</t>
  </si>
  <si>
    <t>Коэффициент обеспеченности ликвидными активами</t>
  </si>
  <si>
    <t>дни</t>
  </si>
  <si>
    <t>Оборачиваемость товарно-материальных запасов (1)</t>
  </si>
  <si>
    <t>Оборачиваемость товарно-материальных запасов</t>
  </si>
  <si>
    <t>Оборачиваемость товарно-материальных запасов (2)</t>
  </si>
  <si>
    <t>Средний период оборачиваемости запасов в днях</t>
  </si>
  <si>
    <t>Оборачиваемость дебиторской задолженности</t>
  </si>
  <si>
    <t>Коэффициент оборачиваемости дебиторской задолженности в днях</t>
  </si>
  <si>
    <t>Оборачиваемость кредиторской задолженности</t>
  </si>
  <si>
    <t>Оборачиваемость кредиторской задолженности в днях</t>
  </si>
  <si>
    <t>Операционный и финансовый циклы предприятия</t>
  </si>
  <si>
    <t>Коэффициент оборачиваемости долгосрочных активов</t>
  </si>
  <si>
    <t>Средние запасы</t>
  </si>
  <si>
    <t>Себестоимость продукции</t>
  </si>
  <si>
    <t>Амортизация для расчетов</t>
  </si>
  <si>
    <t>Сумма налога на имущество организаций</t>
  </si>
  <si>
    <t>Общепроизводственные расходы</t>
  </si>
  <si>
    <t xml:space="preserve"> - краткосрочные кредиты и займы</t>
  </si>
  <si>
    <t>общепроизводственные расходы</t>
  </si>
  <si>
    <t>Материальные расходы</t>
  </si>
  <si>
    <t>Мезонинное финансирование / IPO</t>
  </si>
  <si>
    <t>Базовое значение NPV</t>
  </si>
  <si>
    <t>Факторы риска</t>
  </si>
  <si>
    <t>% изменение фактора риска</t>
  </si>
  <si>
    <t>% изменение NPV</t>
  </si>
  <si>
    <t>Рейтинг</t>
  </si>
  <si>
    <t>5=4/2</t>
  </si>
  <si>
    <t>Эластичность</t>
  </si>
  <si>
    <t>Технико-технологический риск</t>
  </si>
  <si>
    <t>Экологический риск</t>
  </si>
  <si>
    <t>Социальный риск</t>
  </si>
  <si>
    <t>Нормативно-правовой (юридический) риск</t>
  </si>
  <si>
    <t>Горизонтальный анализ Отчета о прибылях и убытках</t>
  </si>
  <si>
    <t>Коэффициент общей платёжеспособности (коэффициент автономии)</t>
  </si>
  <si>
    <t>Мультипликатор собственного капитала</t>
  </si>
  <si>
    <t>Коэффициент соотношения заёмных и собственных средств</t>
  </si>
  <si>
    <t>Коэффициент отношения обязательств к совокупным активам</t>
  </si>
  <si>
    <t>Коэффициент покрытия процентных выплат</t>
  </si>
  <si>
    <t>Коэффициент долговой нагрузки (IB)</t>
  </si>
  <si>
    <t>Уровень налоговой нагрузки (TB)</t>
  </si>
  <si>
    <t>Уровень налоговой нагрузки</t>
  </si>
  <si>
    <t>Эффективная ставка налогообложения (T)</t>
  </si>
  <si>
    <t>Задолженность по выплате процентов</t>
  </si>
  <si>
    <t>Коэффициент оборачиваемости активов</t>
  </si>
  <si>
    <t>Анализ показателей платёжеспособности и финансовой устойчивости</t>
  </si>
  <si>
    <t>Активы</t>
  </si>
  <si>
    <t>Обязательства</t>
  </si>
  <si>
    <t>Операционная прибыль</t>
  </si>
  <si>
    <t>Процентные выплаты</t>
  </si>
  <si>
    <t xml:space="preserve">Вложения в НА </t>
  </si>
  <si>
    <t>Внеоборотные активы</t>
  </si>
  <si>
    <t>Итого Внеоборотные активы</t>
  </si>
  <si>
    <t>Запасы</t>
  </si>
  <si>
    <t>Итого Оборотные активы</t>
  </si>
  <si>
    <t xml:space="preserve"> = Итого Оборотные активы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</si>
  <si>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</si>
  <si>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</si>
  <si>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</si>
  <si>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АКТИВЫ</t>
  </si>
  <si>
    <t>Итого ПАССИВЫ</t>
  </si>
  <si>
    <t>Анализ себстоимости единицы продукции</t>
  </si>
  <si>
    <t>Себестоимость</t>
  </si>
  <si>
    <t>Материалы</t>
  </si>
  <si>
    <t>Налоги, относимые на текущие результаты</t>
  </si>
  <si>
    <t>Налоги, относимые на финансовые результаты</t>
  </si>
  <si>
    <t>Проценты к уплате</t>
  </si>
  <si>
    <t>Общий анализ Отчета о прибылях и убытках</t>
  </si>
  <si>
    <t>Общий анализ Отчета о финансовом состоянии</t>
  </si>
  <si>
    <t>Горизонтальный анализ Отчета о финансовом состоянии</t>
  </si>
  <si>
    <t>Прогнозный Отчет о финансовом состоянии</t>
  </si>
  <si>
    <t>Прогнозный Отчет о прибылях и убытках</t>
  </si>
  <si>
    <t>Вертикальный анализ Отчета о финансовом состоянии</t>
  </si>
  <si>
    <t>Вертикальный анализ Отчета о прибылях и убытках</t>
  </si>
  <si>
    <t>Коэффициент общей ликвидности (коэффициент покрытия)</t>
  </si>
  <si>
    <t>Коэффициент обеспеченности продаж оборотным капиталом</t>
  </si>
  <si>
    <t>Расходы на заработную плату и страховые взносы</t>
  </si>
  <si>
    <t>Чистый оборотный капитал (NWC)</t>
  </si>
  <si>
    <t>Текущие активы (CA)</t>
  </si>
  <si>
    <t>Текущие пассивы (CL)</t>
  </si>
  <si>
    <t>Расчет терминальной стоимости проекта</t>
  </si>
  <si>
    <t>Свободный денежный поток</t>
  </si>
  <si>
    <t>Средний темп роста свободного денежного потока</t>
  </si>
  <si>
    <t>Темп роста свободного денежного потока в постпрогнозный период</t>
  </si>
  <si>
    <t>Ставка дисконтирования в постпрогнозный период</t>
  </si>
  <si>
    <t>Терминальная стоимость проекта</t>
  </si>
  <si>
    <t>Средняя годовая ставка дисконтирования в прогнозный период</t>
  </si>
  <si>
    <t>Среднее годовое значение WACC</t>
  </si>
  <si>
    <t>Средний период оборачиваемости товарно-материальных запасов (DSI)</t>
  </si>
  <si>
    <t>Средняя дебиторская задолженность</t>
  </si>
  <si>
    <t>Средний период оборачиваемости дебиторской задолженности (DSO)</t>
  </si>
  <si>
    <t>Средняя кредиторская задолженность</t>
  </si>
  <si>
    <t>Средний период оборачиваемости кредиторской задолженности (DPO)</t>
  </si>
  <si>
    <t>Средний период оборачиваемости запасов (DSI)</t>
  </si>
  <si>
    <t>Длина операционного цикла (OCP)</t>
  </si>
  <si>
    <t>Длина финансового цикла (цикла конверсии денежных средств) (CCC)</t>
  </si>
  <si>
    <t>Средние долгосрочные активы</t>
  </si>
  <si>
    <t>Средние активы</t>
  </si>
  <si>
    <t>Чистые активы</t>
  </si>
  <si>
    <t>Средние чистые активы</t>
  </si>
  <si>
    <t>Коэффициент оборачиваемости чистых активов</t>
  </si>
  <si>
    <t>Анализ показателей ликвидности</t>
  </si>
  <si>
    <t>Анализ показателей деловой активности (оборачиваемости)</t>
  </si>
  <si>
    <t>Качественный анализ рисков проекта</t>
  </si>
  <si>
    <t>Идентификация рисков</t>
  </si>
  <si>
    <t>Возможный ущерб (оценка)</t>
  </si>
  <si>
    <t>Меры по борьбе с рисками</t>
  </si>
  <si>
    <t>Название</t>
  </si>
  <si>
    <t>Причины возникновения</t>
  </si>
  <si>
    <t>Строительный риск</t>
  </si>
  <si>
    <t>Маркетинговый риск</t>
  </si>
  <si>
    <t>Риск участников проекта</t>
  </si>
  <si>
    <t>Организационно-управленческий риск</t>
  </si>
  <si>
    <t>Финансовый риск</t>
  </si>
  <si>
    <t>Форс-мажор</t>
  </si>
  <si>
    <t>Количественный анализ рисков проекта (анализ чувствительности)</t>
  </si>
  <si>
    <t>Инвестированный капитал</t>
  </si>
  <si>
    <t>Рентабельность чистых активов (RONA)</t>
  </si>
  <si>
    <t>Рентабельность инвестированного капитала (ROIC)</t>
  </si>
  <si>
    <t>Средний Инвестированный капитал</t>
  </si>
  <si>
    <t>Налоговая база</t>
  </si>
  <si>
    <t>Сумма переносимого убытка</t>
  </si>
  <si>
    <t>Прибыль (убыток) до налогообложения</t>
  </si>
  <si>
    <t>Бухгалтер</t>
  </si>
  <si>
    <t>Коэффициент общей платёжеспособности</t>
  </si>
  <si>
    <t>Коэффициент соотношения собственных и заёмных средств</t>
  </si>
  <si>
    <t>Анализ показателей рентабельности</t>
  </si>
  <si>
    <t>Темп прироста рентабельности собственного капитала</t>
  </si>
  <si>
    <t>Среднее значение рентабельности собственного капитала</t>
  </si>
  <si>
    <t xml:space="preserve">Операционная прибыль </t>
  </si>
  <si>
    <t>Средний собственный капитал</t>
  </si>
  <si>
    <t>Маржа валовой прибыли</t>
  </si>
  <si>
    <t>Маржа чистой прибыли</t>
  </si>
  <si>
    <t>EBIT</t>
  </si>
  <si>
    <t>Маржа EBITDA</t>
  </si>
  <si>
    <t>Рентабельность продаж (маржа EBIT)</t>
  </si>
  <si>
    <t>Рентабельность активов по чистой прибыли</t>
  </si>
  <si>
    <t>Рентабельность активов по EBIT</t>
  </si>
  <si>
    <t>Рентабельность чистых активов по EBIT</t>
  </si>
  <si>
    <t>Рентабельность собственного капитала</t>
  </si>
  <si>
    <t>Рентабельность собственного капитала по чистой прибыли (ROE)</t>
  </si>
  <si>
    <t>Рентабельность активов по EBIT (ROA)</t>
  </si>
  <si>
    <t>Анализ долговой и налоговой нагрузки</t>
  </si>
  <si>
    <t>Коэффициент долговой нагрузки</t>
  </si>
  <si>
    <t>Концепция предельной эффективности бизнеса</t>
  </si>
  <si>
    <t>Темп роста дохода (прибыли)</t>
  </si>
  <si>
    <t>Темп роста оборота (выручки)</t>
  </si>
  <si>
    <t>Темп роста активов</t>
  </si>
  <si>
    <t>Темп роста собственного капитала</t>
  </si>
  <si>
    <t>Вывод об эффективности бизнеса</t>
  </si>
  <si>
    <t>Страховые взносы в госуд. внебюджетные фонды</t>
  </si>
  <si>
    <t>http://exceltable.com/</t>
  </si>
  <si>
    <t>Источник данных инфляции:  МВФ и Минфин Уз</t>
  </si>
  <si>
    <t>СМЛ</t>
  </si>
  <si>
    <t>тн</t>
  </si>
  <si>
    <t>1 год</t>
  </si>
  <si>
    <t>2 год</t>
  </si>
  <si>
    <t>3 год</t>
  </si>
  <si>
    <t>4 год</t>
  </si>
  <si>
    <t>5 год</t>
  </si>
  <si>
    <t>6 год</t>
  </si>
  <si>
    <t>7 год</t>
  </si>
  <si>
    <t>8 год</t>
  </si>
  <si>
    <t>$</t>
  </si>
  <si>
    <t>валюта</t>
  </si>
  <si>
    <t>Тальк</t>
  </si>
  <si>
    <t>Общепроизводственные расходы в полугодие</t>
  </si>
  <si>
    <t>Магнезит</t>
  </si>
  <si>
    <t>Коммерческие расходы в полугодие</t>
  </si>
  <si>
    <t>АМОРТИЗАЦИЯ</t>
  </si>
  <si>
    <t>ЗДАНИЙ И СООРУЖЕНИЙ</t>
  </si>
  <si>
    <t>персонал: численность и з/п</t>
  </si>
  <si>
    <t>Осток тело кредита</t>
  </si>
  <si>
    <t>Здании и сооружении</t>
  </si>
  <si>
    <t>Вложение в ОС</t>
  </si>
  <si>
    <t>Отчет о финансовом состоянии компании (Долл США.)</t>
  </si>
  <si>
    <t>Отчет о прибылях и убытках (в долл.)</t>
  </si>
  <si>
    <t>ВСЕГО ЗАТРАТ НА ПРОИЗВОДСТВО с НДС</t>
  </si>
  <si>
    <t>ставка за недропользование за тн, долл</t>
  </si>
  <si>
    <t>Вложения в ОС и НА</t>
  </si>
  <si>
    <t xml:space="preserve">2 год </t>
  </si>
  <si>
    <t>Всего производственные затраты</t>
  </si>
  <si>
    <t>Всего налоги</t>
  </si>
  <si>
    <t>Ущерб оценивается в объеме месячных продаж и покупки нового станка, 1 год под гарантии поставщика</t>
  </si>
  <si>
    <t>Ущерб оценивается в малом объеме, так как основное сырье собственного производства</t>
  </si>
  <si>
    <t>Грамотный подготовка персонала; четкий регламент и разграничение функций каждого работника; меры по привязке к объему производства и качества продукции</t>
  </si>
  <si>
    <t>Проблемы с лицезии на добычи</t>
  </si>
  <si>
    <t>Необходимость переоформления лизензии по мере источение карьера</t>
  </si>
  <si>
    <t>Предварительная проработка допольнительных карьеров или приобретение заранее карьеров</t>
  </si>
  <si>
    <t>стихийное бедствие</t>
  </si>
  <si>
    <t>необходимо проектированиесоответствующем качестве</t>
  </si>
  <si>
    <t>Себестоимость 1 тн талька</t>
  </si>
  <si>
    <t>Себестоимость единицы1 тн магнезита</t>
  </si>
  <si>
    <t>Себестоимость 1 м2 СМЛ</t>
  </si>
  <si>
    <t>материалы</t>
  </si>
  <si>
    <t>1 гол</t>
  </si>
  <si>
    <t xml:space="preserve">Period </t>
  </si>
  <si>
    <t>Cashflow</t>
  </si>
  <si>
    <t>Discount rate</t>
  </si>
  <si>
    <t xml:space="preserve">Всего прямые мат. расходы </t>
  </si>
  <si>
    <t>Первоначальные оборотные средства</t>
  </si>
  <si>
    <t>ВСЕГО</t>
  </si>
  <si>
    <t xml:space="preserve">Всего затрат </t>
  </si>
  <si>
    <t>0 год</t>
  </si>
  <si>
    <t>Инфляция в год</t>
  </si>
  <si>
    <t xml:space="preserve">Требуемая норма доходности </t>
  </si>
  <si>
    <t xml:space="preserve">3 год </t>
  </si>
  <si>
    <t>9 год</t>
  </si>
  <si>
    <t>10 год</t>
  </si>
  <si>
    <t xml:space="preserve">1 год </t>
  </si>
  <si>
    <t xml:space="preserve">4 год </t>
  </si>
  <si>
    <t xml:space="preserve">5 год </t>
  </si>
  <si>
    <t xml:space="preserve">6 год </t>
  </si>
  <si>
    <t xml:space="preserve">7 год </t>
  </si>
  <si>
    <t xml:space="preserve">8 год </t>
  </si>
  <si>
    <t xml:space="preserve">9 год </t>
  </si>
  <si>
    <t xml:space="preserve">10 год </t>
  </si>
  <si>
    <t>Коэффициент продаж</t>
  </si>
  <si>
    <t>в год</t>
  </si>
  <si>
    <t>всего инвестиции</t>
  </si>
  <si>
    <t>Подготовка ПСД, создание СП</t>
  </si>
  <si>
    <t>Обучение кадров</t>
  </si>
  <si>
    <t>Амортизация (линейный метод)</t>
  </si>
  <si>
    <t xml:space="preserve">- себестоимость проданной продукции </t>
  </si>
  <si>
    <t>от выручки</t>
  </si>
  <si>
    <t xml:space="preserve">Выручка </t>
  </si>
  <si>
    <t>общий</t>
  </si>
  <si>
    <t>за один месяц</t>
  </si>
  <si>
    <t xml:space="preserve">всего </t>
  </si>
  <si>
    <t>количество учащихся</t>
  </si>
  <si>
    <t xml:space="preserve"> классы 1-4</t>
  </si>
  <si>
    <t>классы 5-9</t>
  </si>
  <si>
    <t>Директор</t>
  </si>
  <si>
    <t>Заместитель директора</t>
  </si>
  <si>
    <t>Учитель начальных классов</t>
  </si>
  <si>
    <t>учитель математики</t>
  </si>
  <si>
    <t>учитель физики</t>
  </si>
  <si>
    <t>учитель химий</t>
  </si>
  <si>
    <t>учитель информатики</t>
  </si>
  <si>
    <t>учитель англиского языка</t>
  </si>
  <si>
    <t>Физрук</t>
  </si>
  <si>
    <t>Преподователь музыки</t>
  </si>
  <si>
    <t>Медсестры</t>
  </si>
  <si>
    <t>Завхоз</t>
  </si>
  <si>
    <t>технички и садовод</t>
  </si>
  <si>
    <t>повара</t>
  </si>
  <si>
    <t>Охрана</t>
  </si>
  <si>
    <t>ставки в год</t>
  </si>
  <si>
    <t>на одного учащихся в год</t>
  </si>
  <si>
    <t>Всего расходы на заработную плату в год</t>
  </si>
  <si>
    <t>Страховые взносы в государственные внебюджетные фонды 1%</t>
  </si>
  <si>
    <t>Всего расходы на заработную плату и страховые взносы в год</t>
  </si>
  <si>
    <t>Производственные расходы</t>
  </si>
  <si>
    <t>расходные материалы</t>
  </si>
  <si>
    <t xml:space="preserve">питание учащихся </t>
  </si>
  <si>
    <t>в день</t>
  </si>
  <si>
    <t>непредвиданные и производственные затраты</t>
  </si>
  <si>
    <t xml:space="preserve">природный газ </t>
  </si>
  <si>
    <t xml:space="preserve">Расходы на транспорт, услуги ЖКХ и др </t>
  </si>
  <si>
    <t>Электороэнергия</t>
  </si>
  <si>
    <t>вода</t>
  </si>
  <si>
    <t xml:space="preserve">стоимость проекта </t>
  </si>
  <si>
    <t>Себестоимости 1 учащегося</t>
  </si>
  <si>
    <t>инвертар</t>
  </si>
  <si>
    <t>организационные затраты</t>
  </si>
  <si>
    <t>инвертар и техники</t>
  </si>
  <si>
    <t xml:space="preserve">NPVн </t>
  </si>
  <si>
    <t xml:space="preserve">Средняя цена </t>
  </si>
  <si>
    <t xml:space="preserve">Стоимость главного компонента </t>
  </si>
  <si>
    <t>Цена обучения (сред. Цена с услугами)</t>
  </si>
  <si>
    <t>постоянные затраты</t>
  </si>
  <si>
    <t>ученики</t>
  </si>
  <si>
    <t>переменные затраты</t>
  </si>
  <si>
    <t>2год</t>
  </si>
  <si>
    <t>10год</t>
  </si>
  <si>
    <t>Объем производства</t>
  </si>
  <si>
    <t>Переменные затраты</t>
  </si>
  <si>
    <t>Постоянные затраты</t>
  </si>
  <si>
    <t>Цена</t>
  </si>
  <si>
    <t>ПРИМЕЧАНИЕ: 1. Финмодель составлено относительно к сегодняшнего курса долл/сум, который составляет 1$/11 300 сум</t>
  </si>
  <si>
    <t>2. Есть возможности инвестировать в рублях</t>
  </si>
  <si>
    <t xml:space="preserve">                           2. Инфляция принято по прогнозам Мирового банка для Узбекистана.</t>
  </si>
  <si>
    <t>доля местного инвестора 50%</t>
  </si>
  <si>
    <t xml:space="preserve">Всего общие производственные расходы </t>
  </si>
  <si>
    <t>Себестоимость на одного учащихся (единицы продукта)</t>
  </si>
  <si>
    <t>доля инвестора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</si>
</sst>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%"/>
    <numFmt numFmtId="166" formatCode="0.0"/>
    <numFmt numFmtId="167" formatCode="General_)"/>
    <numFmt numFmtId="168" formatCode="#,##0.0000"/>
    <numFmt numFmtId="169" formatCode="0.000"/>
    <numFmt numFmtId="170" formatCode="_-* #,##0_р_._-;\-* #,##0_р_._-;_-* &quot;-&quot;??_р_._-;_-@_-"/>
    <numFmt numFmtId="171" formatCode="[$$-409]#,##0"/>
    <numFmt numFmtId="172" formatCode="#,##0.00;[Red]\(#,##0.00\)"/>
    <numFmt numFmtId="173" formatCode="[$$-2409]#,##0"/>
  </numFmts>
  <fonts count="47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i/>
      <sz val="10"/>
      <name val="Arial Narrow"/>
      <family val="2"/>
    </font>
    <font>
      <sz val="10"/>
      <color indexed="17"/>
      <name val="Arial Narrow"/>
      <family val="2"/>
    </font>
    <font>
      <i/>
      <sz val="10"/>
      <name val="Arial Narrow"/>
      <family val="2"/>
    </font>
    <font>
      <b/>
      <sz val="10"/>
      <color indexed="56"/>
      <name val="Arial Narrow"/>
      <family val="2"/>
    </font>
    <font>
      <b/>
      <i/>
      <sz val="10"/>
      <color indexed="56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color indexed="63"/>
      <name val="Arial Narrow"/>
      <family val="2"/>
    </font>
    <font>
      <i/>
      <sz val="10"/>
      <color indexed="63"/>
      <name val="Arial Narrow"/>
      <family val="2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2"/>
      <name val="Arial Narrow"/>
      <family val="2"/>
    </font>
    <font>
      <i/>
      <sz val="8"/>
      <name val="Arial Narrow"/>
      <family val="2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55"/>
      <name val="Arial Narrow"/>
      <family val="2"/>
    </font>
    <font>
      <b/>
      <sz val="10"/>
      <color indexed="55"/>
      <name val="Arial Narrow"/>
      <family val="2"/>
    </font>
    <font>
      <i/>
      <sz val="10"/>
      <color indexed="55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7"/>
      <name val="Arial Narrow"/>
      <family val="2"/>
    </font>
    <font>
      <sz val="10"/>
      <color indexed="17"/>
      <name val="Arial"/>
      <family val="2"/>
      <charset val="204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4"/>
      <color theme="10"/>
      <name val="Arial"/>
      <family val="2"/>
      <charset val="204"/>
    </font>
    <font>
      <sz val="10"/>
      <name val="Arial Cyr"/>
      <family val="2"/>
      <charset val="204"/>
    </font>
    <font>
      <sz val="10"/>
      <color theme="6" tint="-0.499984740745262"/>
      <name val="Arial"/>
      <family val="2"/>
      <charset val="204"/>
    </font>
    <font>
      <b/>
      <sz val="10"/>
      <name val="Arial Narrow"/>
      <family val="2"/>
      <charset val="204"/>
    </font>
    <font>
      <i/>
      <sz val="10"/>
      <name val="Arial Narrow"/>
      <family val="2"/>
      <charset val="204"/>
    </font>
    <font>
      <i/>
      <sz val="10"/>
      <color indexed="17"/>
      <name val="Arial Narrow"/>
      <family val="2"/>
      <charset val="204"/>
    </font>
    <font>
      <sz val="10"/>
      <color rgb="FF00B050"/>
      <name val="Arial Narrow"/>
      <family val="2"/>
    </font>
    <font>
      <sz val="10"/>
      <name val="Cambria"/>
      <family val="1"/>
      <charset val="204"/>
      <scheme val="major"/>
    </font>
    <font>
      <sz val="11"/>
      <name val="Arial Narrow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34" fillId="0" borderId="0"/>
    <xf numFmtId="9" fontId="20" fillId="0" borderId="0" applyFont="0" applyFill="0" applyBorder="0" applyAlignment="0" applyProtection="0"/>
    <xf numFmtId="0" fontId="34" fillId="0" borderId="0"/>
    <xf numFmtId="0" fontId="19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2" fontId="19" fillId="0" borderId="0" applyFont="0" applyFill="0" applyBorder="0" applyAlignment="0" applyProtection="0"/>
  </cellStyleXfs>
  <cellXfs count="3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7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7" fillId="0" borderId="0" xfId="0" applyFont="1"/>
    <xf numFmtId="0" fontId="3" fillId="0" borderId="0" xfId="0" applyFont="1"/>
    <xf numFmtId="0" fontId="6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/>
    <xf numFmtId="0" fontId="8" fillId="0" borderId="0" xfId="0" applyFont="1" applyBorder="1"/>
    <xf numFmtId="3" fontId="3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3" fillId="0" borderId="0" xfId="0" applyNumberFormat="1" applyFont="1" applyBorder="1"/>
    <xf numFmtId="49" fontId="8" fillId="0" borderId="0" xfId="0" applyNumberFormat="1" applyFont="1" applyBorder="1"/>
    <xf numFmtId="0" fontId="8" fillId="0" borderId="0" xfId="0" applyFont="1"/>
    <xf numFmtId="3" fontId="8" fillId="0" borderId="1" xfId="0" applyNumberFormat="1" applyFont="1" applyBorder="1" applyAlignment="1">
      <alignment horizontal="center"/>
    </xf>
    <xf numFmtId="49" fontId="9" fillId="0" borderId="0" xfId="0" applyNumberFormat="1" applyFont="1" applyBorder="1"/>
    <xf numFmtId="3" fontId="2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11" fillId="0" borderId="0" xfId="0" applyFont="1" applyBorder="1" applyAlignment="1">
      <alignment horizontal="left"/>
    </xf>
    <xf numFmtId="0" fontId="2" fillId="8" borderId="0" xfId="0" applyFont="1" applyFill="1"/>
    <xf numFmtId="0" fontId="2" fillId="8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2" fillId="0" borderId="1" xfId="0" applyFont="1" applyBorder="1"/>
    <xf numFmtId="0" fontId="16" fillId="0" borderId="0" xfId="0" applyFont="1" applyBorder="1" applyAlignment="1">
      <alignment vertical="top" wrapText="1"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Border="1"/>
    <xf numFmtId="10" fontId="2" fillId="0" borderId="0" xfId="0" applyNumberFormat="1" applyFont="1"/>
    <xf numFmtId="3" fontId="14" fillId="0" borderId="0" xfId="0" applyNumberFormat="1" applyFont="1"/>
    <xf numFmtId="0" fontId="17" fillId="0" borderId="0" xfId="0" applyFont="1"/>
    <xf numFmtId="0" fontId="3" fillId="9" borderId="1" xfId="0" applyFont="1" applyFill="1" applyBorder="1"/>
    <xf numFmtId="2" fontId="2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9" fillId="0" borderId="0" xfId="0" applyFont="1" applyFill="1" applyAlignment="1">
      <alignment horizontal="left"/>
    </xf>
    <xf numFmtId="4" fontId="7" fillId="0" borderId="0" xfId="0" applyNumberFormat="1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/>
    </xf>
    <xf numFmtId="0" fontId="18" fillId="0" borderId="0" xfId="0" applyFont="1" applyFill="1" applyBorder="1"/>
    <xf numFmtId="0" fontId="21" fillId="0" borderId="0" xfId="0" applyFont="1"/>
    <xf numFmtId="0" fontId="21" fillId="0" borderId="0" xfId="0" applyFont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1" fillId="0" borderId="0" xfId="0" applyFont="1" applyFill="1"/>
    <xf numFmtId="3" fontId="22" fillId="0" borderId="0" xfId="0" applyNumberFormat="1" applyFont="1" applyFill="1" applyAlignment="1">
      <alignment horizontal="center"/>
    </xf>
    <xf numFmtId="0" fontId="21" fillId="0" borderId="0" xfId="0" applyFont="1" applyBorder="1"/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1" xfId="5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5" xfId="0" applyFont="1" applyBorder="1"/>
    <xf numFmtId="1" fontId="2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68" fontId="2" fillId="0" borderId="1" xfId="0" applyNumberFormat="1" applyFont="1" applyBorder="1" applyAlignment="1">
      <alignment horizontal="center"/>
    </xf>
    <xf numFmtId="9" fontId="2" fillId="0" borderId="1" xfId="5" applyFont="1" applyBorder="1" applyAlignment="1">
      <alignment horizontal="center"/>
    </xf>
    <xf numFmtId="9" fontId="3" fillId="0" borderId="1" xfId="5" applyFont="1" applyBorder="1" applyAlignment="1">
      <alignment horizontal="center"/>
    </xf>
    <xf numFmtId="0" fontId="3" fillId="8" borderId="0" xfId="4" applyFont="1" applyFill="1" applyBorder="1" applyProtection="1"/>
    <xf numFmtId="0" fontId="3" fillId="0" borderId="0" xfId="4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left"/>
    </xf>
    <xf numFmtId="0" fontId="2" fillId="0" borderId="0" xfId="4" applyFont="1" applyFill="1" applyBorder="1" applyAlignment="1" applyProtection="1">
      <alignment horizontal="left"/>
    </xf>
    <xf numFmtId="0" fontId="2" fillId="0" borderId="0" xfId="4" applyFont="1" applyFill="1" applyBorder="1" applyProtection="1"/>
    <xf numFmtId="0" fontId="6" fillId="0" borderId="0" xfId="4" applyFont="1" applyFill="1" applyBorder="1" applyAlignment="1" applyProtection="1">
      <alignment horizontal="left"/>
    </xf>
    <xf numFmtId="49" fontId="8" fillId="0" borderId="0" xfId="4" applyNumberFormat="1" applyFont="1" applyFill="1" applyBorder="1" applyAlignment="1" applyProtection="1">
      <alignment horizontal="left"/>
    </xf>
    <xf numFmtId="167" fontId="12" fillId="0" borderId="0" xfId="4" applyNumberFormat="1" applyFont="1" applyFill="1" applyBorder="1" applyAlignment="1" applyProtection="1"/>
    <xf numFmtId="4" fontId="21" fillId="0" borderId="0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2" fillId="0" borderId="0" xfId="0" quotePrefix="1" applyFont="1"/>
    <xf numFmtId="0" fontId="23" fillId="0" borderId="0" xfId="0" applyFont="1"/>
    <xf numFmtId="1" fontId="21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9" fontId="2" fillId="0" borderId="1" xfId="5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4" fillId="0" borderId="0" xfId="3" applyFont="1"/>
    <xf numFmtId="0" fontId="24" fillId="0" borderId="0" xfId="3" applyFont="1" applyFill="1"/>
    <xf numFmtId="0" fontId="25" fillId="0" borderId="0" xfId="3" applyFont="1" applyAlignment="1">
      <alignment vertical="center" wrapText="1"/>
    </xf>
    <xf numFmtId="0" fontId="25" fillId="0" borderId="0" xfId="3" applyFont="1"/>
    <xf numFmtId="0" fontId="24" fillId="0" borderId="0" xfId="3" applyFont="1" applyAlignment="1">
      <alignment vertical="center" wrapText="1"/>
    </xf>
    <xf numFmtId="3" fontId="21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4" fillId="0" borderId="0" xfId="3" applyFont="1" applyBorder="1" applyAlignment="1">
      <alignment vertical="center" wrapText="1"/>
    </xf>
    <xf numFmtId="0" fontId="25" fillId="0" borderId="0" xfId="3" applyFont="1" applyBorder="1" applyAlignment="1">
      <alignment vertical="center" wrapText="1"/>
    </xf>
    <xf numFmtId="0" fontId="26" fillId="0" borderId="0" xfId="3" applyFont="1" applyBorder="1" applyAlignment="1">
      <alignment horizontal="right" vertical="center" wrapText="1"/>
    </xf>
    <xf numFmtId="0" fontId="26" fillId="0" borderId="0" xfId="3" applyFont="1" applyBorder="1" applyAlignment="1">
      <alignment vertical="center" wrapText="1"/>
    </xf>
    <xf numFmtId="0" fontId="24" fillId="0" borderId="0" xfId="3" applyFont="1" applyBorder="1"/>
    <xf numFmtId="0" fontId="25" fillId="0" borderId="0" xfId="3" applyFont="1" applyBorder="1" applyAlignment="1">
      <alignment horizontal="left" vertical="center" wrapText="1"/>
    </xf>
    <xf numFmtId="3" fontId="24" fillId="0" borderId="1" xfId="3" applyNumberFormat="1" applyFont="1" applyBorder="1" applyAlignment="1">
      <alignment horizontal="center"/>
    </xf>
    <xf numFmtId="3" fontId="25" fillId="0" borderId="1" xfId="3" applyNumberFormat="1" applyFont="1" applyBorder="1" applyAlignment="1">
      <alignment horizontal="center"/>
    </xf>
    <xf numFmtId="0" fontId="24" fillId="0" borderId="0" xfId="3" applyFont="1" applyBorder="1" applyAlignment="1">
      <alignment horizontal="center" vertical="center" wrapText="1"/>
    </xf>
    <xf numFmtId="3" fontId="26" fillId="0" borderId="1" xfId="3" applyNumberFormat="1" applyFont="1" applyBorder="1" applyAlignment="1">
      <alignment horizontal="center"/>
    </xf>
    <xf numFmtId="0" fontId="24" fillId="0" borderId="0" xfId="3" applyFont="1" applyBorder="1" applyAlignment="1">
      <alignment horizontal="right"/>
    </xf>
    <xf numFmtId="0" fontId="24" fillId="0" borderId="0" xfId="6" applyNumberFormat="1" applyFont="1" applyBorder="1"/>
    <xf numFmtId="0" fontId="24" fillId="0" borderId="0" xfId="3" applyFont="1" applyFill="1" applyBorder="1" applyAlignment="1">
      <alignment vertical="center" wrapText="1"/>
    </xf>
    <xf numFmtId="1" fontId="24" fillId="0" borderId="1" xfId="3" applyNumberFormat="1" applyFont="1" applyBorder="1" applyAlignment="1">
      <alignment horizontal="center"/>
    </xf>
    <xf numFmtId="3" fontId="24" fillId="0" borderId="1" xfId="8" applyNumberFormat="1" applyFont="1" applyBorder="1" applyAlignment="1">
      <alignment horizontal="center" vertical="center"/>
    </xf>
    <xf numFmtId="3" fontId="26" fillId="0" borderId="1" xfId="8" applyNumberFormat="1" applyFont="1" applyBorder="1" applyAlignment="1">
      <alignment horizontal="center" vertical="center"/>
    </xf>
    <xf numFmtId="3" fontId="25" fillId="0" borderId="1" xfId="8" applyNumberFormat="1" applyFont="1" applyBorder="1" applyAlignment="1">
      <alignment horizontal="center" vertical="center"/>
    </xf>
    <xf numFmtId="3" fontId="24" fillId="0" borderId="0" xfId="8" applyNumberFormat="1" applyFont="1" applyAlignment="1">
      <alignment horizontal="center" vertical="center"/>
    </xf>
    <xf numFmtId="3" fontId="24" fillId="0" borderId="0" xfId="8" applyNumberFormat="1" applyFont="1" applyBorder="1" applyAlignment="1">
      <alignment horizontal="center" vertical="center"/>
    </xf>
    <xf numFmtId="0" fontId="3" fillId="8" borderId="0" xfId="0" applyFont="1" applyFill="1"/>
    <xf numFmtId="0" fontId="26" fillId="0" borderId="0" xfId="3" applyFont="1" applyAlignment="1">
      <alignment horizontal="right"/>
    </xf>
    <xf numFmtId="3" fontId="26" fillId="0" borderId="0" xfId="8" applyNumberFormat="1" applyFont="1" applyBorder="1" applyAlignment="1">
      <alignment horizontal="center" vertical="center"/>
    </xf>
    <xf numFmtId="0" fontId="25" fillId="0" borderId="0" xfId="3" applyFont="1" applyAlignment="1">
      <alignment horizontal="left"/>
    </xf>
    <xf numFmtId="3" fontId="23" fillId="0" borderId="0" xfId="0" applyNumberFormat="1" applyFont="1" applyBorder="1" applyAlignment="1">
      <alignment horizontal="left"/>
    </xf>
    <xf numFmtId="0" fontId="27" fillId="0" borderId="0" xfId="3" applyFont="1" applyBorder="1" applyAlignment="1">
      <alignment vertical="center" wrapText="1"/>
    </xf>
    <xf numFmtId="0" fontId="24" fillId="0" borderId="0" xfId="3" applyFont="1" applyBorder="1" applyAlignment="1">
      <alignment wrapText="1"/>
    </xf>
    <xf numFmtId="0" fontId="26" fillId="0" borderId="0" xfId="3" applyFont="1" applyBorder="1" applyAlignment="1">
      <alignment horizontal="right" wrapText="1"/>
    </xf>
    <xf numFmtId="0" fontId="25" fillId="0" borderId="0" xfId="3" applyFont="1" applyBorder="1" applyAlignment="1">
      <alignment wrapText="1"/>
    </xf>
    <xf numFmtId="3" fontId="24" fillId="0" borderId="0" xfId="3" applyNumberFormat="1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24" fillId="0" borderId="0" xfId="3" applyFont="1" applyBorder="1" applyAlignment="1">
      <alignment horizontal="left" wrapText="1"/>
    </xf>
    <xf numFmtId="0" fontId="24" fillId="0" borderId="0" xfId="3" applyFont="1" applyAlignment="1">
      <alignment horizontal="left"/>
    </xf>
    <xf numFmtId="0" fontId="25" fillId="0" borderId="0" xfId="3" applyFont="1" applyBorder="1" applyAlignment="1">
      <alignment horizontal="left" wrapText="1"/>
    </xf>
    <xf numFmtId="3" fontId="26" fillId="0" borderId="0" xfId="3" applyNumberFormat="1" applyFont="1" applyBorder="1" applyAlignment="1">
      <alignment horizontal="center"/>
    </xf>
    <xf numFmtId="3" fontId="26" fillId="0" borderId="0" xfId="6" applyNumberFormat="1" applyFont="1" applyBorder="1" applyAlignment="1">
      <alignment horizontal="center"/>
    </xf>
    <xf numFmtId="3" fontId="24" fillId="0" borderId="0" xfId="6" applyNumberFormat="1" applyFont="1" applyBorder="1" applyAlignment="1">
      <alignment horizontal="center"/>
    </xf>
    <xf numFmtId="3" fontId="24" fillId="0" borderId="0" xfId="3" applyNumberFormat="1" applyFont="1" applyBorder="1" applyAlignment="1">
      <alignment horizontal="left"/>
    </xf>
    <xf numFmtId="3" fontId="24" fillId="0" borderId="0" xfId="6" applyNumberFormat="1" applyFont="1" applyBorder="1" applyAlignment="1">
      <alignment horizontal="left"/>
    </xf>
    <xf numFmtId="9" fontId="24" fillId="0" borderId="1" xfId="5" applyFont="1" applyBorder="1" applyAlignment="1">
      <alignment horizontal="center" vertical="center"/>
    </xf>
    <xf numFmtId="9" fontId="25" fillId="0" borderId="1" xfId="5" applyFont="1" applyBorder="1" applyAlignment="1">
      <alignment horizontal="center" vertical="center"/>
    </xf>
    <xf numFmtId="3" fontId="26" fillId="0" borderId="3" xfId="8" applyNumberFormat="1" applyFont="1" applyBorder="1" applyAlignment="1">
      <alignment horizontal="center" vertical="center"/>
    </xf>
    <xf numFmtId="0" fontId="24" fillId="0" borderId="0" xfId="3" applyFont="1" applyBorder="1" applyAlignment="1">
      <alignment horizontal="left" vertical="center" wrapText="1" indent="1"/>
    </xf>
    <xf numFmtId="0" fontId="24" fillId="0" borderId="0" xfId="3" applyFont="1" applyFill="1" applyBorder="1" applyAlignment="1">
      <alignment horizontal="left" vertical="center" wrapText="1" indent="1"/>
    </xf>
    <xf numFmtId="0" fontId="24" fillId="0" borderId="0" xfId="3" applyFont="1" applyAlignment="1">
      <alignment horizontal="left" indent="1"/>
    </xf>
    <xf numFmtId="0" fontId="24" fillId="0" borderId="0" xfId="3" applyFont="1" applyBorder="1" applyAlignment="1">
      <alignment horizontal="left" wrapText="1" indent="1"/>
    </xf>
    <xf numFmtId="0" fontId="26" fillId="0" borderId="0" xfId="3" applyFont="1" applyBorder="1" applyAlignment="1">
      <alignment horizontal="left" vertical="center" wrapText="1" indent="1"/>
    </xf>
    <xf numFmtId="3" fontId="28" fillId="0" borderId="1" xfId="8" applyNumberFormat="1" applyFont="1" applyBorder="1" applyAlignment="1">
      <alignment horizontal="center" vertical="center"/>
    </xf>
    <xf numFmtId="0" fontId="29" fillId="0" borderId="0" xfId="0" applyFont="1" applyProtection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3" fontId="24" fillId="0" borderId="0" xfId="3" applyNumberFormat="1" applyFont="1" applyBorder="1"/>
    <xf numFmtId="0" fontId="26" fillId="0" borderId="0" xfId="3" applyFont="1" applyBorder="1" applyAlignment="1">
      <alignment horizontal="left" wrapText="1" indent="1"/>
    </xf>
    <xf numFmtId="9" fontId="26" fillId="0" borderId="1" xfId="5" applyFont="1" applyBorder="1" applyAlignment="1">
      <alignment horizontal="center" vertical="center"/>
    </xf>
    <xf numFmtId="9" fontId="24" fillId="0" borderId="0" xfId="5" applyFont="1" applyBorder="1" applyAlignment="1">
      <alignment horizontal="center" vertical="center"/>
    </xf>
    <xf numFmtId="9" fontId="24" fillId="0" borderId="0" xfId="5" applyFont="1" applyBorder="1" applyAlignment="1">
      <alignment horizontal="center"/>
    </xf>
    <xf numFmtId="9" fontId="24" fillId="0" borderId="1" xfId="5" applyFont="1" applyBorder="1" applyAlignment="1">
      <alignment horizontal="center"/>
    </xf>
    <xf numFmtId="9" fontId="25" fillId="0" borderId="1" xfId="5" applyFont="1" applyBorder="1" applyAlignment="1">
      <alignment horizontal="center"/>
    </xf>
    <xf numFmtId="9" fontId="26" fillId="0" borderId="1" xfId="5" applyFont="1" applyBorder="1" applyAlignment="1">
      <alignment horizontal="center"/>
    </xf>
    <xf numFmtId="9" fontId="24" fillId="0" borderId="0" xfId="5" applyFont="1" applyBorder="1"/>
    <xf numFmtId="0" fontId="27" fillId="0" borderId="0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2" fontId="24" fillId="0" borderId="0" xfId="3" applyNumberFormat="1" applyFont="1" applyBorder="1" applyAlignment="1">
      <alignment horizontal="center" vertical="center" wrapText="1"/>
    </xf>
    <xf numFmtId="0" fontId="26" fillId="0" borderId="0" xfId="3" applyFont="1" applyBorder="1"/>
    <xf numFmtId="3" fontId="24" fillId="0" borderId="1" xfId="3" applyNumberFormat="1" applyFont="1" applyBorder="1" applyAlignment="1">
      <alignment horizontal="center" vertical="center" wrapText="1"/>
    </xf>
    <xf numFmtId="2" fontId="25" fillId="0" borderId="1" xfId="3" applyNumberFormat="1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/>
    </xf>
    <xf numFmtId="0" fontId="24" fillId="0" borderId="0" xfId="3" applyFont="1" applyBorder="1" applyAlignment="1">
      <alignment horizontal="center" vertical="center"/>
    </xf>
    <xf numFmtId="0" fontId="24" fillId="0" borderId="1" xfId="3" applyFont="1" applyBorder="1" applyAlignment="1">
      <alignment horizontal="center" vertical="center" wrapText="1"/>
    </xf>
    <xf numFmtId="1" fontId="24" fillId="0" borderId="1" xfId="3" applyNumberFormat="1" applyFont="1" applyBorder="1" applyAlignment="1">
      <alignment horizontal="center" vertical="center" wrapText="1"/>
    </xf>
    <xf numFmtId="166" fontId="24" fillId="0" borderId="1" xfId="3" applyNumberFormat="1" applyFont="1" applyBorder="1" applyAlignment="1">
      <alignment horizontal="center" vertical="center" wrapText="1"/>
    </xf>
    <xf numFmtId="0" fontId="24" fillId="0" borderId="0" xfId="3" applyFont="1" applyBorder="1" applyAlignment="1">
      <alignment horizontal="left" indent="1"/>
    </xf>
    <xf numFmtId="0" fontId="25" fillId="0" borderId="0" xfId="3" applyFont="1" applyBorder="1"/>
    <xf numFmtId="1" fontId="25" fillId="0" borderId="1" xfId="3" applyNumberFormat="1" applyFont="1" applyBorder="1" applyAlignment="1">
      <alignment horizontal="center"/>
    </xf>
    <xf numFmtId="0" fontId="24" fillId="0" borderId="1" xfId="3" applyFont="1" applyBorder="1" applyAlignment="1">
      <alignment vertical="center" wrapText="1"/>
    </xf>
    <xf numFmtId="0" fontId="25" fillId="0" borderId="1" xfId="3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3" fillId="9" borderId="1" xfId="0" applyFont="1" applyFill="1" applyBorder="1" applyAlignment="1">
      <alignment horizontal="center" vertical="center"/>
    </xf>
    <xf numFmtId="9" fontId="24" fillId="0" borderId="1" xfId="6" applyFont="1" applyBorder="1" applyAlignment="1">
      <alignment horizontal="right" vertical="center" wrapText="1"/>
    </xf>
    <xf numFmtId="2" fontId="24" fillId="0" borderId="1" xfId="3" applyNumberFormat="1" applyFont="1" applyBorder="1" applyAlignment="1">
      <alignment horizontal="right" vertical="center" wrapText="1"/>
    </xf>
    <xf numFmtId="0" fontId="24" fillId="0" borderId="1" xfId="3" applyFont="1" applyBorder="1" applyAlignment="1">
      <alignment horizontal="left" vertical="center" wrapText="1"/>
    </xf>
    <xf numFmtId="2" fontId="24" fillId="0" borderId="1" xfId="3" applyNumberFormat="1" applyFont="1" applyBorder="1" applyAlignment="1">
      <alignment horizontal="center" vertical="center" wrapText="1"/>
    </xf>
    <xf numFmtId="1" fontId="25" fillId="0" borderId="1" xfId="3" applyNumberFormat="1" applyFont="1" applyBorder="1" applyAlignment="1">
      <alignment horizontal="center" vertical="center"/>
    </xf>
    <xf numFmtId="0" fontId="26" fillId="0" borderId="0" xfId="3" applyFont="1" applyBorder="1" applyAlignment="1">
      <alignment horizontal="right"/>
    </xf>
    <xf numFmtId="9" fontId="25" fillId="0" borderId="1" xfId="5" applyFont="1" applyBorder="1" applyAlignment="1">
      <alignment horizontal="center" vertical="center" wrapText="1"/>
    </xf>
    <xf numFmtId="0" fontId="24" fillId="0" borderId="0" xfId="3" applyFont="1" applyBorder="1" applyAlignment="1">
      <alignment horizontal="left" vertical="center" wrapText="1" indent="2"/>
    </xf>
    <xf numFmtId="9" fontId="24" fillId="0" borderId="1" xfId="6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4" fillId="7" borderId="0" xfId="0" applyFont="1" applyFill="1" applyBorder="1" applyAlignment="1">
      <alignment horizontal="left"/>
    </xf>
    <xf numFmtId="2" fontId="25" fillId="0" borderId="1" xfId="5" applyNumberFormat="1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25" fillId="0" borderId="1" xfId="3" applyFont="1" applyBorder="1"/>
    <xf numFmtId="1" fontId="7" fillId="0" borderId="1" xfId="0" applyNumberFormat="1" applyFont="1" applyBorder="1" applyAlignment="1">
      <alignment horizontal="right"/>
    </xf>
    <xf numFmtId="9" fontId="7" fillId="0" borderId="1" xfId="5" applyFont="1" applyBorder="1" applyAlignment="1">
      <alignment horizontal="right"/>
    </xf>
    <xf numFmtId="4" fontId="29" fillId="0" borderId="0" xfId="0" applyNumberFormat="1" applyFont="1" applyFill="1" applyAlignment="1">
      <alignment horizontal="center"/>
    </xf>
    <xf numFmtId="9" fontId="2" fillId="0" borderId="0" xfId="5" applyFont="1" applyAlignment="1">
      <alignment horizontal="center"/>
    </xf>
    <xf numFmtId="9" fontId="7" fillId="0" borderId="0" xfId="5" applyFont="1" applyAlignment="1">
      <alignment horizontal="center"/>
    </xf>
    <xf numFmtId="10" fontId="21" fillId="0" borderId="0" xfId="5" applyNumberFormat="1" applyFont="1"/>
    <xf numFmtId="0" fontId="21" fillId="2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3" fontId="21" fillId="0" borderId="0" xfId="0" applyNumberFormat="1" applyFont="1"/>
    <xf numFmtId="9" fontId="21" fillId="0" borderId="0" xfId="5" applyFont="1"/>
    <xf numFmtId="3" fontId="7" fillId="0" borderId="6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/>
    </xf>
    <xf numFmtId="0" fontId="32" fillId="0" borderId="0" xfId="0" applyFont="1"/>
    <xf numFmtId="0" fontId="31" fillId="0" borderId="0" xfId="0" applyFont="1"/>
    <xf numFmtId="0" fontId="30" fillId="0" borderId="0" xfId="0" applyFont="1"/>
    <xf numFmtId="0" fontId="32" fillId="0" borderId="0" xfId="0" applyFont="1" applyBorder="1"/>
    <xf numFmtId="0" fontId="33" fillId="0" borderId="1" xfId="3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36" fillId="0" borderId="0" xfId="10" applyFont="1"/>
    <xf numFmtId="0" fontId="2" fillId="0" borderId="1" xfId="0" applyFont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7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0" borderId="0" xfId="0" applyFont="1" applyBorder="1"/>
    <xf numFmtId="0" fontId="2" fillId="0" borderId="0" xfId="0" applyFont="1" applyAlignment="1">
      <alignment horizontal="center"/>
    </xf>
    <xf numFmtId="0" fontId="4" fillId="7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7" borderId="0" xfId="0" applyFont="1" applyFill="1" applyAlignment="1">
      <alignment horizontal="left"/>
    </xf>
    <xf numFmtId="10" fontId="7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7" borderId="0" xfId="0" applyFont="1" applyFill="1" applyAlignment="1">
      <alignment horizontal="left"/>
    </xf>
    <xf numFmtId="3" fontId="40" fillId="0" borderId="0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3" fontId="3" fillId="0" borderId="0" xfId="0" applyNumberFormat="1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7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1" fontId="29" fillId="0" borderId="0" xfId="0" applyNumberFormat="1" applyFont="1" applyProtection="1"/>
    <xf numFmtId="1" fontId="2" fillId="0" borderId="0" xfId="0" applyNumberFormat="1" applyFont="1"/>
    <xf numFmtId="0" fontId="42" fillId="0" borderId="0" xfId="0" applyFont="1"/>
    <xf numFmtId="9" fontId="2" fillId="0" borderId="0" xfId="6" applyFont="1"/>
    <xf numFmtId="165" fontId="24" fillId="0" borderId="1" xfId="5" applyNumberFormat="1" applyFont="1" applyBorder="1" applyAlignment="1">
      <alignment horizontal="center" vertical="center"/>
    </xf>
    <xf numFmtId="0" fontId="34" fillId="0" borderId="0" xfId="3"/>
    <xf numFmtId="169" fontId="34" fillId="0" borderId="0" xfId="3" applyNumberFormat="1"/>
    <xf numFmtId="165" fontId="24" fillId="0" borderId="1" xfId="5" applyNumberFormat="1" applyFont="1" applyBorder="1" applyAlignment="1">
      <alignment horizontal="center"/>
    </xf>
    <xf numFmtId="9" fontId="2" fillId="0" borderId="0" xfId="2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Border="1" applyAlignment="1">
      <alignment horizontal="center"/>
    </xf>
    <xf numFmtId="170" fontId="2" fillId="0" borderId="0" xfId="8" applyNumberFormat="1" applyFont="1" applyAlignment="1">
      <alignment horizontal="center"/>
    </xf>
    <xf numFmtId="9" fontId="11" fillId="0" borderId="0" xfId="5" applyNumberFormat="1" applyFont="1"/>
    <xf numFmtId="16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171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9" fontId="2" fillId="0" borderId="1" xfId="0" quotePrefix="1" applyNumberFormat="1" applyFont="1" applyFill="1" applyBorder="1" applyAlignment="1">
      <alignment horizontal="center"/>
    </xf>
    <xf numFmtId="9" fontId="43" fillId="0" borderId="1" xfId="5" applyFont="1" applyFill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/>
    </xf>
    <xf numFmtId="0" fontId="39" fillId="0" borderId="0" xfId="0" applyFont="1" applyFill="1"/>
    <xf numFmtId="9" fontId="2" fillId="0" borderId="0" xfId="0" applyNumberFormat="1" applyFont="1" applyFill="1"/>
    <xf numFmtId="3" fontId="2" fillId="0" borderId="0" xfId="0" applyNumberFormat="1" applyFont="1" applyBorder="1"/>
    <xf numFmtId="3" fontId="21" fillId="0" borderId="0" xfId="0" applyNumberFormat="1" applyFont="1" applyBorder="1" applyAlignment="1">
      <alignment horizontal="center" vertical="center"/>
    </xf>
    <xf numFmtId="9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5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7" fillId="0" borderId="0" xfId="0" applyFont="1" applyBorder="1"/>
    <xf numFmtId="1" fontId="41" fillId="0" borderId="2" xfId="0" applyNumberFormat="1" applyFont="1" applyBorder="1" applyAlignment="1">
      <alignment horizontal="center" vertical="center"/>
    </xf>
    <xf numFmtId="1" fontId="40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2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9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/>
    <xf numFmtId="0" fontId="2" fillId="2" borderId="0" xfId="0" applyFont="1" applyFill="1" applyAlignment="1">
      <alignment horizontal="center"/>
    </xf>
    <xf numFmtId="3" fontId="30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3" fontId="2" fillId="2" borderId="0" xfId="0" applyNumberFormat="1" applyFont="1" applyFill="1" applyAlignment="1"/>
    <xf numFmtId="3" fontId="2" fillId="10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9" fillId="0" borderId="0" xfId="0" applyFont="1"/>
    <xf numFmtId="1" fontId="2" fillId="2" borderId="0" xfId="0" applyNumberFormat="1" applyFont="1" applyFill="1" applyAlignment="1">
      <alignment horizontal="center"/>
    </xf>
    <xf numFmtId="0" fontId="45" fillId="0" borderId="0" xfId="0" applyFont="1"/>
    <xf numFmtId="0" fontId="46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left"/>
    </xf>
  </cellXfs>
  <cellStyles count="12">
    <cellStyle name="Comma_IRR" xfId="11"/>
    <cellStyle name="Normal 2" xfId="1"/>
    <cellStyle name="Percent 2" xfId="2"/>
    <cellStyle name="Гиперссылка" xfId="10" builtinId="8"/>
    <cellStyle name="Обычный" xfId="0" builtinId="0"/>
    <cellStyle name="Обычный 2" xfId="3"/>
    <cellStyle name="Обычный_MAIN 2" xfId="4"/>
    <cellStyle name="Процентный" xfId="5" builtinId="5"/>
    <cellStyle name="Процентный 2" xfId="6"/>
    <cellStyle name="Процентный 3" xfId="7"/>
    <cellStyle name="Финансовый" xfId="8" builtinId="3"/>
    <cellStyle name="Финансов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Средневзвешенная стоимость привлекаемого финансирования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5320259775023"/>
          <c:y val="0.3180717872383319"/>
          <c:w val="0.67664829619264333"/>
          <c:h val="0.45652656521266471"/>
        </c:manualLayout>
      </c:layout>
      <c:lineChart>
        <c:grouping val="standard"/>
        <c:varyColors val="0"/>
        <c:ser>
          <c:idx val="0"/>
          <c:order val="0"/>
          <c:tx>
            <c:v>WACC, %</c:v>
          </c:tx>
          <c:marker>
            <c:symbol val="none"/>
          </c:marker>
          <c:cat>
            <c:numRef>
              <c:f>'Финан-е'!$F$3:$W$3</c:f>
              <c:numCache>
                <c:formatCode>#,##0</c:formatCode>
                <c:ptCount val="18"/>
                <c:pt idx="1">
                  <c:v>1400000</c:v>
                </c:pt>
              </c:numCache>
            </c:numRef>
          </c:cat>
          <c:val>
            <c:numRef>
              <c:f>'Финан-е'!$F$33:$W$33</c:f>
              <c:numCache>
                <c:formatCode>0.00%</c:formatCode>
                <c:ptCount val="18"/>
                <c:pt idx="0">
                  <c:v>0.55555555555555558</c:v>
                </c:pt>
                <c:pt idx="1">
                  <c:v>0.54081632653061218</c:v>
                </c:pt>
                <c:pt idx="2">
                  <c:v>0.52662721893491127</c:v>
                </c:pt>
                <c:pt idx="3">
                  <c:v>0.51388888888888884</c:v>
                </c:pt>
                <c:pt idx="4">
                  <c:v>0.50413223140495866</c:v>
                </c:pt>
                <c:pt idx="5">
                  <c:v>0.5</c:v>
                </c:pt>
                <c:pt idx="6">
                  <c:v>0.50617283950617287</c:v>
                </c:pt>
                <c:pt idx="7">
                  <c:v>0.53125</c:v>
                </c:pt>
                <c:pt idx="8">
                  <c:v>0.59183673469387754</c:v>
                </c:pt>
                <c:pt idx="9">
                  <c:v>0.72222222222222232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2-4B9D-922C-85091F2CF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47264"/>
        <c:axId val="28748800"/>
      </c:lineChart>
      <c:catAx>
        <c:axId val="2874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8748800"/>
        <c:crosses val="autoZero"/>
        <c:auto val="1"/>
        <c:lblAlgn val="ctr"/>
        <c:lblOffset val="100"/>
        <c:noMultiLvlLbl val="0"/>
      </c:catAx>
      <c:valAx>
        <c:axId val="287488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8747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8136482939632"/>
          <c:y val="0.59498148097341497"/>
          <c:w val="0.14654680664916897"/>
          <c:h val="7.8582494261388081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81765664356068E-2"/>
          <c:y val="0.2109796957551914"/>
          <c:w val="0.64923147681831461"/>
          <c:h val="0.50568149300053811"/>
        </c:manualLayout>
      </c:layout>
      <c:lineChart>
        <c:grouping val="standard"/>
        <c:varyColors val="0"/>
        <c:ser>
          <c:idx val="0"/>
          <c:order val="0"/>
          <c:tx>
            <c:strRef>
              <c:f>'Анализ ликвидности'!$A$7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marker>
            <c:symbol val="none"/>
          </c:marker>
          <c:cat>
            <c:strRef>
              <c:f>'Анализ ликвидности'!$D$2:$G$2</c:f>
              <c:strCache>
                <c:ptCount val="4"/>
                <c:pt idx="0">
                  <c:v>2 год</c:v>
                </c:pt>
                <c:pt idx="1">
                  <c:v>3 год</c:v>
                </c:pt>
                <c:pt idx="2">
                  <c:v>4 год</c:v>
                </c:pt>
                <c:pt idx="3">
                  <c:v>5 год</c:v>
                </c:pt>
              </c:strCache>
            </c:strRef>
          </c:cat>
          <c:val>
            <c:numRef>
              <c:f>'Анализ ликвидности'!$D$7:$G$7</c:f>
              <c:numCache>
                <c:formatCode>0.00</c:formatCode>
                <c:ptCount val="4"/>
                <c:pt idx="0">
                  <c:v>104.19623435235893</c:v>
                </c:pt>
                <c:pt idx="1">
                  <c:v>248.39142891653123</c:v>
                </c:pt>
                <c:pt idx="2">
                  <c:v>487.01354310589886</c:v>
                </c:pt>
                <c:pt idx="3">
                  <c:v>800.10493737143099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F8-4E54-9CCC-26EBF3E221C3}"/>
            </c:ext>
          </c:extLst>
        </c:ser>
        <c:ser>
          <c:idx val="1"/>
          <c:order val="1"/>
          <c:tx>
            <c:strRef>
              <c:f>'Анализ ликвидности'!$A$13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marker>
            <c:symbol val="none"/>
          </c:marker>
          <c:cat>
            <c:strRef>
              <c:f>'Анализ ликвидности'!$D$2:$G$2</c:f>
              <c:strCache>
                <c:ptCount val="4"/>
                <c:pt idx="0">
                  <c:v>2 год</c:v>
                </c:pt>
                <c:pt idx="1">
                  <c:v>3 год</c:v>
                </c:pt>
                <c:pt idx="2">
                  <c:v>4 год</c:v>
                </c:pt>
                <c:pt idx="3">
                  <c:v>5 год</c:v>
                </c:pt>
              </c:strCache>
            </c:strRef>
          </c:cat>
          <c:val>
            <c:numRef>
              <c:f>'Анализ ликвидности'!$D$13:$G$13</c:f>
              <c:numCache>
                <c:formatCode>0.00</c:formatCode>
                <c:ptCount val="4"/>
                <c:pt idx="0">
                  <c:v>104.19623435235893</c:v>
                </c:pt>
                <c:pt idx="1">
                  <c:v>248.39142891653123</c:v>
                </c:pt>
                <c:pt idx="2">
                  <c:v>487.01354310589886</c:v>
                </c:pt>
                <c:pt idx="3">
                  <c:v>800.10493737143099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F8-4E54-9CCC-26EBF3E221C3}"/>
            </c:ext>
          </c:extLst>
        </c:ser>
        <c:ser>
          <c:idx val="2"/>
          <c:order val="2"/>
          <c:tx>
            <c:strRef>
              <c:f>'Анализ ликвидности'!$A$18</c:f>
              <c:strCache>
                <c:ptCount val="1"/>
                <c:pt idx="0">
                  <c:v>Коэффициент абсолютной ликвидности</c:v>
                </c:pt>
              </c:strCache>
            </c:strRef>
          </c:tx>
          <c:marker>
            <c:symbol val="none"/>
          </c:marker>
          <c:cat>
            <c:strRef>
              <c:f>'Анализ ликвидности'!$D$2:$G$2</c:f>
              <c:strCache>
                <c:ptCount val="4"/>
                <c:pt idx="0">
                  <c:v>2 год</c:v>
                </c:pt>
                <c:pt idx="1">
                  <c:v>3 год</c:v>
                </c:pt>
                <c:pt idx="2">
                  <c:v>4 год</c:v>
                </c:pt>
                <c:pt idx="3">
                  <c:v>5 год</c:v>
                </c:pt>
              </c:strCache>
            </c:strRef>
          </c:cat>
          <c:val>
            <c:numRef>
              <c:f>'Анализ ликвидности'!$D$18:$G$18</c:f>
              <c:numCache>
                <c:formatCode>0.00</c:formatCode>
                <c:ptCount val="4"/>
                <c:pt idx="0">
                  <c:v>104.19623435235893</c:v>
                </c:pt>
                <c:pt idx="1">
                  <c:v>248.39142891653123</c:v>
                </c:pt>
                <c:pt idx="2">
                  <c:v>487.01354310589886</c:v>
                </c:pt>
                <c:pt idx="3">
                  <c:v>800.10493737143099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F8-4E54-9CCC-26EBF3E2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55424"/>
        <c:axId val="55685888"/>
      </c:lineChart>
      <c:catAx>
        <c:axId val="5565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5685888"/>
        <c:crosses val="autoZero"/>
        <c:auto val="1"/>
        <c:lblAlgn val="ctr"/>
        <c:lblOffset val="100"/>
        <c:noMultiLvlLbl val="0"/>
      </c:catAx>
      <c:valAx>
        <c:axId val="556858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56554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525658213586614"/>
          <c:y val="0.7936855106733951"/>
          <c:w val="0.72622368247134572"/>
          <c:h val="0.1640954632992855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80161863868614"/>
          <c:y val="0.22225590189485581"/>
          <c:w val="0.69767543429288392"/>
          <c:h val="0.5671357496627355"/>
        </c:manualLayout>
      </c:layout>
      <c:lineChart>
        <c:grouping val="standard"/>
        <c:varyColors val="0"/>
        <c:ser>
          <c:idx val="0"/>
          <c:order val="0"/>
          <c:tx>
            <c:strRef>
              <c:f>'Анализ платежеспособности'!$A$7</c:f>
              <c:strCache>
                <c:ptCount val="1"/>
                <c:pt idx="0">
                  <c:v>Коэффициент общей платёжеспособности</c:v>
                </c:pt>
              </c:strCache>
            </c:strRef>
          </c:tx>
          <c:cat>
            <c:strRef>
              <c:f>'Анализ платежеспособности'!$C$2:$G$2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'Анализ платежеспособности'!$C$7:$G$7</c:f>
              <c:numCache>
                <c:formatCode>0.00</c:formatCode>
                <c:ptCount val="5"/>
                <c:pt idx="0">
                  <c:v>0.10316918052671137</c:v>
                </c:pt>
                <c:pt idx="1">
                  <c:v>3.0787857471818895E-2</c:v>
                </c:pt>
                <c:pt idx="2">
                  <c:v>3.5350612729989087E-2</c:v>
                </c:pt>
                <c:pt idx="3">
                  <c:v>5.5114056544532782E-2</c:v>
                </c:pt>
                <c:pt idx="4">
                  <c:v>6.4230661273726883E-2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13-473B-BD4F-4E724BCBC7B9}"/>
            </c:ext>
          </c:extLst>
        </c:ser>
        <c:ser>
          <c:idx val="1"/>
          <c:order val="1"/>
          <c:tx>
            <c:strRef>
              <c:f>'Анализ платежеспособности'!$A$17</c:f>
              <c:strCache>
                <c:ptCount val="1"/>
                <c:pt idx="0">
                  <c:v>Коэффициент соотношения собственных и заёмных средств</c:v>
                </c:pt>
              </c:strCache>
            </c:strRef>
          </c:tx>
          <c:cat>
            <c:strRef>
              <c:f>'Анализ платежеспособности'!$C$2:$G$2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'Анализ платежеспособности'!$C$17:$G$17</c:f>
              <c:numCache>
                <c:formatCode>0.00</c:formatCode>
                <c:ptCount val="5"/>
                <c:pt idx="0">
                  <c:v>4.1700128364309448</c:v>
                </c:pt>
                <c:pt idx="1">
                  <c:v>5.7745263915610847</c:v>
                </c:pt>
                <c:pt idx="2">
                  <c:v>3.8871941544609947</c:v>
                </c:pt>
                <c:pt idx="3">
                  <c:v>2.6812018648190792</c:v>
                </c:pt>
                <c:pt idx="4">
                  <c:v>1.8507174245262292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3-473B-BD4F-4E724BCBC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94624"/>
        <c:axId val="55996416"/>
      </c:lineChart>
      <c:catAx>
        <c:axId val="5599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5996416"/>
        <c:crosses val="autoZero"/>
        <c:auto val="1"/>
        <c:lblAlgn val="ctr"/>
        <c:lblOffset val="100"/>
        <c:noMultiLvlLbl val="0"/>
      </c:catAx>
      <c:valAx>
        <c:axId val="559964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5994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16459512808833"/>
          <c:y val="0.87689503097827037"/>
          <c:w val="0.7245090128196785"/>
          <c:h val="0.1117606727730462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9004610995723"/>
          <c:y val="0.16290776657147807"/>
          <c:w val="0.78924819192496265"/>
          <c:h val="0.52130485302872975"/>
        </c:manualLayout>
      </c:layout>
      <c:barChart>
        <c:barDir val="col"/>
        <c:grouping val="stacked"/>
        <c:varyColors val="0"/>
        <c:ser>
          <c:idx val="0"/>
          <c:order val="0"/>
          <c:tx>
            <c:v>Оборачиваемость запасов</c:v>
          </c:tx>
          <c:invertIfNegative val="0"/>
          <c:cat>
            <c:strRef>
              <c:f>'Анализ оборачиваемости'!$D$2:$G$2</c:f>
              <c:strCache>
                <c:ptCount val="4"/>
                <c:pt idx="0">
                  <c:v>2 год</c:v>
                </c:pt>
                <c:pt idx="1">
                  <c:v>3 год</c:v>
                </c:pt>
                <c:pt idx="2">
                  <c:v>4 год</c:v>
                </c:pt>
                <c:pt idx="3">
                  <c:v>5 год</c:v>
                </c:pt>
              </c:strCache>
            </c:strRef>
          </c:cat>
          <c:val>
            <c:numRef>
              <c:f>'Анализ оборачиваемости'!$D$40:$G$40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A-4451-892A-74ACC81355A5}"/>
            </c:ext>
          </c:extLst>
        </c:ser>
        <c:ser>
          <c:idx val="1"/>
          <c:order val="1"/>
          <c:tx>
            <c:v>Оборачиваемость дебиторской задолженности</c:v>
          </c:tx>
          <c:invertIfNegative val="0"/>
          <c:cat>
            <c:strRef>
              <c:f>'Анализ оборачиваемости'!$D$2:$G$2</c:f>
              <c:strCache>
                <c:ptCount val="4"/>
                <c:pt idx="0">
                  <c:v>2 год</c:v>
                </c:pt>
                <c:pt idx="1">
                  <c:v>3 год</c:v>
                </c:pt>
                <c:pt idx="2">
                  <c:v>4 год</c:v>
                </c:pt>
                <c:pt idx="3">
                  <c:v>5 год</c:v>
                </c:pt>
              </c:strCache>
            </c:strRef>
          </c:cat>
          <c:val>
            <c:numRef>
              <c:f>'Анализ оборачиваемости'!$D$41:$G$41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A-4451-892A-74ACC81355A5}"/>
            </c:ext>
          </c:extLst>
        </c:ser>
        <c:ser>
          <c:idx val="2"/>
          <c:order val="2"/>
          <c:tx>
            <c:v>Оборачиваемость кредиторской задолженности</c:v>
          </c:tx>
          <c:invertIfNegative val="0"/>
          <c:cat>
            <c:strRef>
              <c:f>'Анализ оборачиваемости'!$D$2:$G$2</c:f>
              <c:strCache>
                <c:ptCount val="4"/>
                <c:pt idx="0">
                  <c:v>2 год</c:v>
                </c:pt>
                <c:pt idx="1">
                  <c:v>3 год</c:v>
                </c:pt>
                <c:pt idx="2">
                  <c:v>4 год</c:v>
                </c:pt>
                <c:pt idx="3">
                  <c:v>5 год</c:v>
                </c:pt>
              </c:strCache>
            </c:strRef>
          </c:cat>
          <c:val>
            <c:numRef>
              <c:f>'Анализ оборачиваемости'!$D$42:$G$42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A-4451-892A-74ACC8135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759616"/>
        <c:axId val="55761152"/>
      </c:barChart>
      <c:lineChart>
        <c:grouping val="standard"/>
        <c:varyColors val="0"/>
        <c:ser>
          <c:idx val="3"/>
          <c:order val="3"/>
          <c:tx>
            <c:v>Операционный цикл</c:v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4.7222187557466655E-2"/>
                  <c:y val="-3.06397649909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9A-4451-892A-74ACC81355A5}"/>
                </c:ext>
              </c:extLst>
            </c:dLbl>
            <c:dLbl>
              <c:idx val="1"/>
              <c:layout>
                <c:manualLayout>
                  <c:x val="-4.4444481071355998E-2"/>
                  <c:y val="-3.989152965199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9A-4451-892A-74ACC81355A5}"/>
                </c:ext>
              </c:extLst>
            </c:dLbl>
            <c:dLbl>
              <c:idx val="2"/>
              <c:layout>
                <c:manualLayout>
                  <c:x val="-4.1666666666666664E-2"/>
                  <c:y val="-4.1632655737274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9A-4451-892A-74ACC81355A5}"/>
                </c:ext>
              </c:extLst>
            </c:dLbl>
            <c:dLbl>
              <c:idx val="3"/>
              <c:layout>
                <c:manualLayout>
                  <c:x val="-4.4444481071355894E-2"/>
                  <c:y val="-3.815036900022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9A-4451-892A-74ACC81355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'Анализ оборачиваемости'!$D$2:$G$2</c:f>
              <c:strCache>
                <c:ptCount val="4"/>
                <c:pt idx="0">
                  <c:v>2 год</c:v>
                </c:pt>
                <c:pt idx="1">
                  <c:v>3 год</c:v>
                </c:pt>
                <c:pt idx="2">
                  <c:v>4 год</c:v>
                </c:pt>
                <c:pt idx="3">
                  <c:v>5 год</c:v>
                </c:pt>
              </c:strCache>
            </c:strRef>
          </c:cat>
          <c:val>
            <c:numRef>
              <c:f>'Анализ оборачиваемости'!$D$43:$G$43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9A-4451-892A-74ACC81355A5}"/>
            </c:ext>
          </c:extLst>
        </c:ser>
        <c:ser>
          <c:idx val="4"/>
          <c:order val="4"/>
          <c:tx>
            <c:v>Финансовый цикл</c:v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-4.1667010043962498E-2"/>
                  <c:y val="3.4667797025688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9A-4451-892A-74ACC81355A5}"/>
                </c:ext>
              </c:extLst>
            </c:dLbl>
            <c:dLbl>
              <c:idx val="1"/>
              <c:layout>
                <c:manualLayout>
                  <c:x val="-4.4444481071355998E-2"/>
                  <c:y val="2.85998045267670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9A-4451-892A-74ACC81355A5}"/>
                </c:ext>
              </c:extLst>
            </c:dLbl>
            <c:dLbl>
              <c:idx val="2"/>
              <c:layout>
                <c:manualLayout>
                  <c:x val="-4.4444481071355998E-2"/>
                  <c:y val="3.0041914695160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9A-4451-892A-74ACC81355A5}"/>
                </c:ext>
              </c:extLst>
            </c:dLbl>
            <c:dLbl>
              <c:idx val="3"/>
              <c:layout>
                <c:manualLayout>
                  <c:x val="-4.722218755746653E-2"/>
                  <c:y val="3.526564732146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9A-4451-892A-74ACC81355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'Анализ оборачиваемости'!$D$2:$G$2</c:f>
              <c:strCache>
                <c:ptCount val="4"/>
                <c:pt idx="0">
                  <c:v>2 год</c:v>
                </c:pt>
                <c:pt idx="1">
                  <c:v>3 год</c:v>
                </c:pt>
                <c:pt idx="2">
                  <c:v>4 год</c:v>
                </c:pt>
                <c:pt idx="3">
                  <c:v>5 год</c:v>
                </c:pt>
              </c:strCache>
            </c:strRef>
          </c:cat>
          <c:val>
            <c:numRef>
              <c:f>'Анализ оборачиваемости'!$D$44:$G$44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9A-4451-892A-74ACC8135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59616"/>
        <c:axId val="55761152"/>
      </c:lineChart>
      <c:catAx>
        <c:axId val="5575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5761152"/>
        <c:crosses val="autoZero"/>
        <c:auto val="1"/>
        <c:lblAlgn val="ctr"/>
        <c:lblOffset val="100"/>
        <c:noMultiLvlLbl val="0"/>
      </c:catAx>
      <c:valAx>
        <c:axId val="5576115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575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30581812017375"/>
          <c:y val="0.72932560513269173"/>
          <c:w val="0.59241849779913369"/>
          <c:h val="0.2230582288325071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85089942467647E-2"/>
          <c:y val="0.15597344795757037"/>
          <c:w val="0.83956580948220882"/>
          <c:h val="0.59581857119791848"/>
        </c:manualLayout>
      </c:layout>
      <c:lineChart>
        <c:grouping val="standard"/>
        <c:varyColors val="0"/>
        <c:ser>
          <c:idx val="0"/>
          <c:order val="0"/>
          <c:tx>
            <c:strRef>
              <c:f>Окружение!#REF!</c:f>
              <c:strCache>
                <c:ptCount val="1"/>
                <c:pt idx="0">
                  <c:v>Требуемая норма доходности</c:v>
                </c:pt>
              </c:strCache>
            </c:strRef>
          </c:tx>
          <c:marker>
            <c:symbol val="none"/>
          </c:marker>
          <c:cat>
            <c:numRef>
              <c:f>'Финан-е'!$F$3:$W$3</c:f>
              <c:numCache>
                <c:formatCode>#,##0</c:formatCode>
                <c:ptCount val="18"/>
                <c:pt idx="1">
                  <c:v>1400000</c:v>
                </c:pt>
              </c:numCache>
            </c:numRef>
          </c:cat>
          <c:val>
            <c:numRef>
              <c:f>Окружение!$D$15:$M$15</c:f>
              <c:numCache>
                <c:formatCode>0.0%</c:formatCode>
                <c:ptCount val="10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6-4E00-8A9F-15B6E874E7D8}"/>
            </c:ext>
          </c:extLst>
        </c:ser>
        <c:ser>
          <c:idx val="1"/>
          <c:order val="1"/>
          <c:tx>
            <c:strRef>
              <c:f>'Финан-е'!$B$33</c:f>
              <c:strCache>
                <c:ptCount val="1"/>
                <c:pt idx="0">
                  <c:v>WACC</c:v>
                </c:pt>
              </c:strCache>
            </c:strRef>
          </c:tx>
          <c:marker>
            <c:symbol val="none"/>
          </c:marker>
          <c:cat>
            <c:numRef>
              <c:f>'Финан-е'!$F$3:$W$3</c:f>
              <c:numCache>
                <c:formatCode>#,##0</c:formatCode>
                <c:ptCount val="18"/>
                <c:pt idx="1">
                  <c:v>1400000</c:v>
                </c:pt>
              </c:numCache>
            </c:numRef>
          </c:cat>
          <c:val>
            <c:numRef>
              <c:f>'Финан-е'!$F$33:$W$33</c:f>
              <c:numCache>
                <c:formatCode>0.00%</c:formatCode>
                <c:ptCount val="18"/>
                <c:pt idx="0">
                  <c:v>0.55555555555555558</c:v>
                </c:pt>
                <c:pt idx="1">
                  <c:v>0.54081632653061218</c:v>
                </c:pt>
                <c:pt idx="2">
                  <c:v>0.52662721893491127</c:v>
                </c:pt>
                <c:pt idx="3">
                  <c:v>0.51388888888888884</c:v>
                </c:pt>
                <c:pt idx="4">
                  <c:v>0.50413223140495866</c:v>
                </c:pt>
                <c:pt idx="5">
                  <c:v>0.5</c:v>
                </c:pt>
                <c:pt idx="6">
                  <c:v>0.50617283950617287</c:v>
                </c:pt>
                <c:pt idx="7">
                  <c:v>0.53125</c:v>
                </c:pt>
                <c:pt idx="8">
                  <c:v>0.59183673469387754</c:v>
                </c:pt>
                <c:pt idx="9">
                  <c:v>0.72222222222222232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6-4E00-8A9F-15B6E874E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98976"/>
        <c:axId val="28800512"/>
      </c:lineChart>
      <c:catAx>
        <c:axId val="287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28800512"/>
        <c:crosses val="autoZero"/>
        <c:auto val="1"/>
        <c:lblAlgn val="ctr"/>
        <c:lblOffset val="100"/>
        <c:noMultiLvlLbl val="0"/>
      </c:catAx>
      <c:valAx>
        <c:axId val="2880051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28798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584263923531299"/>
          <c:y val="0.88280983609037367"/>
          <c:w val="0.6440258011226857"/>
          <c:h val="9.046449885406948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9704261428762631E-2"/>
          <c:y val="0.29144912939777207"/>
          <c:w val="0.67845751623593897"/>
          <c:h val="0.61133232020020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'Форма 2'!$E$30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'Форма 2'!$F$29:$J$29</c:f>
              <c:numCache>
                <c:formatCode>General</c:formatCode>
                <c:ptCount val="5"/>
              </c:numCache>
            </c:numRef>
          </c:cat>
          <c:val>
            <c:numRef>
              <c:f>'Форма 2'!$F$30:$J$30</c:f>
              <c:numCache>
                <c:formatCode>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9E4-44CA-9149-E65C0880D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30048"/>
        <c:axId val="29344128"/>
      </c:barChart>
      <c:catAx>
        <c:axId val="2933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9344128"/>
        <c:crosses val="autoZero"/>
        <c:auto val="1"/>
        <c:lblAlgn val="ctr"/>
        <c:lblOffset val="100"/>
        <c:noMultiLvlLbl val="0"/>
      </c:catAx>
      <c:valAx>
        <c:axId val="29344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933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806321084864392"/>
          <c:y val="0.3447630888244233"/>
          <c:w val="0.2080603674540682"/>
          <c:h val="0.47627054841828997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16931484227234"/>
          <c:y val="0.19607794623325669"/>
          <c:w val="0.77490464924738811"/>
          <c:h val="0.51332765699268335"/>
        </c:manualLayout>
      </c:layout>
      <c:areaChart>
        <c:grouping val="percentStacked"/>
        <c:varyColors val="0"/>
        <c:ser>
          <c:idx val="0"/>
          <c:order val="0"/>
          <c:tx>
            <c:strRef>
              <c:f>'Анализ проекта'!$C$98</c:f>
              <c:strCache>
                <c:ptCount val="1"/>
                <c:pt idx="0">
                  <c:v>Расходы на заработную плату и ЕСН</c:v>
                </c:pt>
              </c:strCache>
            </c:strRef>
          </c:tx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проекта'!$H$98,'Анализ проекта'!$J$98,'Анализ проекта'!$L$98,'Анализ проекта'!$N$98,'Анализ проекта'!$P$98)</c:f>
              <c:numCache>
                <c:formatCode>0%</c:formatCode>
                <c:ptCount val="5"/>
                <c:pt idx="0">
                  <c:v>0.52608291108188798</c:v>
                </c:pt>
                <c:pt idx="1">
                  <c:v>0.48311143259035594</c:v>
                </c:pt>
                <c:pt idx="2">
                  <c:v>0.48451245091377831</c:v>
                </c:pt>
                <c:pt idx="3">
                  <c:v>0.48451245091377826</c:v>
                </c:pt>
                <c:pt idx="4">
                  <c:v>0.48451245091377826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D-4BD8-87C3-4260368C6FAF}"/>
            </c:ext>
          </c:extLst>
        </c:ser>
        <c:ser>
          <c:idx val="1"/>
          <c:order val="1"/>
          <c:tx>
            <c:strRef>
              <c:f>'Анализ проекта'!$C$99</c:f>
              <c:strCache>
                <c:ptCount val="1"/>
                <c:pt idx="0">
                  <c:v>Материальные расходы</c:v>
                </c:pt>
              </c:strCache>
            </c:strRef>
          </c:tx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проекта'!$H$99,'Анализ проекта'!$J$99,'Анализ проекта'!$L$99,'Анализ проекта'!$N$99,'Анализ проекта'!$P$99)</c:f>
              <c:numCache>
                <c:formatCode>0%</c:formatCode>
                <c:ptCount val="5"/>
                <c:pt idx="0">
                  <c:v>0.35427661193387017</c:v>
                </c:pt>
                <c:pt idx="1">
                  <c:v>0.32342291054458111</c:v>
                </c:pt>
                <c:pt idx="2">
                  <c:v>0.32265092623651287</c:v>
                </c:pt>
                <c:pt idx="3">
                  <c:v>0.32112911463591215</c:v>
                </c:pt>
                <c:pt idx="4">
                  <c:v>0.31977470772900518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D-4BD8-87C3-4260368C6FAF}"/>
            </c:ext>
          </c:extLst>
        </c:ser>
        <c:ser>
          <c:idx val="2"/>
          <c:order val="2"/>
          <c:tx>
            <c:strRef>
              <c:f>'Анализ проекта'!$C$100</c:f>
              <c:strCache>
                <c:ptCount val="1"/>
                <c:pt idx="0">
                  <c:v>Общепроизводственные расходы</c:v>
                </c:pt>
              </c:strCache>
            </c:strRef>
          </c:tx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проекта'!$H$100,'Анализ проекта'!$J$100,'Анализ проекта'!$L$100,'Анализ проекта'!$N$100,'Анализ проекта'!$P$100)</c:f>
              <c:numCache>
                <c:formatCode>0%</c:formatCode>
                <c:ptCount val="5"/>
                <c:pt idx="0">
                  <c:v>2.6043708469400392E-2</c:v>
                </c:pt>
                <c:pt idx="1">
                  <c:v>2.3916407553978017E-2</c:v>
                </c:pt>
                <c:pt idx="2">
                  <c:v>2.39857648967217E-2</c:v>
                </c:pt>
                <c:pt idx="3">
                  <c:v>2.3985764896721697E-2</c:v>
                </c:pt>
                <c:pt idx="4">
                  <c:v>2.3985764896721704E-2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4D-4BD8-87C3-4260368C6FAF}"/>
            </c:ext>
          </c:extLst>
        </c:ser>
        <c:ser>
          <c:idx val="3"/>
          <c:order val="3"/>
          <c:tx>
            <c:strRef>
              <c:f>'Анализ проекта'!#REF!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проекта'!#REF!,'Анализ проекта'!#REF!,'Анализ проекта'!#REF!,'Анализ проекта'!#REF!,'Анализ проекта'!#REF!)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4D-4BD8-87C3-4260368C6FAF}"/>
            </c:ext>
          </c:extLst>
        </c:ser>
        <c:ser>
          <c:idx val="4"/>
          <c:order val="4"/>
          <c:tx>
            <c:strRef>
              <c:f>'Анализ проекта'!$C$101</c:f>
              <c:strCache>
                <c:ptCount val="1"/>
                <c:pt idx="0">
                  <c:v>Коммерческие расходы</c:v>
                </c:pt>
              </c:strCache>
            </c:strRef>
          </c:tx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проекта'!$H$101,'Анализ проекта'!$J$101,'Анализ проекта'!$L$101,'Анализ проекта'!$N$101,'Анализ проекта'!$P$101)</c:f>
              <c:numCache>
                <c:formatCode>0%</c:formatCode>
                <c:ptCount val="5"/>
                <c:pt idx="0">
                  <c:v>2.3027319874296293E-2</c:v>
                </c:pt>
                <c:pt idx="1">
                  <c:v>2.1146403463875342E-2</c:v>
                </c:pt>
                <c:pt idx="2">
                  <c:v>2.1207727822457625E-2</c:v>
                </c:pt>
                <c:pt idx="3">
                  <c:v>2.1207727822457629E-2</c:v>
                </c:pt>
                <c:pt idx="4">
                  <c:v>2.1207727822457625E-2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D-4BD8-87C3-4260368C6FAF}"/>
            </c:ext>
          </c:extLst>
        </c:ser>
        <c:ser>
          <c:idx val="5"/>
          <c:order val="5"/>
          <c:tx>
            <c:strRef>
              <c:f>'Анализ проекта'!$C$102</c:f>
              <c:strCache>
                <c:ptCount val="1"/>
                <c:pt idx="0">
                  <c:v>Амортизация</c:v>
                </c:pt>
              </c:strCache>
            </c:strRef>
          </c:tx>
          <c:spPr>
            <a:ln w="25400">
              <a:noFill/>
            </a:ln>
          </c:spPr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проекта'!$H$102,'Анализ проекта'!$J$102,'Анализ проекта'!$L$102,'Анализ проекта'!$N$102,'Анализ проекта'!$P$102)</c:f>
              <c:numCache>
                <c:formatCode>0%</c:formatCode>
                <c:ptCount val="5"/>
                <c:pt idx="0">
                  <c:v>0</c:v>
                </c:pt>
                <c:pt idx="1">
                  <c:v>8.3935711545529507E-2</c:v>
                </c:pt>
                <c:pt idx="2">
                  <c:v>7.4919120923512564E-2</c:v>
                </c:pt>
                <c:pt idx="3">
                  <c:v>6.6677750910922526E-2</c:v>
                </c:pt>
                <c:pt idx="4">
                  <c:v>5.9342960938877289E-2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4D-4BD8-87C3-4260368C6FAF}"/>
            </c:ext>
          </c:extLst>
        </c:ser>
        <c:ser>
          <c:idx val="6"/>
          <c:order val="6"/>
          <c:tx>
            <c:strRef>
              <c:f>'Анализ проекта'!$C$103</c:f>
              <c:strCache>
                <c:ptCount val="1"/>
                <c:pt idx="0">
                  <c:v>Налоги</c:v>
                </c:pt>
              </c:strCache>
            </c:strRef>
          </c:tx>
          <c:spPr>
            <a:ln w="25400">
              <a:noFill/>
            </a:ln>
          </c:spPr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проекта'!$H$103,'Анализ проекта'!$J$103,'Анализ проекта'!$L$103,'Анализ проекта'!$N$103,'Анализ проекта'!$P$103)</c:f>
              <c:numCache>
                <c:formatCode>0%</c:formatCode>
                <c:ptCount val="5"/>
                <c:pt idx="0">
                  <c:v>7.0569448640545124E-2</c:v>
                </c:pt>
                <c:pt idx="1">
                  <c:v>6.4467134301679968E-2</c:v>
                </c:pt>
                <c:pt idx="2">
                  <c:v>6.4352339961586513E-2</c:v>
                </c:pt>
                <c:pt idx="3">
                  <c:v>5.7273353472398092E-2</c:v>
                </c:pt>
                <c:pt idx="4">
                  <c:v>5.0973080698111503E-2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4D-4BD8-87C3-4260368C6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59040"/>
        <c:axId val="53160576"/>
      </c:areaChart>
      <c:catAx>
        <c:axId val="531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3160576"/>
        <c:crosses val="autoZero"/>
        <c:auto val="1"/>
        <c:lblAlgn val="ctr"/>
        <c:lblOffset val="100"/>
        <c:noMultiLvlLbl val="0"/>
      </c:catAx>
      <c:valAx>
        <c:axId val="531605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3159040"/>
        <c:crosses val="autoZero"/>
        <c:crossBetween val="midCat"/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6351199144296821"/>
          <c:y val="0.77109297313445591"/>
          <c:w val="0.64836063249867903"/>
          <c:h val="0.1938749119774659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26875778142904E-2"/>
          <c:y val="0.19300551436073568"/>
          <c:w val="0.83413335803043431"/>
          <c:h val="0.52799209675695491"/>
        </c:manualLayout>
      </c:layout>
      <c:areaChart>
        <c:grouping val="percentStacked"/>
        <c:varyColors val="0"/>
        <c:ser>
          <c:idx val="0"/>
          <c:order val="0"/>
          <c:tx>
            <c:strRef>
              <c:f>'Анализ проекта'!$C$106</c:f>
              <c:strCache>
                <c:ptCount val="1"/>
                <c:pt idx="0">
                  <c:v>Расходы на заработную плату и ЕСН</c:v>
                </c:pt>
              </c:strCache>
            </c:strRef>
          </c:tx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проекта'!$H$106,'Анализ проекта'!$J$106,'Анализ проекта'!$L$106,'Анализ проекта'!$N$106,'Анализ проекта'!$P$106)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B-4B85-A976-626ECE5E352C}"/>
            </c:ext>
          </c:extLst>
        </c:ser>
        <c:ser>
          <c:idx val="1"/>
          <c:order val="1"/>
          <c:tx>
            <c:strRef>
              <c:f>'Анализ проекта'!$C$107</c:f>
              <c:strCache>
                <c:ptCount val="1"/>
                <c:pt idx="0">
                  <c:v>Материальные расходы</c:v>
                </c:pt>
              </c:strCache>
            </c:strRef>
          </c:tx>
          <c:spPr>
            <a:ln w="25400">
              <a:noFill/>
            </a:ln>
          </c:spPr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проекта'!$H$107,'Анализ проекта'!$J$107,'Анализ проекта'!$L$107,'Анализ проекта'!$N$107,'Анализ проекта'!$P$107)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0B-4B85-A976-626ECE5E352C}"/>
            </c:ext>
          </c:extLst>
        </c:ser>
        <c:ser>
          <c:idx val="2"/>
          <c:order val="2"/>
          <c:tx>
            <c:strRef>
              <c:f>'Анализ проекта'!$C$108</c:f>
              <c:strCache>
                <c:ptCount val="1"/>
                <c:pt idx="0">
                  <c:v>Общепроизводственные расходы</c:v>
                </c:pt>
              </c:strCache>
            </c:strRef>
          </c:tx>
          <c:spPr>
            <a:ln w="25400">
              <a:noFill/>
            </a:ln>
          </c:spPr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проекта'!$H$108,'Анализ проекта'!$J$108,'Анализ проекта'!$L$108,'Анализ проекта'!$N$108,'Анализ проекта'!$P$108)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0B-4B85-A976-626ECE5E352C}"/>
            </c:ext>
          </c:extLst>
        </c:ser>
        <c:ser>
          <c:idx val="3"/>
          <c:order val="3"/>
          <c:tx>
            <c:strRef>
              <c:f>'Анализ проекта'!#REF!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noFill/>
            </a:ln>
          </c:spPr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проекта'!#REF!,'Анализ проекта'!#REF!,'Анализ проекта'!#REF!,'Анализ проекта'!#REF!,'Анализ проекта'!#REF!)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0B-4B85-A976-626ECE5E352C}"/>
            </c:ext>
          </c:extLst>
        </c:ser>
        <c:ser>
          <c:idx val="4"/>
          <c:order val="4"/>
          <c:tx>
            <c:strRef>
              <c:f>'Анализ проекта'!$C$109</c:f>
              <c:strCache>
                <c:ptCount val="1"/>
                <c:pt idx="0">
                  <c:v>Коммерческие расходы</c:v>
                </c:pt>
              </c:strCache>
            </c:strRef>
          </c:tx>
          <c:spPr>
            <a:ln w="25400">
              <a:noFill/>
            </a:ln>
          </c:spPr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проекта'!$H$109,'Анализ проекта'!$J$109,'Анализ проекта'!$L$109,'Анализ проекта'!$N$109,'Анализ проекта'!$P$109)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0B-4B85-A976-626ECE5E352C}"/>
            </c:ext>
          </c:extLst>
        </c:ser>
        <c:ser>
          <c:idx val="5"/>
          <c:order val="5"/>
          <c:tx>
            <c:strRef>
              <c:f>'Анализ проекта'!$C$110</c:f>
              <c:strCache>
                <c:ptCount val="1"/>
                <c:pt idx="0">
                  <c:v>Амортизация</c:v>
                </c:pt>
              </c:strCache>
            </c:strRef>
          </c:tx>
          <c:spPr>
            <a:ln w="25400">
              <a:noFill/>
            </a:ln>
          </c:spPr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проекта'!$H$110,'Анализ проекта'!$J$110,'Анализ проекта'!$L$110,'Анализ проекта'!$N$110,'Анализ проекта'!$P$110)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0B-4B85-A976-626ECE5E352C}"/>
            </c:ext>
          </c:extLst>
        </c:ser>
        <c:ser>
          <c:idx val="6"/>
          <c:order val="6"/>
          <c:tx>
            <c:strRef>
              <c:f>'Анализ проекта'!$C$111</c:f>
              <c:strCache>
                <c:ptCount val="1"/>
                <c:pt idx="0">
                  <c:v>Налоги</c:v>
                </c:pt>
              </c:strCache>
            </c:strRef>
          </c:tx>
          <c:spPr>
            <a:ln w="25400">
              <a:noFill/>
            </a:ln>
          </c:spPr>
          <c:cat>
            <c:strRef>
              <c:f>'Прогнозные отчеты'!$C$2:$G$2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('Анализ проекта'!$H$111,'Анализ проекта'!$J$111,'Анализ проекта'!$L$111,'Анализ проекта'!$N$111,'Анализ проекта'!$P$111)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0B-4B85-A976-626ECE5E3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06400"/>
        <c:axId val="53216384"/>
      </c:areaChart>
      <c:catAx>
        <c:axId val="532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3216384"/>
        <c:crosses val="autoZero"/>
        <c:auto val="1"/>
        <c:lblAlgn val="ctr"/>
        <c:lblOffset val="100"/>
        <c:noMultiLvlLbl val="0"/>
      </c:catAx>
      <c:valAx>
        <c:axId val="532163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3206400"/>
        <c:crosses val="autoZero"/>
        <c:crossBetween val="midCat"/>
      </c:val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2285682046753503"/>
          <c:y val="0.77867735858171117"/>
          <c:w val="0.77755459072288868"/>
          <c:h val="0.1619470879023557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3550508330753"/>
          <c:y val="0.17133650230302641"/>
          <c:w val="0.81833199809952839"/>
          <c:h val="0.575201114874445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'Вертикальный анализ'!$A$6</c:f>
              <c:strCache>
                <c:ptCount val="1"/>
                <c:pt idx="0">
                  <c:v>Нематериальные активы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анализ'!$C$6:$G$6</c:f>
              <c:numCache>
                <c:formatCode>0%</c:formatCode>
                <c:ptCount val="5"/>
                <c:pt idx="0" formatCode="0.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7-4660-B562-68ADC79680AA}"/>
            </c:ext>
          </c:extLst>
        </c:ser>
        <c:ser>
          <c:idx val="1"/>
          <c:order val="1"/>
          <c:tx>
            <c:strRef>
              <c:f>'Вертикальный анализ'!$A$7</c:f>
              <c:strCache>
                <c:ptCount val="1"/>
                <c:pt idx="0">
                  <c:v>Основные средства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анализ'!$C$7:$G$7</c:f>
              <c:numCache>
                <c:formatCode>0%</c:formatCode>
                <c:ptCount val="5"/>
                <c:pt idx="0">
                  <c:v>0.43544895482285756</c:v>
                </c:pt>
                <c:pt idx="1">
                  <c:v>0.19358390875142931</c:v>
                </c:pt>
                <c:pt idx="2">
                  <c:v>0.1653720622401639</c:v>
                </c:pt>
                <c:pt idx="3">
                  <c:v>0.1973078983855566</c:v>
                </c:pt>
                <c:pt idx="4">
                  <c:v>0.17978772347498032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7-4660-B562-68ADC79680AA}"/>
            </c:ext>
          </c:extLst>
        </c:ser>
        <c:ser>
          <c:idx val="2"/>
          <c:order val="2"/>
          <c:tx>
            <c:strRef>
              <c:f>'Вертикальный анализ'!$A$8</c:f>
              <c:strCache>
                <c:ptCount val="1"/>
                <c:pt idx="0">
                  <c:v>Незавершенные капитальные вложения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анализ'!$C$8:$G$8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87-4660-B562-68ADC79680AA}"/>
            </c:ext>
          </c:extLst>
        </c:ser>
        <c:ser>
          <c:idx val="3"/>
          <c:order val="3"/>
          <c:tx>
            <c:strRef>
              <c:f>'Вертикальный анализ'!$A$12</c:f>
              <c:strCache>
                <c:ptCount val="1"/>
                <c:pt idx="0">
                  <c:v>Запасы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анализ'!$C$12:$G$12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87-4660-B562-68ADC79680AA}"/>
            </c:ext>
          </c:extLst>
        </c:ser>
        <c:ser>
          <c:idx val="4"/>
          <c:order val="4"/>
          <c:tx>
            <c:strRef>
              <c:f>'Вертикальный анализ'!$A$13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анализ'!$C$13:$G$13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87-4660-B562-68ADC79680AA}"/>
            </c:ext>
          </c:extLst>
        </c:ser>
        <c:ser>
          <c:idx val="5"/>
          <c:order val="5"/>
          <c:tx>
            <c:strRef>
              <c:f>'Вертикальный анализ'!$A$14</c:f>
              <c:strCache>
                <c:ptCount val="1"/>
                <c:pt idx="0">
                  <c:v>Авансы поставщикам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анализ'!$C$14:$G$14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87-4660-B562-68ADC79680AA}"/>
            </c:ext>
          </c:extLst>
        </c:ser>
        <c:ser>
          <c:idx val="6"/>
          <c:order val="6"/>
          <c:tx>
            <c:strRef>
              <c:f>'Вертикальный анализ'!$A$15</c:f>
              <c:strCache>
                <c:ptCount val="1"/>
                <c:pt idx="0">
                  <c:v>НДС к получению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анализ'!$C$15:$G$15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87-4660-B562-68ADC79680AA}"/>
            </c:ext>
          </c:extLst>
        </c:ser>
        <c:ser>
          <c:idx val="7"/>
          <c:order val="7"/>
          <c:tx>
            <c:strRef>
              <c:f>'Вертикальный анализ'!$A$16</c:f>
              <c:strCache>
                <c:ptCount val="1"/>
                <c:pt idx="0">
                  <c:v>Денежные средства и их эквиваленты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анализ'!$C$16:$G$16</c:f>
              <c:numCache>
                <c:formatCode>0%</c:formatCode>
                <c:ptCount val="5"/>
                <c:pt idx="0">
                  <c:v>0.56455104517714239</c:v>
                </c:pt>
                <c:pt idx="1">
                  <c:v>0.80641609124857072</c:v>
                </c:pt>
                <c:pt idx="2">
                  <c:v>0.83462793775983612</c:v>
                </c:pt>
                <c:pt idx="3">
                  <c:v>0.80269210161444338</c:v>
                </c:pt>
                <c:pt idx="4">
                  <c:v>0.82021227652501971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87-4660-B562-68ADC7968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479680"/>
        <c:axId val="55489664"/>
      </c:barChart>
      <c:catAx>
        <c:axId val="554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5489664"/>
        <c:crosses val="autoZero"/>
        <c:auto val="1"/>
        <c:lblAlgn val="ctr"/>
        <c:lblOffset val="100"/>
        <c:noMultiLvlLbl val="0"/>
      </c:catAx>
      <c:valAx>
        <c:axId val="554896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5479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731851289673163E-2"/>
          <c:y val="0.83199043873449696"/>
          <c:w val="0.83578049731735315"/>
          <c:h val="0.1409561720368235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0097204642355"/>
          <c:y val="0.16532546769675172"/>
          <c:w val="0.8148423094082724"/>
          <c:h val="0.556595741245730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'Вертикальный анализ'!$A$24</c:f>
              <c:strCache>
                <c:ptCount val="1"/>
                <c:pt idx="0">
                  <c:v>Уставный капитал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анализ'!$C$24:$G$24</c:f>
              <c:numCache>
                <c:formatCode>0%</c:formatCode>
                <c:ptCount val="5"/>
                <c:pt idx="0">
                  <c:v>0.12559787554850485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C-4401-A020-F66CA604F6CA}"/>
            </c:ext>
          </c:extLst>
        </c:ser>
        <c:ser>
          <c:idx val="1"/>
          <c:order val="1"/>
          <c:tx>
            <c:strRef>
              <c:f>'Вертикальный анализ'!$A$25</c:f>
              <c:strCache>
                <c:ptCount val="1"/>
                <c:pt idx="0">
                  <c:v>Целевое финансирование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анализ'!$C$25:$G$25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C-4401-A020-F66CA604F6CA}"/>
            </c:ext>
          </c:extLst>
        </c:ser>
        <c:ser>
          <c:idx val="2"/>
          <c:order val="2"/>
          <c:tx>
            <c:strRef>
              <c:f>'Вертикальный анализ'!$A$26</c:f>
              <c:strCache>
                <c:ptCount val="1"/>
                <c:pt idx="0">
                  <c:v>Нераспределенная прибыль (+) / убыток (-)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анализ'!$C$26:$G$26</c:f>
              <c:numCache>
                <c:formatCode>0%</c:formatCode>
                <c:ptCount val="5"/>
                <c:pt idx="0">
                  <c:v>6.7825241886216636E-2</c:v>
                </c:pt>
                <c:pt idx="1">
                  <c:v>0.14761179486224801</c:v>
                </c:pt>
                <c:pt idx="2">
                  <c:v>0.20461638486107769</c:v>
                </c:pt>
                <c:pt idx="3">
                  <c:v>0.27165041112168054</c:v>
                </c:pt>
                <c:pt idx="4">
                  <c:v>0.35078888963054394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C-4401-A020-F66CA604F6CA}"/>
            </c:ext>
          </c:extLst>
        </c:ser>
        <c:ser>
          <c:idx val="3"/>
          <c:order val="3"/>
          <c:tx>
            <c:strRef>
              <c:f>'Вертикальный анализ'!$A$30</c:f>
              <c:strCache>
                <c:ptCount val="1"/>
                <c:pt idx="0">
                  <c:v>Долгосрочные кредиты и займы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анализ'!$C$30:$G$30</c:f>
              <c:numCache>
                <c:formatCode>0%</c:formatCode>
                <c:ptCount val="5"/>
                <c:pt idx="0">
                  <c:v>0.78498672217815524</c:v>
                </c:pt>
                <c:pt idx="1">
                  <c:v>0.82869138812633159</c:v>
                </c:pt>
                <c:pt idx="2">
                  <c:v>0.78459542800386917</c:v>
                </c:pt>
                <c:pt idx="3">
                  <c:v>0.72113820681021723</c:v>
                </c:pt>
                <c:pt idx="4">
                  <c:v>0.64598120434771744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3C-4401-A020-F66CA604F6CA}"/>
            </c:ext>
          </c:extLst>
        </c:ser>
        <c:ser>
          <c:idx val="4"/>
          <c:order val="4"/>
          <c:tx>
            <c:strRef>
              <c:f>'Вертикальный анализ'!$A$34</c:f>
              <c:strCache>
                <c:ptCount val="1"/>
                <c:pt idx="0">
                  <c:v>Краткосрочные кредиты и займы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анализ'!$C$34:$G$34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3C-4401-A020-F66CA604F6CA}"/>
            </c:ext>
          </c:extLst>
        </c:ser>
        <c:ser>
          <c:idx val="5"/>
          <c:order val="5"/>
          <c:tx>
            <c:strRef>
              <c:f>'Вертикальный анализ'!$A$35</c:f>
              <c:strCache>
                <c:ptCount val="1"/>
                <c:pt idx="0">
                  <c:v>Кредиторская задолженность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анализ'!$C$35:$G$35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3C-4401-A020-F66CA604F6CA}"/>
            </c:ext>
          </c:extLst>
        </c:ser>
        <c:ser>
          <c:idx val="6"/>
          <c:order val="6"/>
          <c:tx>
            <c:strRef>
              <c:f>'Вертикальный анализ'!$A$36</c:f>
              <c:strCache>
                <c:ptCount val="1"/>
                <c:pt idx="0">
                  <c:v>Авансы покупателей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анализ'!$C$36:$G$36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3C-4401-A020-F66CA604F6CA}"/>
            </c:ext>
          </c:extLst>
        </c:ser>
        <c:ser>
          <c:idx val="7"/>
          <c:order val="7"/>
          <c:tx>
            <c:strRef>
              <c:f>'Вертикальный анализ'!$A$37</c:f>
              <c:strCache>
                <c:ptCount val="1"/>
                <c:pt idx="0">
                  <c:v>Задолженность перед персоналом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анализ'!$C$37:$G$37</c:f>
              <c:numCache>
                <c:formatCode>0%</c:formatCode>
                <c:ptCount val="5"/>
                <c:pt idx="0">
                  <c:v>6.6754126657384083E-3</c:v>
                </c:pt>
                <c:pt idx="1">
                  <c:v>9.8852938759816256E-3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3C-4401-A020-F66CA604F6CA}"/>
            </c:ext>
          </c:extLst>
        </c:ser>
        <c:ser>
          <c:idx val="8"/>
          <c:order val="8"/>
          <c:tx>
            <c:strRef>
              <c:f>'Вертикальный анализ'!$A$38</c:f>
              <c:strCache>
                <c:ptCount val="1"/>
                <c:pt idx="0">
                  <c:v>Задолженность по выплате процентов</c:v>
                </c:pt>
              </c:strCache>
            </c:strRef>
          </c:tx>
          <c:invertIfNegative val="0"/>
          <c:cat>
            <c:strRef>
              <c:f>'Вертикальный анализ'!$C$2:$G$2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'Вертикальный анализ'!$C$38:$G$38</c:f>
              <c:numCache>
                <c:formatCode>0%</c:formatCode>
                <c:ptCount val="5"/>
                <c:pt idx="0">
                  <c:v>1.4914747721384949E-2</c:v>
                </c:pt>
                <c:pt idx="1">
                  <c:v>1.3811523135438861E-2</c:v>
                </c:pt>
                <c:pt idx="2">
                  <c:v>1.0788187135053201E-2</c:v>
                </c:pt>
                <c:pt idx="3">
                  <c:v>7.211382068102172E-3</c:v>
                </c:pt>
                <c:pt idx="4">
                  <c:v>3.2299060217385869E-3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3C-4401-A020-F66CA604F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348608"/>
        <c:axId val="55366784"/>
      </c:barChart>
      <c:catAx>
        <c:axId val="5534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5366784"/>
        <c:crosses val="autoZero"/>
        <c:auto val="1"/>
        <c:lblAlgn val="ctr"/>
        <c:lblOffset val="100"/>
        <c:noMultiLvlLbl val="0"/>
      </c:catAx>
      <c:valAx>
        <c:axId val="55366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5348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538522473423211E-2"/>
          <c:y val="0.78557452686835216"/>
          <c:w val="0.8462495709163117"/>
          <c:h val="0.2144254731316480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0636242808459"/>
          <c:y val="0.16744420298031065"/>
          <c:w val="0.66196534978404931"/>
          <c:h val="0.58605471043108703"/>
        </c:manualLayout>
      </c:layout>
      <c:lineChart>
        <c:grouping val="standard"/>
        <c:varyColors val="0"/>
        <c:ser>
          <c:idx val="0"/>
          <c:order val="0"/>
          <c:tx>
            <c:strRef>
              <c:f>'Анализ рентабельности'!$A$12</c:f>
              <c:strCache>
                <c:ptCount val="1"/>
                <c:pt idx="0">
                  <c:v>Маржа чистой прибыли</c:v>
                </c:pt>
              </c:strCache>
            </c:strRef>
          </c:tx>
          <c:cat>
            <c:strRef>
              <c:f>'Анализ рентабельности'!$C$2:$G$2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'Анализ рентабельности'!$C$12:$G$12</c:f>
              <c:numCache>
                <c:formatCode>0%</c:formatCode>
                <c:ptCount val="5"/>
                <c:pt idx="0">
                  <c:v>0.22648688581970758</c:v>
                </c:pt>
                <c:pt idx="1">
                  <c:v>0.14448704707878676</c:v>
                </c:pt>
                <c:pt idx="2">
                  <c:v>0.1688673553926619</c:v>
                </c:pt>
                <c:pt idx="3">
                  <c:v>8.9581828822356754E-2</c:v>
                </c:pt>
                <c:pt idx="4">
                  <c:v>0.20756204893543237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7-44F8-BD3E-6E126FBAA9A0}"/>
            </c:ext>
          </c:extLst>
        </c:ser>
        <c:ser>
          <c:idx val="1"/>
          <c:order val="1"/>
          <c:tx>
            <c:strRef>
              <c:f>'Анализ рентабельности'!$A$17</c:f>
              <c:strCache>
                <c:ptCount val="1"/>
                <c:pt idx="0">
                  <c:v>Рентабельность продаж (маржа EBIT)</c:v>
                </c:pt>
              </c:strCache>
            </c:strRef>
          </c:tx>
          <c:cat>
            <c:strRef>
              <c:f>'Анализ рентабельности'!$C$2:$G$2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'Анализ рентабельности'!$C$17:$G$17</c:f>
              <c:numCache>
                <c:formatCode>0%</c:formatCode>
                <c:ptCount val="5"/>
                <c:pt idx="0">
                  <c:v>0.2518954284391946</c:v>
                </c:pt>
                <c:pt idx="1">
                  <c:v>0.1623398200871764</c:v>
                </c:pt>
                <c:pt idx="2">
                  <c:v>0.18051921863535123</c:v>
                </c:pt>
                <c:pt idx="3">
                  <c:v>9.6996650885886326E-2</c:v>
                </c:pt>
                <c:pt idx="4">
                  <c:v>0.21007914903710059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7-44F8-BD3E-6E126FBAA9A0}"/>
            </c:ext>
          </c:extLst>
        </c:ser>
        <c:ser>
          <c:idx val="2"/>
          <c:order val="2"/>
          <c:tx>
            <c:strRef>
              <c:f>'Анализ рентабельности'!$A$24</c:f>
              <c:strCache>
                <c:ptCount val="1"/>
                <c:pt idx="0">
                  <c:v>Маржа EBITDA</c:v>
                </c:pt>
              </c:strCache>
            </c:strRef>
          </c:tx>
          <c:cat>
            <c:strRef>
              <c:f>'Анализ рентабельности'!$C$2:$G$2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'Анализ рентабельности'!$C$24:$G$24</c:f>
              <c:numCache>
                <c:formatCode>0%</c:formatCode>
                <c:ptCount val="5"/>
                <c:pt idx="0">
                  <c:v>0.2518954284391946</c:v>
                </c:pt>
                <c:pt idx="1">
                  <c:v>8.6167988584713986E-2</c:v>
                </c:pt>
                <c:pt idx="2">
                  <c:v>0.11272655976879513</c:v>
                </c:pt>
                <c:pt idx="3">
                  <c:v>2.9203992019330251E-2</c:v>
                </c:pt>
                <c:pt idx="4">
                  <c:v>0.15638101353484474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C7-44F8-BD3E-6E126FBAA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10752"/>
        <c:axId val="55620736"/>
      </c:lineChart>
      <c:catAx>
        <c:axId val="556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5620736"/>
        <c:crosses val="autoZero"/>
        <c:auto val="1"/>
        <c:lblAlgn val="ctr"/>
        <c:lblOffset val="100"/>
        <c:noMultiLvlLbl val="0"/>
      </c:catAx>
      <c:valAx>
        <c:axId val="556207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561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43066899246291"/>
          <c:y val="0.82041529010142844"/>
          <c:w val="0.74628062796498273"/>
          <c:h val="0.1474123452193724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215624244617"/>
          <c:y val="0.23301258425194149"/>
          <c:w val="0.67721841140724959"/>
          <c:h val="0.47342239340077014"/>
        </c:manualLayout>
      </c:layout>
      <c:lineChart>
        <c:grouping val="standard"/>
        <c:varyColors val="0"/>
        <c:ser>
          <c:idx val="0"/>
          <c:order val="0"/>
          <c:tx>
            <c:v>ROA</c:v>
          </c:tx>
          <c:cat>
            <c:strRef>
              <c:f>'Анализ рентабельности'!$C$2:$G$2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'Анализ рентабельности'!$D$34:$G$34</c:f>
              <c:numCache>
                <c:formatCode>0%</c:formatCode>
                <c:ptCount val="4"/>
                <c:pt idx="0">
                  <c:v>3.5916242618472059E-2</c:v>
                </c:pt>
                <c:pt idx="1">
                  <c:v>3.0681753164506075E-2</c:v>
                </c:pt>
                <c:pt idx="2">
                  <c:v>1.7137953657747843E-2</c:v>
                </c:pt>
                <c:pt idx="3">
                  <c:v>5.0802698428765419E-2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0A-44D0-A6D9-01C738D4ECCB}"/>
            </c:ext>
          </c:extLst>
        </c:ser>
        <c:ser>
          <c:idx val="1"/>
          <c:order val="1"/>
          <c:tx>
            <c:v>ROE</c:v>
          </c:tx>
          <c:cat>
            <c:strRef>
              <c:f>'Анализ рентабельности'!$C$2:$G$2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'Анализ рентабельности'!$D$44:$G$44</c:f>
              <c:numCache>
                <c:formatCode>0%</c:formatCode>
                <c:ptCount val="4"/>
                <c:pt idx="0">
                  <c:v>0.59696984388263663</c:v>
                </c:pt>
                <c:pt idx="1">
                  <c:v>0.86418835974481456</c:v>
                </c:pt>
                <c:pt idx="2">
                  <c:v>0.35810428365510999</c:v>
                </c:pt>
                <c:pt idx="3">
                  <c:v>0.83928510636662412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0A-44D0-A6D9-01C738D4ECCB}"/>
            </c:ext>
          </c:extLst>
        </c:ser>
        <c:ser>
          <c:idx val="2"/>
          <c:order val="2"/>
          <c:tx>
            <c:v>RONA</c:v>
          </c:tx>
          <c:cat>
            <c:strRef>
              <c:f>'Анализ рентабельности'!$C$2:$G$2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'Анализ рентабельности'!$D$39:$G$39</c:f>
              <c:numCache>
                <c:formatCode>0%</c:formatCode>
                <c:ptCount val="4"/>
                <c:pt idx="0">
                  <c:v>3.2192125641399033E-2</c:v>
                </c:pt>
                <c:pt idx="1">
                  <c:v>2.879658413562999E-2</c:v>
                </c:pt>
                <c:pt idx="2">
                  <c:v>1.5854563708871505E-2</c:v>
                </c:pt>
                <c:pt idx="3">
                  <c:v>5.0244970645824408E-2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0A-44D0-A6D9-01C738D4ECCB}"/>
            </c:ext>
          </c:extLst>
        </c:ser>
        <c:ser>
          <c:idx val="3"/>
          <c:order val="3"/>
          <c:tx>
            <c:v>ROIC</c:v>
          </c:tx>
          <c:cat>
            <c:strRef>
              <c:f>'Анализ рентабельности'!$C$2:$G$2</c:f>
              <c:strCache>
                <c:ptCount val="5"/>
                <c:pt idx="0">
                  <c:v>1 год</c:v>
                </c:pt>
                <c:pt idx="1">
                  <c:v>2 год</c:v>
                </c:pt>
                <c:pt idx="2">
                  <c:v>3 год</c:v>
                </c:pt>
                <c:pt idx="3">
                  <c:v>4 год</c:v>
                </c:pt>
                <c:pt idx="4">
                  <c:v>5 год</c:v>
                </c:pt>
              </c:strCache>
            </c:strRef>
          </c:cat>
          <c:val>
            <c:numRef>
              <c:f>'Анализ рентабельности'!$D$52:$G$52</c:f>
              <c:numCache>
                <c:formatCode>0%</c:formatCode>
                <c:ptCount val="4"/>
                <c:pt idx="0">
                  <c:v>0.11826230965293652</c:v>
                </c:pt>
                <c:pt idx="1">
                  <c:v>0.16474083887357874</c:v>
                </c:pt>
                <c:pt idx="2">
                  <c:v>9.2855222170951518E-2</c:v>
                </c:pt>
                <c:pt idx="3">
                  <c:v>0.26502395817829122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0A-44D0-A6D9-01C738D4E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81120"/>
        <c:axId val="52987008"/>
      </c:lineChart>
      <c:catAx>
        <c:axId val="5298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2987008"/>
        <c:crosses val="autoZero"/>
        <c:auto val="1"/>
        <c:lblAlgn val="ctr"/>
        <c:lblOffset val="100"/>
        <c:noMultiLvlLbl val="0"/>
      </c:catAx>
      <c:valAx>
        <c:axId val="529870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ru-RU"/>
          </a:p>
        </c:txPr>
        <c:crossAx val="5298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579372416504619"/>
          <c:y val="0.82109200635634849"/>
          <c:w val="0.68949961214362376"/>
          <c:h val="0.1627389433463670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276225</xdr:colOff>
      <xdr:row>72</xdr:row>
      <xdr:rowOff>57150</xdr:rowOff>
    </xdr:from>
    <xdr:to>
      <xdr:col>22</xdr:col>
      <xdr:colOff>581025</xdr:colOff>
      <xdr:row>89</xdr:row>
      <xdr:rowOff>38100</xdr:rowOff>
    </xdr:to>
    <xdr:graphicFrame macro="">
      <xdr:nvGraphicFramePr>
        <xdr:cNvPr id="9680" name="Диаграмма 1">
          <a:extLst>
            <a:ext uri="{FF2B5EF4-FFF2-40B4-BE49-F238E27FC236}">
              <a16:creationId xmlns:a16="http://schemas.microsoft.com/office/drawing/2014/main" id="{00000000-0008-0000-0600-0000D02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142875</xdr:colOff>
      <xdr:row>40</xdr:row>
      <xdr:rowOff>85725</xdr:rowOff>
    </xdr:from>
    <xdr:to>
      <xdr:col>12</xdr:col>
      <xdr:colOff>476250</xdr:colOff>
      <xdr:row>60</xdr:row>
      <xdr:rowOff>152400</xdr:rowOff>
    </xdr:to>
    <xdr:graphicFrame macro="">
      <xdr:nvGraphicFramePr>
        <xdr:cNvPr id="9681" name="Chart 3">
          <a:extLst>
            <a:ext uri="{FF2B5EF4-FFF2-40B4-BE49-F238E27FC236}">
              <a16:creationId xmlns:a16="http://schemas.microsoft.com/office/drawing/2014/main" id="{00000000-0008-0000-0600-0000D12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156882</xdr:rowOff>
    </xdr:from>
    <xdr:to>
      <xdr:col>15</xdr:col>
      <xdr:colOff>333375</xdr:colOff>
      <xdr:row>23</xdr:row>
      <xdr:rowOff>145676</xdr:rowOff>
    </xdr:to>
    <xdr:graphicFrame macro="">
      <xdr:nvGraphicFramePr>
        <xdr:cNvPr id="3277001" name="Chart 1">
          <a:extLst>
            <a:ext uri="{FF2B5EF4-FFF2-40B4-BE49-F238E27FC236}">
              <a16:creationId xmlns:a16="http://schemas.microsoft.com/office/drawing/2014/main" id="{00000000-0008-0000-1000-0000C9003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26</xdr:row>
      <xdr:rowOff>38100</xdr:rowOff>
    </xdr:from>
    <xdr:to>
      <xdr:col>15</xdr:col>
      <xdr:colOff>419100</xdr:colOff>
      <xdr:row>43</xdr:row>
      <xdr:rowOff>85725</xdr:rowOff>
    </xdr:to>
    <xdr:graphicFrame macro="">
      <xdr:nvGraphicFramePr>
        <xdr:cNvPr id="3277002" name="Chart 2">
          <a:extLst>
            <a:ext uri="{FF2B5EF4-FFF2-40B4-BE49-F238E27FC236}">
              <a16:creationId xmlns:a16="http://schemas.microsoft.com/office/drawing/2014/main" id="{00000000-0008-0000-1000-0000CA003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0.02475</cdr:x>
      <cdr:y>0.01904</cdr:y>
    </cdr:from>
    <cdr:to>
      <cdr:x>0.92469</cdr:x>
      <cdr:y>0.12004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00853" y="56030"/>
          <a:ext cx="4127922" cy="2809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показателей рентабельности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0.03303</cdr:x>
      <cdr:y>0.01047</cdr:y>
    </cdr:from>
    <cdr:to>
      <cdr:x>0.96659</cdr:x>
      <cdr:y>0.11134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34471" y="33617"/>
          <a:ext cx="4403910" cy="2689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рентабельности активов, собственного и инвестированного капитала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5</xdr:row>
      <xdr:rowOff>85725</xdr:rowOff>
    </xdr:from>
    <xdr:to>
      <xdr:col>14</xdr:col>
      <xdr:colOff>104775</xdr:colOff>
      <xdr:row>24</xdr:row>
      <xdr:rowOff>85725</xdr:rowOff>
    </xdr:to>
    <xdr:graphicFrame macro="">
      <xdr:nvGraphicFramePr>
        <xdr:cNvPr id="2931830" name="Диаграмма 1">
          <a:extLst>
            <a:ext uri="{FF2B5EF4-FFF2-40B4-BE49-F238E27FC236}">
              <a16:creationId xmlns:a16="http://schemas.microsoft.com/office/drawing/2014/main" id="{00000000-0008-0000-1100-000076BC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0.00079</cdr:x>
      <cdr:y>0.04568</cdr:y>
    </cdr:from>
    <cdr:to>
      <cdr:x>0.91041</cdr:x>
      <cdr:y>0.14329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8479" y="131296"/>
          <a:ext cx="3560376" cy="2718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коэффициентов ликвидности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3</xdr:row>
      <xdr:rowOff>57150</xdr:rowOff>
    </xdr:from>
    <xdr:to>
      <xdr:col>14</xdr:col>
      <xdr:colOff>542925</xdr:colOff>
      <xdr:row>21</xdr:row>
      <xdr:rowOff>0</xdr:rowOff>
    </xdr:to>
    <xdr:graphicFrame macro="">
      <xdr:nvGraphicFramePr>
        <xdr:cNvPr id="3190887" name="Chart 1">
          <a:extLst>
            <a:ext uri="{FF2B5EF4-FFF2-40B4-BE49-F238E27FC236}">
              <a16:creationId xmlns:a16="http://schemas.microsoft.com/office/drawing/2014/main" id="{00000000-0008-0000-1200-000067B03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0.03332</cdr:x>
      <cdr:y>0.02521</cdr:y>
    </cdr:from>
    <cdr:to>
      <cdr:x>0.9335</cdr:x>
      <cdr:y>0.14265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34471" y="67235"/>
          <a:ext cx="4127922" cy="2953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коэффициентов платёжеспособности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25</xdr:row>
      <xdr:rowOff>85725</xdr:rowOff>
    </xdr:from>
    <xdr:to>
      <xdr:col>14</xdr:col>
      <xdr:colOff>323850</xdr:colOff>
      <xdr:row>50</xdr:row>
      <xdr:rowOff>152400</xdr:rowOff>
    </xdr:to>
    <xdr:graphicFrame macro="">
      <xdr:nvGraphicFramePr>
        <xdr:cNvPr id="2972778" name="Chart 1">
          <a:extLst>
            <a:ext uri="{FF2B5EF4-FFF2-40B4-BE49-F238E27FC236}">
              <a16:creationId xmlns:a16="http://schemas.microsoft.com/office/drawing/2014/main" id="{00000000-0008-0000-1300-00006A5C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0.05125</cdr:x>
      <cdr:y>0.08449</cdr:y>
    </cdr:from>
    <cdr:to>
      <cdr:x>0.16972</cdr:x>
      <cdr:y>0.1519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296" y="313764"/>
          <a:ext cx="448234" cy="246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>
              <a:latin typeface="Arial Narrow" pitchFamily="34" charset="0"/>
            </a:rPr>
            <a:t>дни</a:t>
          </a:r>
        </a:p>
      </cdr:txBody>
    </cdr:sp>
  </cdr:relSizeAnchor>
  <cdr:relSizeAnchor xmlns:cdr="http://schemas.openxmlformats.org/drawingml/2006/chartDrawing">
    <cdr:from>
      <cdr:x>0.02042</cdr:x>
      <cdr:y>0.01792</cdr:y>
    </cdr:from>
    <cdr:to>
      <cdr:x>0.99033</cdr:x>
      <cdr:y>0.0989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78442" y="70524"/>
          <a:ext cx="4129550" cy="2958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оборачиваемости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0.03724</cdr:x>
      <cdr:y>0.0114</cdr:y>
    </cdr:from>
    <cdr:to>
      <cdr:x>0.92596</cdr:x>
      <cdr:y>0.13767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52400" y="38100"/>
          <a:ext cx="4076602" cy="3600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Динамика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 стоимости финансирования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75</xdr:row>
      <xdr:rowOff>28575</xdr:rowOff>
    </xdr:from>
    <xdr:to>
      <xdr:col>12</xdr:col>
      <xdr:colOff>485775</xdr:colOff>
      <xdr:row>93</xdr:row>
      <xdr:rowOff>9525</xdr:rowOff>
    </xdr:to>
    <xdr:graphicFrame macro="">
      <xdr:nvGraphicFramePr>
        <xdr:cNvPr id="5839" name="Диаграмма 4">
          <a:extLst>
            <a:ext uri="{FF2B5EF4-FFF2-40B4-BE49-F238E27FC236}">
              <a16:creationId xmlns:a16="http://schemas.microsoft.com/office/drawing/2014/main" id="{00000000-0008-0000-0900-0000CF1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247650</xdr:colOff>
      <xdr:row>94</xdr:row>
      <xdr:rowOff>0</xdr:rowOff>
    </xdr:from>
    <xdr:to>
      <xdr:col>17</xdr:col>
      <xdr:colOff>0</xdr:colOff>
      <xdr:row>116</xdr:row>
      <xdr:rowOff>78441</xdr:rowOff>
    </xdr:to>
    <xdr:graphicFrame macro="">
      <xdr:nvGraphicFramePr>
        <xdr:cNvPr id="4825263" name="Диаграмма 11">
          <a:extLst>
            <a:ext uri="{FF2B5EF4-FFF2-40B4-BE49-F238E27FC236}">
              <a16:creationId xmlns:a16="http://schemas.microsoft.com/office/drawing/2014/main" id="{00000000-0008-0000-0B00-0000AFA0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94</xdr:row>
      <xdr:rowOff>0</xdr:rowOff>
    </xdr:from>
    <xdr:to>
      <xdr:col>23</xdr:col>
      <xdr:colOff>19050</xdr:colOff>
      <xdr:row>116</xdr:row>
      <xdr:rowOff>67235</xdr:rowOff>
    </xdr:to>
    <xdr:graphicFrame macro="">
      <xdr:nvGraphicFramePr>
        <xdr:cNvPr id="4825264" name="Диаграмма 6">
          <a:extLst>
            <a:ext uri="{FF2B5EF4-FFF2-40B4-BE49-F238E27FC236}">
              <a16:creationId xmlns:a16="http://schemas.microsoft.com/office/drawing/2014/main" id="{00000000-0008-0000-0B00-0000B0A0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0.14194</cdr:x>
      <cdr:y>0.058</cdr:y>
    </cdr:from>
    <cdr:to>
      <cdr:x>0.82325</cdr:x>
      <cdr:y>0.13772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751146" y="257803"/>
          <a:ext cx="3932189" cy="3497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Структура себестоимости 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Продукта 1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0.09818</cdr:x>
      <cdr:y>0.03522</cdr:y>
    </cdr:from>
    <cdr:to>
      <cdr:x>0.86866</cdr:x>
      <cdr:y>0.11758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438150" y="152400"/>
          <a:ext cx="3974959" cy="3497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Структура себестоимости </a:t>
          </a:r>
          <a:r>
            <a:rPr lang="ru-RU" sz="1600" baseline="0">
              <a:solidFill>
                <a:srgbClr val="C00000"/>
              </a:solidFill>
              <a:latin typeface="Arial Narrow" pitchFamily="34" charset="0"/>
            </a:rPr>
            <a:t>Продукта </a:t>
          </a:r>
          <a:r>
            <a:rPr lang="en-US" sz="1600" baseline="0">
              <a:solidFill>
                <a:srgbClr val="C00000"/>
              </a:solidFill>
              <a:latin typeface="Arial Narrow" pitchFamily="34" charset="0"/>
            </a:rPr>
            <a:t>2</a:t>
          </a:r>
          <a:endParaRPr lang="ru-RU" sz="1600">
            <a:solidFill>
              <a:srgbClr val="C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57150</xdr:rowOff>
    </xdr:from>
    <xdr:to>
      <xdr:col>15</xdr:col>
      <xdr:colOff>514350</xdr:colOff>
      <xdr:row>23</xdr:row>
      <xdr:rowOff>123265</xdr:rowOff>
    </xdr:to>
    <xdr:graphicFrame macro="">
      <xdr:nvGraphicFramePr>
        <xdr:cNvPr id="2815210" name="Диаграмма 1">
          <a:extLst>
            <a:ext uri="{FF2B5EF4-FFF2-40B4-BE49-F238E27FC236}">
              <a16:creationId xmlns:a16="http://schemas.microsoft.com/office/drawing/2014/main" id="{00000000-0008-0000-0F00-0000EAF42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112059</xdr:colOff>
      <xdr:row>24</xdr:row>
      <xdr:rowOff>44823</xdr:rowOff>
    </xdr:from>
    <xdr:to>
      <xdr:col>15</xdr:col>
      <xdr:colOff>514350</xdr:colOff>
      <xdr:row>49</xdr:row>
      <xdr:rowOff>134471</xdr:rowOff>
    </xdr:to>
    <xdr:graphicFrame macro="">
      <xdr:nvGraphicFramePr>
        <xdr:cNvPr id="2815211" name="Диаграмма 2">
          <a:extLst>
            <a:ext uri="{FF2B5EF4-FFF2-40B4-BE49-F238E27FC236}">
              <a16:creationId xmlns:a16="http://schemas.microsoft.com/office/drawing/2014/main" id="{00000000-0008-0000-0F00-0000EBF42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0.04799</cdr:x>
      <cdr:y>0.01742</cdr:y>
    </cdr:from>
    <cdr:to>
      <cdr:x>0.91886</cdr:x>
      <cdr:y>0.1295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01706" y="56030"/>
          <a:ext cx="4132085" cy="348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Структура активов компании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0.06388</cdr:x>
      <cdr:y>0.0199</cdr:y>
    </cdr:from>
    <cdr:to>
      <cdr:x>0.93512</cdr:x>
      <cdr:y>0.13015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68942" y="67236"/>
          <a:ext cx="4132085" cy="348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ru-RU" sz="1600">
              <a:solidFill>
                <a:srgbClr val="C00000"/>
              </a:solidFill>
              <a:latin typeface="Arial Narrow" pitchFamily="34" charset="0"/>
            </a:rPr>
            <a:t>Структура пассивов компании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able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exceltable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able.com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exceltable.com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able.com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exceltable.com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able.com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exceltable.com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exceltable.com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://exceltable.com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://exceltabl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xceltable.com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://exceltable.com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abl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xceltable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xceltable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able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exceltable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xceltable.com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tab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0"/>
  <sheetViews>
    <sheetView zoomScale="85" zoomScaleNormal="85" workbookViewId="0">
      <selection activeCell="N32" sqref="N32"/>
    </sheetView>
  </sheetViews>
  <sheetFormatPr defaultColWidth="8.85546875" defaultRowHeight="12.75" x14ac:dyDescent="0.2"/>
  <cols>
    <col min="1" max="1" width="3.85546875" customWidth="1"/>
    <col min="2" max="2" width="41.7109375" customWidth="1"/>
    <col min="3" max="6" width="10.7109375" customWidth="1"/>
  </cols>
  <sheetData>
    <row r="1" spans="1:14" ht="18" x14ac:dyDescent="0.25">
      <c r="B1" s="242" t="s">
        <v>349</v>
      </c>
    </row>
    <row r="2" spans="1:14" s="2" customFormat="1" x14ac:dyDescent="0.2">
      <c r="A2" s="11" t="s">
        <v>43</v>
      </c>
      <c r="B2" s="12"/>
      <c r="C2" s="2" t="s">
        <v>39</v>
      </c>
      <c r="D2" s="3" t="s">
        <v>353</v>
      </c>
      <c r="E2" s="312" t="s">
        <v>354</v>
      </c>
      <c r="F2" s="312" t="s">
        <v>355</v>
      </c>
      <c r="G2" s="312" t="s">
        <v>356</v>
      </c>
      <c r="H2" s="312" t="s">
        <v>357</v>
      </c>
      <c r="I2" s="312" t="s">
        <v>358</v>
      </c>
      <c r="J2" s="312" t="s">
        <v>359</v>
      </c>
      <c r="K2" s="312" t="s">
        <v>360</v>
      </c>
      <c r="L2" s="312" t="s">
        <v>405</v>
      </c>
      <c r="M2" s="312" t="s">
        <v>406</v>
      </c>
      <c r="N2" s="8"/>
    </row>
    <row r="3" spans="1:14" s="20" customFormat="1" x14ac:dyDescent="0.2">
      <c r="A3" s="18"/>
      <c r="B3" s="19"/>
      <c r="N3" s="21"/>
    </row>
    <row r="4" spans="1:14" x14ac:dyDescent="0.2">
      <c r="A4" s="22" t="s">
        <v>45</v>
      </c>
    </row>
    <row r="5" spans="1:14" s="2" customFormat="1" x14ac:dyDescent="0.2">
      <c r="B5" s="9" t="s">
        <v>402</v>
      </c>
      <c r="C5" s="2" t="s">
        <v>44</v>
      </c>
      <c r="D5" s="73">
        <v>0.06</v>
      </c>
      <c r="E5" s="73">
        <f>D5</f>
        <v>0.06</v>
      </c>
      <c r="F5" s="73">
        <f t="shared" ref="F5:M5" si="0">E5</f>
        <v>0.06</v>
      </c>
      <c r="G5" s="73">
        <f t="shared" si="0"/>
        <v>0.06</v>
      </c>
      <c r="H5" s="73">
        <f t="shared" si="0"/>
        <v>0.06</v>
      </c>
      <c r="I5" s="73">
        <f t="shared" si="0"/>
        <v>0.06</v>
      </c>
      <c r="J5" s="73">
        <f t="shared" si="0"/>
        <v>0.06</v>
      </c>
      <c r="K5" s="73">
        <f t="shared" si="0"/>
        <v>0.06</v>
      </c>
      <c r="L5" s="73">
        <f t="shared" si="0"/>
        <v>0.06</v>
      </c>
      <c r="M5" s="73">
        <f t="shared" si="0"/>
        <v>0.06</v>
      </c>
    </row>
    <row r="6" spans="1:14" s="2" customFormat="1" x14ac:dyDescent="0.2">
      <c r="B6" s="9" t="s">
        <v>42</v>
      </c>
      <c r="D6" s="69">
        <v>1</v>
      </c>
      <c r="E6" s="69">
        <f>D6*(1+E5)</f>
        <v>1.06</v>
      </c>
      <c r="F6" s="69">
        <f t="shared" ref="F6:M6" si="1">E6*(1+F5)</f>
        <v>1.1236000000000002</v>
      </c>
      <c r="G6" s="69">
        <f t="shared" si="1"/>
        <v>1.1910160000000003</v>
      </c>
      <c r="H6" s="69">
        <f>G6*(1+H5)</f>
        <v>1.2624769600000003</v>
      </c>
      <c r="I6" s="69">
        <f t="shared" si="1"/>
        <v>1.3382255776000005</v>
      </c>
      <c r="J6" s="69">
        <f t="shared" si="1"/>
        <v>1.4185191122560006</v>
      </c>
      <c r="K6" s="69">
        <f t="shared" si="1"/>
        <v>1.5036302589913606</v>
      </c>
      <c r="L6" s="69">
        <f t="shared" si="1"/>
        <v>1.5938480745308423</v>
      </c>
      <c r="M6" s="69">
        <f t="shared" si="1"/>
        <v>1.6894789590026928</v>
      </c>
    </row>
    <row r="8" spans="1:14" x14ac:dyDescent="0.2">
      <c r="A8" s="23" t="s">
        <v>46</v>
      </c>
    </row>
    <row r="9" spans="1:14" x14ac:dyDescent="0.2">
      <c r="B9" s="9" t="s">
        <v>47</v>
      </c>
      <c r="C9" s="2" t="s">
        <v>44</v>
      </c>
      <c r="D9" s="235">
        <v>0.15</v>
      </c>
      <c r="E9" s="73">
        <f>D9</f>
        <v>0.15</v>
      </c>
      <c r="F9" s="73">
        <f t="shared" ref="F9:M12" si="2">E9</f>
        <v>0.15</v>
      </c>
      <c r="G9" s="73">
        <f t="shared" si="2"/>
        <v>0.15</v>
      </c>
      <c r="H9" s="73">
        <f t="shared" si="2"/>
        <v>0.15</v>
      </c>
      <c r="I9" s="73">
        <f t="shared" si="2"/>
        <v>0.15</v>
      </c>
      <c r="J9" s="73">
        <f t="shared" si="2"/>
        <v>0.15</v>
      </c>
      <c r="K9" s="73">
        <f t="shared" si="2"/>
        <v>0.15</v>
      </c>
      <c r="L9" s="73">
        <f t="shared" si="2"/>
        <v>0.15</v>
      </c>
      <c r="M9" s="73">
        <f t="shared" si="2"/>
        <v>0.15</v>
      </c>
    </row>
    <row r="10" spans="1:14" x14ac:dyDescent="0.2">
      <c r="B10" s="9" t="s">
        <v>348</v>
      </c>
      <c r="C10" s="2" t="s">
        <v>44</v>
      </c>
      <c r="D10" s="235">
        <v>0.15</v>
      </c>
      <c r="E10" s="73">
        <f>D10</f>
        <v>0.15</v>
      </c>
      <c r="F10" s="73">
        <f t="shared" si="2"/>
        <v>0.15</v>
      </c>
      <c r="G10" s="73">
        <f t="shared" si="2"/>
        <v>0.15</v>
      </c>
      <c r="H10" s="73">
        <f t="shared" si="2"/>
        <v>0.15</v>
      </c>
      <c r="I10" s="73">
        <f t="shared" si="2"/>
        <v>0.15</v>
      </c>
      <c r="J10" s="73">
        <f t="shared" si="2"/>
        <v>0.15</v>
      </c>
      <c r="K10" s="73">
        <f t="shared" si="2"/>
        <v>0.15</v>
      </c>
      <c r="L10" s="73">
        <f t="shared" si="2"/>
        <v>0.15</v>
      </c>
      <c r="M10" s="73">
        <f t="shared" si="2"/>
        <v>0.15</v>
      </c>
    </row>
    <row r="11" spans="1:14" x14ac:dyDescent="0.2">
      <c r="B11" s="9" t="s">
        <v>48</v>
      </c>
      <c r="C11" s="2" t="s">
        <v>44</v>
      </c>
      <c r="D11" s="235">
        <v>0</v>
      </c>
      <c r="E11" s="73">
        <f>D11</f>
        <v>0</v>
      </c>
      <c r="F11" s="73">
        <f t="shared" si="2"/>
        <v>0</v>
      </c>
      <c r="G11" s="73">
        <f t="shared" si="2"/>
        <v>0</v>
      </c>
      <c r="H11" s="73">
        <f t="shared" si="2"/>
        <v>0</v>
      </c>
      <c r="I11" s="73">
        <f t="shared" si="2"/>
        <v>0</v>
      </c>
      <c r="J11" s="73">
        <f t="shared" si="2"/>
        <v>0</v>
      </c>
      <c r="K11" s="73">
        <f t="shared" si="2"/>
        <v>0</v>
      </c>
      <c r="L11" s="73">
        <f t="shared" si="2"/>
        <v>0</v>
      </c>
      <c r="M11" s="73">
        <f t="shared" si="2"/>
        <v>0</v>
      </c>
    </row>
    <row r="12" spans="1:14" x14ac:dyDescent="0.2">
      <c r="B12" s="9" t="s">
        <v>49</v>
      </c>
      <c r="C12" s="2" t="s">
        <v>44</v>
      </c>
      <c r="D12" s="235">
        <v>0</v>
      </c>
      <c r="E12" s="73">
        <f>D12</f>
        <v>0</v>
      </c>
      <c r="F12" s="73">
        <f t="shared" si="2"/>
        <v>0</v>
      </c>
      <c r="G12" s="73">
        <f t="shared" si="2"/>
        <v>0</v>
      </c>
      <c r="H12" s="73">
        <f t="shared" si="2"/>
        <v>0</v>
      </c>
      <c r="I12" s="73">
        <v>0</v>
      </c>
      <c r="J12" s="73">
        <f t="shared" si="2"/>
        <v>0</v>
      </c>
      <c r="K12" s="73">
        <f t="shared" si="2"/>
        <v>0</v>
      </c>
      <c r="L12" s="73">
        <f t="shared" si="2"/>
        <v>0</v>
      </c>
      <c r="M12" s="73">
        <f t="shared" si="2"/>
        <v>0</v>
      </c>
    </row>
    <row r="14" spans="1:14" x14ac:dyDescent="0.2">
      <c r="A14" s="23" t="s">
        <v>161</v>
      </c>
    </row>
    <row r="15" spans="1:14" x14ac:dyDescent="0.2">
      <c r="B15" s="9" t="s">
        <v>403</v>
      </c>
      <c r="C15" s="2" t="s">
        <v>44</v>
      </c>
      <c r="D15" s="73">
        <v>0.4</v>
      </c>
      <c r="E15" s="73">
        <f>H15</f>
        <v>0.4</v>
      </c>
      <c r="F15" s="73">
        <f>D15</f>
        <v>0.4</v>
      </c>
      <c r="G15" s="73">
        <f t="shared" ref="G15" si="3">E15</f>
        <v>0.4</v>
      </c>
      <c r="H15" s="73">
        <f t="shared" ref="H15" si="4">F15</f>
        <v>0.4</v>
      </c>
      <c r="I15" s="73">
        <f t="shared" ref="I15" si="5">G15</f>
        <v>0.4</v>
      </c>
      <c r="J15" s="73">
        <f t="shared" ref="J15" si="6">H15</f>
        <v>0.4</v>
      </c>
      <c r="K15" s="73">
        <f t="shared" ref="K15" si="7">I15</f>
        <v>0.4</v>
      </c>
      <c r="L15" s="73">
        <f t="shared" ref="L15" si="8">J15</f>
        <v>0.4</v>
      </c>
      <c r="M15" s="73">
        <f t="shared" ref="M15" si="9">K15</f>
        <v>0.4</v>
      </c>
    </row>
    <row r="17" spans="2:6" x14ac:dyDescent="0.2">
      <c r="B17" s="341" t="s">
        <v>350</v>
      </c>
      <c r="C17" s="341"/>
    </row>
    <row r="18" spans="2:6" ht="15.75" x14ac:dyDescent="0.25">
      <c r="B18" s="67" t="s">
        <v>151</v>
      </c>
      <c r="C18" s="1"/>
      <c r="D18" s="1"/>
      <c r="E18" s="1"/>
      <c r="F18" s="1"/>
    </row>
    <row r="19" spans="2:6" x14ac:dyDescent="0.2">
      <c r="B19" s="68" t="s">
        <v>152</v>
      </c>
      <c r="C19" s="343" t="s">
        <v>153</v>
      </c>
      <c r="D19" s="343"/>
      <c r="E19" s="343"/>
      <c r="F19" s="343"/>
    </row>
    <row r="20" spans="2:6" x14ac:dyDescent="0.2">
      <c r="B20" s="61" t="s">
        <v>154</v>
      </c>
      <c r="C20" s="342" t="s">
        <v>157</v>
      </c>
      <c r="D20" s="342"/>
      <c r="E20" s="342"/>
      <c r="F20" s="342"/>
    </row>
    <row r="21" spans="2:6" x14ac:dyDescent="0.2">
      <c r="B21" s="61" t="s">
        <v>155</v>
      </c>
      <c r="C21" s="342" t="s">
        <v>158</v>
      </c>
      <c r="D21" s="342"/>
      <c r="E21" s="342"/>
      <c r="F21" s="342"/>
    </row>
    <row r="22" spans="2:6" x14ac:dyDescent="0.2">
      <c r="B22" s="61" t="s">
        <v>156</v>
      </c>
      <c r="C22" s="342" t="s">
        <v>159</v>
      </c>
      <c r="D22" s="342"/>
      <c r="E22" s="342"/>
      <c r="F22" s="342"/>
    </row>
    <row r="23" spans="2:6" x14ac:dyDescent="0.2">
      <c r="B23" s="61" t="s">
        <v>219</v>
      </c>
      <c r="C23" s="342" t="s">
        <v>160</v>
      </c>
      <c r="D23" s="342"/>
      <c r="E23" s="342"/>
      <c r="F23" s="342"/>
    </row>
    <row r="24" spans="2:6" ht="13.5" x14ac:dyDescent="0.25">
      <c r="B24" s="78" t="s">
        <v>162</v>
      </c>
    </row>
    <row r="27" spans="2:6" ht="15.75" x14ac:dyDescent="0.25">
      <c r="B27" s="340" t="s">
        <v>477</v>
      </c>
    </row>
    <row r="28" spans="2:6" ht="15.75" x14ac:dyDescent="0.25">
      <c r="B28" s="340" t="s">
        <v>479</v>
      </c>
    </row>
    <row r="30" spans="2:6" x14ac:dyDescent="0.2">
      <c r="B30" s="339" t="s">
        <v>478</v>
      </c>
    </row>
  </sheetData>
  <mergeCells count="6">
    <mergeCell ref="B17:C17"/>
    <mergeCell ref="C23:F23"/>
    <mergeCell ref="C19:F19"/>
    <mergeCell ref="C20:F20"/>
    <mergeCell ref="C21:F21"/>
    <mergeCell ref="C22:F22"/>
  </mergeCells>
  <phoneticPr fontId="0" type="noConversion"/>
  <hyperlinks>
    <hyperlink ref="B1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4" zoomScale="85" zoomScaleNormal="85" workbookViewId="0">
      <selection activeCell="F10" sqref="F10:O10"/>
    </sheetView>
  </sheetViews>
  <sheetFormatPr defaultRowHeight="12.75" x14ac:dyDescent="0.2"/>
  <cols>
    <col min="1" max="3" width="3.7109375" style="1" customWidth="1"/>
    <col min="4" max="4" width="35.42578125" style="1" customWidth="1"/>
    <col min="5" max="5" width="9.140625" style="1" customWidth="1"/>
    <col min="6" max="6" width="11" style="1" customWidth="1"/>
    <col min="7" max="8" width="10.7109375" style="1" customWidth="1"/>
    <col min="9" max="9" width="10.140625" style="1" customWidth="1"/>
    <col min="10" max="12" width="11" style="1" customWidth="1"/>
    <col min="13" max="13" width="11.28515625" style="1" customWidth="1"/>
    <col min="14" max="14" width="11.140625" style="1" customWidth="1"/>
    <col min="15" max="15" width="11.28515625" style="1" customWidth="1"/>
    <col min="16" max="16" width="9.140625" style="1" customWidth="1"/>
    <col min="17" max="17" width="12" style="1" customWidth="1"/>
    <col min="18" max="16384" width="9.140625" style="1"/>
  </cols>
  <sheetData>
    <row r="1" spans="1:18" ht="18" x14ac:dyDescent="0.25">
      <c r="D1" s="242" t="s">
        <v>349</v>
      </c>
    </row>
    <row r="2" spans="1:18" s="2" customFormat="1" x14ac:dyDescent="0.2">
      <c r="A2" s="11" t="s">
        <v>374</v>
      </c>
      <c r="B2" s="11"/>
      <c r="C2" s="12"/>
      <c r="D2" s="12"/>
      <c r="E2" s="2" t="s">
        <v>39</v>
      </c>
      <c r="F2" s="357"/>
      <c r="G2" s="357"/>
      <c r="H2" s="357"/>
      <c r="I2" s="357"/>
      <c r="J2" s="355"/>
      <c r="K2" s="355"/>
      <c r="L2" s="355"/>
      <c r="M2" s="355"/>
      <c r="N2" s="353"/>
      <c r="O2" s="353"/>
      <c r="P2" s="87"/>
    </row>
    <row r="3" spans="1:18" s="266" customFormat="1" x14ac:dyDescent="0.2">
      <c r="A3" s="267"/>
      <c r="B3" s="267"/>
      <c r="C3" s="12"/>
      <c r="D3" s="12"/>
      <c r="F3" s="265" t="s">
        <v>353</v>
      </c>
      <c r="G3" s="313" t="s">
        <v>354</v>
      </c>
      <c r="H3" s="313" t="s">
        <v>355</v>
      </c>
      <c r="I3" s="313" t="s">
        <v>356</v>
      </c>
      <c r="J3" s="313" t="s">
        <v>357</v>
      </c>
      <c r="K3" s="313" t="s">
        <v>358</v>
      </c>
      <c r="L3" s="313" t="s">
        <v>359</v>
      </c>
      <c r="M3" s="313" t="s">
        <v>360</v>
      </c>
      <c r="N3" s="313" t="s">
        <v>405</v>
      </c>
      <c r="O3" s="313" t="s">
        <v>406</v>
      </c>
      <c r="P3" s="87"/>
    </row>
    <row r="4" spans="1:18" x14ac:dyDescent="0.2">
      <c r="P4" s="87"/>
    </row>
    <row r="5" spans="1:18" s="33" customFormat="1" x14ac:dyDescent="0.2">
      <c r="A5" s="45"/>
      <c r="B5" s="46" t="s">
        <v>65</v>
      </c>
      <c r="C5" s="45"/>
      <c r="D5" s="45"/>
      <c r="E5" s="72" t="s">
        <v>361</v>
      </c>
      <c r="F5" s="15">
        <f>'Пр-во и Продажи'!D13</f>
        <v>363000</v>
      </c>
      <c r="G5" s="15">
        <f>'Пр-во и Продажи'!E13</f>
        <v>384780</v>
      </c>
      <c r="H5" s="15">
        <f>'Пр-во и Продажи'!F13</f>
        <v>407866.8000000001</v>
      </c>
      <c r="I5" s="15">
        <f>'Пр-во и Продажи'!G13</f>
        <v>432338.80800000008</v>
      </c>
      <c r="J5" s="15">
        <f>'Пр-во и Продажи'!H13</f>
        <v>458279.1364800001</v>
      </c>
      <c r="K5" s="15">
        <f>'Пр-во и Продажи'!I13</f>
        <v>485775.88466880016</v>
      </c>
      <c r="L5" s="15">
        <f>'Пр-во и Продажи'!J13</f>
        <v>514922.43774892821</v>
      </c>
      <c r="M5" s="15">
        <f>'Пр-во и Продажи'!K13</f>
        <v>545817.78401386389</v>
      </c>
      <c r="N5" s="15">
        <f>'Пр-во и Продажи'!L13</f>
        <v>578566.85105469578</v>
      </c>
      <c r="O5" s="15">
        <f>'Пр-во и Продажи'!M13</f>
        <v>613280.86211797746</v>
      </c>
      <c r="P5" s="87"/>
    </row>
    <row r="6" spans="1:18" s="33" customFormat="1" x14ac:dyDescent="0.2">
      <c r="A6" s="45"/>
      <c r="B6" s="45"/>
      <c r="C6" s="45" t="s">
        <v>421</v>
      </c>
      <c r="D6" s="45"/>
      <c r="E6" s="72" t="s">
        <v>361</v>
      </c>
      <c r="F6" s="14">
        <f t="shared" ref="F6:O6" si="0">SUM(F7:F11)</f>
        <v>266596.95652173914</v>
      </c>
      <c r="G6" s="14">
        <f t="shared" si="0"/>
        <v>301869.30391304346</v>
      </c>
      <c r="H6" s="14">
        <f t="shared" si="0"/>
        <v>351546.76214782614</v>
      </c>
      <c r="I6" s="14">
        <f t="shared" si="0"/>
        <v>370284.8678766957</v>
      </c>
      <c r="J6" s="14">
        <f t="shared" si="0"/>
        <v>390147.25994929741</v>
      </c>
      <c r="K6" s="14">
        <f t="shared" si="0"/>
        <v>411201.39554625528</v>
      </c>
      <c r="L6" s="14">
        <f t="shared" si="0"/>
        <v>433518.77927903063</v>
      </c>
      <c r="M6" s="14">
        <f t="shared" si="0"/>
        <v>457175.20603577245</v>
      </c>
      <c r="N6" s="14">
        <f t="shared" si="0"/>
        <v>482251.01839791879</v>
      </c>
      <c r="O6" s="14">
        <f t="shared" si="0"/>
        <v>508831.379501794</v>
      </c>
      <c r="P6" s="87"/>
    </row>
    <row r="7" spans="1:18" s="33" customFormat="1" x14ac:dyDescent="0.2">
      <c r="A7" s="45"/>
      <c r="B7" s="45"/>
      <c r="C7" s="45"/>
      <c r="D7" s="45" t="s">
        <v>392</v>
      </c>
      <c r="E7" s="72"/>
      <c r="F7" s="14">
        <f>Затраты!F11-Затраты!F12</f>
        <v>97282.5</v>
      </c>
      <c r="G7" s="14">
        <f>Затраты!G11</f>
        <v>120939</v>
      </c>
      <c r="H7" s="14">
        <f>Затраты!H11</f>
        <v>127817.34</v>
      </c>
      <c r="I7" s="14">
        <f>Затраты!I11</f>
        <v>135108.38040000002</v>
      </c>
      <c r="J7" s="14">
        <f>Затраты!J11</f>
        <v>142836.88322400002</v>
      </c>
      <c r="K7" s="14">
        <f>Затраты!K11</f>
        <v>151029.09621744</v>
      </c>
      <c r="L7" s="14">
        <f>Затраты!L11</f>
        <v>159712.84199048643</v>
      </c>
      <c r="M7" s="14">
        <f>Затраты!M11</f>
        <v>168917.61250991561</v>
      </c>
      <c r="N7" s="14">
        <f>Затраты!N11</f>
        <v>178674.66926051053</v>
      </c>
      <c r="O7" s="14">
        <f>Затраты!O11</f>
        <v>189017.14941614118</v>
      </c>
      <c r="P7" s="87"/>
    </row>
    <row r="8" spans="1:18" x14ac:dyDescent="0.2">
      <c r="A8" s="45"/>
      <c r="B8" s="45"/>
      <c r="C8" s="45"/>
      <c r="D8" s="47" t="s">
        <v>66</v>
      </c>
      <c r="E8" s="72" t="s">
        <v>361</v>
      </c>
      <c r="F8" s="49">
        <f>Персонал!F39</f>
        <v>142800</v>
      </c>
      <c r="G8" s="49">
        <f>Персонал!G43</f>
        <v>152881.68</v>
      </c>
      <c r="H8" s="49">
        <f>Персонал!H43</f>
        <v>162054.58080000003</v>
      </c>
      <c r="I8" s="49">
        <f>Персонал!I43</f>
        <v>171777.85564800003</v>
      </c>
      <c r="J8" s="49">
        <f>Персонал!J43</f>
        <v>182084.52698688002</v>
      </c>
      <c r="K8" s="49">
        <f>Персонал!K43</f>
        <v>193009.59860609283</v>
      </c>
      <c r="L8" s="49">
        <f>Персонал!L43</f>
        <v>204590.1745224584</v>
      </c>
      <c r="M8" s="49">
        <f>Персонал!M43</f>
        <v>216865.58499380591</v>
      </c>
      <c r="N8" s="49">
        <f>Персонал!N43</f>
        <v>229877.52009343429</v>
      </c>
      <c r="O8" s="49">
        <f>Персонал!O43</f>
        <v>243670.17129904035</v>
      </c>
      <c r="P8" s="87"/>
      <c r="Q8" s="47"/>
      <c r="R8" s="64"/>
    </row>
    <row r="9" spans="1:18" x14ac:dyDescent="0.2">
      <c r="A9" s="45"/>
      <c r="B9" s="45"/>
      <c r="C9" s="45"/>
      <c r="D9" s="47" t="s">
        <v>67</v>
      </c>
      <c r="E9" s="72" t="s">
        <v>361</v>
      </c>
      <c r="F9" s="49">
        <f>Затраты!F35</f>
        <v>19374.456521739128</v>
      </c>
      <c r="G9" s="49">
        <f>Затраты!G35</f>
        <v>20480.223913043475</v>
      </c>
      <c r="H9" s="49">
        <f>Затраты!H35</f>
        <v>21652.337347826084</v>
      </c>
      <c r="I9" s="49">
        <f>Затраты!I35</f>
        <v>22894.777588695655</v>
      </c>
      <c r="J9" s="49">
        <f>Затраты!J35</f>
        <v>24211.764244017395</v>
      </c>
      <c r="K9" s="49">
        <f>Затраты!K35</f>
        <v>25607.770098658431</v>
      </c>
      <c r="L9" s="49">
        <f>Затраты!L35</f>
        <v>27087.536304577941</v>
      </c>
      <c r="M9" s="49">
        <f>Затраты!M35</f>
        <v>28656.088482852621</v>
      </c>
      <c r="N9" s="49">
        <f>Затраты!N35</f>
        <v>30318.753791823779</v>
      </c>
      <c r="O9" s="49">
        <f>Затраты!O35</f>
        <v>32081.179019333205</v>
      </c>
      <c r="P9" s="87"/>
      <c r="Q9" s="47"/>
      <c r="R9" s="64"/>
    </row>
    <row r="10" spans="1:18" x14ac:dyDescent="0.2">
      <c r="A10" s="45"/>
      <c r="B10" s="45"/>
      <c r="C10" s="45"/>
      <c r="D10" s="47" t="s">
        <v>217</v>
      </c>
      <c r="E10" s="72" t="s">
        <v>361</v>
      </c>
      <c r="F10" s="49">
        <f>Затраты!F23-Затраты!F24</f>
        <v>7140</v>
      </c>
      <c r="G10" s="49">
        <f>Затраты!G23-Затраты!G24</f>
        <v>7568.4</v>
      </c>
      <c r="H10" s="49">
        <f>Затраты!H23-Затраты!H24</f>
        <v>8022.5039999999999</v>
      </c>
      <c r="I10" s="49">
        <f>Затраты!I23-Затраты!I24</f>
        <v>8503.8542400000006</v>
      </c>
      <c r="J10" s="49">
        <f>Затраты!J23-Затраты!J24</f>
        <v>9014.0854944000002</v>
      </c>
      <c r="K10" s="49">
        <f>Затраты!K23-Затраты!K24</f>
        <v>9554.9306240640017</v>
      </c>
      <c r="L10" s="49">
        <f>Затраты!L23-Затраты!L24</f>
        <v>10128.226461507842</v>
      </c>
      <c r="M10" s="49">
        <f>Затраты!M23-Затраты!M24</f>
        <v>10735.920049198314</v>
      </c>
      <c r="N10" s="49">
        <f>Затраты!N23-Затраты!N24</f>
        <v>11380.075252150215</v>
      </c>
      <c r="O10" s="49">
        <f>Затраты!O23-Затраты!O24</f>
        <v>12062.879767279228</v>
      </c>
      <c r="P10" s="87"/>
      <c r="Q10" s="47"/>
      <c r="R10" s="64"/>
    </row>
    <row r="11" spans="1:18" x14ac:dyDescent="0.2">
      <c r="A11" s="45"/>
      <c r="B11" s="45"/>
      <c r="C11" s="45"/>
      <c r="D11" s="47" t="s">
        <v>68</v>
      </c>
      <c r="E11" s="72" t="s">
        <v>361</v>
      </c>
      <c r="F11" s="49">
        <v>0</v>
      </c>
      <c r="G11" s="49">
        <v>0</v>
      </c>
      <c r="H11" s="49">
        <f>'НА и ОС'!I46</f>
        <v>32000</v>
      </c>
      <c r="I11" s="49">
        <f>'Форма 2'!H11</f>
        <v>32000</v>
      </c>
      <c r="J11" s="49">
        <f>'Форма 2'!I11</f>
        <v>32000</v>
      </c>
      <c r="K11" s="49">
        <f>'Форма 2'!J11</f>
        <v>32000</v>
      </c>
      <c r="L11" s="49">
        <f>'Форма 2'!K11</f>
        <v>32000</v>
      </c>
      <c r="M11" s="49">
        <f>'Форма 2'!L11</f>
        <v>32000</v>
      </c>
      <c r="N11" s="49">
        <f>'Форма 2'!M11</f>
        <v>32000</v>
      </c>
      <c r="O11" s="49">
        <f>'Форма 2'!N11</f>
        <v>32000</v>
      </c>
      <c r="P11" s="87"/>
      <c r="Q11" s="47"/>
      <c r="R11" s="64"/>
    </row>
    <row r="12" spans="1:18" x14ac:dyDescent="0.2">
      <c r="A12" s="45"/>
      <c r="B12" s="45"/>
      <c r="C12" s="45"/>
      <c r="D12" s="45"/>
      <c r="E12" s="72"/>
      <c r="P12" s="87"/>
      <c r="R12" s="64"/>
    </row>
    <row r="13" spans="1:18" x14ac:dyDescent="0.2">
      <c r="A13" s="45"/>
      <c r="B13" s="46" t="s">
        <v>9</v>
      </c>
      <c r="C13" s="45"/>
      <c r="D13" s="45"/>
      <c r="E13" s="72" t="s">
        <v>361</v>
      </c>
      <c r="F13" s="15">
        <f t="shared" ref="F13:O13" si="1">F5-F6</f>
        <v>96403.043478260865</v>
      </c>
      <c r="G13" s="15">
        <f t="shared" si="1"/>
        <v>82910.696086956537</v>
      </c>
      <c r="H13" s="15">
        <f t="shared" si="1"/>
        <v>56320.037852173962</v>
      </c>
      <c r="I13" s="15">
        <f t="shared" si="1"/>
        <v>62053.940123304375</v>
      </c>
      <c r="J13" s="15">
        <f t="shared" si="1"/>
        <v>68131.876530702692</v>
      </c>
      <c r="K13" s="15">
        <f t="shared" si="1"/>
        <v>74574.489122544881</v>
      </c>
      <c r="L13" s="15">
        <f t="shared" si="1"/>
        <v>81403.658469897578</v>
      </c>
      <c r="M13" s="15">
        <f t="shared" si="1"/>
        <v>88642.577978091431</v>
      </c>
      <c r="N13" s="15">
        <f t="shared" si="1"/>
        <v>96315.832656776998</v>
      </c>
      <c r="O13" s="15">
        <f t="shared" si="1"/>
        <v>104449.48261618346</v>
      </c>
      <c r="P13" s="87"/>
      <c r="R13" s="64"/>
    </row>
    <row r="14" spans="1:18" x14ac:dyDescent="0.2">
      <c r="A14" s="45"/>
      <c r="B14" s="45"/>
      <c r="C14" s="45"/>
      <c r="D14" s="45"/>
      <c r="E14" s="72"/>
      <c r="P14" s="87"/>
    </row>
    <row r="15" spans="1:18" x14ac:dyDescent="0.2">
      <c r="A15" s="45"/>
      <c r="B15" s="46" t="s">
        <v>10</v>
      </c>
      <c r="C15" s="45"/>
      <c r="D15" s="45"/>
      <c r="E15" s="72" t="s">
        <v>361</v>
      </c>
      <c r="F15" s="15">
        <f t="shared" ref="F15:K15" si="2">SUM(F13:F13)</f>
        <v>96403.043478260865</v>
      </c>
      <c r="G15" s="15">
        <f t="shared" si="2"/>
        <v>82910.696086956537</v>
      </c>
      <c r="H15" s="15">
        <f t="shared" si="2"/>
        <v>56320.037852173962</v>
      </c>
      <c r="I15" s="15">
        <f t="shared" si="2"/>
        <v>62053.940123304375</v>
      </c>
      <c r="J15" s="15">
        <f t="shared" si="2"/>
        <v>68131.876530702692</v>
      </c>
      <c r="K15" s="15">
        <f t="shared" si="2"/>
        <v>74574.489122544881</v>
      </c>
      <c r="L15" s="15">
        <f>L5-L6</f>
        <v>81403.658469897578</v>
      </c>
      <c r="M15" s="15">
        <f t="shared" ref="M15:O15" si="3">SUM(M13:M13)</f>
        <v>88642.577978091431</v>
      </c>
      <c r="N15" s="15">
        <f t="shared" si="3"/>
        <v>96315.832656776998</v>
      </c>
      <c r="O15" s="15">
        <f t="shared" si="3"/>
        <v>104449.48261618346</v>
      </c>
      <c r="P15" s="87"/>
    </row>
    <row r="16" spans="1:18" x14ac:dyDescent="0.2">
      <c r="A16" s="45"/>
      <c r="B16" s="45"/>
      <c r="C16" s="45" t="s">
        <v>11</v>
      </c>
      <c r="D16" s="45"/>
      <c r="E16" s="72" t="s">
        <v>361</v>
      </c>
      <c r="F16" s="14">
        <f>'Финан-е'!F18</f>
        <v>10000</v>
      </c>
      <c r="G16" s="14">
        <f>'Финан-е'!G18</f>
        <v>9000</v>
      </c>
      <c r="H16" s="14">
        <f>'Финан-е'!H18</f>
        <v>8000</v>
      </c>
      <c r="I16" s="14">
        <f>'Финан-е'!I18</f>
        <v>7000</v>
      </c>
      <c r="J16" s="14">
        <f>'Финан-е'!J18</f>
        <v>6000</v>
      </c>
      <c r="K16" s="14">
        <f>'Финан-е'!K18</f>
        <v>5000</v>
      </c>
      <c r="L16" s="14">
        <f>'Финан-е'!L18</f>
        <v>4000</v>
      </c>
      <c r="M16" s="14">
        <f>'Финан-е'!M18</f>
        <v>3000</v>
      </c>
      <c r="N16" s="14">
        <f>'Финан-е'!N18</f>
        <v>2000</v>
      </c>
      <c r="O16" s="14">
        <f>'Финан-е'!O18</f>
        <v>1000</v>
      </c>
      <c r="P16" s="87"/>
    </row>
    <row r="17" spans="1:18" x14ac:dyDescent="0.2">
      <c r="A17" s="45"/>
      <c r="B17" s="45"/>
      <c r="C17" s="45"/>
      <c r="D17" s="45"/>
      <c r="E17" s="72"/>
      <c r="P17" s="87"/>
    </row>
    <row r="18" spans="1:18" x14ac:dyDescent="0.2">
      <c r="A18" s="45"/>
      <c r="B18" s="46" t="s">
        <v>320</v>
      </c>
      <c r="C18" s="45"/>
      <c r="D18" s="45"/>
      <c r="E18" s="72" t="s">
        <v>361</v>
      </c>
      <c r="F18" s="15">
        <f t="shared" ref="F18:O18" si="4">F15-F16</f>
        <v>86403.043478260865</v>
      </c>
      <c r="G18" s="15">
        <f t="shared" si="4"/>
        <v>73910.696086956537</v>
      </c>
      <c r="H18" s="15">
        <f t="shared" si="4"/>
        <v>48320.037852173962</v>
      </c>
      <c r="I18" s="15">
        <f t="shared" si="4"/>
        <v>55053.940123304375</v>
      </c>
      <c r="J18" s="15">
        <f t="shared" si="4"/>
        <v>62131.876530702692</v>
      </c>
      <c r="K18" s="15">
        <f t="shared" si="4"/>
        <v>69574.489122544881</v>
      </c>
      <c r="L18" s="15">
        <f t="shared" si="4"/>
        <v>77403.658469897578</v>
      </c>
      <c r="M18" s="15">
        <f t="shared" si="4"/>
        <v>85642.577978091431</v>
      </c>
      <c r="N18" s="15">
        <f t="shared" si="4"/>
        <v>94315.832656776998</v>
      </c>
      <c r="O18" s="15">
        <f t="shared" si="4"/>
        <v>103449.48261618346</v>
      </c>
      <c r="P18" s="87"/>
    </row>
    <row r="19" spans="1:18" x14ac:dyDescent="0.2">
      <c r="A19" s="45"/>
      <c r="B19" s="46"/>
      <c r="C19" s="45" t="s">
        <v>319</v>
      </c>
      <c r="D19" s="45"/>
      <c r="E19" s="72" t="s">
        <v>361</v>
      </c>
      <c r="F19" s="14"/>
      <c r="G19" s="14">
        <f>MIN(F19+G18,0)</f>
        <v>0</v>
      </c>
      <c r="H19" s="14">
        <f t="shared" ref="H19:O19" si="5">MIN(G19+H18,0)</f>
        <v>0</v>
      </c>
      <c r="I19" s="14">
        <f t="shared" si="5"/>
        <v>0</v>
      </c>
      <c r="J19" s="14">
        <f t="shared" si="5"/>
        <v>0</v>
      </c>
      <c r="K19" s="14">
        <f t="shared" si="5"/>
        <v>0</v>
      </c>
      <c r="L19" s="14">
        <f t="shared" si="5"/>
        <v>0</v>
      </c>
      <c r="M19" s="14">
        <f t="shared" si="5"/>
        <v>0</v>
      </c>
      <c r="N19" s="14">
        <f t="shared" si="5"/>
        <v>0</v>
      </c>
      <c r="O19" s="14">
        <f t="shared" si="5"/>
        <v>0</v>
      </c>
      <c r="P19" s="87"/>
    </row>
    <row r="20" spans="1:18" x14ac:dyDescent="0.2">
      <c r="A20" s="45"/>
      <c r="B20" s="46"/>
      <c r="C20" s="45" t="s">
        <v>318</v>
      </c>
      <c r="D20" s="45"/>
      <c r="E20" s="72" t="s">
        <v>361</v>
      </c>
      <c r="F20" s="14">
        <f>IF(F19&lt;0,0,MAX(F19,0))</f>
        <v>0</v>
      </c>
      <c r="G20" s="14">
        <f>IF(G19&lt;0,0,MAX(F19+G18,0))</f>
        <v>73910.696086956537</v>
      </c>
      <c r="H20" s="14">
        <f t="shared" ref="H20:O20" si="6">IF(H19&lt;0,0,MAX(G19+H18,0))</f>
        <v>48320.037852173962</v>
      </c>
      <c r="I20" s="14">
        <f t="shared" si="6"/>
        <v>55053.940123304375</v>
      </c>
      <c r="J20" s="14">
        <f t="shared" si="6"/>
        <v>62131.876530702692</v>
      </c>
      <c r="K20" s="14">
        <f t="shared" si="6"/>
        <v>69574.489122544881</v>
      </c>
      <c r="L20" s="14">
        <f t="shared" si="6"/>
        <v>77403.658469897578</v>
      </c>
      <c r="M20" s="14">
        <f t="shared" si="6"/>
        <v>85642.577978091431</v>
      </c>
      <c r="N20" s="14">
        <f t="shared" si="6"/>
        <v>94315.832656776998</v>
      </c>
      <c r="O20" s="14">
        <f t="shared" si="6"/>
        <v>103449.48261618346</v>
      </c>
      <c r="P20" s="87"/>
    </row>
    <row r="21" spans="1:18" x14ac:dyDescent="0.2">
      <c r="A21" s="45"/>
      <c r="B21" s="45"/>
      <c r="C21" s="45" t="s">
        <v>14</v>
      </c>
      <c r="D21" s="45"/>
      <c r="E21" s="72" t="s">
        <v>361</v>
      </c>
      <c r="F21" s="14">
        <f>IF(F20&gt;0,F20*Окружение!D12,0)</f>
        <v>0</v>
      </c>
      <c r="G21" s="14">
        <f>IF(G20&gt;0,G20*Окружение!E12,0)</f>
        <v>0</v>
      </c>
      <c r="H21" s="14">
        <f>IF(H20&gt;0,H20*Окружение!F12,0)</f>
        <v>0</v>
      </c>
      <c r="I21" s="14">
        <f>IF(I20&gt;0,I20*Окружение!G12,0)</f>
        <v>0</v>
      </c>
      <c r="J21" s="14">
        <f>IF(J20&gt;0,J20*Окружение!H12,0)</f>
        <v>0</v>
      </c>
      <c r="K21" s="14">
        <f>IF(K20&gt;0,K20*Окружение!I12,0)</f>
        <v>0</v>
      </c>
      <c r="L21" s="14">
        <f>IF(L20&gt;0,L20*Окружение!J12,0)</f>
        <v>0</v>
      </c>
      <c r="M21" s="14">
        <f>IF(M20&gt;0,M20*Окружение!K12,0)</f>
        <v>0</v>
      </c>
      <c r="N21" s="14">
        <f>IF(N20&gt;0,N20*Окружение!L12,0)</f>
        <v>0</v>
      </c>
      <c r="O21" s="14">
        <f>IF(O20&gt;0,O20*Окружение!M12,0)</f>
        <v>0</v>
      </c>
      <c r="P21" s="87"/>
      <c r="Q21" s="47"/>
      <c r="R21" s="65"/>
    </row>
    <row r="22" spans="1:18" x14ac:dyDescent="0.2">
      <c r="A22" s="45"/>
      <c r="B22" s="45"/>
      <c r="C22" s="45"/>
      <c r="D22" s="45"/>
      <c r="E22" s="72"/>
      <c r="P22" s="87"/>
      <c r="Q22" s="47"/>
      <c r="R22" s="65"/>
    </row>
    <row r="23" spans="1:18" x14ac:dyDescent="0.2">
      <c r="A23" s="45"/>
      <c r="B23" s="46" t="s">
        <v>15</v>
      </c>
      <c r="C23" s="45"/>
      <c r="D23" s="45"/>
      <c r="E23" s="72" t="s">
        <v>361</v>
      </c>
      <c r="F23" s="89">
        <f>F18-F21</f>
        <v>86403.043478260865</v>
      </c>
      <c r="G23" s="89">
        <f t="shared" ref="G23:O23" si="7">G18-G21</f>
        <v>73910.696086956537</v>
      </c>
      <c r="H23" s="89">
        <f t="shared" si="7"/>
        <v>48320.037852173962</v>
      </c>
      <c r="I23" s="89">
        <f t="shared" si="7"/>
        <v>55053.940123304375</v>
      </c>
      <c r="J23" s="89">
        <f t="shared" si="7"/>
        <v>62131.876530702692</v>
      </c>
      <c r="K23" s="89">
        <f t="shared" si="7"/>
        <v>69574.489122544881</v>
      </c>
      <c r="L23" s="89">
        <f t="shared" si="7"/>
        <v>77403.658469897578</v>
      </c>
      <c r="M23" s="89">
        <f t="shared" si="7"/>
        <v>85642.577978091431</v>
      </c>
      <c r="N23" s="89">
        <f t="shared" si="7"/>
        <v>94315.832656776998</v>
      </c>
      <c r="O23" s="89">
        <f t="shared" si="7"/>
        <v>103449.48261618346</v>
      </c>
      <c r="P23" s="87"/>
      <c r="Q23" s="47"/>
      <c r="R23" s="65"/>
    </row>
    <row r="24" spans="1:18" x14ac:dyDescent="0.2">
      <c r="A24" s="45"/>
      <c r="B24" s="45"/>
      <c r="C24" s="45" t="s">
        <v>16</v>
      </c>
      <c r="D24" s="45"/>
      <c r="E24" s="72" t="s">
        <v>361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87"/>
      <c r="Q24" s="47"/>
      <c r="R24" s="65"/>
    </row>
    <row r="25" spans="1:18" x14ac:dyDescent="0.2">
      <c r="A25" s="45"/>
      <c r="B25" s="45"/>
      <c r="C25" s="45"/>
      <c r="D25" s="45"/>
      <c r="E25" s="72"/>
      <c r="P25" s="87"/>
      <c r="Q25" s="47"/>
      <c r="R25" s="65"/>
    </row>
    <row r="26" spans="1:18" x14ac:dyDescent="0.2">
      <c r="A26" s="45"/>
      <c r="B26" s="45"/>
      <c r="C26" s="50" t="s">
        <v>73</v>
      </c>
      <c r="D26" s="45"/>
      <c r="E26" s="72" t="s">
        <v>361</v>
      </c>
      <c r="F26" s="15">
        <f>SUM(F23:F24)</f>
        <v>86403.043478260865</v>
      </c>
      <c r="G26" s="15">
        <f t="shared" ref="G26:O26" si="8">SUM(G23:G24)</f>
        <v>73910.696086956537</v>
      </c>
      <c r="H26" s="15">
        <f t="shared" si="8"/>
        <v>48320.037852173962</v>
      </c>
      <c r="I26" s="15">
        <f t="shared" si="8"/>
        <v>55053.940123304375</v>
      </c>
      <c r="J26" s="15">
        <f t="shared" si="8"/>
        <v>62131.876530702692</v>
      </c>
      <c r="K26" s="15">
        <f t="shared" si="8"/>
        <v>69574.489122544881</v>
      </c>
      <c r="L26" s="15">
        <f t="shared" si="8"/>
        <v>77403.658469897578</v>
      </c>
      <c r="M26" s="15">
        <f t="shared" si="8"/>
        <v>85642.577978091431</v>
      </c>
      <c r="N26" s="15">
        <f t="shared" si="8"/>
        <v>94315.832656776998</v>
      </c>
      <c r="O26" s="15">
        <f t="shared" si="8"/>
        <v>103449.48261618346</v>
      </c>
      <c r="P26" s="87"/>
    </row>
    <row r="27" spans="1:18" x14ac:dyDescent="0.2">
      <c r="A27" s="45"/>
      <c r="B27" s="45"/>
      <c r="C27" s="50" t="s">
        <v>74</v>
      </c>
      <c r="D27" s="45"/>
      <c r="E27" s="72" t="s">
        <v>361</v>
      </c>
      <c r="F27" s="15">
        <f>F26</f>
        <v>86403.043478260865</v>
      </c>
      <c r="G27" s="15">
        <f>F27+G26</f>
        <v>160313.7395652174</v>
      </c>
      <c r="H27" s="15">
        <f>G27+H26</f>
        <v>208633.77741739136</v>
      </c>
      <c r="I27" s="15">
        <f t="shared" ref="I27:O27" si="9">H27+I26</f>
        <v>263687.71754069574</v>
      </c>
      <c r="J27" s="15">
        <f t="shared" si="9"/>
        <v>325819.59407139843</v>
      </c>
      <c r="K27" s="15">
        <f t="shared" si="9"/>
        <v>395394.08319394331</v>
      </c>
      <c r="L27" s="15">
        <f t="shared" si="9"/>
        <v>472797.74166384089</v>
      </c>
      <c r="M27" s="15">
        <f t="shared" si="9"/>
        <v>558440.31964193238</v>
      </c>
      <c r="N27" s="15">
        <f t="shared" si="9"/>
        <v>652756.15229870938</v>
      </c>
      <c r="O27" s="15">
        <f t="shared" si="9"/>
        <v>756205.63491489284</v>
      </c>
      <c r="P27" s="87"/>
    </row>
    <row r="28" spans="1:18" x14ac:dyDescent="0.2">
      <c r="A28" s="45"/>
      <c r="B28" s="45"/>
      <c r="C28" s="45"/>
      <c r="D28" s="45"/>
      <c r="P28" s="87"/>
    </row>
    <row r="29" spans="1:18" x14ac:dyDescent="0.2">
      <c r="A29" s="45"/>
      <c r="B29" s="45"/>
      <c r="C29" s="45"/>
      <c r="D29" s="45"/>
    </row>
    <row r="30" spans="1:18" x14ac:dyDescent="0.2">
      <c r="A30" s="45"/>
      <c r="B30" s="45"/>
      <c r="C30" s="45"/>
      <c r="D30" s="45" t="s">
        <v>376</v>
      </c>
      <c r="E30" s="1">
        <v>2</v>
      </c>
      <c r="F30" s="95"/>
      <c r="G30" s="95"/>
      <c r="H30" s="95"/>
      <c r="I30" s="95"/>
      <c r="J30" s="95"/>
      <c r="K30" s="33"/>
      <c r="L30" s="33"/>
      <c r="M30" s="33"/>
      <c r="N30" s="33"/>
      <c r="O30" s="33"/>
    </row>
    <row r="31" spans="1:18" x14ac:dyDescent="0.2"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8" x14ac:dyDescent="0.2"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6:15" x14ac:dyDescent="0.2">
      <c r="F33" s="33"/>
      <c r="G33" s="96"/>
      <c r="H33" s="96"/>
      <c r="I33" s="96"/>
      <c r="J33" s="96"/>
      <c r="K33" s="96"/>
      <c r="L33" s="96"/>
      <c r="M33" s="96"/>
      <c r="N33" s="96"/>
      <c r="O33" s="33"/>
    </row>
    <row r="34" spans="6:15" x14ac:dyDescent="0.2"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6:15" x14ac:dyDescent="0.2"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6:15" x14ac:dyDescent="0.2"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6:15" x14ac:dyDescent="0.2"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6:15" x14ac:dyDescent="0.2"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6:15" x14ac:dyDescent="0.2"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6:15" x14ac:dyDescent="0.2"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mergeCells count="5">
    <mergeCell ref="F2:G2"/>
    <mergeCell ref="H2:I2"/>
    <mergeCell ref="J2:K2"/>
    <mergeCell ref="L2:M2"/>
    <mergeCell ref="N2:O2"/>
  </mergeCells>
  <phoneticPr fontId="0" type="noConversion"/>
  <hyperlinks>
    <hyperlink ref="D1" r:id="rId1"/>
  </hyperlinks>
  <pageMargins left="0.75" right="0.75" top="1" bottom="1" header="0.5" footer="0.5"/>
  <pageSetup paperSize="9" orientation="portrait" horizontalDpi="300" verticalDpi="300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B1" zoomScale="85" zoomScaleNormal="85" workbookViewId="0">
      <selection activeCell="G17" sqref="G17"/>
    </sheetView>
  </sheetViews>
  <sheetFormatPr defaultRowHeight="12.75" x14ac:dyDescent="0.2"/>
  <cols>
    <col min="1" max="3" width="3.7109375" style="1" customWidth="1"/>
    <col min="4" max="4" width="40.7109375" style="1" customWidth="1"/>
    <col min="5" max="5" width="7.85546875" style="1" customWidth="1"/>
    <col min="6" max="6" width="11" style="1" customWidth="1"/>
    <col min="7" max="7" width="10" style="1" customWidth="1"/>
    <col min="8" max="8" width="10.5703125" style="1" customWidth="1"/>
    <col min="9" max="9" width="10.28515625" style="1" customWidth="1"/>
    <col min="10" max="10" width="11.7109375" style="1" customWidth="1"/>
    <col min="11" max="11" width="11.140625" style="1" customWidth="1"/>
    <col min="12" max="12" width="12" style="1" customWidth="1"/>
    <col min="13" max="14" width="12.140625" style="1" customWidth="1"/>
    <col min="15" max="15" width="11.7109375" style="1" customWidth="1"/>
    <col min="16" max="16" width="12.140625" style="1" customWidth="1"/>
    <col min="17" max="16384" width="9.140625" style="1"/>
  </cols>
  <sheetData>
    <row r="1" spans="1:16" ht="18" x14ac:dyDescent="0.25">
      <c r="D1" s="242" t="s">
        <v>349</v>
      </c>
    </row>
    <row r="2" spans="1:16" s="2" customFormat="1" x14ac:dyDescent="0.2">
      <c r="A2" s="11" t="s">
        <v>75</v>
      </c>
      <c r="B2" s="11"/>
      <c r="C2" s="12"/>
      <c r="D2" s="12"/>
      <c r="E2" s="2" t="s">
        <v>39</v>
      </c>
      <c r="F2" s="296"/>
      <c r="G2" s="357"/>
      <c r="H2" s="357"/>
      <c r="I2" s="357"/>
      <c r="J2" s="357"/>
      <c r="K2" s="352"/>
      <c r="L2" s="352"/>
      <c r="M2" s="355"/>
      <c r="N2" s="355"/>
      <c r="O2" s="353"/>
      <c r="P2" s="353"/>
    </row>
    <row r="3" spans="1:16" s="262" customFormat="1" x14ac:dyDescent="0.2">
      <c r="A3" s="263"/>
      <c r="B3" s="263"/>
      <c r="C3" s="12"/>
      <c r="D3" s="12"/>
      <c r="F3" s="296">
        <v>0</v>
      </c>
      <c r="G3" s="261" t="s">
        <v>353</v>
      </c>
      <c r="H3" s="313" t="s">
        <v>354</v>
      </c>
      <c r="I3" s="313" t="s">
        <v>355</v>
      </c>
      <c r="J3" s="313" t="s">
        <v>356</v>
      </c>
      <c r="K3" s="313" t="s">
        <v>357</v>
      </c>
      <c r="L3" s="313" t="s">
        <v>358</v>
      </c>
      <c r="M3" s="313" t="s">
        <v>359</v>
      </c>
      <c r="N3" s="313" t="s">
        <v>360</v>
      </c>
      <c r="O3" s="313" t="s">
        <v>405</v>
      </c>
      <c r="P3" s="313" t="s">
        <v>406</v>
      </c>
    </row>
    <row r="5" spans="1:16" x14ac:dyDescent="0.2">
      <c r="A5" s="45"/>
      <c r="B5" s="46" t="s">
        <v>76</v>
      </c>
      <c r="C5" s="45"/>
      <c r="D5" s="45"/>
      <c r="E5" s="72" t="s">
        <v>361</v>
      </c>
      <c r="F5" s="72"/>
      <c r="G5" s="15">
        <f t="shared" ref="G5:O5" si="0">G6-G7-G8-G14-G15</f>
        <v>78662</v>
      </c>
      <c r="H5" s="15">
        <f t="shared" si="0"/>
        <v>83846.040000000008</v>
      </c>
      <c r="I5" s="15">
        <f t="shared" si="0"/>
        <v>90794.802400000015</v>
      </c>
      <c r="J5" s="15">
        <f t="shared" si="0"/>
        <v>98100.490544000073</v>
      </c>
      <c r="K5" s="15">
        <f t="shared" si="0"/>
        <v>105784.51997664008</v>
      </c>
      <c r="L5" s="15">
        <f t="shared" si="0"/>
        <v>113869.59117523849</v>
      </c>
      <c r="M5" s="15">
        <f t="shared" si="0"/>
        <v>122379.76664575284</v>
      </c>
      <c r="N5" s="15">
        <f t="shared" si="0"/>
        <v>131340.55264449801</v>
      </c>
      <c r="O5" s="15">
        <f t="shared" si="0"/>
        <v>140778.98580316795</v>
      </c>
      <c r="P5" s="15">
        <f>Затраты!O34-Затраты!O35</f>
        <v>183393.21089479013</v>
      </c>
    </row>
    <row r="6" spans="1:16" x14ac:dyDescent="0.2">
      <c r="A6" s="45"/>
      <c r="B6" s="45"/>
      <c r="C6" s="45" t="s">
        <v>77</v>
      </c>
      <c r="D6" s="45"/>
      <c r="E6" s="72" t="s">
        <v>361</v>
      </c>
      <c r="F6" s="72"/>
      <c r="G6" s="14">
        <f>'Пр-во и Продажи'!D13</f>
        <v>363000</v>
      </c>
      <c r="H6" s="14">
        <f>G6*Окружение!E6</f>
        <v>384780</v>
      </c>
      <c r="I6" s="14">
        <f>G6*Окружение!F6</f>
        <v>407866.80000000005</v>
      </c>
      <c r="J6" s="14">
        <f>G6*Окружение!G6</f>
        <v>432338.80800000014</v>
      </c>
      <c r="K6" s="14">
        <f>G6*Окружение!H6</f>
        <v>458279.1364800001</v>
      </c>
      <c r="L6" s="14">
        <f>G6*Окружение!I6</f>
        <v>485775.88466880016</v>
      </c>
      <c r="M6" s="14">
        <f>G6*Окружение!J6</f>
        <v>514922.43774892821</v>
      </c>
      <c r="N6" s="14">
        <f>G6*Окружение!K6</f>
        <v>545817.78401386389</v>
      </c>
      <c r="O6" s="14">
        <f>G6*Окружение!L6</f>
        <v>578566.85105469578</v>
      </c>
      <c r="P6" s="14">
        <f>G6*Окружение!M6</f>
        <v>613280.86211797746</v>
      </c>
    </row>
    <row r="7" spans="1:16" x14ac:dyDescent="0.2">
      <c r="C7" s="1" t="s">
        <v>78</v>
      </c>
      <c r="E7" s="72" t="s">
        <v>361</v>
      </c>
      <c r="F7" s="72"/>
      <c r="G7" s="14">
        <f>Персонал!F43</f>
        <v>144228</v>
      </c>
      <c r="H7" s="14">
        <f>Персонал!G43</f>
        <v>152881.68</v>
      </c>
      <c r="I7" s="14">
        <f>Персонал!H43</f>
        <v>162054.58080000003</v>
      </c>
      <c r="J7" s="14">
        <f>Персонал!I43</f>
        <v>171777.85564800003</v>
      </c>
      <c r="K7" s="14">
        <f>Персонал!J43</f>
        <v>182084.52698688002</v>
      </c>
      <c r="L7" s="14">
        <f>Персонал!K43</f>
        <v>193009.59860609283</v>
      </c>
      <c r="M7" s="14">
        <f>Персонал!L43</f>
        <v>204590.1745224584</v>
      </c>
      <c r="N7" s="14">
        <f>Персонал!M43</f>
        <v>216865.58499380591</v>
      </c>
      <c r="O7" s="14">
        <f>Персонал!N43</f>
        <v>229877.52009343429</v>
      </c>
      <c r="P7" s="14">
        <f>Персонал!O43</f>
        <v>243670.17129904035</v>
      </c>
    </row>
    <row r="8" spans="1:16" x14ac:dyDescent="0.2">
      <c r="C8" s="1" t="s">
        <v>379</v>
      </c>
      <c r="E8" s="72" t="s">
        <v>361</v>
      </c>
      <c r="F8" s="72"/>
      <c r="G8" s="14">
        <f>Затраты!F34-Затраты!F35</f>
        <v>110735.54347826086</v>
      </c>
      <c r="H8" s="14">
        <f>Затраты!G34-Затраты!G35</f>
        <v>117058.37608695653</v>
      </c>
      <c r="I8" s="14">
        <f>Затраты!H34-Затраты!H35</f>
        <v>123760.57865217392</v>
      </c>
      <c r="J8" s="14">
        <f>Затраты!I34-Затраты!I35</f>
        <v>130864.91337130438</v>
      </c>
      <c r="K8" s="14">
        <f>Затраты!J34-Затраты!J35</f>
        <v>138395.50817358264</v>
      </c>
      <c r="L8" s="14">
        <f>Затраты!K34-Затраты!K35</f>
        <v>146377.9386639976</v>
      </c>
      <c r="M8" s="14">
        <f>Затраты!L34-Затраты!L35</f>
        <v>154839.31498383745</v>
      </c>
      <c r="N8" s="14">
        <f>Затраты!M34-Затраты!M35</f>
        <v>163808.37388286769</v>
      </c>
      <c r="O8" s="14">
        <f>Затраты!N34-Затраты!N35</f>
        <v>173315.57631583975</v>
      </c>
      <c r="P8" s="14">
        <f>Затраты!O34-Затраты!O35</f>
        <v>183393.21089479013</v>
      </c>
    </row>
    <row r="9" spans="1:16" x14ac:dyDescent="0.2">
      <c r="C9" s="1" t="s">
        <v>79</v>
      </c>
      <c r="E9" s="72" t="s">
        <v>361</v>
      </c>
      <c r="F9" s="72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48" customFormat="1" x14ac:dyDescent="0.2">
      <c r="D10" s="48" t="s">
        <v>91</v>
      </c>
      <c r="E10" s="72"/>
      <c r="F10" s="72"/>
      <c r="G10" s="49">
        <f>Затраты!F35</f>
        <v>19374.456521739128</v>
      </c>
      <c r="H10" s="49">
        <f>Затраты!G35</f>
        <v>20480.223913043475</v>
      </c>
      <c r="I10" s="49">
        <f>Затраты!H35</f>
        <v>21652.337347826084</v>
      </c>
      <c r="J10" s="49">
        <f>Затраты!I35</f>
        <v>22894.777588695655</v>
      </c>
      <c r="K10" s="49">
        <f>Затраты!J35</f>
        <v>24211.764244017395</v>
      </c>
      <c r="L10" s="49">
        <f>Затраты!K35</f>
        <v>25607.770098658431</v>
      </c>
      <c r="M10" s="49">
        <f>Затраты!L35</f>
        <v>27087.536304577941</v>
      </c>
      <c r="N10" s="49">
        <f>Затраты!M35</f>
        <v>28656.088482852621</v>
      </c>
      <c r="O10" s="49">
        <f>Затраты!N35</f>
        <v>30318.753791823779</v>
      </c>
      <c r="P10" s="49">
        <f>Затраты!O35</f>
        <v>32081.179019333205</v>
      </c>
    </row>
    <row r="11" spans="1:16" s="48" customFormat="1" x14ac:dyDescent="0.2">
      <c r="D11" s="48" t="s">
        <v>348</v>
      </c>
      <c r="E11" s="72"/>
      <c r="F11" s="72"/>
      <c r="G11" s="49">
        <f>Персонал!F41</f>
        <v>1428</v>
      </c>
      <c r="H11" s="49">
        <f>Персонал!G41</f>
        <v>1513.68</v>
      </c>
      <c r="I11" s="49">
        <f>Персонал!H41</f>
        <v>1604.5008000000003</v>
      </c>
      <c r="J11" s="49">
        <f>Персонал!I41</f>
        <v>1700.7708480000001</v>
      </c>
      <c r="K11" s="49">
        <f>Персонал!J41</f>
        <v>1802.8170988800002</v>
      </c>
      <c r="L11" s="49">
        <f>Персонал!K41</f>
        <v>1910.9861248128002</v>
      </c>
      <c r="M11" s="49">
        <f>Персонал!L41</f>
        <v>2025.6452923015684</v>
      </c>
      <c r="N11" s="49">
        <f>Персонал!M41</f>
        <v>2147.1840098396624</v>
      </c>
      <c r="O11" s="49">
        <f>Персонал!N41</f>
        <v>2276.0150504300423</v>
      </c>
      <c r="P11" s="49">
        <f>Персонал!O41</f>
        <v>2412.5759534558451</v>
      </c>
    </row>
    <row r="12" spans="1:16" s="48" customFormat="1" x14ac:dyDescent="0.2">
      <c r="D12" s="48" t="s">
        <v>48</v>
      </c>
      <c r="E12" s="72"/>
      <c r="F12" s="72"/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spans="1:16" s="48" customFormat="1" x14ac:dyDescent="0.2">
      <c r="D13" s="48" t="s">
        <v>49</v>
      </c>
      <c r="E13" s="72"/>
      <c r="F13" s="72"/>
      <c r="G13" s="49">
        <f>'Форма 2'!F21</f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</row>
    <row r="14" spans="1:16" s="48" customFormat="1" x14ac:dyDescent="0.2">
      <c r="D14" s="48" t="s">
        <v>380</v>
      </c>
      <c r="E14" s="72"/>
      <c r="F14" s="72"/>
      <c r="G14" s="49">
        <f>G10</f>
        <v>19374.456521739128</v>
      </c>
      <c r="H14" s="49">
        <f>H10+H11</f>
        <v>21993.903913043476</v>
      </c>
      <c r="I14" s="49">
        <f t="shared" ref="I14:P14" si="1">SUM(I10:I13)</f>
        <v>23256.838147826085</v>
      </c>
      <c r="J14" s="49">
        <f t="shared" si="1"/>
        <v>24595.548436695655</v>
      </c>
      <c r="K14" s="49">
        <f t="shared" si="1"/>
        <v>26014.581342897396</v>
      </c>
      <c r="L14" s="49">
        <f t="shared" si="1"/>
        <v>27518.756223471231</v>
      </c>
      <c r="M14" s="49">
        <f t="shared" si="1"/>
        <v>29113.181596879509</v>
      </c>
      <c r="N14" s="49">
        <f t="shared" si="1"/>
        <v>30803.272492692282</v>
      </c>
      <c r="O14" s="49">
        <f t="shared" si="1"/>
        <v>32594.768842253823</v>
      </c>
      <c r="P14" s="49">
        <f t="shared" si="1"/>
        <v>34493.754972789051</v>
      </c>
    </row>
    <row r="15" spans="1:16" x14ac:dyDescent="0.2">
      <c r="C15" s="1" t="s">
        <v>80</v>
      </c>
      <c r="E15" s="72" t="s">
        <v>361</v>
      </c>
      <c r="F15" s="72"/>
      <c r="G15" s="14">
        <f>'Финан-е'!F18</f>
        <v>10000</v>
      </c>
      <c r="H15" s="14">
        <f>'Финан-е'!G18</f>
        <v>9000</v>
      </c>
      <c r="I15" s="14">
        <f>'Финан-е'!H18</f>
        <v>8000</v>
      </c>
      <c r="J15" s="14">
        <f>'Финан-е'!I18</f>
        <v>7000</v>
      </c>
      <c r="K15" s="14">
        <f>'Финан-е'!J18</f>
        <v>6000</v>
      </c>
      <c r="L15" s="14">
        <f>'Финан-е'!K18</f>
        <v>5000</v>
      </c>
      <c r="M15" s="14">
        <f>'Финан-е'!L18</f>
        <v>4000</v>
      </c>
      <c r="N15" s="14">
        <f>'Финан-е'!M18</f>
        <v>3000</v>
      </c>
      <c r="O15" s="14">
        <f>'Финан-е'!N18</f>
        <v>2000</v>
      </c>
      <c r="P15" s="14">
        <f>'Финан-е'!O18</f>
        <v>1000</v>
      </c>
    </row>
    <row r="16" spans="1:16" x14ac:dyDescent="0.2">
      <c r="E16" s="72"/>
      <c r="F16" s="7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">
      <c r="B17" s="46" t="s">
        <v>81</v>
      </c>
      <c r="E17" s="72" t="s">
        <v>361</v>
      </c>
      <c r="F17" s="72"/>
      <c r="G17" s="15">
        <f t="shared" ref="G17:P17" si="2">G18+G19</f>
        <v>1022860</v>
      </c>
      <c r="H17" s="15">
        <f>H19+H18</f>
        <v>62971.600000000093</v>
      </c>
      <c r="I17" s="15">
        <f t="shared" si="2"/>
        <v>1089549.8959999999</v>
      </c>
      <c r="J17" s="15">
        <f t="shared" si="2"/>
        <v>133602.88976000017</v>
      </c>
      <c r="K17" s="15">
        <f t="shared" si="2"/>
        <v>74809.167145600077</v>
      </c>
      <c r="L17" s="15">
        <f t="shared" si="2"/>
        <v>79237.717174336081</v>
      </c>
      <c r="M17" s="15">
        <f t="shared" si="2"/>
        <v>83931.980204796419</v>
      </c>
      <c r="N17" s="15">
        <f t="shared" si="2"/>
        <v>88907.899017084157</v>
      </c>
      <c r="O17" s="15">
        <f t="shared" si="2"/>
        <v>94182.372958109016</v>
      </c>
      <c r="P17" s="15">
        <f t="shared" si="2"/>
        <v>99773.315335595747</v>
      </c>
    </row>
    <row r="18" spans="2:16" x14ac:dyDescent="0.2">
      <c r="C18" s="1" t="s">
        <v>82</v>
      </c>
      <c r="E18" s="72" t="s">
        <v>361</v>
      </c>
      <c r="F18" s="72"/>
      <c r="G18" s="14">
        <v>0</v>
      </c>
      <c r="H18" s="14">
        <v>0</v>
      </c>
      <c r="I18" s="14"/>
      <c r="J18" s="14"/>
      <c r="K18" s="14"/>
      <c r="L18" s="14"/>
      <c r="M18" s="14"/>
      <c r="N18" s="14"/>
      <c r="O18" s="14"/>
      <c r="P18" s="14"/>
    </row>
    <row r="19" spans="2:16" x14ac:dyDescent="0.2">
      <c r="C19" s="1" t="s">
        <v>83</v>
      </c>
      <c r="E19" s="72" t="s">
        <v>361</v>
      </c>
      <c r="F19" s="72"/>
      <c r="G19" s="14">
        <f>'Оборот. К.'!D8</f>
        <v>1022860</v>
      </c>
      <c r="H19" s="14">
        <f>'Оборот. К.'!E8</f>
        <v>62971.600000000093</v>
      </c>
      <c r="I19" s="14">
        <f>'Оборот. К.'!F8</f>
        <v>1089549.8959999999</v>
      </c>
      <c r="J19" s="14">
        <f>'Оборот. К.'!G8</f>
        <v>133602.88976000017</v>
      </c>
      <c r="K19" s="14">
        <f>'Оборот. К.'!H8</f>
        <v>74809.167145600077</v>
      </c>
      <c r="L19" s="14">
        <f>'Оборот. К.'!I8</f>
        <v>79237.717174336081</v>
      </c>
      <c r="M19" s="14">
        <f>'Оборот. К.'!J8</f>
        <v>83931.980204796419</v>
      </c>
      <c r="N19" s="14">
        <f>'Оборот. К.'!K8</f>
        <v>88907.899017084157</v>
      </c>
      <c r="O19" s="14">
        <f>'Оборот. К.'!L8</f>
        <v>94182.372958109016</v>
      </c>
      <c r="P19" s="14">
        <f>'Оборот. К.'!M8</f>
        <v>99773.315335595747</v>
      </c>
    </row>
    <row r="20" spans="2:16" x14ac:dyDescent="0.2">
      <c r="E20" s="72"/>
      <c r="F20" s="72"/>
      <c r="G20" s="2"/>
      <c r="H20" s="2"/>
      <c r="I20" s="63"/>
      <c r="J20" s="2"/>
      <c r="K20" s="2"/>
      <c r="L20" s="2"/>
      <c r="M20" s="2"/>
      <c r="N20" s="2"/>
      <c r="O20" s="2"/>
      <c r="P20" s="2"/>
    </row>
    <row r="21" spans="2:16" x14ac:dyDescent="0.2">
      <c r="B21" s="46" t="s">
        <v>84</v>
      </c>
      <c r="E21" s="72" t="s">
        <v>361</v>
      </c>
      <c r="F21" s="36">
        <f>F22+F23</f>
        <v>1500000</v>
      </c>
      <c r="G21" s="15">
        <f t="shared" ref="G21:P21" si="3">SUM(G22:G25)</f>
        <v>0</v>
      </c>
      <c r="H21" s="15">
        <f t="shared" si="3"/>
        <v>100000</v>
      </c>
      <c r="I21" s="15">
        <f t="shared" si="3"/>
        <v>100000</v>
      </c>
      <c r="J21" s="15">
        <f t="shared" si="3"/>
        <v>100000</v>
      </c>
      <c r="K21" s="15">
        <f t="shared" si="3"/>
        <v>100000</v>
      </c>
      <c r="L21" s="15">
        <f t="shared" si="3"/>
        <v>100000</v>
      </c>
      <c r="M21" s="15">
        <f t="shared" si="3"/>
        <v>100000</v>
      </c>
      <c r="N21" s="15">
        <f t="shared" si="3"/>
        <v>100000</v>
      </c>
      <c r="O21" s="15">
        <f t="shared" si="3"/>
        <v>100000</v>
      </c>
      <c r="P21" s="15">
        <f t="shared" si="3"/>
        <v>100000</v>
      </c>
    </row>
    <row r="22" spans="2:16" x14ac:dyDescent="0.2">
      <c r="B22" s="46"/>
      <c r="C22" s="1" t="s">
        <v>32</v>
      </c>
      <c r="E22" s="72" t="s">
        <v>361</v>
      </c>
      <c r="F22" s="36">
        <f>'Финан-е'!E9</f>
        <v>500000</v>
      </c>
      <c r="G22" s="14">
        <v>0</v>
      </c>
      <c r="H22" s="14">
        <f>'Финан-е'!G7</f>
        <v>0</v>
      </c>
      <c r="I22" s="14">
        <f>'Финан-е'!H7</f>
        <v>0</v>
      </c>
      <c r="J22" s="14">
        <f>'Финан-е'!I7</f>
        <v>0</v>
      </c>
      <c r="K22" s="14">
        <f>'Финан-е'!J7</f>
        <v>0</v>
      </c>
      <c r="L22" s="14">
        <f>'Финан-е'!K7</f>
        <v>0</v>
      </c>
      <c r="M22" s="14">
        <f>'Финан-е'!L7</f>
        <v>0</v>
      </c>
      <c r="N22" s="14">
        <f>'Финан-е'!M7</f>
        <v>0</v>
      </c>
      <c r="O22" s="14">
        <f>'Финан-е'!N7</f>
        <v>0</v>
      </c>
      <c r="P22" s="14">
        <f>'Финан-е'!O7</f>
        <v>0</v>
      </c>
    </row>
    <row r="23" spans="2:16" x14ac:dyDescent="0.2">
      <c r="C23" s="1" t="s">
        <v>86</v>
      </c>
      <c r="E23" s="72" t="s">
        <v>361</v>
      </c>
      <c r="F23" s="36">
        <f>'Финан-е'!E13</f>
        <v>1000000</v>
      </c>
      <c r="G23" s="14">
        <v>0</v>
      </c>
      <c r="H23" s="14">
        <v>0</v>
      </c>
      <c r="I23" s="14"/>
      <c r="J23" s="14"/>
      <c r="K23" s="14"/>
      <c r="L23" s="14"/>
      <c r="M23" s="14"/>
      <c r="N23" s="14"/>
      <c r="O23" s="14"/>
      <c r="P23" s="14"/>
    </row>
    <row r="24" spans="2:16" x14ac:dyDescent="0.2">
      <c r="C24" s="1" t="s">
        <v>87</v>
      </c>
      <c r="E24" s="72" t="s">
        <v>361</v>
      </c>
      <c r="F24" s="72"/>
      <c r="G24" s="14">
        <v>0</v>
      </c>
      <c r="H24" s="14">
        <f>'Финан-е'!G16</f>
        <v>100000</v>
      </c>
      <c r="I24" s="14">
        <f>H24</f>
        <v>100000</v>
      </c>
      <c r="J24" s="14">
        <f t="shared" ref="J24:P24" si="4">I24</f>
        <v>100000</v>
      </c>
      <c r="K24" s="14">
        <f t="shared" si="4"/>
        <v>100000</v>
      </c>
      <c r="L24" s="14">
        <f t="shared" si="4"/>
        <v>100000</v>
      </c>
      <c r="M24" s="14">
        <f t="shared" si="4"/>
        <v>100000</v>
      </c>
      <c r="N24" s="14">
        <f t="shared" si="4"/>
        <v>100000</v>
      </c>
      <c r="O24" s="14">
        <f t="shared" si="4"/>
        <v>100000</v>
      </c>
      <c r="P24" s="14">
        <f t="shared" si="4"/>
        <v>100000</v>
      </c>
    </row>
    <row r="25" spans="2:16" x14ac:dyDescent="0.2">
      <c r="C25" s="1" t="s">
        <v>167</v>
      </c>
      <c r="E25" s="72" t="s">
        <v>361</v>
      </c>
      <c r="F25" s="72"/>
      <c r="G25" s="14">
        <v>0</v>
      </c>
      <c r="H25" s="14">
        <f>'Форма 2'!G24</f>
        <v>0</v>
      </c>
      <c r="I25" s="14">
        <f>'Форма 2'!H24</f>
        <v>0</v>
      </c>
      <c r="J25" s="14">
        <f>'Форма 2'!I24</f>
        <v>0</v>
      </c>
      <c r="K25" s="14">
        <f>'Форма 2'!J24</f>
        <v>0</v>
      </c>
      <c r="L25" s="14">
        <f>'Форма 2'!K24</f>
        <v>0</v>
      </c>
      <c r="M25" s="14">
        <f>'Форма 2'!L24</f>
        <v>0</v>
      </c>
      <c r="N25" s="14">
        <f>'Форма 2'!M24</f>
        <v>0</v>
      </c>
      <c r="O25" s="14">
        <f>'Форма 2'!N24</f>
        <v>0</v>
      </c>
      <c r="P25" s="14">
        <f>'Форма 2'!O24</f>
        <v>0</v>
      </c>
    </row>
    <row r="26" spans="2:16" x14ac:dyDescent="0.2">
      <c r="E26" s="72"/>
      <c r="F26" s="7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">
      <c r="B27" s="53" t="s">
        <v>88</v>
      </c>
      <c r="E27" s="72" t="s">
        <v>361</v>
      </c>
      <c r="F27" s="72"/>
      <c r="G27" s="115">
        <f t="shared" ref="G27:P27" si="5">G5+G17+G21</f>
        <v>1101522</v>
      </c>
      <c r="H27" s="115">
        <f t="shared" si="5"/>
        <v>246817.6400000001</v>
      </c>
      <c r="I27" s="115">
        <f t="shared" si="5"/>
        <v>1280344.6983999999</v>
      </c>
      <c r="J27" s="115">
        <f t="shared" si="5"/>
        <v>331703.38030400022</v>
      </c>
      <c r="K27" s="115">
        <f t="shared" si="5"/>
        <v>280593.68712224014</v>
      </c>
      <c r="L27" s="115">
        <f t="shared" si="5"/>
        <v>293107.30834957457</v>
      </c>
      <c r="M27" s="115">
        <f t="shared" si="5"/>
        <v>306311.74685054924</v>
      </c>
      <c r="N27" s="115">
        <f t="shared" si="5"/>
        <v>320248.45166158216</v>
      </c>
      <c r="O27" s="115">
        <f t="shared" si="5"/>
        <v>334961.35876127693</v>
      </c>
      <c r="P27" s="115">
        <f t="shared" si="5"/>
        <v>383166.52623038588</v>
      </c>
    </row>
    <row r="28" spans="2:16" x14ac:dyDescent="0.2">
      <c r="B28" s="53" t="s">
        <v>89</v>
      </c>
      <c r="E28" s="72" t="s">
        <v>361</v>
      </c>
      <c r="F28" s="72"/>
      <c r="G28" s="115">
        <f>SUM($G27:G27)</f>
        <v>1101522</v>
      </c>
      <c r="H28" s="115">
        <f>SUM($G27:H27)</f>
        <v>1348339.6400000001</v>
      </c>
      <c r="I28" s="115">
        <f>SUM($G27:I27)</f>
        <v>2628684.3383999998</v>
      </c>
      <c r="J28" s="115">
        <f>SUM($G27:J27)</f>
        <v>2960387.7187040001</v>
      </c>
      <c r="K28" s="115">
        <f>SUM($G27:K27)</f>
        <v>3240981.4058262403</v>
      </c>
      <c r="L28" s="115">
        <f>SUM($G27:L27)</f>
        <v>3534088.7141758148</v>
      </c>
      <c r="M28" s="115">
        <f>SUM($G27:M27)</f>
        <v>3840400.461026364</v>
      </c>
      <c r="N28" s="115">
        <f>SUM($G27:N27)</f>
        <v>4160648.9126879461</v>
      </c>
      <c r="O28" s="115">
        <f>SUM($G27:O27)</f>
        <v>4495610.2714492232</v>
      </c>
      <c r="P28" s="115">
        <f>SUM($G27:P27)</f>
        <v>4878776.7976796087</v>
      </c>
    </row>
  </sheetData>
  <mergeCells count="5">
    <mergeCell ref="G2:H2"/>
    <mergeCell ref="I2:J2"/>
    <mergeCell ref="K2:L2"/>
    <mergeCell ref="M2:N2"/>
    <mergeCell ref="O2:P2"/>
  </mergeCells>
  <hyperlinks>
    <hyperlink ref="D1" r:id="rId1"/>
  </hyperlink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zoomScale="160" zoomScaleNormal="160" workbookViewId="0">
      <selection activeCell="H6" sqref="H6"/>
    </sheetView>
  </sheetViews>
  <sheetFormatPr defaultRowHeight="12.75" x14ac:dyDescent="0.2"/>
  <cols>
    <col min="1" max="1" width="3.7109375" style="1" customWidth="1"/>
    <col min="2" max="2" width="3.42578125" style="1" customWidth="1"/>
    <col min="3" max="3" width="3.28515625" style="1" customWidth="1"/>
    <col min="4" max="4" width="12.28515625" style="1" customWidth="1"/>
    <col min="5" max="5" width="35.28515625" style="1" customWidth="1"/>
    <col min="6" max="6" width="10" style="1" bestFit="1" customWidth="1"/>
    <col min="7" max="7" width="11.85546875" style="1" customWidth="1"/>
    <col min="8" max="8" width="14.7109375" style="1" customWidth="1"/>
    <col min="9" max="9" width="12" style="1" customWidth="1"/>
    <col min="10" max="11" width="11.28515625" style="1" customWidth="1"/>
    <col min="12" max="12" width="11.42578125" style="1" customWidth="1"/>
    <col min="13" max="13" width="11.85546875" style="1" customWidth="1"/>
    <col min="14" max="14" width="12" style="1" customWidth="1"/>
    <col min="15" max="15" width="12.42578125" style="1" customWidth="1"/>
    <col min="16" max="16" width="11.85546875" style="1" customWidth="1"/>
    <col min="17" max="17" width="11.5703125" style="1" customWidth="1"/>
    <col min="18" max="16384" width="9.140625" style="1"/>
  </cols>
  <sheetData>
    <row r="1" spans="1:17" ht="18" x14ac:dyDescent="0.25">
      <c r="E1" s="242" t="s">
        <v>349</v>
      </c>
    </row>
    <row r="2" spans="1:17" s="2" customFormat="1" x14ac:dyDescent="0.2">
      <c r="A2" s="11" t="s">
        <v>97</v>
      </c>
      <c r="B2" s="11"/>
      <c r="C2" s="11"/>
      <c r="D2" s="12"/>
      <c r="E2" s="12"/>
      <c r="F2" s="2" t="s">
        <v>39</v>
      </c>
      <c r="G2" s="310" t="s">
        <v>401</v>
      </c>
      <c r="H2" s="357"/>
      <c r="I2" s="357"/>
      <c r="J2" s="357"/>
      <c r="K2" s="357"/>
      <c r="L2" s="355"/>
      <c r="M2" s="355"/>
      <c r="N2" s="355"/>
      <c r="O2" s="355"/>
      <c r="P2" s="353"/>
      <c r="Q2" s="353"/>
    </row>
    <row r="3" spans="1:17" s="276" customFormat="1" x14ac:dyDescent="0.2">
      <c r="A3" s="277"/>
      <c r="B3" s="277"/>
      <c r="C3" s="277"/>
      <c r="D3" s="12"/>
      <c r="E3" s="12"/>
      <c r="G3" s="310"/>
      <c r="H3" s="275" t="s">
        <v>353</v>
      </c>
      <c r="I3" s="313" t="s">
        <v>354</v>
      </c>
      <c r="J3" s="313" t="s">
        <v>355</v>
      </c>
      <c r="K3" s="313" t="s">
        <v>356</v>
      </c>
      <c r="L3" s="313" t="s">
        <v>357</v>
      </c>
      <c r="M3" s="313" t="s">
        <v>358</v>
      </c>
      <c r="N3" s="313" t="s">
        <v>359</v>
      </c>
      <c r="O3" s="313" t="s">
        <v>360</v>
      </c>
      <c r="P3" s="313" t="s">
        <v>405</v>
      </c>
      <c r="Q3" s="313" t="s">
        <v>406</v>
      </c>
    </row>
    <row r="4" spans="1:17" s="20" customFormat="1" x14ac:dyDescent="0.2">
      <c r="A4" s="18"/>
      <c r="B4" s="18"/>
      <c r="C4" s="18"/>
      <c r="D4" s="19"/>
      <c r="E4" s="19"/>
      <c r="H4" s="278"/>
      <c r="I4" s="222"/>
      <c r="J4" s="222"/>
      <c r="K4" s="222"/>
      <c r="L4" s="222"/>
      <c r="M4" s="222"/>
      <c r="N4" s="222"/>
      <c r="O4" s="222"/>
      <c r="P4" s="222"/>
      <c r="Q4" s="222"/>
    </row>
    <row r="5" spans="1:17" x14ac:dyDescent="0.2">
      <c r="A5" s="23" t="s">
        <v>35</v>
      </c>
    </row>
    <row r="6" spans="1:17" x14ac:dyDescent="0.2">
      <c r="B6" s="1" t="s">
        <v>98</v>
      </c>
      <c r="F6" s="13" t="s">
        <v>361</v>
      </c>
      <c r="G6" s="324">
        <v>-1400000</v>
      </c>
      <c r="H6" s="14">
        <f>CF!G5-CF!G15+CF!G17</f>
        <v>1091522</v>
      </c>
      <c r="I6" s="14">
        <f>CF!H5-CF!H15+CF!H17</f>
        <v>137817.6400000001</v>
      </c>
      <c r="J6" s="14">
        <f>CF!I5-CF!I15+CF!I17</f>
        <v>1172344.6983999999</v>
      </c>
      <c r="K6" s="14">
        <f>CF!J5-CF!J15+CF!J17</f>
        <v>224703.38030400022</v>
      </c>
      <c r="L6" s="14">
        <f>CF!K5-CF!K15+CF!K17</f>
        <v>174593.68712224014</v>
      </c>
      <c r="M6" s="14">
        <f>CF!L5-CF!L15+CF!L17</f>
        <v>188107.30834957457</v>
      </c>
      <c r="N6" s="14">
        <f>CF!M5-CF!M15+CF!M17</f>
        <v>202311.74685054924</v>
      </c>
      <c r="O6" s="14">
        <f>CF!N5-CF!N15+CF!N17</f>
        <v>217248.45166158216</v>
      </c>
      <c r="P6" s="14">
        <f>CF!O5-CF!O15+CF!O17</f>
        <v>232961.35876127696</v>
      </c>
      <c r="Q6" s="14">
        <f>CF!P5-CF!P15+CF!P17</f>
        <v>282166.52623038588</v>
      </c>
    </row>
    <row r="7" spans="1:17" x14ac:dyDescent="0.2">
      <c r="B7" s="1" t="s">
        <v>106</v>
      </c>
      <c r="F7" s="13" t="s">
        <v>361</v>
      </c>
      <c r="G7" s="13"/>
      <c r="H7" s="14">
        <f>SUM($H6:H6)</f>
        <v>1091522</v>
      </c>
      <c r="I7" s="14">
        <f>SUM($H6:I6)</f>
        <v>1229339.6400000001</v>
      </c>
      <c r="J7" s="14">
        <f>SUM($H6:J6)</f>
        <v>2401684.3383999998</v>
      </c>
      <c r="K7" s="14">
        <f>SUM($H6:K6)</f>
        <v>2626387.7187040001</v>
      </c>
      <c r="L7" s="14">
        <f>SUM($H6:L6)</f>
        <v>2800981.4058262403</v>
      </c>
      <c r="M7" s="14">
        <f>SUM($H6:M6)</f>
        <v>2989088.7141758148</v>
      </c>
      <c r="N7" s="14">
        <f>SUM($H6:N6)</f>
        <v>3191400.461026364</v>
      </c>
      <c r="O7" s="14">
        <f>SUM($H6:O6)</f>
        <v>3408648.9126879461</v>
      </c>
      <c r="P7" s="14">
        <f>SUM($H6:P6)</f>
        <v>3641610.2714492232</v>
      </c>
      <c r="Q7" s="14">
        <f>SUM($H6:Q6)</f>
        <v>3923776.7976796092</v>
      </c>
    </row>
    <row r="8" spans="1:17" x14ac:dyDescent="0.2">
      <c r="B8" s="1" t="s">
        <v>149</v>
      </c>
      <c r="F8" s="13"/>
      <c r="G8" s="13"/>
      <c r="H8" s="98">
        <f>1/(1+'Финан-е'!F33)</f>
        <v>0.64285714285714279</v>
      </c>
      <c r="I8" s="98">
        <f>1/(1+'Финан-е'!G33)</f>
        <v>0.64900662251655628</v>
      </c>
      <c r="J8" s="98">
        <f>1/(1+'Финан-е'!H33)</f>
        <v>0.65503875968992242</v>
      </c>
      <c r="K8" s="98">
        <f>1/(1+'Финан-е'!I33)</f>
        <v>0.66055045871559637</v>
      </c>
      <c r="L8" s="98">
        <f>1/(1+'Финан-е'!J33)</f>
        <v>0.66483516483516492</v>
      </c>
      <c r="M8" s="98">
        <f>1/(1+'Финан-е'!K33)</f>
        <v>0.66666666666666663</v>
      </c>
      <c r="N8" s="98">
        <f>1/(1+'Финан-е'!L33)</f>
        <v>0.66393442622950816</v>
      </c>
      <c r="O8" s="98">
        <f>1/(1+'Финан-е'!M33)</f>
        <v>0.65306122448979587</v>
      </c>
      <c r="P8" s="98">
        <f>1/(1+'Финан-е'!N33)</f>
        <v>0.62820512820512819</v>
      </c>
      <c r="Q8" s="98">
        <f>1/(1+'Финан-е'!O33)</f>
        <v>0.58064516129032251</v>
      </c>
    </row>
    <row r="9" spans="1:17" x14ac:dyDescent="0.2">
      <c r="B9" s="1" t="s">
        <v>150</v>
      </c>
      <c r="F9" s="13"/>
      <c r="G9" s="13"/>
      <c r="H9" s="98">
        <f>H8</f>
        <v>0.64285714285714279</v>
      </c>
      <c r="I9" s="98">
        <f>H9*I8</f>
        <v>0.41721854304635758</v>
      </c>
      <c r="J9" s="98">
        <f>I9*J8</f>
        <v>0.27329431695672257</v>
      </c>
      <c r="K9" s="98">
        <f>J9*K8</f>
        <v>0.18052468643012867</v>
      </c>
      <c r="L9" s="98">
        <f>K9*L8</f>
        <v>0.12001915965959105</v>
      </c>
      <c r="M9" s="98">
        <f t="shared" ref="M9:Q9" si="0">L9*M8</f>
        <v>8.0012773106394028E-2</v>
      </c>
      <c r="N9" s="98">
        <f t="shared" si="0"/>
        <v>5.3123234603425537E-2</v>
      </c>
      <c r="O9" s="98">
        <f t="shared" si="0"/>
        <v>3.4692724638971779E-2</v>
      </c>
      <c r="P9" s="98">
        <f t="shared" si="0"/>
        <v>2.1794147529610477E-2</v>
      </c>
      <c r="Q9" s="98">
        <f t="shared" si="0"/>
        <v>1.265466630751576E-2</v>
      </c>
    </row>
    <row r="10" spans="1:17" x14ac:dyDescent="0.2">
      <c r="B10" s="1" t="s">
        <v>99</v>
      </c>
      <c r="F10" s="13" t="s">
        <v>361</v>
      </c>
      <c r="G10" s="13"/>
      <c r="H10" s="14">
        <f>H6*H9</f>
        <v>701692.7142857142</v>
      </c>
      <c r="I10" s="14">
        <f>I6*I9</f>
        <v>57500.074966887456</v>
      </c>
      <c r="J10" s="14">
        <f t="shared" ref="J10:Q10" si="1">J6*J9</f>
        <v>320395.14358706289</v>
      </c>
      <c r="K10" s="14">
        <f t="shared" si="1"/>
        <v>40564.50726916959</v>
      </c>
      <c r="L10" s="14">
        <f t="shared" si="1"/>
        <v>20954.587610280825</v>
      </c>
      <c r="M10" s="14">
        <f t="shared" si="1"/>
        <v>15050.98738262901</v>
      </c>
      <c r="N10" s="14">
        <f t="shared" si="1"/>
        <v>10747.454390970564</v>
      </c>
      <c r="O10" s="14">
        <f t="shared" si="1"/>
        <v>7536.9407117382407</v>
      </c>
      <c r="P10" s="14">
        <f t="shared" si="1"/>
        <v>5077.1942215417839</v>
      </c>
      <c r="Q10" s="14">
        <f t="shared" si="1"/>
        <v>3570.723232596426</v>
      </c>
    </row>
    <row r="11" spans="1:17" x14ac:dyDescent="0.2">
      <c r="B11" s="1" t="s">
        <v>100</v>
      </c>
      <c r="F11" s="13" t="s">
        <v>361</v>
      </c>
      <c r="G11" s="13"/>
      <c r="H11" s="14">
        <f>SUM($H10:H10)</f>
        <v>701692.7142857142</v>
      </c>
      <c r="I11" s="14">
        <f>SUM($H10:I10)</f>
        <v>759192.78925260168</v>
      </c>
      <c r="J11" s="14">
        <f>SUM($H10:J10)</f>
        <v>1079587.9328396646</v>
      </c>
      <c r="K11" s="14">
        <f>SUM($H10:K10)</f>
        <v>1120152.4401088343</v>
      </c>
      <c r="L11" s="14">
        <f>SUM($H10:L10)</f>
        <v>1141107.0277191151</v>
      </c>
      <c r="M11" s="14">
        <f>SUM($H10:M10)</f>
        <v>1156158.0151017441</v>
      </c>
      <c r="N11" s="14">
        <f>SUM($H10:N10)</f>
        <v>1166905.4694927146</v>
      </c>
      <c r="O11" s="14">
        <f>SUM($H10:O10)</f>
        <v>1174442.4102044529</v>
      </c>
      <c r="P11" s="14">
        <f>SUM($H10:P10)</f>
        <v>1179519.6044259947</v>
      </c>
      <c r="Q11" s="14">
        <f>SUM($H10:Q10)</f>
        <v>1183090.3276585911</v>
      </c>
    </row>
    <row r="12" spans="1:17" s="79" customFormat="1" ht="12" customHeight="1" x14ac:dyDescent="0.2">
      <c r="F12" s="80"/>
      <c r="G12" s="80"/>
      <c r="H12" s="80">
        <f>IF(H7&gt;0,0.25,0)</f>
        <v>0.25</v>
      </c>
      <c r="I12" s="80">
        <f t="shared" ref="I12:Q12" si="2">IF(I7&gt;0,0.25,0)</f>
        <v>0.25</v>
      </c>
      <c r="J12" s="80">
        <f t="shared" si="2"/>
        <v>0.25</v>
      </c>
      <c r="K12" s="80">
        <f t="shared" si="2"/>
        <v>0.25</v>
      </c>
      <c r="L12" s="80">
        <f t="shared" si="2"/>
        <v>0.25</v>
      </c>
      <c r="M12" s="80">
        <f t="shared" si="2"/>
        <v>0.25</v>
      </c>
      <c r="N12" s="80">
        <f t="shared" si="2"/>
        <v>0.25</v>
      </c>
      <c r="O12" s="80">
        <f t="shared" si="2"/>
        <v>0.25</v>
      </c>
      <c r="P12" s="80">
        <f t="shared" si="2"/>
        <v>0.25</v>
      </c>
      <c r="Q12" s="80">
        <f t="shared" si="2"/>
        <v>0.25</v>
      </c>
    </row>
    <row r="13" spans="1:17" s="79" customFormat="1" ht="11.25" customHeight="1" x14ac:dyDescent="0.2">
      <c r="H13" s="80">
        <f>IF(H11&gt;0,0.25,0)</f>
        <v>0.25</v>
      </c>
      <c r="I13" s="80">
        <f>IF(I11&gt;0,0.25,0)</f>
        <v>0.25</v>
      </c>
      <c r="J13" s="80">
        <f>IF(J11&gt;0,0.25,0)</f>
        <v>0.25</v>
      </c>
      <c r="K13" s="80">
        <f t="shared" ref="K13:Q13" si="3">IF(K11&gt;0,0.25,0)</f>
        <v>0.25</v>
      </c>
      <c r="L13" s="80">
        <f t="shared" si="3"/>
        <v>0.25</v>
      </c>
      <c r="M13" s="80">
        <f t="shared" si="3"/>
        <v>0.25</v>
      </c>
      <c r="N13" s="80">
        <f t="shared" si="3"/>
        <v>0.25</v>
      </c>
      <c r="O13" s="80">
        <f t="shared" si="3"/>
        <v>0.25</v>
      </c>
      <c r="P13" s="80">
        <f t="shared" si="3"/>
        <v>0.25</v>
      </c>
      <c r="Q13" s="80">
        <f t="shared" si="3"/>
        <v>0.25</v>
      </c>
    </row>
    <row r="14" spans="1:17" s="79" customFormat="1" x14ac:dyDescent="0.2"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1:17" s="79" customFormat="1" x14ac:dyDescent="0.2">
      <c r="A15" s="23" t="s">
        <v>278</v>
      </c>
      <c r="H15" s="3">
        <v>1</v>
      </c>
      <c r="I15" s="4">
        <f>H15+1</f>
        <v>2</v>
      </c>
      <c r="J15" s="5">
        <f>I15+1</f>
        <v>3</v>
      </c>
      <c r="K15" s="6">
        <f>J15+1</f>
        <v>4</v>
      </c>
      <c r="L15" s="7">
        <f>K15+1</f>
        <v>5</v>
      </c>
      <c r="M15" s="322">
        <f>L15+1</f>
        <v>6</v>
      </c>
      <c r="N15" s="322">
        <f t="shared" ref="N15:Q15" si="4">M15+1</f>
        <v>7</v>
      </c>
      <c r="O15" s="322">
        <f t="shared" si="4"/>
        <v>8</v>
      </c>
      <c r="P15" s="322">
        <f t="shared" si="4"/>
        <v>9</v>
      </c>
      <c r="Q15" s="322">
        <f t="shared" si="4"/>
        <v>10</v>
      </c>
    </row>
    <row r="16" spans="1:17" s="79" customFormat="1" x14ac:dyDescent="0.2">
      <c r="A16" s="1"/>
      <c r="B16" s="1" t="s">
        <v>279</v>
      </c>
      <c r="C16" s="1"/>
      <c r="D16" s="1"/>
      <c r="E16" s="1"/>
      <c r="F16" s="1"/>
      <c r="G16" s="1"/>
      <c r="H16" s="63">
        <f>H7</f>
        <v>1091522</v>
      </c>
      <c r="I16" s="63">
        <f>I7</f>
        <v>1229339.6400000001</v>
      </c>
      <c r="J16" s="63">
        <f>J7</f>
        <v>2401684.3383999998</v>
      </c>
      <c r="K16" s="63">
        <f t="shared" ref="K16:P16" si="5">K7</f>
        <v>2626387.7187040001</v>
      </c>
      <c r="L16" s="63">
        <f t="shared" si="5"/>
        <v>2800981.4058262403</v>
      </c>
      <c r="M16" s="63">
        <f t="shared" si="5"/>
        <v>2989088.7141758148</v>
      </c>
      <c r="N16" s="63">
        <f t="shared" si="5"/>
        <v>3191400.461026364</v>
      </c>
      <c r="O16" s="63">
        <f t="shared" si="5"/>
        <v>3408648.9126879461</v>
      </c>
      <c r="P16" s="63">
        <f t="shared" si="5"/>
        <v>3641610.2714492232</v>
      </c>
      <c r="Q16" s="63">
        <f>Q7</f>
        <v>3923776.7976796092</v>
      </c>
    </row>
    <row r="17" spans="1:17" s="79" customFormat="1" x14ac:dyDescent="0.2">
      <c r="A17" s="1"/>
      <c r="B17" s="1" t="s">
        <v>280</v>
      </c>
      <c r="C17" s="1"/>
      <c r="D17" s="1"/>
      <c r="E17" s="1"/>
      <c r="F17" s="1"/>
      <c r="G17" s="1"/>
      <c r="H17" s="223">
        <f>(H16-G17)/H16</f>
        <v>1</v>
      </c>
      <c r="I17" s="223">
        <f>IF(I16=0,"-",(I16-H16)/I16)</f>
        <v>0.1121070496026632</v>
      </c>
      <c r="J17" s="223">
        <f>IF(J16=0,"-",(J16-I16)/J16)</f>
        <v>0.4881343812155659</v>
      </c>
      <c r="K17" s="223">
        <f>IF(K16=0,"-",(K16-J16)/K16)</f>
        <v>8.555605811882222E-2</v>
      </c>
      <c r="L17" s="223">
        <f>IF(L16=0,"-",(L16-K16)/L16)</f>
        <v>6.2333040397580981E-2</v>
      </c>
      <c r="M17" s="223">
        <f t="shared" ref="M17:O17" si="6">IF(M16=0,"-",(M16-L16)/M16)</f>
        <v>6.2931323335259901E-2</v>
      </c>
      <c r="N17" s="223">
        <f t="shared" si="6"/>
        <v>6.3392779853608583E-2</v>
      </c>
      <c r="O17" s="223">
        <f t="shared" si="6"/>
        <v>6.3734475807385879E-2</v>
      </c>
      <c r="P17" s="223">
        <f>IF(P16=0,"-",(P16-O16)/P16)</f>
        <v>6.3972073175355817E-2</v>
      </c>
      <c r="Q17" s="223">
        <f t="shared" ref="Q17" si="7">IF(Q16=0,"-",(Q16-P16)/Q16)</f>
        <v>7.1911971750597506E-2</v>
      </c>
    </row>
    <row r="18" spans="1:17" s="79" customFormat="1" x14ac:dyDescent="0.2">
      <c r="A18" s="1"/>
      <c r="B18" s="1" t="s">
        <v>284</v>
      </c>
      <c r="C18" s="1"/>
      <c r="D18" s="1"/>
      <c r="E18" s="1"/>
      <c r="F18" s="1"/>
      <c r="G18" s="1"/>
      <c r="H18" s="311">
        <f>'Финан-е'!F36</f>
        <v>0.55555555555555558</v>
      </c>
      <c r="I18" s="311">
        <f>'Финан-е'!G36</f>
        <v>0.54081632653061218</v>
      </c>
      <c r="J18" s="311">
        <f>'Финан-е'!H36</f>
        <v>0.52662721893491127</v>
      </c>
      <c r="K18" s="311">
        <f>'Финан-е'!I36</f>
        <v>0.51388888888888884</v>
      </c>
      <c r="L18" s="311">
        <f>'Финан-е'!J36</f>
        <v>0.50413223140495866</v>
      </c>
      <c r="M18" s="223"/>
    </row>
    <row r="19" spans="1:17" s="79" customFormat="1" x14ac:dyDescent="0.2">
      <c r="A19" s="1"/>
      <c r="B19" s="1" t="s">
        <v>281</v>
      </c>
      <c r="C19" s="1"/>
      <c r="D19" s="1"/>
      <c r="E19" s="1"/>
      <c r="F19" s="1"/>
      <c r="G19" s="1"/>
      <c r="H19" s="224">
        <f>Q17</f>
        <v>7.1911971750597506E-2</v>
      </c>
      <c r="I19" s="2"/>
      <c r="J19" s="2"/>
      <c r="K19" s="2"/>
      <c r="M19" s="80"/>
    </row>
    <row r="20" spans="1:17" s="79" customFormat="1" x14ac:dyDescent="0.2">
      <c r="A20" s="1"/>
      <c r="B20" s="1" t="s">
        <v>282</v>
      </c>
      <c r="C20" s="1"/>
      <c r="D20" s="1"/>
      <c r="E20" s="1"/>
      <c r="F20" s="1"/>
      <c r="G20" s="1"/>
      <c r="H20" s="224">
        <v>0.1</v>
      </c>
      <c r="I20" s="2"/>
      <c r="J20" s="2"/>
      <c r="K20" s="2"/>
      <c r="M20" s="80"/>
    </row>
    <row r="21" spans="1:17" s="79" customFormat="1" x14ac:dyDescent="0.2">
      <c r="A21" s="1"/>
      <c r="B21" s="1" t="s">
        <v>283</v>
      </c>
      <c r="C21" s="1"/>
      <c r="D21" s="1"/>
      <c r="E21" s="1"/>
      <c r="F21" s="1"/>
      <c r="G21" s="1"/>
      <c r="H21" s="291">
        <f>IF(H20=0,"",(L16*(1+H19)/(H20-H19))/((1+H18)*(1+I18)*(1+J18)*(1+K18)*(1+L18)))</f>
        <v>12829173.413471825</v>
      </c>
      <c r="I21" s="2"/>
      <c r="J21" s="2"/>
      <c r="K21" s="2"/>
      <c r="L21" s="2"/>
      <c r="M21" s="80"/>
    </row>
    <row r="22" spans="1:17" s="79" customFormat="1" x14ac:dyDescent="0.2">
      <c r="A22" s="1"/>
      <c r="B22" s="1"/>
      <c r="C22" s="1"/>
      <c r="D22" s="1"/>
      <c r="E22" s="1"/>
      <c r="F22" s="1"/>
      <c r="G22" s="1"/>
      <c r="H22" s="291"/>
      <c r="I22" s="321"/>
      <c r="J22" s="321"/>
      <c r="K22" s="321"/>
      <c r="L22" s="321"/>
      <c r="M22" s="80"/>
      <c r="N22" s="297" t="s">
        <v>394</v>
      </c>
      <c r="O22" s="297" t="s">
        <v>395</v>
      </c>
      <c r="P22" s="298" t="s">
        <v>396</v>
      </c>
      <c r="Q22" s="297" t="s">
        <v>102</v>
      </c>
    </row>
    <row r="23" spans="1:17" s="79" customFormat="1" x14ac:dyDescent="0.2">
      <c r="A23" s="1"/>
      <c r="B23" s="1"/>
      <c r="C23" s="1"/>
      <c r="D23" s="1"/>
      <c r="E23" s="1"/>
      <c r="F23" s="1"/>
      <c r="G23" s="1"/>
      <c r="H23" s="291"/>
      <c r="I23" s="321"/>
      <c r="J23" s="321"/>
      <c r="K23" s="321"/>
      <c r="L23" s="321"/>
      <c r="M23" s="80"/>
      <c r="N23" s="297">
        <v>0</v>
      </c>
      <c r="O23" s="300">
        <f>-'Финан-е'!E21</f>
        <v>-1500000</v>
      </c>
      <c r="P23" s="301">
        <v>0.1</v>
      </c>
      <c r="Q23" s="299"/>
    </row>
    <row r="24" spans="1:17" s="79" customFormat="1" x14ac:dyDescent="0.2">
      <c r="A24" s="1"/>
      <c r="B24" s="1"/>
      <c r="C24" s="1"/>
      <c r="D24" s="1"/>
      <c r="E24" s="1"/>
      <c r="F24" s="1"/>
      <c r="G24" s="1"/>
      <c r="H24" s="2"/>
      <c r="I24" s="2"/>
      <c r="J24" s="2"/>
      <c r="K24" s="2"/>
      <c r="L24" s="2"/>
      <c r="M24" s="80"/>
      <c r="N24" s="297">
        <v>1</v>
      </c>
      <c r="O24" s="300">
        <f>CF!H28</f>
        <v>1348339.6400000001</v>
      </c>
      <c r="P24" s="302">
        <f>P23</f>
        <v>0.1</v>
      </c>
      <c r="Q24" s="303"/>
    </row>
    <row r="25" spans="1:17" s="79" customFormat="1" x14ac:dyDescent="0.2">
      <c r="A25" s="1"/>
      <c r="B25" s="1"/>
      <c r="C25" s="1"/>
      <c r="D25" s="1"/>
      <c r="E25" s="1"/>
      <c r="F25" s="1"/>
      <c r="G25" s="1"/>
      <c r="H25" s="2"/>
      <c r="I25" s="2"/>
      <c r="J25" s="2"/>
      <c r="K25" s="2"/>
      <c r="L25" s="2"/>
      <c r="M25" s="80"/>
      <c r="N25" s="297">
        <v>2</v>
      </c>
      <c r="O25" s="304">
        <f>CF!J28</f>
        <v>2960387.7187040001</v>
      </c>
      <c r="P25" s="302">
        <f t="shared" ref="P25" si="8">P24</f>
        <v>0.1</v>
      </c>
      <c r="Q25" s="303"/>
    </row>
    <row r="26" spans="1:17" x14ac:dyDescent="0.2">
      <c r="B26" s="25" t="s">
        <v>101</v>
      </c>
      <c r="C26" s="25"/>
      <c r="D26" s="55">
        <f>L16+(L16-'НА и ОС'!F17+'НА и ОС'!F29+'НА и ОС'!F7)</f>
        <v>6521962.8116524806</v>
      </c>
      <c r="E26" s="56" t="s">
        <v>361</v>
      </c>
      <c r="N26" s="297">
        <v>3</v>
      </c>
      <c r="O26" s="300">
        <f>CF!L28</f>
        <v>3534088.7141758148</v>
      </c>
      <c r="P26" s="302">
        <f t="shared" ref="P26:P33" si="9">P25</f>
        <v>0.1</v>
      </c>
      <c r="Q26" s="303"/>
    </row>
    <row r="27" spans="1:17" x14ac:dyDescent="0.2">
      <c r="B27" s="25" t="s">
        <v>102</v>
      </c>
      <c r="C27" s="25"/>
      <c r="D27" s="292">
        <f>IRR(G6:Q6)</f>
        <v>0.42178914004550982</v>
      </c>
      <c r="E27" s="54"/>
      <c r="N27" s="297">
        <v>4</v>
      </c>
      <c r="O27" s="300">
        <f>CF!N28</f>
        <v>4160648.9126879461</v>
      </c>
      <c r="P27" s="302">
        <f t="shared" si="9"/>
        <v>0.1</v>
      </c>
      <c r="Q27" s="303"/>
    </row>
    <row r="28" spans="1:17" x14ac:dyDescent="0.2">
      <c r="B28" s="25" t="s">
        <v>103</v>
      </c>
      <c r="C28" s="25"/>
      <c r="D28" s="293">
        <f>'Финан-е'!E21*10/'Анализ проекта'!D26</f>
        <v>2.2999211177960435</v>
      </c>
      <c r="E28" s="54" t="s">
        <v>105</v>
      </c>
      <c r="F28" s="25"/>
      <c r="G28" s="25"/>
      <c r="I28" s="54"/>
      <c r="J28" s="54"/>
      <c r="N28" s="297">
        <v>5</v>
      </c>
      <c r="O28" s="300">
        <f>CF!P28</f>
        <v>4878776.7976796087</v>
      </c>
      <c r="P28" s="302">
        <f t="shared" si="9"/>
        <v>0.1</v>
      </c>
      <c r="Q28" s="303"/>
    </row>
    <row r="29" spans="1:17" x14ac:dyDescent="0.2">
      <c r="B29" s="25" t="s">
        <v>104</v>
      </c>
      <c r="C29" s="25"/>
      <c r="D29" s="294">
        <f>D28*(1+H20)</f>
        <v>2.5299132295756479</v>
      </c>
      <c r="E29" s="54" t="s">
        <v>105</v>
      </c>
      <c r="N29" s="297">
        <v>6</v>
      </c>
      <c r="O29" s="300">
        <f>CF!L28</f>
        <v>3534088.7141758148</v>
      </c>
      <c r="P29" s="302">
        <f t="shared" si="9"/>
        <v>0.1</v>
      </c>
      <c r="Q29" s="303"/>
    </row>
    <row r="30" spans="1:17" x14ac:dyDescent="0.2">
      <c r="B30" s="25"/>
      <c r="C30" s="25"/>
      <c r="D30" s="295"/>
      <c r="E30" s="54"/>
      <c r="N30" s="297">
        <v>7</v>
      </c>
      <c r="O30" s="300">
        <f>CF!M28</f>
        <v>3840400.461026364</v>
      </c>
      <c r="P30" s="302">
        <f t="shared" si="9"/>
        <v>0.1</v>
      </c>
      <c r="Q30" s="303"/>
    </row>
    <row r="31" spans="1:17" x14ac:dyDescent="0.2">
      <c r="B31" s="25"/>
      <c r="C31" s="25"/>
      <c r="D31" s="295"/>
      <c r="E31" s="54"/>
      <c r="N31" s="297">
        <v>8</v>
      </c>
      <c r="O31" s="300">
        <f>CF!N28</f>
        <v>4160648.9126879461</v>
      </c>
      <c r="P31" s="302">
        <f t="shared" si="9"/>
        <v>0.1</v>
      </c>
      <c r="Q31" s="303"/>
    </row>
    <row r="32" spans="1:17" x14ac:dyDescent="0.2">
      <c r="B32" s="25"/>
      <c r="C32" s="25"/>
      <c r="D32" s="295"/>
      <c r="E32" s="54"/>
      <c r="N32" s="297">
        <v>9</v>
      </c>
      <c r="O32" s="300">
        <f>CF!O28</f>
        <v>4495610.2714492232</v>
      </c>
      <c r="P32" s="302">
        <f t="shared" si="9"/>
        <v>0.1</v>
      </c>
      <c r="Q32" s="303"/>
    </row>
    <row r="33" spans="1:17" x14ac:dyDescent="0.2">
      <c r="B33" s="25"/>
      <c r="C33" s="25"/>
      <c r="D33" s="295"/>
      <c r="E33" s="54"/>
      <c r="N33" s="297">
        <v>10</v>
      </c>
      <c r="O33" s="300">
        <f>CF!P28</f>
        <v>4878776.7976796087</v>
      </c>
      <c r="P33" s="302">
        <f t="shared" si="9"/>
        <v>0.1</v>
      </c>
      <c r="Q33" s="303"/>
    </row>
    <row r="34" spans="1:17" x14ac:dyDescent="0.2">
      <c r="N34" s="84"/>
      <c r="O34" s="305" t="s">
        <v>102</v>
      </c>
      <c r="P34" s="306">
        <f>IRR(O23:O33)</f>
        <v>1.4373979618654897</v>
      </c>
      <c r="Q34" s="84"/>
    </row>
    <row r="35" spans="1:17" x14ac:dyDescent="0.2">
      <c r="A35" s="23" t="s">
        <v>36</v>
      </c>
    </row>
    <row r="36" spans="1:17" x14ac:dyDescent="0.2">
      <c r="B36" s="25" t="s">
        <v>131</v>
      </c>
      <c r="C36" s="25"/>
      <c r="F36" s="2" t="s">
        <v>39</v>
      </c>
      <c r="G36" s="310"/>
      <c r="H36" s="357" t="s">
        <v>353</v>
      </c>
      <c r="I36" s="357"/>
      <c r="J36" s="357"/>
      <c r="K36" s="357"/>
      <c r="L36" s="355"/>
      <c r="M36" s="355"/>
      <c r="N36" s="355"/>
      <c r="O36" s="355"/>
      <c r="P36" s="353"/>
      <c r="Q36" s="353"/>
    </row>
    <row r="37" spans="1:17" x14ac:dyDescent="0.2">
      <c r="B37" s="25"/>
      <c r="C37" s="25"/>
      <c r="F37" s="289"/>
      <c r="G37" s="310"/>
      <c r="H37" s="288" t="s">
        <v>353</v>
      </c>
      <c r="I37" s="288" t="s">
        <v>471</v>
      </c>
      <c r="J37" s="334" t="s">
        <v>355</v>
      </c>
      <c r="K37" s="334" t="s">
        <v>356</v>
      </c>
      <c r="L37" s="334" t="s">
        <v>357</v>
      </c>
      <c r="M37" s="334" t="s">
        <v>358</v>
      </c>
      <c r="N37" s="334" t="s">
        <v>359</v>
      </c>
      <c r="O37" s="288" t="s">
        <v>360</v>
      </c>
      <c r="P37" s="288" t="s">
        <v>405</v>
      </c>
      <c r="Q37" s="288" t="s">
        <v>472</v>
      </c>
    </row>
    <row r="38" spans="1:17" x14ac:dyDescent="0.2">
      <c r="B38" s="25"/>
      <c r="C38" s="25"/>
      <c r="E38" s="1" t="s">
        <v>473</v>
      </c>
      <c r="F38" s="335"/>
      <c r="G38" s="335"/>
      <c r="H38" s="336">
        <v>165</v>
      </c>
      <c r="I38" s="336">
        <v>165</v>
      </c>
      <c r="J38" s="336">
        <v>165</v>
      </c>
      <c r="K38" s="336">
        <v>165</v>
      </c>
      <c r="L38" s="336">
        <v>165</v>
      </c>
      <c r="M38" s="336">
        <v>165</v>
      </c>
      <c r="N38" s="336">
        <v>165</v>
      </c>
      <c r="O38" s="336">
        <v>165</v>
      </c>
      <c r="P38" s="336">
        <v>165</v>
      </c>
      <c r="Q38" s="336">
        <v>165</v>
      </c>
    </row>
    <row r="39" spans="1:17" x14ac:dyDescent="0.2">
      <c r="B39" s="25"/>
      <c r="C39" s="25"/>
      <c r="E39" s="1" t="s">
        <v>474</v>
      </c>
      <c r="F39" s="335"/>
      <c r="G39" s="335"/>
      <c r="H39" s="338">
        <f>(Затраты!F11-Затраты!F12)</f>
        <v>97282.5</v>
      </c>
      <c r="I39" s="338">
        <f>(Затраты!G11-Затраты!G12)</f>
        <v>102798.15</v>
      </c>
      <c r="J39" s="338">
        <f>(Затраты!H11-Затраты!H12)</f>
        <v>108644.739</v>
      </c>
      <c r="K39" s="338">
        <f>(Затраты!I11-Затраты!I12)</f>
        <v>114842.12334000002</v>
      </c>
      <c r="L39" s="338">
        <f>(Затраты!J11-Затраты!J12)</f>
        <v>121411.35074040001</v>
      </c>
      <c r="M39" s="338">
        <f>(Затраты!K11-Затраты!K12)</f>
        <v>128374.73178482401</v>
      </c>
      <c r="N39" s="338">
        <f>(Затраты!L11-Затраты!L12)</f>
        <v>135755.91569191345</v>
      </c>
      <c r="O39" s="338">
        <f>(Затраты!M11-Затраты!M12)</f>
        <v>143579.97063342825</v>
      </c>
      <c r="P39" s="338">
        <f>(Затраты!N11-Затраты!N12)</f>
        <v>151873.46887143396</v>
      </c>
      <c r="Q39" s="338">
        <f>(Затраты!O11-Затраты!O12)</f>
        <v>160664.57700372001</v>
      </c>
    </row>
    <row r="40" spans="1:17" x14ac:dyDescent="0.2">
      <c r="B40" s="25"/>
      <c r="C40" s="25"/>
      <c r="E40" s="1" t="s">
        <v>475</v>
      </c>
      <c r="F40" s="335"/>
      <c r="G40" s="335"/>
      <c r="H40" s="338">
        <f>(Затраты!F34-Затраты!F35)-(Затраты!F11-Затраты!F12)</f>
        <v>13453.043478260865</v>
      </c>
      <c r="I40" s="338">
        <f>(Затраты!G34-Затраты!G35)-(Затраты!G11-Затраты!G12)</f>
        <v>14260.226086956536</v>
      </c>
      <c r="J40" s="338">
        <f>(Затраты!H34-Затраты!H35)-(Затраты!H11-Затраты!H12)</f>
        <v>15115.83965217392</v>
      </c>
      <c r="K40" s="338">
        <f>(Затраты!I34-Затраты!I35)-(Затраты!I11-Затраты!I12)</f>
        <v>16022.790031304365</v>
      </c>
      <c r="L40" s="338">
        <f>(Затраты!J34-Затраты!J35)-(Затраты!J11-Затраты!J12)</f>
        <v>16984.157433182627</v>
      </c>
      <c r="M40" s="338">
        <f>(Затраты!K34-Затраты!K35)-(Затраты!K11-Затраты!K12)</f>
        <v>18003.206879173595</v>
      </c>
      <c r="N40" s="338">
        <f>(Затраты!L34-Затраты!L35)-(Затраты!L11-Затраты!L12)</f>
        <v>19083.399291923997</v>
      </c>
      <c r="O40" s="338">
        <f>(Затраты!M34-Затраты!M35)-(Затраты!M11-Затраты!M12)</f>
        <v>20228.403249439434</v>
      </c>
      <c r="P40" s="338">
        <f>(Затраты!N34-Затраты!N35)-(Затраты!N11-Затраты!N12)</f>
        <v>21442.107444405789</v>
      </c>
      <c r="Q40" s="338">
        <f>(Затраты!O34-Затраты!O35)-(Затраты!O11-Затраты!O12)</f>
        <v>22728.633891070116</v>
      </c>
    </row>
    <row r="41" spans="1:17" x14ac:dyDescent="0.2">
      <c r="B41" s="25"/>
      <c r="C41" s="25"/>
      <c r="E41" s="1" t="s">
        <v>476</v>
      </c>
      <c r="F41" s="335"/>
      <c r="G41" s="335"/>
      <c r="H41" s="338">
        <v>2000</v>
      </c>
      <c r="I41" s="338">
        <v>6360</v>
      </c>
      <c r="J41" s="338">
        <v>6741.6000000000013</v>
      </c>
      <c r="K41" s="338">
        <v>7146.0960000000014</v>
      </c>
      <c r="L41" s="338">
        <v>7574.8617600000016</v>
      </c>
      <c r="M41" s="338">
        <v>8029.3534656000029</v>
      </c>
      <c r="N41" s="338">
        <v>8511.1146735360035</v>
      </c>
      <c r="O41" s="338">
        <v>9021.7815539481635</v>
      </c>
      <c r="P41" s="338">
        <v>9563.0884471850532</v>
      </c>
      <c r="Q41" s="338">
        <v>10136.873754016156</v>
      </c>
    </row>
    <row r="42" spans="1:17" x14ac:dyDescent="0.2">
      <c r="B42" s="25"/>
      <c r="C42" s="25"/>
      <c r="F42" s="335"/>
      <c r="G42" s="335"/>
      <c r="H42" s="336"/>
      <c r="I42" s="336"/>
      <c r="J42" s="336"/>
      <c r="K42" s="336"/>
      <c r="L42" s="336"/>
      <c r="M42" s="336"/>
      <c r="N42" s="336"/>
      <c r="O42" s="336"/>
      <c r="P42" s="336"/>
      <c r="Q42" s="336"/>
    </row>
    <row r="43" spans="1:17" x14ac:dyDescent="0.2">
      <c r="B43" s="25"/>
      <c r="C43" s="25"/>
      <c r="F43" s="335"/>
      <c r="G43" s="335"/>
      <c r="H43" s="336"/>
      <c r="I43" s="336"/>
      <c r="J43" s="336"/>
      <c r="K43" s="336"/>
      <c r="L43" s="336"/>
      <c r="M43" s="336"/>
      <c r="N43" s="336"/>
      <c r="O43" s="336"/>
      <c r="P43" s="336"/>
      <c r="Q43" s="336"/>
    </row>
    <row r="44" spans="1:17" x14ac:dyDescent="0.2">
      <c r="B44" s="85" t="s">
        <v>36</v>
      </c>
      <c r="C44" s="25"/>
      <c r="F44" s="2" t="s">
        <v>39</v>
      </c>
      <c r="G44" s="310"/>
      <c r="H44" s="357"/>
      <c r="I44" s="357"/>
      <c r="J44" s="357"/>
      <c r="K44" s="357"/>
      <c r="L44" s="355"/>
      <c r="M44" s="355"/>
      <c r="N44" s="355"/>
      <c r="O44" s="355"/>
      <c r="P44" s="353"/>
      <c r="Q44" s="353"/>
    </row>
    <row r="45" spans="1:17" s="84" customFormat="1" x14ac:dyDescent="0.2">
      <c r="B45" s="85"/>
      <c r="C45" s="76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x14ac:dyDescent="0.2">
      <c r="D46" s="1" t="s">
        <v>37</v>
      </c>
      <c r="F46" s="13" t="s">
        <v>469</v>
      </c>
      <c r="G46" s="13"/>
      <c r="H46" s="250">
        <f>Затраты!F38/('Пр-во и Продажи'!D11-Затраты!F45)</f>
        <v>181.04275225011847</v>
      </c>
      <c r="I46" s="14">
        <f>Затраты!G38/('Пр-во и Продажи'!E11-Затраты!G45)</f>
        <v>180.47865850933573</v>
      </c>
      <c r="J46" s="14">
        <f>Затраты!H38/('Пр-во и Продажи'!F11-Затраты!H45)</f>
        <v>251.07222523986752</v>
      </c>
      <c r="K46" s="14">
        <f>Затраты!I38/('Пр-во и Продажи'!G11-Затраты!I45)</f>
        <v>243.55582431531695</v>
      </c>
      <c r="L46" s="14">
        <f>Затраты!J38/('Пр-во и Продажи'!H11-Затраты!J45)</f>
        <v>242.91298539020883</v>
      </c>
      <c r="M46" s="14">
        <f>Затраты!K38/('Пр-во и Продажи'!I11-Затраты!K45)</f>
        <v>242.30653357406902</v>
      </c>
      <c r="N46" s="14">
        <f>Затраты!L38/('Пр-во и Продажи'!J11-Затраты!L45)</f>
        <v>241.73440921922031</v>
      </c>
      <c r="O46" s="14">
        <f>Затраты!M38/('Пр-во и Продажи'!K11-Затраты!M45)</f>
        <v>241.19466926181599</v>
      </c>
      <c r="P46" s="14">
        <f>Затраты!N38/('Пр-во и Продажи'!L11-Затраты!N45)</f>
        <v>240.68548062275516</v>
      </c>
      <c r="Q46" s="14">
        <f>Затраты!O38/('Пр-во и Продажи'!M11-Затраты!O45)</f>
        <v>240.20511398213176</v>
      </c>
    </row>
    <row r="47" spans="1:17" x14ac:dyDescent="0.2">
      <c r="D47" s="1" t="s">
        <v>37</v>
      </c>
      <c r="F47" s="13" t="s">
        <v>361</v>
      </c>
      <c r="G47" s="13"/>
      <c r="H47" s="14">
        <f>('Пр-во и Продажи'!D13+Затраты!F48)/('Пр-во и Продажи'!D13-Затраты!F34)</f>
        <v>1.6259178152775988</v>
      </c>
      <c r="I47" s="14">
        <f>('Пр-во и Продажи'!E13+Затраты!G48)/('Пр-во и Продажи'!E13-Затраты!G34)</f>
        <v>1.6234319980391634</v>
      </c>
      <c r="J47" s="14">
        <f>('Пр-во и Продажи'!F13+Затраты!H48)/('Пр-во и Продажи'!F13-Затраты!H34)</f>
        <v>1.6210938451952952</v>
      </c>
      <c r="K47" s="14">
        <f>('Пр-во и Продажи'!G13+Затраты!I48)/('Пр-во и Продажи'!G13-Затраты!I34)</f>
        <v>1.6188942062561145</v>
      </c>
      <c r="L47" s="14">
        <f>('Пр-во и Продажи'!H13+Затраты!J48)/('Пр-во и Продажи'!H13-Затраты!J34)</f>
        <v>1.6168245402366395</v>
      </c>
      <c r="M47" s="14">
        <f>('Пр-во и Продажи'!I13+Затраты!K48)/('Пр-во и Продажи'!I13-Затраты!K34)</f>
        <v>1.6148768703504019</v>
      </c>
      <c r="N47" s="14">
        <f>('Пр-во и Продажи'!J13+Затраты!L48)/('Пр-во и Продажи'!J13-Затраты!L34)</f>
        <v>1.6130437425799087</v>
      </c>
      <c r="O47" s="14">
        <f>('Пр-во и Продажи'!K13+Затраты!M48)/('Пр-во и Продажи'!K13-Затраты!M34)</f>
        <v>1.6113181877390734</v>
      </c>
      <c r="P47" s="14">
        <f>('Пр-во и Продажи'!L13+Затраты!N48)/('Пр-во и Продажи'!L13-Затраты!N34)</f>
        <v>1.6096936866863853</v>
      </c>
      <c r="Q47" s="14">
        <f>('Пр-во и Продажи'!M13+Затраты!O48)/('Пр-во и Продажи'!M13-Затраты!O34)</f>
        <v>1.608164138385684</v>
      </c>
    </row>
    <row r="48" spans="1:17" x14ac:dyDescent="0.2">
      <c r="D48" s="1" t="s">
        <v>128</v>
      </c>
      <c r="F48" s="13" t="s">
        <v>361</v>
      </c>
      <c r="G48" s="13"/>
      <c r="H48" s="250">
        <f>Затраты!F48/Затраты!F47</f>
        <v>0.13682830930537351</v>
      </c>
      <c r="I48" s="250">
        <f>Затраты!G48/(165+Затраты!G47)</f>
        <v>0.13706896551724143</v>
      </c>
      <c r="J48" s="250">
        <f>Затраты!H48/(165+Затраты!H47)</f>
        <v>0.13748440605164744</v>
      </c>
      <c r="K48" s="250">
        <f>Затраты!I48/(165+Затраты!I47)</f>
        <v>0.13787864622624607</v>
      </c>
      <c r="L48" s="250">
        <f>Затраты!J48/(165+Затраты!J47)</f>
        <v>0.13825264918107</v>
      </c>
      <c r="M48" s="250">
        <f>Затраты!K48/(165+Затраты!K47)</f>
        <v>0.13860734691040605</v>
      </c>
      <c r="N48" s="250">
        <f>Затраты!L48/(165+Затраты!L47)</f>
        <v>0.13894363985254959</v>
      </c>
      <c r="O48" s="250">
        <f>Затраты!M48/(165+Затраты!M47)</f>
        <v>0.13926239668448362</v>
      </c>
      <c r="P48" s="250">
        <f>Затраты!N48/(165+Затраты!N47)</f>
        <v>0.13956445429786038</v>
      </c>
      <c r="Q48" s="250">
        <f>Затраты!O48/(165+Затраты!O47)</f>
        <v>0.1398506179342775</v>
      </c>
    </row>
    <row r="49" spans="3:17" x14ac:dyDescent="0.2">
      <c r="D49" s="1" t="s">
        <v>129</v>
      </c>
      <c r="F49" s="13" t="s">
        <v>361</v>
      </c>
      <c r="G49" s="13"/>
      <c r="H49" s="14">
        <f>'Пр-во и Продажи'!D13/'Анализ проекта'!H47</f>
        <v>223258.51687529709</v>
      </c>
      <c r="I49" s="14">
        <f>'Пр-во и Продажи'!E13/'Анализ проекта'!I47</f>
        <v>237016.39518301378</v>
      </c>
      <c r="J49" s="14">
        <f>'Пр-во и Продажи'!F13/'Анализ проекта'!J47</f>
        <v>251599.74618919357</v>
      </c>
      <c r="K49" s="14">
        <f>'Пр-во и Продажи'!G13/'Анализ проекта'!K47</f>
        <v>267058.09825574397</v>
      </c>
      <c r="L49" s="14">
        <f>'Пр-во и Продажи'!H13/'Анализ проекта'!L47</f>
        <v>283443.95144628745</v>
      </c>
      <c r="M49" s="14">
        <f>'Пр-во и Продажи'!I13/'Анализ проекта'!M47</f>
        <v>300812.95582826366</v>
      </c>
      <c r="N49" s="14">
        <f>'Пр-во и Продажи'!J13/'Анализ проекта'!N47</f>
        <v>319224.10047315841</v>
      </c>
      <c r="O49" s="14">
        <f>'Пр-во и Продажи'!K13/'Анализ проекта'!O47</f>
        <v>338739.9137967467</v>
      </c>
      <c r="P49" s="14">
        <f>'Пр-во и Продажи'!L13/'Анализ проекта'!P47</f>
        <v>359426.67591975047</v>
      </c>
      <c r="Q49" s="14">
        <f>'Пр-во и Продажи'!M13/'Анализ проекта'!Q47</f>
        <v>381354.64377013431</v>
      </c>
    </row>
    <row r="50" spans="3:17" x14ac:dyDescent="0.2">
      <c r="D50" s="1" t="s">
        <v>130</v>
      </c>
      <c r="F50" s="13" t="s">
        <v>44</v>
      </c>
      <c r="G50" s="13"/>
      <c r="H50" s="77"/>
      <c r="I50" s="77">
        <f>(I6-I47)/I6*100%</f>
        <v>0.99998822043391511</v>
      </c>
      <c r="J50" s="77">
        <f>(J6-J47)/J6*100%</f>
        <v>0.99999861722081618</v>
      </c>
      <c r="K50" s="77">
        <f>(K6-K47)/K6*100%</f>
        <v>0.99999279541676656</v>
      </c>
      <c r="L50" s="77">
        <f t="shared" ref="L50:Q50" si="10">(I6-I47)/I6*100%</f>
        <v>0.99998822043391511</v>
      </c>
      <c r="M50" s="77">
        <f t="shared" si="10"/>
        <v>0.99999861722081618</v>
      </c>
      <c r="N50" s="77">
        <f t="shared" si="10"/>
        <v>0.99999279541676656</v>
      </c>
      <c r="O50" s="77">
        <f t="shared" si="10"/>
        <v>0.99999073950171469</v>
      </c>
      <c r="P50" s="77">
        <f t="shared" si="10"/>
        <v>0.99999141512956335</v>
      </c>
      <c r="Q50" s="77">
        <f t="shared" si="10"/>
        <v>0.99999202693977152</v>
      </c>
    </row>
    <row r="51" spans="3:17" x14ac:dyDescent="0.2">
      <c r="C51" s="76"/>
      <c r="D51" s="84"/>
      <c r="E51" s="84"/>
      <c r="F51" s="13"/>
      <c r="G51" s="13"/>
      <c r="H51" s="290"/>
      <c r="I51" s="290"/>
      <c r="J51" s="290"/>
      <c r="K51" s="290"/>
      <c r="L51" s="290"/>
      <c r="M51" s="290"/>
      <c r="N51" s="290"/>
      <c r="O51" s="290"/>
      <c r="P51" s="290"/>
      <c r="Q51" s="290"/>
    </row>
    <row r="52" spans="3:17" ht="12.75" customHeight="1" x14ac:dyDescent="0.2"/>
    <row r="53" spans="3:17" ht="12.75" customHeight="1" x14ac:dyDescent="0.2"/>
    <row r="54" spans="3:17" ht="12.75" customHeight="1" x14ac:dyDescent="0.2">
      <c r="I54" s="1" t="s">
        <v>28</v>
      </c>
    </row>
    <row r="55" spans="3:17" ht="12.75" customHeight="1" x14ac:dyDescent="0.2"/>
    <row r="56" spans="3:17" ht="12.75" customHeight="1" x14ac:dyDescent="0.2"/>
    <row r="57" spans="3:17" ht="12.75" customHeight="1" x14ac:dyDescent="0.2"/>
    <row r="58" spans="3:17" ht="12.75" customHeight="1" x14ac:dyDescent="0.2"/>
    <row r="59" spans="3:17" ht="12.75" customHeight="1" x14ac:dyDescent="0.2"/>
    <row r="60" spans="3:17" ht="12.75" customHeight="1" x14ac:dyDescent="0.2"/>
    <row r="61" spans="3:17" ht="12.75" customHeight="1" x14ac:dyDescent="0.2"/>
    <row r="62" spans="3:17" ht="12.75" customHeight="1" x14ac:dyDescent="0.2"/>
    <row r="63" spans="3:17" ht="12.75" customHeight="1" x14ac:dyDescent="0.2"/>
    <row r="64" spans="3:17" ht="12.75" customHeight="1" x14ac:dyDescent="0.2"/>
    <row r="65" ht="12.75" customHeight="1" x14ac:dyDescent="0.2"/>
    <row r="66" ht="12.75" customHeight="1" x14ac:dyDescent="0.2"/>
    <row r="67" ht="12.75" customHeight="1" x14ac:dyDescent="0.2"/>
    <row r="95" spans="1:16" x14ac:dyDescent="0.2">
      <c r="F95" s="357" t="s">
        <v>353</v>
      </c>
      <c r="G95" s="357"/>
      <c r="H95" s="357"/>
      <c r="I95" s="355" t="s">
        <v>354</v>
      </c>
      <c r="J95" s="355"/>
      <c r="K95" s="353" t="s">
        <v>355</v>
      </c>
      <c r="L95" s="353"/>
      <c r="M95" s="354" t="s">
        <v>356</v>
      </c>
      <c r="N95" s="354"/>
      <c r="O95" s="356" t="s">
        <v>357</v>
      </c>
      <c r="P95" s="356"/>
    </row>
    <row r="96" spans="1:16" x14ac:dyDescent="0.2">
      <c r="A96" s="23" t="s">
        <v>259</v>
      </c>
      <c r="F96" s="13" t="s">
        <v>361</v>
      </c>
      <c r="G96" s="13"/>
      <c r="H96" s="13" t="s">
        <v>44</v>
      </c>
      <c r="I96" s="13" t="s">
        <v>361</v>
      </c>
      <c r="J96" s="13" t="s">
        <v>44</v>
      </c>
      <c r="K96" s="13" t="s">
        <v>361</v>
      </c>
      <c r="L96" s="13" t="s">
        <v>44</v>
      </c>
      <c r="M96" s="13" t="s">
        <v>361</v>
      </c>
      <c r="N96" s="13" t="s">
        <v>44</v>
      </c>
      <c r="O96" s="13" t="s">
        <v>361</v>
      </c>
      <c r="P96" s="13" t="s">
        <v>44</v>
      </c>
    </row>
    <row r="97" spans="2:16" x14ac:dyDescent="0.2">
      <c r="B97" s="76" t="s">
        <v>363</v>
      </c>
      <c r="F97" s="2"/>
      <c r="G97" s="310"/>
      <c r="I97" s="2"/>
      <c r="K97" s="2"/>
      <c r="M97" s="2"/>
      <c r="O97" s="2"/>
    </row>
    <row r="98" spans="2:16" x14ac:dyDescent="0.2">
      <c r="C98" s="1" t="s">
        <v>72</v>
      </c>
      <c r="F98" s="74">
        <f>Затраты!F37+Затраты!G37</f>
        <v>297109.68</v>
      </c>
      <c r="G98" s="74"/>
      <c r="H98" s="99">
        <f t="shared" ref="H98:H104" si="11">IF(F98=0,0,F98/$F$104)</f>
        <v>0.52608291108188798</v>
      </c>
      <c r="I98" s="74">
        <f>Затраты!H37+Затраты!I37</f>
        <v>333832.43644800002</v>
      </c>
      <c r="J98" s="99">
        <f t="shared" ref="J98:J104" si="12">IF(I98=0,0,I98/$I$104)</f>
        <v>0.48311143259035594</v>
      </c>
      <c r="K98" s="74">
        <f>Затраты!J37+Затраты!K37</f>
        <v>375094.12559297285</v>
      </c>
      <c r="L98" s="99">
        <f t="shared" ref="L98:L104" si="13">IF(K98=0,0,K98/$K$104)</f>
        <v>0.48451245091377831</v>
      </c>
      <c r="M98" s="74">
        <f>Затраты!L37+Затраты!M37</f>
        <v>421455.75951626431</v>
      </c>
      <c r="N98" s="99">
        <f t="shared" ref="N98:N104" si="14">IF(M98=0,0,M98/$M$104)</f>
        <v>0.48451245091377826</v>
      </c>
      <c r="O98" s="74">
        <f>Затраты!N37+Затраты!O37</f>
        <v>473547.69139247463</v>
      </c>
      <c r="P98" s="99">
        <f t="shared" ref="P98:P104" si="15">IF(O98=0,0,O98/$O$104)</f>
        <v>0.48451245091377826</v>
      </c>
    </row>
    <row r="99" spans="2:16" x14ac:dyDescent="0.2">
      <c r="C99" s="1" t="s">
        <v>218</v>
      </c>
      <c r="F99" s="74">
        <f>Затраты!F38+Затраты!G38</f>
        <v>200080.65</v>
      </c>
      <c r="G99" s="74"/>
      <c r="H99" s="99">
        <f t="shared" si="11"/>
        <v>0.35427661193387017</v>
      </c>
      <c r="I99" s="74">
        <f>Затраты!H38+Затраты!I38</f>
        <v>223486.86234000002</v>
      </c>
      <c r="J99" s="99">
        <f t="shared" si="12"/>
        <v>0.32342291054458111</v>
      </c>
      <c r="K99" s="74">
        <f>Затраты!J38+Затраты!K38</f>
        <v>249786.08252522402</v>
      </c>
      <c r="L99" s="99">
        <f t="shared" si="13"/>
        <v>0.32265092623651287</v>
      </c>
      <c r="M99" s="74">
        <f>Затраты!L38+Затраты!M38</f>
        <v>279335.88632534171</v>
      </c>
      <c r="N99" s="99">
        <f t="shared" si="14"/>
        <v>0.32112911463591215</v>
      </c>
      <c r="O99" s="74">
        <f>Затраты!N38+Затраты!O38</f>
        <v>312538.04587515397</v>
      </c>
      <c r="P99" s="99">
        <f t="shared" si="15"/>
        <v>0.31977470772900518</v>
      </c>
    </row>
    <row r="100" spans="2:16" x14ac:dyDescent="0.2">
      <c r="C100" s="1" t="s">
        <v>215</v>
      </c>
      <c r="F100" s="74">
        <f>Затраты!F39+Затраты!G39</f>
        <v>14708.4</v>
      </c>
      <c r="G100" s="74"/>
      <c r="H100" s="99">
        <f t="shared" si="11"/>
        <v>2.6043708469400392E-2</v>
      </c>
      <c r="I100" s="74">
        <f>Затраты!H39+Затраты!I39</f>
        <v>16526.358240000001</v>
      </c>
      <c r="J100" s="99">
        <f t="shared" si="12"/>
        <v>2.3916407553978017E-2</v>
      </c>
      <c r="K100" s="74">
        <f>Затраты!J39+Затраты!K39</f>
        <v>18569.016118464002</v>
      </c>
      <c r="L100" s="99">
        <f t="shared" si="13"/>
        <v>2.39857648967217E-2</v>
      </c>
      <c r="M100" s="74">
        <f>Затраты!L39+Затраты!M39</f>
        <v>20864.146510706156</v>
      </c>
      <c r="N100" s="99">
        <f t="shared" si="14"/>
        <v>2.3985764896721697E-2</v>
      </c>
      <c r="O100" s="74">
        <f>Затраты!N39+Затраты!O39</f>
        <v>23442.955019429442</v>
      </c>
      <c r="P100" s="99">
        <f t="shared" si="15"/>
        <v>2.3985764896721704E-2</v>
      </c>
    </row>
    <row r="101" spans="2:16" x14ac:dyDescent="0.2">
      <c r="C101" s="1" t="s">
        <v>55</v>
      </c>
      <c r="F101" s="74">
        <f>Затраты!F40+Затраты!G40</f>
        <v>13004.869565217392</v>
      </c>
      <c r="G101" s="74"/>
      <c r="H101" s="99">
        <f t="shared" si="11"/>
        <v>2.3027319874296293E-2</v>
      </c>
      <c r="I101" s="74">
        <f>Затраты!H40+Затраты!I40</f>
        <v>14612.271443478265</v>
      </c>
      <c r="J101" s="99">
        <f t="shared" si="12"/>
        <v>2.1146403463875342E-2</v>
      </c>
      <c r="K101" s="74">
        <f>Затраты!J40+Затраты!K40</f>
        <v>16418.34819389218</v>
      </c>
      <c r="L101" s="99">
        <f t="shared" si="13"/>
        <v>2.1207727822457625E-2</v>
      </c>
      <c r="M101" s="74">
        <f>Затраты!L40+Затраты!M40</f>
        <v>18447.656030657257</v>
      </c>
      <c r="N101" s="99">
        <f t="shared" si="14"/>
        <v>2.1207727822457629E-2</v>
      </c>
      <c r="O101" s="74">
        <f>Затраты!N40+Затраты!O40</f>
        <v>20727.786316046495</v>
      </c>
      <c r="P101" s="99">
        <f t="shared" si="15"/>
        <v>2.1207727822457625E-2</v>
      </c>
    </row>
    <row r="102" spans="2:16" x14ac:dyDescent="0.2">
      <c r="C102" s="1" t="s">
        <v>62</v>
      </c>
      <c r="F102" s="74">
        <f>Затраты!Q41</f>
        <v>0</v>
      </c>
      <c r="G102" s="74"/>
      <c r="H102" s="99">
        <f t="shared" si="11"/>
        <v>0</v>
      </c>
      <c r="I102" s="74">
        <f>Затраты!H41+Затраты!I41</f>
        <v>58000</v>
      </c>
      <c r="J102" s="99">
        <f t="shared" si="12"/>
        <v>8.3935711545529507E-2</v>
      </c>
      <c r="K102" s="74">
        <f>Затраты!J41+Затраты!K41</f>
        <v>58000</v>
      </c>
      <c r="L102" s="116">
        <f t="shared" si="13"/>
        <v>7.4919120923512564E-2</v>
      </c>
      <c r="M102" s="74">
        <f>K102</f>
        <v>58000</v>
      </c>
      <c r="N102" s="99">
        <f t="shared" si="14"/>
        <v>6.6677750910922526E-2</v>
      </c>
      <c r="O102" s="74">
        <f>M102</f>
        <v>58000</v>
      </c>
      <c r="P102" s="99">
        <f t="shared" si="15"/>
        <v>5.9342960938877289E-2</v>
      </c>
    </row>
    <row r="103" spans="2:16" x14ac:dyDescent="0.2">
      <c r="C103" s="1" t="s">
        <v>79</v>
      </c>
      <c r="F103" s="74">
        <f>Затраты!F42+Затраты!G42</f>
        <v>39854.680434782604</v>
      </c>
      <c r="G103" s="74"/>
      <c r="H103" s="99">
        <f t="shared" si="11"/>
        <v>7.0569448640545124E-2</v>
      </c>
      <c r="I103" s="74">
        <f>Затраты!H42+Затраты!I42</f>
        <v>44547.114936521742</v>
      </c>
      <c r="J103" s="99">
        <f t="shared" si="12"/>
        <v>6.4467134301679968E-2</v>
      </c>
      <c r="K103" s="74">
        <f>Затраты!J42+Затраты!K42</f>
        <v>49819.534342675826</v>
      </c>
      <c r="L103" s="116">
        <f t="shared" si="13"/>
        <v>6.4352339961586513E-2</v>
      </c>
      <c r="M103" s="74">
        <f>K103</f>
        <v>49819.534342675826</v>
      </c>
      <c r="N103" s="99">
        <f t="shared" si="14"/>
        <v>5.7273353472398092E-2</v>
      </c>
      <c r="O103" s="74">
        <f>M103</f>
        <v>49819.534342675826</v>
      </c>
      <c r="P103" s="99">
        <f t="shared" si="15"/>
        <v>5.0973080698111503E-2</v>
      </c>
    </row>
    <row r="104" spans="2:16" s="25" customFormat="1" x14ac:dyDescent="0.2">
      <c r="C104" s="26" t="s">
        <v>389</v>
      </c>
      <c r="D104" s="26"/>
      <c r="E104" s="26"/>
      <c r="F104" s="93">
        <f>Затраты!F44+Затраты!G44</f>
        <v>564758.28</v>
      </c>
      <c r="G104" s="93"/>
      <c r="H104" s="100">
        <f t="shared" si="11"/>
        <v>1</v>
      </c>
      <c r="I104" s="93">
        <f>Затраты!H44+Затраты!I44</f>
        <v>691005.04340800014</v>
      </c>
      <c r="J104" s="100">
        <f t="shared" si="12"/>
        <v>1</v>
      </c>
      <c r="K104" s="93">
        <f>Затраты!J44+Затраты!K44</f>
        <v>774168.18677322892</v>
      </c>
      <c r="L104" s="100">
        <f t="shared" si="13"/>
        <v>1</v>
      </c>
      <c r="M104" s="93">
        <f>Затраты!L44+Затраты!M44</f>
        <v>869855.37465840019</v>
      </c>
      <c r="N104" s="100">
        <f t="shared" si="14"/>
        <v>1</v>
      </c>
      <c r="O104" s="93">
        <f>Затраты!N44+Затраты!O44</f>
        <v>977369.49896617851</v>
      </c>
      <c r="P104" s="100">
        <f t="shared" si="15"/>
        <v>1</v>
      </c>
    </row>
    <row r="105" spans="2:16" x14ac:dyDescent="0.2">
      <c r="B105" s="76" t="s">
        <v>365</v>
      </c>
      <c r="F105" s="117"/>
      <c r="G105" s="117"/>
      <c r="I105" s="117"/>
      <c r="K105" s="117"/>
      <c r="M105" s="117"/>
      <c r="O105" s="117"/>
    </row>
    <row r="106" spans="2:16" x14ac:dyDescent="0.2">
      <c r="C106" s="1" t="s">
        <v>72</v>
      </c>
      <c r="F106" s="74" t="e">
        <f>Персонал!#REF!+Персонал!#REF!</f>
        <v>#REF!</v>
      </c>
      <c r="G106" s="74"/>
      <c r="H106" s="99" t="e">
        <f t="shared" ref="H106:H112" si="16">IF(F106=0,0,F106/$F$112)</f>
        <v>#REF!</v>
      </c>
      <c r="I106" s="74" t="e">
        <f>Затраты!#REF!+Затраты!#REF!</f>
        <v>#REF!</v>
      </c>
      <c r="J106" s="99" t="e">
        <f t="shared" ref="J106:J112" si="17">IF(I106=0,0,I106/$I$112)</f>
        <v>#REF!</v>
      </c>
      <c r="K106" s="74" t="e">
        <f>Затраты!#REF!+Затраты!#REF!</f>
        <v>#REF!</v>
      </c>
      <c r="L106" s="99" t="e">
        <f t="shared" ref="L106:L112" si="18">IF(K106=0,0,K106/$K$112)</f>
        <v>#REF!</v>
      </c>
      <c r="M106" s="74" t="e">
        <f>Затраты!#REF!+Затраты!#REF!</f>
        <v>#REF!</v>
      </c>
      <c r="N106" s="99" t="e">
        <f t="shared" ref="N106:N112" si="19">IF(M106=0,0,M106/$M$112)</f>
        <v>#REF!</v>
      </c>
      <c r="O106" s="74" t="e">
        <f>Затраты!#REF!+Затраты!#REF!</f>
        <v>#REF!</v>
      </c>
      <c r="P106" s="99" t="e">
        <f t="shared" ref="P106:P112" si="20">IF(O106=0,0,O106/$O$112)</f>
        <v>#REF!</v>
      </c>
    </row>
    <row r="107" spans="2:16" x14ac:dyDescent="0.2">
      <c r="C107" s="1" t="s">
        <v>218</v>
      </c>
      <c r="F107" s="74" t="e">
        <f>Затраты!#REF!</f>
        <v>#REF!</v>
      </c>
      <c r="G107" s="74"/>
      <c r="H107" s="99" t="e">
        <f t="shared" si="16"/>
        <v>#REF!</v>
      </c>
      <c r="I107" s="74" t="e">
        <f>Затраты!#REF!</f>
        <v>#REF!</v>
      </c>
      <c r="J107" s="99" t="e">
        <f t="shared" si="17"/>
        <v>#REF!</v>
      </c>
      <c r="K107" s="74" t="e">
        <f>Затраты!#REF!</f>
        <v>#REF!</v>
      </c>
      <c r="L107" s="99" t="e">
        <f t="shared" si="18"/>
        <v>#REF!</v>
      </c>
      <c r="M107" s="74" t="e">
        <f>Затраты!#REF!</f>
        <v>#REF!</v>
      </c>
      <c r="N107" s="99" t="e">
        <f t="shared" si="19"/>
        <v>#REF!</v>
      </c>
      <c r="O107" s="74" t="e">
        <f>Затраты!#REF!</f>
        <v>#REF!</v>
      </c>
      <c r="P107" s="99" t="e">
        <f t="shared" si="20"/>
        <v>#REF!</v>
      </c>
    </row>
    <row r="108" spans="2:16" x14ac:dyDescent="0.2">
      <c r="C108" s="1" t="s">
        <v>215</v>
      </c>
      <c r="F108" s="74" t="e">
        <f>Затраты!#REF!+Затраты!#REF!</f>
        <v>#REF!</v>
      </c>
      <c r="G108" s="74"/>
      <c r="H108" s="99" t="e">
        <f t="shared" si="16"/>
        <v>#REF!</v>
      </c>
      <c r="I108" s="74" t="e">
        <f>Затраты!#REF!+Затраты!#REF!</f>
        <v>#REF!</v>
      </c>
      <c r="J108" s="99" t="e">
        <f t="shared" si="17"/>
        <v>#REF!</v>
      </c>
      <c r="K108" s="74" t="e">
        <f>Затраты!#REF!+Затраты!#REF!</f>
        <v>#REF!</v>
      </c>
      <c r="L108" s="99" t="e">
        <f t="shared" si="18"/>
        <v>#REF!</v>
      </c>
      <c r="M108" s="74" t="e">
        <f>Затраты!#REF!+Затраты!#REF!</f>
        <v>#REF!</v>
      </c>
      <c r="N108" s="99" t="e">
        <f t="shared" si="19"/>
        <v>#REF!</v>
      </c>
      <c r="O108" s="74" t="e">
        <f>Затраты!#REF!+Затраты!#REF!</f>
        <v>#REF!</v>
      </c>
      <c r="P108" s="99" t="e">
        <f t="shared" si="20"/>
        <v>#REF!</v>
      </c>
    </row>
    <row r="109" spans="2:16" x14ac:dyDescent="0.2">
      <c r="C109" s="1" t="s">
        <v>55</v>
      </c>
      <c r="F109" s="74" t="e">
        <f>Затраты!#REF!+Затраты!#REF!</f>
        <v>#REF!</v>
      </c>
      <c r="G109" s="74"/>
      <c r="H109" s="99" t="e">
        <f t="shared" si="16"/>
        <v>#REF!</v>
      </c>
      <c r="I109" s="74" t="e">
        <f>Затраты!#REF!+Затраты!#REF!</f>
        <v>#REF!</v>
      </c>
      <c r="J109" s="99" t="e">
        <f t="shared" si="17"/>
        <v>#REF!</v>
      </c>
      <c r="K109" s="74" t="e">
        <f>Затраты!#REF!+Затраты!#REF!</f>
        <v>#REF!</v>
      </c>
      <c r="L109" s="99" t="e">
        <f t="shared" si="18"/>
        <v>#REF!</v>
      </c>
      <c r="M109" s="74" t="e">
        <f>Затраты!#REF!+Затраты!#REF!</f>
        <v>#REF!</v>
      </c>
      <c r="N109" s="99" t="e">
        <f t="shared" si="19"/>
        <v>#REF!</v>
      </c>
      <c r="O109" s="74" t="e">
        <f>Затраты!#REF!+Затраты!#REF!</f>
        <v>#REF!</v>
      </c>
      <c r="P109" s="99" t="e">
        <f t="shared" si="20"/>
        <v>#REF!</v>
      </c>
    </row>
    <row r="110" spans="2:16" x14ac:dyDescent="0.2">
      <c r="C110" s="1" t="s">
        <v>62</v>
      </c>
      <c r="F110" s="74" t="e">
        <f>Затраты!#REF!</f>
        <v>#REF!</v>
      </c>
      <c r="G110" s="74"/>
      <c r="H110" s="99" t="e">
        <f t="shared" si="16"/>
        <v>#REF!</v>
      </c>
      <c r="I110" s="74">
        <f>Затраты!H41+Затраты!I41</f>
        <v>58000</v>
      </c>
      <c r="J110" s="99" t="e">
        <f t="shared" si="17"/>
        <v>#REF!</v>
      </c>
      <c r="K110" s="74">
        <f>I110</f>
        <v>58000</v>
      </c>
      <c r="L110" s="99" t="e">
        <f t="shared" si="18"/>
        <v>#REF!</v>
      </c>
      <c r="M110" s="74">
        <f>K110</f>
        <v>58000</v>
      </c>
      <c r="N110" s="99" t="e">
        <f t="shared" si="19"/>
        <v>#REF!</v>
      </c>
      <c r="O110" s="74">
        <f>M110</f>
        <v>58000</v>
      </c>
      <c r="P110" s="99" t="e">
        <f t="shared" si="20"/>
        <v>#REF!</v>
      </c>
    </row>
    <row r="111" spans="2:16" x14ac:dyDescent="0.2">
      <c r="C111" s="1" t="s">
        <v>79</v>
      </c>
      <c r="F111" s="74" t="e">
        <f>Затраты!#REF!</f>
        <v>#REF!</v>
      </c>
      <c r="G111" s="74"/>
      <c r="H111" s="99" t="e">
        <f t="shared" si="16"/>
        <v>#REF!</v>
      </c>
      <c r="I111" s="74" t="e">
        <f>Затраты!#REF!</f>
        <v>#REF!</v>
      </c>
      <c r="J111" s="99" t="e">
        <f t="shared" si="17"/>
        <v>#REF!</v>
      </c>
      <c r="K111" s="74" t="e">
        <f>Затраты!#REF!</f>
        <v>#REF!</v>
      </c>
      <c r="L111" s="99" t="e">
        <f t="shared" si="18"/>
        <v>#REF!</v>
      </c>
      <c r="M111" s="74" t="e">
        <f>Затраты!#REF!</f>
        <v>#REF!</v>
      </c>
      <c r="N111" s="99" t="e">
        <f t="shared" si="19"/>
        <v>#REF!</v>
      </c>
      <c r="O111" s="74" t="e">
        <f>Затраты!#REF!</f>
        <v>#REF!</v>
      </c>
      <c r="P111" s="99" t="e">
        <f t="shared" si="20"/>
        <v>#REF!</v>
      </c>
    </row>
    <row r="112" spans="2:16" x14ac:dyDescent="0.2">
      <c r="B112" s="25"/>
      <c r="C112" s="26" t="s">
        <v>390</v>
      </c>
      <c r="D112" s="26"/>
      <c r="F112" s="93" t="e">
        <f>Затраты!#REF!+Затраты!#REF!</f>
        <v>#REF!</v>
      </c>
      <c r="G112" s="93"/>
      <c r="H112" s="100" t="e">
        <f t="shared" si="16"/>
        <v>#REF!</v>
      </c>
      <c r="I112" s="93" t="e">
        <f>Затраты!#REF!+Затраты!#REF!</f>
        <v>#REF!</v>
      </c>
      <c r="J112" s="100" t="e">
        <f t="shared" si="17"/>
        <v>#REF!</v>
      </c>
      <c r="K112" s="93" t="e">
        <f>Затраты!#REF!+Затраты!#REF!</f>
        <v>#REF!</v>
      </c>
      <c r="L112" s="100" t="e">
        <f t="shared" si="18"/>
        <v>#REF!</v>
      </c>
      <c r="M112" s="93" t="e">
        <f>Затраты!#REF!+Затраты!#REF!</f>
        <v>#REF!</v>
      </c>
      <c r="N112" s="100" t="e">
        <f t="shared" si="19"/>
        <v>#REF!</v>
      </c>
      <c r="O112" s="93" t="e">
        <f>Затраты!#REF!+Затраты!#REF!</f>
        <v>#REF!</v>
      </c>
      <c r="P112" s="100" t="e">
        <f t="shared" si="20"/>
        <v>#REF!</v>
      </c>
    </row>
    <row r="114" spans="2:16" x14ac:dyDescent="0.2">
      <c r="F114" s="279"/>
      <c r="G114" s="279"/>
      <c r="H114" s="172"/>
      <c r="I114" s="172"/>
      <c r="J114" s="172"/>
      <c r="K114" s="172"/>
    </row>
    <row r="118" spans="2:16" x14ac:dyDescent="0.2">
      <c r="B118" s="281" t="s">
        <v>351</v>
      </c>
    </row>
    <row r="119" spans="2:16" x14ac:dyDescent="0.2">
      <c r="C119" s="1" t="s">
        <v>72</v>
      </c>
      <c r="F119" s="280" t="e">
        <f>Затраты!#REF!+Затраты!#REF!</f>
        <v>#REF!</v>
      </c>
      <c r="G119" s="280"/>
      <c r="H119" s="282" t="e">
        <f>F119/F125</f>
        <v>#REF!</v>
      </c>
      <c r="I119" s="280" t="e">
        <f>Затраты!#REF!+Затраты!#REF!</f>
        <v>#REF!</v>
      </c>
      <c r="J119" s="287" t="e">
        <f>I119/I125</f>
        <v>#REF!</v>
      </c>
      <c r="K119" s="280" t="e">
        <f>Затраты!#REF!+Затраты!#REF!</f>
        <v>#REF!</v>
      </c>
      <c r="L119" s="282" t="e">
        <f>K119/K125</f>
        <v>#REF!</v>
      </c>
      <c r="M119" s="280" t="e">
        <f>Затраты!#REF!+Затраты!#REF!</f>
        <v>#REF!</v>
      </c>
      <c r="N119" s="282" t="e">
        <f>M119/M125</f>
        <v>#REF!</v>
      </c>
      <c r="O119" s="280" t="e">
        <f>Затраты!#REF!+Затраты!#REF!</f>
        <v>#REF!</v>
      </c>
      <c r="P119" s="282" t="e">
        <f>O119/O125</f>
        <v>#REF!</v>
      </c>
    </row>
    <row r="120" spans="2:16" x14ac:dyDescent="0.2">
      <c r="C120" s="1" t="s">
        <v>218</v>
      </c>
      <c r="F120" s="280" t="e">
        <f>Затраты!#REF!+Затраты!#REF!</f>
        <v>#REF!</v>
      </c>
      <c r="G120" s="280"/>
      <c r="H120" s="282" t="e">
        <f>F120/F125</f>
        <v>#REF!</v>
      </c>
      <c r="I120" s="280" t="e">
        <f>Затраты!#REF!+Затраты!#REF!</f>
        <v>#REF!</v>
      </c>
      <c r="J120" s="287" t="e">
        <f>I120/I125</f>
        <v>#REF!</v>
      </c>
      <c r="K120" s="280" t="e">
        <f>Затраты!#REF!+Затраты!#REF!</f>
        <v>#REF!</v>
      </c>
      <c r="L120" s="282" t="e">
        <f>K120/K125</f>
        <v>#REF!</v>
      </c>
      <c r="M120" s="280" t="e">
        <f>Затраты!#REF!+Затраты!#REF!</f>
        <v>#REF!</v>
      </c>
      <c r="N120" s="282" t="e">
        <f>M120/M125</f>
        <v>#REF!</v>
      </c>
      <c r="O120" s="280" t="e">
        <f>Затраты!#REF!+Затраты!#REF!</f>
        <v>#REF!</v>
      </c>
      <c r="P120" s="282" t="e">
        <f>O120/O125</f>
        <v>#REF!</v>
      </c>
    </row>
    <row r="121" spans="2:16" x14ac:dyDescent="0.2">
      <c r="C121" s="1" t="s">
        <v>215</v>
      </c>
      <c r="F121" s="280" t="e">
        <f>F108</f>
        <v>#REF!</v>
      </c>
      <c r="G121" s="280"/>
      <c r="H121" s="282" t="e">
        <f>F121/F125</f>
        <v>#REF!</v>
      </c>
      <c r="I121" s="280" t="e">
        <f>I108</f>
        <v>#REF!</v>
      </c>
      <c r="J121" s="287" t="e">
        <f>I121/I125</f>
        <v>#REF!</v>
      </c>
      <c r="K121" s="280">
        <f>K100</f>
        <v>18569.016118464002</v>
      </c>
      <c r="L121" s="282" t="e">
        <f>K121/K125</f>
        <v>#REF!</v>
      </c>
      <c r="M121" s="280" t="e">
        <f>M108</f>
        <v>#REF!</v>
      </c>
      <c r="N121" s="282" t="e">
        <f>M121/M125</f>
        <v>#REF!</v>
      </c>
      <c r="O121" s="280" t="e">
        <f>O108</f>
        <v>#REF!</v>
      </c>
      <c r="P121" s="282" t="e">
        <f>O121/O125</f>
        <v>#REF!</v>
      </c>
    </row>
    <row r="122" spans="2:16" x14ac:dyDescent="0.2">
      <c r="C122" s="1" t="s">
        <v>55</v>
      </c>
      <c r="F122" s="280" t="e">
        <f>F109</f>
        <v>#REF!</v>
      </c>
      <c r="G122" s="280"/>
      <c r="H122" s="282" t="e">
        <f>F122/F125</f>
        <v>#REF!</v>
      </c>
      <c r="I122" s="280" t="e">
        <f>I109</f>
        <v>#REF!</v>
      </c>
      <c r="J122" s="287" t="e">
        <f>I122/I125</f>
        <v>#REF!</v>
      </c>
      <c r="K122" s="280" t="e">
        <f>K109</f>
        <v>#REF!</v>
      </c>
      <c r="L122" s="282" t="e">
        <f>K122/K125</f>
        <v>#REF!</v>
      </c>
      <c r="M122" s="280" t="e">
        <f>M109</f>
        <v>#REF!</v>
      </c>
      <c r="N122" s="282" t="e">
        <f>M122/M125</f>
        <v>#REF!</v>
      </c>
      <c r="O122" s="280" t="e">
        <f>O109</f>
        <v>#REF!</v>
      </c>
      <c r="P122" s="282" t="e">
        <f>O122/O125</f>
        <v>#REF!</v>
      </c>
    </row>
    <row r="123" spans="2:16" x14ac:dyDescent="0.2">
      <c r="C123" s="1" t="s">
        <v>62</v>
      </c>
      <c r="F123" s="1">
        <v>0</v>
      </c>
      <c r="H123" s="282" t="e">
        <f>F123/F125</f>
        <v>#REF!</v>
      </c>
      <c r="I123" s="280">
        <f>I110</f>
        <v>58000</v>
      </c>
      <c r="J123" s="287" t="e">
        <f>I123/I125</f>
        <v>#REF!</v>
      </c>
      <c r="K123" s="280">
        <f>K110</f>
        <v>58000</v>
      </c>
      <c r="L123" s="282" t="e">
        <f>K123/K125</f>
        <v>#REF!</v>
      </c>
      <c r="M123" s="280">
        <f>M110</f>
        <v>58000</v>
      </c>
      <c r="N123" s="282" t="e">
        <f>M123/M125</f>
        <v>#REF!</v>
      </c>
      <c r="O123" s="280">
        <f>O110</f>
        <v>58000</v>
      </c>
      <c r="P123" s="282" t="e">
        <f>O123/O125</f>
        <v>#REF!</v>
      </c>
    </row>
    <row r="124" spans="2:16" x14ac:dyDescent="0.2">
      <c r="C124" s="1" t="s">
        <v>79</v>
      </c>
      <c r="F124" s="1">
        <v>0</v>
      </c>
      <c r="H124" s="282" t="e">
        <f>F124/F125</f>
        <v>#REF!</v>
      </c>
      <c r="I124" s="1">
        <v>0</v>
      </c>
      <c r="J124" s="287" t="e">
        <f>I124/I125</f>
        <v>#REF!</v>
      </c>
      <c r="K124" s="1">
        <v>0</v>
      </c>
      <c r="L124" s="282" t="e">
        <f>K124/K125</f>
        <v>#REF!</v>
      </c>
      <c r="M124" s="1">
        <v>0</v>
      </c>
      <c r="N124" s="282" t="e">
        <f>M124/M125</f>
        <v>#REF!</v>
      </c>
      <c r="O124" s="1">
        <v>0</v>
      </c>
      <c r="P124" s="282" t="e">
        <f>O124/O125</f>
        <v>#REF!</v>
      </c>
    </row>
    <row r="125" spans="2:16" x14ac:dyDescent="0.2">
      <c r="C125" s="26" t="s">
        <v>391</v>
      </c>
      <c r="D125" s="26"/>
      <c r="F125" s="280" t="e">
        <f>Затраты!#REF!+Затраты!#REF!</f>
        <v>#REF!</v>
      </c>
      <c r="G125" s="280"/>
      <c r="H125" s="282" t="e">
        <f>SUM(H119:H124)</f>
        <v>#REF!</v>
      </c>
      <c r="I125" s="280" t="e">
        <f>Затраты!#REF!+Затраты!#REF!</f>
        <v>#REF!</v>
      </c>
      <c r="J125" s="287" t="e">
        <f>SUM(J119:J124)</f>
        <v>#REF!</v>
      </c>
      <c r="K125" s="280" t="e">
        <f>Затраты!#REF!+Затраты!#REF!</f>
        <v>#REF!</v>
      </c>
      <c r="L125" s="282" t="e">
        <f>SUM(L119:L124)</f>
        <v>#REF!</v>
      </c>
      <c r="M125" s="280" t="e">
        <f>Затраты!#REF!+Затраты!#REF!</f>
        <v>#REF!</v>
      </c>
      <c r="N125" s="282" t="e">
        <f>SUM(N119:N124)</f>
        <v>#REF!</v>
      </c>
      <c r="O125" s="280" t="e">
        <f>Затраты!#REF!+Затраты!#REF!</f>
        <v>#REF!</v>
      </c>
      <c r="P125" s="282" t="e">
        <f>SUM(P119:P124)</f>
        <v>#REF!</v>
      </c>
    </row>
  </sheetData>
  <mergeCells count="20">
    <mergeCell ref="H44:I44"/>
    <mergeCell ref="J44:K44"/>
    <mergeCell ref="L44:M44"/>
    <mergeCell ref="N44:O44"/>
    <mergeCell ref="P44:Q44"/>
    <mergeCell ref="O95:P95"/>
    <mergeCell ref="F95:H95"/>
    <mergeCell ref="I95:J95"/>
    <mergeCell ref="K95:L95"/>
    <mergeCell ref="M95:N95"/>
    <mergeCell ref="H2:I2"/>
    <mergeCell ref="J2:K2"/>
    <mergeCell ref="L2:M2"/>
    <mergeCell ref="N2:O2"/>
    <mergeCell ref="P2:Q2"/>
    <mergeCell ref="H36:I36"/>
    <mergeCell ref="J36:K36"/>
    <mergeCell ref="L36:M36"/>
    <mergeCell ref="N36:O36"/>
    <mergeCell ref="P36:Q36"/>
  </mergeCells>
  <phoneticPr fontId="0" type="noConversion"/>
  <hyperlinks>
    <hyperlink ref="E1" r:id="rId1"/>
  </hyperlinks>
  <pageMargins left="0.75" right="0.75" top="1" bottom="1" header="0.5" footer="0.5"/>
  <pageSetup paperSize="9" orientation="portrait" verticalDpi="1200" r:id="rId2"/>
  <headerFooter alignWithMargins="0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'Анализ проекта'!H37:Q37</xm:f>
              <xm:sqref>R45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6"/>
  <sheetViews>
    <sheetView zoomScale="85" zoomScaleNormal="85" workbookViewId="0">
      <selection activeCell="I29" sqref="I29"/>
    </sheetView>
  </sheetViews>
  <sheetFormatPr defaultRowHeight="12.75" x14ac:dyDescent="0.2"/>
  <cols>
    <col min="1" max="1" width="41.140625" style="122" customWidth="1"/>
    <col min="2" max="2" width="11.85546875" style="122" customWidth="1"/>
    <col min="3" max="3" width="11.7109375" style="118" customWidth="1"/>
    <col min="4" max="6" width="11.7109375" style="118" bestFit="1" customWidth="1"/>
    <col min="7" max="7" width="12.28515625" style="118" bestFit="1" customWidth="1"/>
    <col min="8" max="16384" width="9.140625" style="118"/>
  </cols>
  <sheetData>
    <row r="1" spans="1:8" ht="18" x14ac:dyDescent="0.25">
      <c r="A1" s="242" t="s">
        <v>349</v>
      </c>
    </row>
    <row r="2" spans="1:8" x14ac:dyDescent="0.2">
      <c r="A2" s="11" t="s">
        <v>268</v>
      </c>
      <c r="B2" s="133" t="s">
        <v>39</v>
      </c>
      <c r="C2" s="3" t="s">
        <v>353</v>
      </c>
      <c r="D2" s="4" t="s">
        <v>354</v>
      </c>
      <c r="E2" s="5" t="s">
        <v>355</v>
      </c>
      <c r="F2" s="6" t="s">
        <v>356</v>
      </c>
      <c r="G2" s="7" t="s">
        <v>357</v>
      </c>
    </row>
    <row r="3" spans="1:8" s="119" customFormat="1" x14ac:dyDescent="0.2">
      <c r="A3" s="124"/>
      <c r="B3" s="124"/>
    </row>
    <row r="4" spans="1:8" x14ac:dyDescent="0.2">
      <c r="A4" s="144" t="s">
        <v>107</v>
      </c>
      <c r="B4" s="101"/>
      <c r="C4" s="57"/>
      <c r="D4" s="57"/>
      <c r="E4" s="57"/>
      <c r="F4" s="58"/>
      <c r="G4" s="57"/>
      <c r="H4" s="129"/>
    </row>
    <row r="5" spans="1:8" x14ac:dyDescent="0.2">
      <c r="A5" s="23" t="s">
        <v>249</v>
      </c>
      <c r="B5" s="23"/>
    </row>
    <row r="6" spans="1:8" x14ac:dyDescent="0.2">
      <c r="A6" s="166" t="s">
        <v>172</v>
      </c>
      <c r="B6" s="72" t="s">
        <v>361</v>
      </c>
      <c r="C6" s="139"/>
      <c r="D6" s="139"/>
      <c r="E6" s="139"/>
      <c r="F6" s="139"/>
      <c r="G6" s="139"/>
    </row>
    <row r="7" spans="1:8" x14ac:dyDescent="0.2">
      <c r="A7" s="166" t="s">
        <v>171</v>
      </c>
      <c r="B7" s="72" t="s">
        <v>361</v>
      </c>
      <c r="C7" s="139">
        <f>'НА и ОС'!H48</f>
        <v>1040000</v>
      </c>
      <c r="D7" s="139">
        <f>'НА и ОС'!I48</f>
        <v>1008000</v>
      </c>
      <c r="E7" s="139">
        <f>'НА и ОС'!J48</f>
        <v>976000</v>
      </c>
      <c r="F7" s="139">
        <f>'НА и ОС'!K48</f>
        <v>944000</v>
      </c>
      <c r="G7" s="139">
        <f>'НА и ОС'!L48</f>
        <v>912000</v>
      </c>
    </row>
    <row r="8" spans="1:8" x14ac:dyDescent="0.2">
      <c r="A8" s="166" t="s">
        <v>112</v>
      </c>
      <c r="B8" s="72" t="s">
        <v>361</v>
      </c>
      <c r="C8" s="139"/>
      <c r="D8" s="139"/>
      <c r="E8" s="139"/>
      <c r="F8" s="139"/>
      <c r="G8" s="139"/>
    </row>
    <row r="9" spans="1:8" x14ac:dyDescent="0.2">
      <c r="A9" s="130" t="s">
        <v>250</v>
      </c>
      <c r="B9" s="72" t="s">
        <v>361</v>
      </c>
      <c r="C9" s="141">
        <f>C6+C7+C8</f>
        <v>1040000</v>
      </c>
      <c r="D9" s="141">
        <f>D6+D7+D8</f>
        <v>1008000</v>
      </c>
      <c r="E9" s="141">
        <f>E6+E7+E8</f>
        <v>976000</v>
      </c>
      <c r="F9" s="141">
        <f>F6+F7+F8</f>
        <v>944000</v>
      </c>
      <c r="G9" s="141">
        <f>G6+G7+G8</f>
        <v>912000</v>
      </c>
    </row>
    <row r="10" spans="1:8" x14ac:dyDescent="0.2">
      <c r="A10" s="128"/>
      <c r="B10" s="128"/>
      <c r="C10" s="142"/>
      <c r="D10" s="142"/>
      <c r="E10" s="142"/>
      <c r="F10" s="142"/>
      <c r="G10" s="142"/>
    </row>
    <row r="11" spans="1:8" x14ac:dyDescent="0.2">
      <c r="A11" s="23" t="s">
        <v>113</v>
      </c>
      <c r="B11" s="118"/>
      <c r="C11" s="142"/>
      <c r="D11" s="142"/>
      <c r="E11" s="142"/>
      <c r="F11" s="142"/>
      <c r="G11" s="142"/>
    </row>
    <row r="12" spans="1:8" x14ac:dyDescent="0.2">
      <c r="A12" s="166" t="s">
        <v>251</v>
      </c>
      <c r="B12" s="72" t="s">
        <v>361</v>
      </c>
      <c r="C12" s="139">
        <f>'Оборот. К.'!G11</f>
        <v>0</v>
      </c>
      <c r="D12" s="139">
        <f>'Оборот. К.'!K11</f>
        <v>0</v>
      </c>
      <c r="E12" s="139">
        <v>0</v>
      </c>
      <c r="F12" s="139">
        <v>0</v>
      </c>
      <c r="G12" s="139">
        <v>0</v>
      </c>
    </row>
    <row r="13" spans="1:8" x14ac:dyDescent="0.2">
      <c r="A13" s="167" t="s">
        <v>178</v>
      </c>
      <c r="B13" s="72" t="s">
        <v>361</v>
      </c>
      <c r="C13" s="139">
        <f>'Оборот. К.'!G12</f>
        <v>0</v>
      </c>
      <c r="D13" s="139">
        <f>'Оборот. К.'!K12</f>
        <v>0</v>
      </c>
      <c r="E13" s="139">
        <f>'Оборот. К.'!L12</f>
        <v>0</v>
      </c>
      <c r="F13" s="139">
        <f>'Оборот. К.'!M12</f>
        <v>0</v>
      </c>
      <c r="G13" s="139">
        <f>'Оборот. К.'!N12</f>
        <v>0</v>
      </c>
    </row>
    <row r="14" spans="1:8" x14ac:dyDescent="0.2">
      <c r="A14" s="166" t="s">
        <v>177</v>
      </c>
      <c r="B14" s="72" t="s">
        <v>361</v>
      </c>
      <c r="C14" s="139">
        <f>'Оборот. К.'!G13</f>
        <v>0</v>
      </c>
      <c r="D14" s="139">
        <f>'Оборот. К.'!K13</f>
        <v>0</v>
      </c>
      <c r="E14" s="139">
        <f>'Оборот. К.'!L13</f>
        <v>0</v>
      </c>
      <c r="F14" s="139">
        <f>'Оборот. К.'!M13</f>
        <v>0</v>
      </c>
      <c r="G14" s="139">
        <f>'Оборот. К.'!N13</f>
        <v>0</v>
      </c>
    </row>
    <row r="15" spans="1:8" x14ac:dyDescent="0.2">
      <c r="A15" s="166" t="s">
        <v>170</v>
      </c>
      <c r="B15" s="72" t="s">
        <v>361</v>
      </c>
      <c r="C15" s="139">
        <f>'Форма 1'!I13</f>
        <v>0</v>
      </c>
      <c r="D15" s="139">
        <f>'Форма 1'!M13</f>
        <v>0</v>
      </c>
      <c r="E15" s="139">
        <f>'Форма 1'!N13</f>
        <v>0</v>
      </c>
      <c r="F15" s="139">
        <f>'Форма 1'!O13</f>
        <v>0</v>
      </c>
      <c r="G15" s="139">
        <f>'Форма 1'!P13</f>
        <v>0</v>
      </c>
    </row>
    <row r="16" spans="1:8" x14ac:dyDescent="0.2">
      <c r="A16" s="166" t="s">
        <v>169</v>
      </c>
      <c r="B16" s="72" t="s">
        <v>361</v>
      </c>
      <c r="C16" s="139">
        <f>'Форма 1'!G14</f>
        <v>1348339.6400000001</v>
      </c>
      <c r="D16" s="139">
        <f>'Форма 1'!I15</f>
        <v>4199044.3587040007</v>
      </c>
      <c r="E16" s="139">
        <f>'Форма 1'!K15</f>
        <v>4925843.3148798151</v>
      </c>
      <c r="F16" s="139">
        <f>'Форма 1'!L14</f>
        <v>3840400.461026364</v>
      </c>
      <c r="G16" s="139">
        <f>'Форма 1'!M14</f>
        <v>4160648.9126879461</v>
      </c>
    </row>
    <row r="17" spans="1:7" x14ac:dyDescent="0.2">
      <c r="A17" s="130" t="s">
        <v>252</v>
      </c>
      <c r="B17" s="72" t="s">
        <v>361</v>
      </c>
      <c r="C17" s="141">
        <f>C12+C13+C14+C15+C16</f>
        <v>1348339.6400000001</v>
      </c>
      <c r="D17" s="141">
        <f>D12+D13+D14+D15+D16</f>
        <v>4199044.3587040007</v>
      </c>
      <c r="E17" s="141">
        <f>E12+E13+E14+E15+E16</f>
        <v>4925843.3148798151</v>
      </c>
      <c r="F17" s="141">
        <f>F12+F13+F14+F15+F16</f>
        <v>3840400.461026364</v>
      </c>
      <c r="G17" s="141">
        <f>G12+G13+G14+G15+G16</f>
        <v>4160648.9126879461</v>
      </c>
    </row>
    <row r="18" spans="1:7" x14ac:dyDescent="0.2">
      <c r="A18" s="127"/>
      <c r="B18" s="127"/>
      <c r="C18" s="143"/>
      <c r="D18" s="143"/>
      <c r="E18" s="143"/>
      <c r="F18" s="143"/>
      <c r="G18" s="143"/>
    </row>
    <row r="19" spans="1:7" x14ac:dyDescent="0.2">
      <c r="A19" s="120" t="s">
        <v>257</v>
      </c>
      <c r="B19" s="72" t="s">
        <v>361</v>
      </c>
      <c r="C19" s="141">
        <f>C17+C9</f>
        <v>2388339.64</v>
      </c>
      <c r="D19" s="141">
        <f>D17+D9</f>
        <v>5207044.3587040007</v>
      </c>
      <c r="E19" s="141">
        <f>E17+E9</f>
        <v>5901843.3148798151</v>
      </c>
      <c r="F19" s="141">
        <f>F17+F9</f>
        <v>4784400.461026364</v>
      </c>
      <c r="G19" s="141">
        <f>G17+G9</f>
        <v>5072648.9126879461</v>
      </c>
    </row>
    <row r="20" spans="1:7" x14ac:dyDescent="0.2">
      <c r="A20" s="118"/>
      <c r="B20" s="118"/>
    </row>
    <row r="21" spans="1:7" x14ac:dyDescent="0.2">
      <c r="A21" s="144" t="s">
        <v>115</v>
      </c>
      <c r="B21" s="101"/>
      <c r="C21" s="57"/>
      <c r="D21" s="57"/>
      <c r="E21" s="57"/>
      <c r="F21" s="58"/>
      <c r="G21" s="57"/>
    </row>
    <row r="22" spans="1:7" x14ac:dyDescent="0.2">
      <c r="A22" s="23" t="s">
        <v>93</v>
      </c>
      <c r="B22" s="118"/>
    </row>
    <row r="23" spans="1:7" x14ac:dyDescent="0.2">
      <c r="A23" s="168" t="s">
        <v>174</v>
      </c>
      <c r="B23" s="72" t="s">
        <v>361</v>
      </c>
      <c r="C23" s="131">
        <f>'НА и ОС'!F7</f>
        <v>160000</v>
      </c>
      <c r="D23" s="131">
        <v>0</v>
      </c>
      <c r="E23" s="131">
        <v>0</v>
      </c>
      <c r="F23" s="131">
        <v>0</v>
      </c>
      <c r="G23" s="131">
        <f>'Форма 1'!P21</f>
        <v>0</v>
      </c>
    </row>
    <row r="24" spans="1:7" x14ac:dyDescent="0.2">
      <c r="A24" s="168" t="s">
        <v>85</v>
      </c>
      <c r="B24" s="72" t="s">
        <v>361</v>
      </c>
      <c r="C24" s="131"/>
      <c r="D24" s="131"/>
      <c r="E24" s="131"/>
      <c r="F24" s="131"/>
      <c r="G24" s="131"/>
    </row>
    <row r="25" spans="1:7" x14ac:dyDescent="0.2">
      <c r="A25" s="168" t="s">
        <v>31</v>
      </c>
      <c r="B25" s="72" t="s">
        <v>361</v>
      </c>
      <c r="C25" s="131">
        <f>'Форма 1'!F23</f>
        <v>86403.043478260865</v>
      </c>
      <c r="D25" s="131">
        <f>'Форма 1'!G23</f>
        <v>160313.7395652174</v>
      </c>
      <c r="E25" s="131">
        <f>'Форма 1'!H23</f>
        <v>208633.77741739136</v>
      </c>
      <c r="F25" s="131">
        <f>'Форма 1'!I23</f>
        <v>263687.71754069574</v>
      </c>
      <c r="G25" s="131">
        <f>'Форма 1'!J23</f>
        <v>325819.59407139843</v>
      </c>
    </row>
    <row r="26" spans="1:7" s="121" customFormat="1" x14ac:dyDescent="0.2">
      <c r="A26" s="121" t="s">
        <v>124</v>
      </c>
      <c r="B26" s="72" t="s">
        <v>361</v>
      </c>
      <c r="C26" s="132">
        <f>C23+C24+C25</f>
        <v>246403.04347826086</v>
      </c>
      <c r="D26" s="132">
        <f>D23+D24+D25</f>
        <v>160313.7395652174</v>
      </c>
      <c r="E26" s="132">
        <f>E23+E24+E25</f>
        <v>208633.77741739136</v>
      </c>
      <c r="F26" s="132">
        <f>F23+F24+F25</f>
        <v>263687.71754069574</v>
      </c>
      <c r="G26" s="132">
        <f>G23+G24+G25</f>
        <v>325819.59407139843</v>
      </c>
    </row>
    <row r="27" spans="1:7" x14ac:dyDescent="0.2">
      <c r="A27" s="118"/>
      <c r="B27" s="118"/>
    </row>
    <row r="28" spans="1:7" x14ac:dyDescent="0.2">
      <c r="A28" s="23" t="s">
        <v>254</v>
      </c>
      <c r="B28" s="118"/>
    </row>
    <row r="29" spans="1:7" x14ac:dyDescent="0.2">
      <c r="A29" s="168" t="s">
        <v>185</v>
      </c>
      <c r="B29" s="72" t="s">
        <v>361</v>
      </c>
      <c r="C29" s="131">
        <f>'Форма 1'!F27</f>
        <v>1000000</v>
      </c>
      <c r="D29" s="131">
        <f>'Форма 1'!G27</f>
        <v>900000</v>
      </c>
      <c r="E29" s="131">
        <f>'Форма 1'!H27</f>
        <v>800000</v>
      </c>
      <c r="F29" s="131">
        <f>'Форма 1'!I27</f>
        <v>700000</v>
      </c>
      <c r="G29" s="131">
        <f>'Форма 1'!J27</f>
        <v>600000</v>
      </c>
    </row>
    <row r="30" spans="1:7" s="121" customFormat="1" x14ac:dyDescent="0.2">
      <c r="A30" s="121" t="s">
        <v>255</v>
      </c>
      <c r="B30" s="72" t="s">
        <v>361</v>
      </c>
      <c r="C30" s="132">
        <f>C29</f>
        <v>1000000</v>
      </c>
      <c r="D30" s="132">
        <f>D29</f>
        <v>900000</v>
      </c>
      <c r="E30" s="132">
        <f>E29</f>
        <v>800000</v>
      </c>
      <c r="F30" s="132">
        <f>F29</f>
        <v>700000</v>
      </c>
      <c r="G30" s="132">
        <f>G29</f>
        <v>600000</v>
      </c>
    </row>
    <row r="31" spans="1:7" x14ac:dyDescent="0.2">
      <c r="A31" s="145"/>
      <c r="B31" s="72"/>
      <c r="C31" s="146"/>
      <c r="D31" s="146"/>
      <c r="E31" s="146"/>
      <c r="F31" s="146"/>
      <c r="G31" s="146"/>
    </row>
    <row r="32" spans="1:7" x14ac:dyDescent="0.2">
      <c r="A32" s="23" t="s">
        <v>256</v>
      </c>
      <c r="B32" s="72"/>
      <c r="C32" s="146"/>
      <c r="D32" s="146"/>
      <c r="E32" s="146"/>
      <c r="F32" s="146"/>
      <c r="G32" s="146"/>
    </row>
    <row r="33" spans="1:8" x14ac:dyDescent="0.2">
      <c r="A33" s="168" t="s">
        <v>180</v>
      </c>
      <c r="B33" s="72" t="s">
        <v>361</v>
      </c>
      <c r="C33" s="131">
        <f>'Форма 1'!I30</f>
        <v>0</v>
      </c>
      <c r="D33" s="131">
        <f>'Форма 1'!M30</f>
        <v>0</v>
      </c>
      <c r="E33" s="131">
        <v>0</v>
      </c>
      <c r="F33" s="131">
        <v>0</v>
      </c>
      <c r="G33" s="131">
        <v>0</v>
      </c>
    </row>
    <row r="34" spans="1:8" x14ac:dyDescent="0.2">
      <c r="A34" s="166" t="s">
        <v>173</v>
      </c>
      <c r="B34" s="72" t="s">
        <v>361</v>
      </c>
      <c r="C34" s="131">
        <f>'Оборот. К.'!G17</f>
        <v>0</v>
      </c>
      <c r="D34" s="131">
        <f>'Оборот. К.'!K17</f>
        <v>0</v>
      </c>
      <c r="E34" s="131">
        <v>0</v>
      </c>
      <c r="F34" s="131">
        <v>0</v>
      </c>
      <c r="G34" s="131">
        <v>0</v>
      </c>
    </row>
    <row r="35" spans="1:8" x14ac:dyDescent="0.2">
      <c r="A35" s="166" t="s">
        <v>179</v>
      </c>
      <c r="B35" s="72" t="s">
        <v>361</v>
      </c>
      <c r="C35" s="138">
        <f>'Оборот. К.'!G18</f>
        <v>0</v>
      </c>
      <c r="D35" s="138">
        <f>'Оборот. К.'!K18</f>
        <v>0</v>
      </c>
      <c r="E35" s="138">
        <v>0</v>
      </c>
      <c r="F35" s="138">
        <v>0</v>
      </c>
      <c r="G35" s="138">
        <v>0</v>
      </c>
    </row>
    <row r="36" spans="1:8" x14ac:dyDescent="0.2">
      <c r="A36" s="166" t="s">
        <v>181</v>
      </c>
      <c r="B36" s="72" t="s">
        <v>361</v>
      </c>
      <c r="C36" s="138">
        <f>'Оборот. К.'!G19</f>
        <v>8503.8542400000006</v>
      </c>
      <c r="D36" s="138">
        <f>'Оборот. К.'!K19</f>
        <v>10735.920049198312</v>
      </c>
      <c r="E36" s="138">
        <v>0</v>
      </c>
      <c r="F36" s="138">
        <v>0</v>
      </c>
      <c r="G36" s="138">
        <v>0</v>
      </c>
    </row>
    <row r="37" spans="1:8" x14ac:dyDescent="0.2">
      <c r="A37" s="166" t="s">
        <v>241</v>
      </c>
      <c r="B37" s="72" t="s">
        <v>361</v>
      </c>
      <c r="C37" s="138">
        <f>'Оборот. К.'!D20+'Оборот. К.'!E20</f>
        <v>19000</v>
      </c>
      <c r="D37" s="138">
        <f>'Оборот. К.'!F20+'Оборот. К.'!G20</f>
        <v>15000</v>
      </c>
      <c r="E37" s="138">
        <f>'Оборот. К.'!H20+'Оборот. К.'!I20</f>
        <v>11000</v>
      </c>
      <c r="F37" s="138">
        <f>'Оборот. К.'!J20+'Оборот. К.'!K20</f>
        <v>7000</v>
      </c>
      <c r="G37" s="138">
        <f>'Оборот. К.'!L20+'Оборот. К.'!M20</f>
        <v>3000</v>
      </c>
    </row>
    <row r="38" spans="1:8" x14ac:dyDescent="0.2">
      <c r="A38" s="126" t="s">
        <v>256</v>
      </c>
      <c r="B38" s="72" t="s">
        <v>361</v>
      </c>
      <c r="C38" s="132">
        <f>SUM(C33:C37)</f>
        <v>27503.854240000001</v>
      </c>
      <c r="D38" s="132">
        <f>SUM(D33:D37)</f>
        <v>25735.920049198314</v>
      </c>
      <c r="E38" s="132">
        <f>SUM(E33:E37)</f>
        <v>11000</v>
      </c>
      <c r="F38" s="132">
        <f>SUM(F33:F37)</f>
        <v>7000</v>
      </c>
      <c r="G38" s="132">
        <f>SUM(G33:G37)</f>
        <v>3000</v>
      </c>
    </row>
    <row r="39" spans="1:8" x14ac:dyDescent="0.2">
      <c r="A39" s="127"/>
      <c r="B39" s="127"/>
      <c r="C39" s="135"/>
      <c r="D39" s="136"/>
      <c r="E39" s="136"/>
      <c r="F39" s="136"/>
      <c r="G39" s="136"/>
    </row>
    <row r="40" spans="1:8" s="147" customFormat="1" x14ac:dyDescent="0.2">
      <c r="A40" s="130" t="s">
        <v>258</v>
      </c>
      <c r="B40" s="72" t="s">
        <v>361</v>
      </c>
      <c r="C40" s="132">
        <f>C26+C30+C38</f>
        <v>1273906.8977182608</v>
      </c>
      <c r="D40" s="132">
        <f>D26+D30+D38</f>
        <v>1086049.6596144156</v>
      </c>
      <c r="E40" s="132">
        <f>E26+E30+E38</f>
        <v>1019633.7774173913</v>
      </c>
      <c r="F40" s="132">
        <f>F26+F30+F38</f>
        <v>970687.7175406958</v>
      </c>
      <c r="G40" s="132">
        <f>G26+G30+G38</f>
        <v>928819.59407139849</v>
      </c>
    </row>
    <row r="41" spans="1:8" ht="13.5" customHeight="1" x14ac:dyDescent="0.2">
      <c r="A41" s="127"/>
      <c r="B41" s="127"/>
      <c r="C41" s="123" t="b">
        <f>ROUND(C40,)=ROUND('Форма 1'!I34,)</f>
        <v>0</v>
      </c>
      <c r="D41" s="123" t="b">
        <f>D40='Форма 1'!M34</f>
        <v>0</v>
      </c>
      <c r="E41" s="123" t="e">
        <f>E40='Форма 1'!#REF!</f>
        <v>#REF!</v>
      </c>
      <c r="F41" s="123" t="e">
        <f>F40='Форма 1'!#REF!</f>
        <v>#REF!</v>
      </c>
      <c r="G41" s="123" t="e">
        <f>G40='Форма 1'!#REF!</f>
        <v>#REF!</v>
      </c>
    </row>
    <row r="42" spans="1:8" ht="13.5" customHeight="1" x14ac:dyDescent="0.2">
      <c r="A42" s="127"/>
      <c r="B42" s="127"/>
      <c r="C42" s="123"/>
      <c r="D42" s="123"/>
      <c r="E42" s="123"/>
      <c r="F42" s="123"/>
      <c r="G42" s="123"/>
    </row>
    <row r="43" spans="1:8" ht="13.5" customHeight="1" x14ac:dyDescent="0.2">
      <c r="A43" s="148" t="s">
        <v>34</v>
      </c>
      <c r="B43" s="127"/>
      <c r="C43" s="123">
        <f>C19-C40</f>
        <v>1114432.7422817394</v>
      </c>
      <c r="D43" s="123">
        <f>D19-D40</f>
        <v>4120994.6990895849</v>
      </c>
      <c r="E43" s="123">
        <f>E19-E40</f>
        <v>4882209.5374624236</v>
      </c>
      <c r="F43" s="123">
        <f>F19-F40</f>
        <v>3813712.7434856682</v>
      </c>
      <c r="G43" s="123">
        <f>G19-G40</f>
        <v>4143829.3186165476</v>
      </c>
    </row>
    <row r="44" spans="1:8" x14ac:dyDescent="0.2">
      <c r="A44" s="127"/>
      <c r="B44" s="127"/>
      <c r="C44" s="135"/>
      <c r="D44" s="136"/>
      <c r="E44" s="136"/>
      <c r="F44" s="136"/>
      <c r="G44" s="136"/>
    </row>
    <row r="46" spans="1:8" x14ac:dyDescent="0.2">
      <c r="A46" s="11" t="s">
        <v>269</v>
      </c>
      <c r="B46" s="133" t="s">
        <v>39</v>
      </c>
      <c r="C46" s="3" t="s">
        <v>353</v>
      </c>
      <c r="D46" s="4" t="s">
        <v>354</v>
      </c>
      <c r="E46" s="5" t="s">
        <v>355</v>
      </c>
      <c r="F46" s="6" t="s">
        <v>356</v>
      </c>
      <c r="G46" s="7" t="s">
        <v>357</v>
      </c>
      <c r="H46" s="18"/>
    </row>
    <row r="47" spans="1:8" x14ac:dyDescent="0.2">
      <c r="A47" s="149"/>
      <c r="B47" s="149"/>
      <c r="C47" s="129"/>
      <c r="D47" s="129"/>
      <c r="E47" s="129"/>
      <c r="F47" s="129"/>
      <c r="G47" s="129"/>
    </row>
    <row r="48" spans="1:8" x14ac:dyDescent="0.2">
      <c r="A48" s="150" t="s">
        <v>65</v>
      </c>
      <c r="B48" s="72" t="s">
        <v>361</v>
      </c>
      <c r="C48" s="131">
        <f>'Форма 2'!F5+'Форма 2'!G5</f>
        <v>747780</v>
      </c>
      <c r="D48" s="131">
        <f>'Форма 2'!H5+'Форма 2'!I5</f>
        <v>840205.60800000024</v>
      </c>
      <c r="E48" s="131">
        <f>'Форма 2'!J5+'Форма 2'!K5</f>
        <v>944055.02114880027</v>
      </c>
      <c r="F48" s="131">
        <f>'Форма 2'!J5+'Форма 2'!K5</f>
        <v>944055.02114880027</v>
      </c>
      <c r="G48" s="131">
        <f>'Форма 2'!N5+'Форма 2'!O5</f>
        <v>1191847.7131726732</v>
      </c>
    </row>
    <row r="49" spans="1:7" x14ac:dyDescent="0.2">
      <c r="A49" s="150"/>
      <c r="B49" s="72"/>
      <c r="C49" s="154"/>
      <c r="D49" s="154"/>
      <c r="E49" s="154"/>
      <c r="F49" s="154"/>
      <c r="G49" s="154"/>
    </row>
    <row r="50" spans="1:7" x14ac:dyDescent="0.2">
      <c r="A50" s="150" t="s">
        <v>260</v>
      </c>
      <c r="B50" s="72" t="s">
        <v>361</v>
      </c>
      <c r="C50" s="132">
        <f>C51+C52+C53+C54+C55</f>
        <v>540417.63652173907</v>
      </c>
      <c r="D50" s="132">
        <f>D51+D52+D53+D54+D55</f>
        <v>688806.78076104354</v>
      </c>
      <c r="E50" s="132">
        <f>E51+E52+E53+E54+E55</f>
        <v>762634.94638223888</v>
      </c>
      <c r="F50" s="132">
        <f>F51+F52+F53+F54+F55</f>
        <v>845484.84584536206</v>
      </c>
      <c r="G50" s="132">
        <f>G51+G52+G53+G54+G55</f>
        <v>938465.35980754369</v>
      </c>
    </row>
    <row r="51" spans="1:7" x14ac:dyDescent="0.2">
      <c r="A51" s="179" t="s">
        <v>261</v>
      </c>
      <c r="B51" s="72" t="s">
        <v>361</v>
      </c>
      <c r="C51" s="134">
        <f>'Форма 2'!F7+'Форма 2'!G7</f>
        <v>218221.5</v>
      </c>
      <c r="D51" s="134">
        <f>'Форма 2'!H7+'Форма 2'!I7</f>
        <v>262925.72039999999</v>
      </c>
      <c r="E51" s="134">
        <f>'Форма 2'!J7+'Форма 2'!K7</f>
        <v>293865.97944144002</v>
      </c>
      <c r="F51" s="134">
        <f>'Форма 2'!L7+'Форма 2'!M7</f>
        <v>328630.45450040203</v>
      </c>
      <c r="G51" s="134">
        <f>'Форма 2'!N7+'Форма 2'!O7</f>
        <v>367691.81867665169</v>
      </c>
    </row>
    <row r="52" spans="1:7" x14ac:dyDescent="0.2">
      <c r="A52" s="179" t="s">
        <v>137</v>
      </c>
      <c r="B52" s="72" t="s">
        <v>361</v>
      </c>
      <c r="C52" s="134">
        <f>'Форма 2'!F8+'Форма 2'!G8</f>
        <v>295681.68</v>
      </c>
      <c r="D52" s="134">
        <f>'Форма 2'!H8+'Форма 2'!I8</f>
        <v>333832.43644800002</v>
      </c>
      <c r="E52" s="134">
        <f>'Форма 2'!J8+'Форма 2'!K8</f>
        <v>375094.12559297285</v>
      </c>
      <c r="F52" s="134">
        <f>'Форма 2'!L8+'Форма 2'!M8</f>
        <v>421455.75951626431</v>
      </c>
      <c r="G52" s="134">
        <f>'Форма 2'!N8+'Форма 2'!O8</f>
        <v>473547.69139247463</v>
      </c>
    </row>
    <row r="53" spans="1:7" ht="12" customHeight="1" x14ac:dyDescent="0.2">
      <c r="A53" s="179" t="s">
        <v>262</v>
      </c>
      <c r="B53" s="72" t="s">
        <v>361</v>
      </c>
      <c r="C53" s="134">
        <f>Затраты!F35</f>
        <v>19374.456521739128</v>
      </c>
      <c r="D53" s="134">
        <f>Затраты!G35</f>
        <v>20480.223913043475</v>
      </c>
      <c r="E53" s="134">
        <f>Затраты!H35</f>
        <v>21652.337347826084</v>
      </c>
      <c r="F53" s="134">
        <f>Затраты!I35</f>
        <v>22894.777588695655</v>
      </c>
      <c r="G53" s="134">
        <f>Затраты!J35</f>
        <v>24211.764244017395</v>
      </c>
    </row>
    <row r="54" spans="1:7" x14ac:dyDescent="0.2">
      <c r="A54" s="179" t="s">
        <v>215</v>
      </c>
      <c r="B54" s="72" t="s">
        <v>361</v>
      </c>
      <c r="C54" s="134">
        <f>'Форма 2'!F10</f>
        <v>7140</v>
      </c>
      <c r="D54" s="134">
        <f>'Форма 2'!G10</f>
        <v>7568.4</v>
      </c>
      <c r="E54" s="134">
        <f>'Форма 2'!H10</f>
        <v>8022.5039999999999</v>
      </c>
      <c r="F54" s="134">
        <f>'Форма 2'!I10</f>
        <v>8503.8542400000006</v>
      </c>
      <c r="G54" s="134">
        <f>'Форма 2'!J10</f>
        <v>9014.0854944000002</v>
      </c>
    </row>
    <row r="55" spans="1:7" x14ac:dyDescent="0.2">
      <c r="A55" s="179" t="s">
        <v>62</v>
      </c>
      <c r="B55" s="72" t="s">
        <v>361</v>
      </c>
      <c r="C55" s="134">
        <v>0</v>
      </c>
      <c r="D55" s="134">
        <f>'Форма 2'!H11+'Форма 2'!I11</f>
        <v>64000</v>
      </c>
      <c r="E55" s="134">
        <f>'Форма 2'!J11+'Форма 2'!K11</f>
        <v>64000</v>
      </c>
      <c r="F55" s="134">
        <f>'Форма 2'!L11+'Форма 2'!M11</f>
        <v>64000</v>
      </c>
      <c r="G55" s="134">
        <f>'Форма 2'!N11+'Форма 2'!O11</f>
        <v>64000</v>
      </c>
    </row>
    <row r="56" spans="1:7" x14ac:dyDescent="0.2">
      <c r="A56" s="151"/>
      <c r="B56" s="72"/>
      <c r="C56" s="153"/>
      <c r="D56" s="160"/>
      <c r="E56" s="160"/>
      <c r="F56" s="160"/>
      <c r="G56" s="160"/>
    </row>
    <row r="57" spans="1:7" s="121" customFormat="1" x14ac:dyDescent="0.2">
      <c r="A57" s="152" t="s">
        <v>9</v>
      </c>
      <c r="B57" s="72" t="s">
        <v>361</v>
      </c>
      <c r="C57" s="132">
        <f>C48-C50</f>
        <v>207362.36347826093</v>
      </c>
      <c r="D57" s="132">
        <f>D48-D50</f>
        <v>151398.8272389567</v>
      </c>
      <c r="E57" s="132">
        <f>E48-E50</f>
        <v>181420.07476656139</v>
      </c>
      <c r="F57" s="132">
        <f>F48-F50</f>
        <v>98570.175303438213</v>
      </c>
      <c r="G57" s="132">
        <f>G48-G50</f>
        <v>253382.35336512956</v>
      </c>
    </row>
    <row r="58" spans="1:7" x14ac:dyDescent="0.2">
      <c r="A58" s="151"/>
      <c r="B58" s="72"/>
      <c r="C58" s="158"/>
      <c r="D58" s="159"/>
      <c r="E58" s="159"/>
      <c r="F58" s="159"/>
      <c r="G58" s="159"/>
    </row>
    <row r="59" spans="1:7" s="156" customFormat="1" x14ac:dyDescent="0.2">
      <c r="A59" s="169" t="s">
        <v>55</v>
      </c>
      <c r="B59" s="72" t="s">
        <v>361</v>
      </c>
      <c r="C59" s="131">
        <f>'Форма 2'!F16+'Форма 2'!G16</f>
        <v>19000</v>
      </c>
      <c r="D59" s="131">
        <f>'Форма 2'!H16+'Форма 2'!I16</f>
        <v>15000</v>
      </c>
      <c r="E59" s="131">
        <f>'Форма 2'!J16+'Форма 2'!K16</f>
        <v>11000</v>
      </c>
      <c r="F59" s="131">
        <f>'Форма 2'!L16+'Форма 2'!M16</f>
        <v>7000</v>
      </c>
      <c r="G59" s="131">
        <f>'Форма 2'!N16+'Форма 2'!O16</f>
        <v>3000</v>
      </c>
    </row>
    <row r="60" spans="1:7" x14ac:dyDescent="0.2">
      <c r="A60" s="151"/>
      <c r="B60" s="72"/>
      <c r="C60" s="158"/>
      <c r="D60" s="159"/>
      <c r="E60" s="159"/>
      <c r="F60" s="159"/>
      <c r="G60" s="159"/>
    </row>
    <row r="61" spans="1:7" s="121" customFormat="1" x14ac:dyDescent="0.2">
      <c r="A61" s="157" t="s">
        <v>10</v>
      </c>
      <c r="B61" s="72" t="s">
        <v>361</v>
      </c>
      <c r="C61" s="132">
        <f>C57-C59</f>
        <v>188362.36347826093</v>
      </c>
      <c r="D61" s="132">
        <f>D57-D59</f>
        <v>136398.8272389567</v>
      </c>
      <c r="E61" s="132">
        <f>E57-E59</f>
        <v>170420.07476656139</v>
      </c>
      <c r="F61" s="132">
        <f>F57-F59</f>
        <v>91570.175303438213</v>
      </c>
      <c r="G61" s="132">
        <f>G57-G59</f>
        <v>250382.35336512956</v>
      </c>
    </row>
    <row r="62" spans="1:7" x14ac:dyDescent="0.2">
      <c r="A62" s="151"/>
      <c r="B62" s="72"/>
      <c r="C62" s="158"/>
      <c r="D62" s="159"/>
      <c r="E62" s="159"/>
      <c r="F62" s="159"/>
      <c r="G62" s="159"/>
    </row>
    <row r="63" spans="1:7" s="156" customFormat="1" x14ac:dyDescent="0.2">
      <c r="A63" s="169" t="s">
        <v>264</v>
      </c>
      <c r="B63" s="72" t="s">
        <v>361</v>
      </c>
      <c r="C63" s="131">
        <f>'Форма 2'!F16+'Форма 2'!G16</f>
        <v>19000</v>
      </c>
      <c r="D63" s="131">
        <f>'Форма 2'!H16+'Форма 2'!I16</f>
        <v>15000</v>
      </c>
      <c r="E63" s="131">
        <f>'Форма 2'!J16+'Форма 2'!K16</f>
        <v>11000</v>
      </c>
      <c r="F63" s="131">
        <f>'Форма 2'!L16+'Форма 2'!M16</f>
        <v>7000</v>
      </c>
      <c r="G63" s="131">
        <f>'Форма 2'!N16+'Форма 2'!O16</f>
        <v>3000</v>
      </c>
    </row>
    <row r="64" spans="1:7" x14ac:dyDescent="0.2">
      <c r="A64" s="151"/>
      <c r="B64" s="72"/>
      <c r="C64" s="158"/>
      <c r="D64" s="159"/>
      <c r="E64" s="159"/>
      <c r="F64" s="159"/>
      <c r="G64" s="159"/>
    </row>
    <row r="65" spans="1:7" s="121" customFormat="1" x14ac:dyDescent="0.2">
      <c r="A65" s="157" t="s">
        <v>13</v>
      </c>
      <c r="B65" s="72" t="s">
        <v>361</v>
      </c>
      <c r="C65" s="132">
        <f>C61-C63</f>
        <v>169362.36347826093</v>
      </c>
      <c r="D65" s="132">
        <f>D61-D63</f>
        <v>121398.8272389567</v>
      </c>
      <c r="E65" s="132">
        <f>E61-E63</f>
        <v>159420.07476656139</v>
      </c>
      <c r="F65" s="132">
        <f>F61-F63</f>
        <v>84570.175303438213</v>
      </c>
      <c r="G65" s="132">
        <f>G61-G63</f>
        <v>247382.35336512956</v>
      </c>
    </row>
    <row r="66" spans="1:7" x14ac:dyDescent="0.2">
      <c r="A66" s="151"/>
      <c r="B66" s="72"/>
      <c r="C66" s="158"/>
      <c r="D66" s="159"/>
      <c r="E66" s="159"/>
      <c r="F66" s="159"/>
      <c r="G66" s="159"/>
    </row>
    <row r="67" spans="1:7" x14ac:dyDescent="0.2">
      <c r="A67" s="169" t="s">
        <v>49</v>
      </c>
      <c r="B67" s="72" t="s">
        <v>361</v>
      </c>
      <c r="C67" s="131">
        <f>-SUM('Форма 2'!F21:I21)</f>
        <v>0</v>
      </c>
      <c r="D67" s="131">
        <f>-SUM('Форма 2'!J21:M21)</f>
        <v>0</v>
      </c>
      <c r="E67" s="131">
        <f>-SUM('Форма 2'!N21:O21)</f>
        <v>0</v>
      </c>
      <c r="F67" s="131">
        <v>0</v>
      </c>
      <c r="G67" s="131">
        <v>0</v>
      </c>
    </row>
    <row r="68" spans="1:7" s="156" customFormat="1" x14ac:dyDescent="0.2">
      <c r="A68" s="155"/>
      <c r="B68" s="76"/>
      <c r="C68" s="161"/>
      <c r="D68" s="162"/>
      <c r="E68" s="162"/>
      <c r="F68" s="162"/>
      <c r="G68" s="162"/>
    </row>
    <row r="69" spans="1:7" s="121" customFormat="1" x14ac:dyDescent="0.2">
      <c r="A69" s="152" t="s">
        <v>15</v>
      </c>
      <c r="B69" s="72" t="s">
        <v>361</v>
      </c>
      <c r="C69" s="132">
        <f>C65+C67</f>
        <v>169362.36347826093</v>
      </c>
      <c r="D69" s="132">
        <f>D65+D67</f>
        <v>121398.8272389567</v>
      </c>
      <c r="E69" s="132">
        <f>E65+E67</f>
        <v>159420.07476656139</v>
      </c>
      <c r="F69" s="132">
        <f>F65+F67</f>
        <v>84570.175303438213</v>
      </c>
      <c r="G69" s="132">
        <f>G65+G67</f>
        <v>247382.35336512956</v>
      </c>
    </row>
    <row r="70" spans="1:7" x14ac:dyDescent="0.2">
      <c r="A70" s="150"/>
      <c r="B70" s="72"/>
      <c r="C70" s="123" t="b">
        <f>ROUND(C69,)=ROUND(SUM('Форма 2'!F23:I23),)</f>
        <v>0</v>
      </c>
      <c r="D70" s="123" t="b">
        <f>ROUND(D69,)=ROUND(SUM('Форма 2'!J23:M23),)</f>
        <v>0</v>
      </c>
      <c r="E70" s="123" t="b">
        <f>ROUND(E69,)=ROUND(SUM('Форма 2'!N23:O23),)</f>
        <v>0</v>
      </c>
      <c r="F70" s="123" t="e">
        <f>ROUND(F69,)=ROUND(SUM('Форма 2'!#REF!),)</f>
        <v>#REF!</v>
      </c>
      <c r="G70" s="123" t="e">
        <f>ROUND(G69,)=ROUND(SUM('Форма 2'!#REF!),)</f>
        <v>#REF!</v>
      </c>
    </row>
    <row r="71" spans="1:7" x14ac:dyDescent="0.2">
      <c r="A71" s="125"/>
      <c r="B71" s="125"/>
      <c r="C71" s="129"/>
      <c r="D71" s="129"/>
      <c r="E71" s="129"/>
      <c r="F71" s="129"/>
      <c r="G71" s="129"/>
    </row>
    <row r="72" spans="1:7" x14ac:dyDescent="0.2">
      <c r="A72" s="125"/>
      <c r="B72" s="125"/>
      <c r="C72" s="129"/>
      <c r="D72" s="129"/>
      <c r="E72" s="129"/>
      <c r="F72" s="129"/>
      <c r="G72" s="129"/>
    </row>
    <row r="73" spans="1:7" x14ac:dyDescent="0.2">
      <c r="A73" s="125"/>
      <c r="B73" s="125"/>
      <c r="C73" s="186"/>
      <c r="D73" s="129"/>
      <c r="E73" s="129"/>
      <c r="F73" s="129"/>
      <c r="G73" s="178"/>
    </row>
    <row r="74" spans="1:7" x14ac:dyDescent="0.2">
      <c r="A74" s="125"/>
      <c r="B74" s="125"/>
      <c r="C74" s="129"/>
      <c r="D74" s="129"/>
      <c r="E74" s="129"/>
      <c r="F74" s="129"/>
      <c r="G74" s="129"/>
    </row>
    <row r="75" spans="1:7" x14ac:dyDescent="0.2">
      <c r="A75" s="125"/>
      <c r="B75" s="125"/>
      <c r="C75" s="129"/>
      <c r="D75" s="129"/>
      <c r="E75" s="129"/>
      <c r="F75" s="129"/>
      <c r="G75" s="129"/>
    </row>
    <row r="76" spans="1:7" x14ac:dyDescent="0.2">
      <c r="A76" s="125"/>
      <c r="B76" s="125"/>
      <c r="C76" s="129"/>
      <c r="D76" s="129"/>
      <c r="E76" s="129"/>
      <c r="F76" s="129"/>
      <c r="G76" s="129"/>
    </row>
  </sheetData>
  <hyperlinks>
    <hyperlink ref="A1" r:id="rId1"/>
  </hyperlink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9"/>
  <sheetViews>
    <sheetView topLeftCell="A22" zoomScale="85" zoomScaleNormal="85" workbookViewId="0">
      <selection activeCell="A61" sqref="A61:XFD61"/>
    </sheetView>
  </sheetViews>
  <sheetFormatPr defaultRowHeight="12.75" x14ac:dyDescent="0.2"/>
  <cols>
    <col min="1" max="1" width="41.140625" style="122" customWidth="1"/>
    <col min="2" max="2" width="11.85546875" style="122" customWidth="1"/>
    <col min="3" max="3" width="10.42578125" style="118" bestFit="1" customWidth="1"/>
    <col min="4" max="6" width="11.7109375" style="118" bestFit="1" customWidth="1"/>
    <col min="7" max="7" width="12.28515625" style="118" bestFit="1" customWidth="1"/>
    <col min="8" max="16384" width="9.140625" style="118"/>
  </cols>
  <sheetData>
    <row r="1" spans="1:8" ht="18" x14ac:dyDescent="0.25">
      <c r="A1" s="242" t="s">
        <v>349</v>
      </c>
    </row>
    <row r="2" spans="1:8" x14ac:dyDescent="0.2">
      <c r="A2" s="11" t="s">
        <v>266</v>
      </c>
      <c r="B2" s="133" t="s">
        <v>39</v>
      </c>
      <c r="C2" s="3" t="s">
        <v>353</v>
      </c>
      <c r="D2" s="4" t="s">
        <v>354</v>
      </c>
      <c r="E2" s="5" t="s">
        <v>355</v>
      </c>
      <c r="F2" s="6" t="s">
        <v>356</v>
      </c>
      <c r="G2" s="7" t="s">
        <v>357</v>
      </c>
    </row>
    <row r="3" spans="1:8" s="119" customFormat="1" x14ac:dyDescent="0.2">
      <c r="A3" s="124"/>
      <c r="B3" s="124"/>
    </row>
    <row r="4" spans="1:8" x14ac:dyDescent="0.2">
      <c r="A4" s="144" t="s">
        <v>107</v>
      </c>
      <c r="B4" s="101"/>
      <c r="C4" s="57"/>
      <c r="D4" s="57"/>
      <c r="E4" s="57"/>
      <c r="F4" s="58"/>
      <c r="G4" s="57"/>
      <c r="H4" s="129"/>
    </row>
    <row r="5" spans="1:8" x14ac:dyDescent="0.2">
      <c r="A5" s="23" t="s">
        <v>249</v>
      </c>
      <c r="B5" s="23"/>
      <c r="C5" s="129"/>
      <c r="D5" s="129"/>
      <c r="E5" s="129"/>
      <c r="F5" s="129"/>
      <c r="G5" s="129"/>
    </row>
    <row r="6" spans="1:8" x14ac:dyDescent="0.2">
      <c r="A6" s="166" t="s">
        <v>172</v>
      </c>
      <c r="B6" s="72" t="s">
        <v>361</v>
      </c>
      <c r="C6" s="140" t="s">
        <v>168</v>
      </c>
      <c r="D6" s="139">
        <f>'Прогнозные отчеты'!D6-'Прогнозные отчеты'!C6</f>
        <v>0</v>
      </c>
      <c r="E6" s="139">
        <f>'Прогнозные отчеты'!E6-'Прогнозные отчеты'!D6</f>
        <v>0</v>
      </c>
      <c r="F6" s="139">
        <f>'Прогнозные отчеты'!F6-'Прогнозные отчеты'!E6</f>
        <v>0</v>
      </c>
      <c r="G6" s="139">
        <f>'Прогнозные отчеты'!G6-'Прогнозные отчеты'!F6</f>
        <v>0</v>
      </c>
    </row>
    <row r="7" spans="1:8" x14ac:dyDescent="0.2">
      <c r="A7" s="166" t="s">
        <v>171</v>
      </c>
      <c r="B7" s="72" t="s">
        <v>361</v>
      </c>
      <c r="C7" s="140" t="s">
        <v>168</v>
      </c>
      <c r="D7" s="139">
        <f>'Прогнозные отчеты'!D7-'Прогнозные отчеты'!C7</f>
        <v>-32000</v>
      </c>
      <c r="E7" s="139">
        <f>'Прогнозные отчеты'!E7-'Прогнозные отчеты'!D7</f>
        <v>-32000</v>
      </c>
      <c r="F7" s="139">
        <f>'Прогнозные отчеты'!F7-'Прогнозные отчеты'!E7</f>
        <v>-32000</v>
      </c>
      <c r="G7" s="139">
        <f>'Прогнозные отчеты'!G7-'Прогнозные отчеты'!F7</f>
        <v>-32000</v>
      </c>
    </row>
    <row r="8" spans="1:8" x14ac:dyDescent="0.2">
      <c r="A8" s="166" t="s">
        <v>112</v>
      </c>
      <c r="B8" s="72" t="s">
        <v>361</v>
      </c>
      <c r="C8" s="140" t="s">
        <v>168</v>
      </c>
      <c r="D8" s="139">
        <f>'Прогнозные отчеты'!D8-'Прогнозные отчеты'!C8</f>
        <v>0</v>
      </c>
      <c r="E8" s="139">
        <f>'Прогнозные отчеты'!E8-'Прогнозные отчеты'!D8</f>
        <v>0</v>
      </c>
      <c r="F8" s="139">
        <f>'Прогнозные отчеты'!F8-'Прогнозные отчеты'!E8</f>
        <v>0</v>
      </c>
      <c r="G8" s="139">
        <f>'Прогнозные отчеты'!G8-'Прогнозные отчеты'!F8</f>
        <v>0</v>
      </c>
    </row>
    <row r="9" spans="1:8" x14ac:dyDescent="0.2">
      <c r="A9" s="130" t="s">
        <v>250</v>
      </c>
      <c r="B9" s="72" t="s">
        <v>361</v>
      </c>
      <c r="C9" s="171" t="s">
        <v>168</v>
      </c>
      <c r="D9" s="141">
        <f>'Прогнозные отчеты'!D9-'Прогнозные отчеты'!C9</f>
        <v>-32000</v>
      </c>
      <c r="E9" s="141">
        <f>'Прогнозные отчеты'!E9-'Прогнозные отчеты'!D9</f>
        <v>-32000</v>
      </c>
      <c r="F9" s="141">
        <f>'Прогнозные отчеты'!F9-'Прогнозные отчеты'!E9</f>
        <v>-32000</v>
      </c>
      <c r="G9" s="141">
        <f>'Прогнозные отчеты'!G9-'Прогнозные отчеты'!F9</f>
        <v>-32000</v>
      </c>
    </row>
    <row r="10" spans="1:8" x14ac:dyDescent="0.2">
      <c r="A10" s="128"/>
      <c r="B10" s="128"/>
      <c r="C10" s="146"/>
      <c r="D10" s="143"/>
      <c r="E10" s="143"/>
      <c r="F10" s="143"/>
      <c r="G10" s="143"/>
    </row>
    <row r="11" spans="1:8" x14ac:dyDescent="0.2">
      <c r="A11" s="23" t="s">
        <v>113</v>
      </c>
      <c r="B11" s="118"/>
      <c r="C11" s="146"/>
      <c r="D11" s="143"/>
      <c r="E11" s="143"/>
      <c r="F11" s="143"/>
      <c r="G11" s="143"/>
    </row>
    <row r="12" spans="1:8" x14ac:dyDescent="0.2">
      <c r="A12" s="166" t="s">
        <v>251</v>
      </c>
      <c r="B12" s="72" t="s">
        <v>361</v>
      </c>
      <c r="C12" s="140" t="s">
        <v>168</v>
      </c>
      <c r="D12" s="139">
        <f>'Прогнозные отчеты'!D12-'Прогнозные отчеты'!C12</f>
        <v>0</v>
      </c>
      <c r="E12" s="139">
        <f>'Прогнозные отчеты'!E12-'Прогнозные отчеты'!D12</f>
        <v>0</v>
      </c>
      <c r="F12" s="139">
        <f>'Прогнозные отчеты'!F12-'Прогнозные отчеты'!E12</f>
        <v>0</v>
      </c>
      <c r="G12" s="139">
        <f>'Прогнозные отчеты'!G12-'Прогнозные отчеты'!F12</f>
        <v>0</v>
      </c>
    </row>
    <row r="13" spans="1:8" x14ac:dyDescent="0.2">
      <c r="A13" s="167" t="s">
        <v>178</v>
      </c>
      <c r="B13" s="72" t="s">
        <v>361</v>
      </c>
      <c r="C13" s="140" t="s">
        <v>168</v>
      </c>
      <c r="D13" s="139">
        <f>'Прогнозные отчеты'!D13-'Прогнозные отчеты'!C13</f>
        <v>0</v>
      </c>
      <c r="E13" s="139">
        <f>'Прогнозные отчеты'!E13-'Прогнозные отчеты'!D13</f>
        <v>0</v>
      </c>
      <c r="F13" s="139">
        <f>'Прогнозные отчеты'!F13-'Прогнозные отчеты'!E13</f>
        <v>0</v>
      </c>
      <c r="G13" s="139">
        <f>'Прогнозные отчеты'!G13-'Прогнозные отчеты'!F13</f>
        <v>0</v>
      </c>
    </row>
    <row r="14" spans="1:8" x14ac:dyDescent="0.2">
      <c r="A14" s="166" t="s">
        <v>177</v>
      </c>
      <c r="B14" s="72" t="s">
        <v>361</v>
      </c>
      <c r="C14" s="140" t="s">
        <v>168</v>
      </c>
      <c r="D14" s="139">
        <f>'Прогнозные отчеты'!D14-'Прогнозные отчеты'!C14</f>
        <v>0</v>
      </c>
      <c r="E14" s="139">
        <f>'Прогнозные отчеты'!E14-'Прогнозные отчеты'!D14</f>
        <v>0</v>
      </c>
      <c r="F14" s="139">
        <f>'Прогнозные отчеты'!F14-'Прогнозные отчеты'!E14</f>
        <v>0</v>
      </c>
      <c r="G14" s="139">
        <f>'Прогнозные отчеты'!G14-'Прогнозные отчеты'!F14</f>
        <v>0</v>
      </c>
    </row>
    <row r="15" spans="1:8" x14ac:dyDescent="0.2">
      <c r="A15" s="166" t="s">
        <v>170</v>
      </c>
      <c r="B15" s="72" t="s">
        <v>361</v>
      </c>
      <c r="C15" s="140" t="s">
        <v>168</v>
      </c>
      <c r="D15" s="139">
        <f>'Прогнозные отчеты'!D15-'Прогнозные отчеты'!C15</f>
        <v>0</v>
      </c>
      <c r="E15" s="139">
        <f>'Прогнозные отчеты'!E15-'Прогнозные отчеты'!D15</f>
        <v>0</v>
      </c>
      <c r="F15" s="139">
        <f>'Прогнозные отчеты'!F15-'Прогнозные отчеты'!E15</f>
        <v>0</v>
      </c>
      <c r="G15" s="139">
        <f>'Прогнозные отчеты'!G15-'Прогнозные отчеты'!F15</f>
        <v>0</v>
      </c>
    </row>
    <row r="16" spans="1:8" x14ac:dyDescent="0.2">
      <c r="A16" s="166" t="s">
        <v>169</v>
      </c>
      <c r="B16" s="72" t="s">
        <v>361</v>
      </c>
      <c r="C16" s="140" t="s">
        <v>168</v>
      </c>
      <c r="D16" s="139">
        <f>'Прогнозные отчеты'!D16-'Прогнозные отчеты'!C16</f>
        <v>2850704.7187040006</v>
      </c>
      <c r="E16" s="139">
        <f>'Прогнозные отчеты'!E16-'Прогнозные отчеты'!D16</f>
        <v>726798.95617581438</v>
      </c>
      <c r="F16" s="139">
        <f>'Прогнозные отчеты'!F16-'Прогнозные отчеты'!E16</f>
        <v>-1085442.8538534511</v>
      </c>
      <c r="G16" s="139">
        <f>'Прогнозные отчеты'!G16-'Прогнозные отчеты'!F16</f>
        <v>320248.4516615821</v>
      </c>
    </row>
    <row r="17" spans="1:7" x14ac:dyDescent="0.2">
      <c r="A17" s="130" t="s">
        <v>252</v>
      </c>
      <c r="B17" s="72" t="s">
        <v>361</v>
      </c>
      <c r="C17" s="171" t="s">
        <v>168</v>
      </c>
      <c r="D17" s="141">
        <f>'Прогнозные отчеты'!D17-'Прогнозные отчеты'!C17</f>
        <v>2850704.7187040006</v>
      </c>
      <c r="E17" s="141">
        <f>'Прогнозные отчеты'!E17-'Прогнозные отчеты'!D17</f>
        <v>726798.95617581438</v>
      </c>
      <c r="F17" s="141">
        <f>'Прогнозные отчеты'!F17-'Прогнозные отчеты'!E17</f>
        <v>-1085442.8538534511</v>
      </c>
      <c r="G17" s="141">
        <f>'Прогнозные отчеты'!G17-'Прогнозные отчеты'!F17</f>
        <v>320248.4516615821</v>
      </c>
    </row>
    <row r="18" spans="1:7" x14ac:dyDescent="0.2">
      <c r="A18" s="127"/>
      <c r="B18" s="127"/>
      <c r="C18" s="146"/>
      <c r="D18" s="143"/>
      <c r="E18" s="143"/>
      <c r="F18" s="143"/>
      <c r="G18" s="143"/>
    </row>
    <row r="19" spans="1:7" x14ac:dyDescent="0.2">
      <c r="A19" s="120" t="s">
        <v>257</v>
      </c>
      <c r="B19" s="72" t="s">
        <v>361</v>
      </c>
      <c r="C19" s="171" t="s">
        <v>168</v>
      </c>
      <c r="D19" s="141">
        <f>'Прогнозные отчеты'!D19-'Прогнозные отчеты'!C19</f>
        <v>2818704.7187040006</v>
      </c>
      <c r="E19" s="141">
        <f>'Прогнозные отчеты'!E19-'Прогнозные отчеты'!D19</f>
        <v>694798.95617581438</v>
      </c>
      <c r="F19" s="141">
        <f>'Прогнозные отчеты'!F19-'Прогнозные отчеты'!E19</f>
        <v>-1117442.8538534511</v>
      </c>
      <c r="G19" s="141">
        <f>'Прогнозные отчеты'!G19-'Прогнозные отчеты'!F19</f>
        <v>288248.4516615821</v>
      </c>
    </row>
    <row r="20" spans="1:7" x14ac:dyDescent="0.2">
      <c r="A20" s="118"/>
      <c r="B20" s="118"/>
      <c r="C20" s="146"/>
      <c r="D20" s="143"/>
      <c r="E20" s="143"/>
      <c r="F20" s="143"/>
      <c r="G20" s="143"/>
    </row>
    <row r="21" spans="1:7" x14ac:dyDescent="0.2">
      <c r="A21" s="118"/>
      <c r="B21" s="118"/>
      <c r="C21" s="146"/>
      <c r="D21" s="143"/>
      <c r="E21" s="143"/>
      <c r="F21" s="143"/>
      <c r="G21" s="143"/>
    </row>
    <row r="22" spans="1:7" x14ac:dyDescent="0.2">
      <c r="A22" s="144" t="s">
        <v>115</v>
      </c>
      <c r="B22" s="101"/>
      <c r="C22" s="57"/>
      <c r="D22" s="57"/>
      <c r="E22" s="57"/>
      <c r="F22" s="58"/>
      <c r="G22" s="57"/>
    </row>
    <row r="23" spans="1:7" x14ac:dyDescent="0.2">
      <c r="A23" s="23" t="s">
        <v>93</v>
      </c>
      <c r="B23" s="118"/>
      <c r="C23" s="146"/>
      <c r="D23" s="143"/>
      <c r="E23" s="143"/>
      <c r="F23" s="143"/>
      <c r="G23" s="143"/>
    </row>
    <row r="24" spans="1:7" x14ac:dyDescent="0.2">
      <c r="A24" s="168" t="s">
        <v>174</v>
      </c>
      <c r="B24" s="72" t="s">
        <v>361</v>
      </c>
      <c r="C24" s="140" t="s">
        <v>168</v>
      </c>
      <c r="D24" s="139">
        <f>'Прогнозные отчеты'!D23-'Прогнозные отчеты'!C23</f>
        <v>-160000</v>
      </c>
      <c r="E24" s="139">
        <f>'Прогнозные отчеты'!E23-'Прогнозные отчеты'!D23</f>
        <v>0</v>
      </c>
      <c r="F24" s="139">
        <f>'Прогнозные отчеты'!F23-'Прогнозные отчеты'!E23</f>
        <v>0</v>
      </c>
      <c r="G24" s="139">
        <f>'Прогнозные отчеты'!G23-'Прогнозные отчеты'!F23</f>
        <v>0</v>
      </c>
    </row>
    <row r="25" spans="1:7" x14ac:dyDescent="0.2">
      <c r="A25" s="168" t="s">
        <v>85</v>
      </c>
      <c r="B25" s="72" t="s">
        <v>361</v>
      </c>
      <c r="C25" s="140" t="s">
        <v>168</v>
      </c>
      <c r="D25" s="139">
        <f>'Прогнозные отчеты'!D24-'Прогнозные отчеты'!C24</f>
        <v>0</v>
      </c>
      <c r="E25" s="139">
        <f>'Прогнозные отчеты'!E24-'Прогнозные отчеты'!D24</f>
        <v>0</v>
      </c>
      <c r="F25" s="139">
        <f>'Прогнозные отчеты'!F24-'Прогнозные отчеты'!E24</f>
        <v>0</v>
      </c>
      <c r="G25" s="139">
        <f>'Прогнозные отчеты'!G24-'Прогнозные отчеты'!F24</f>
        <v>0</v>
      </c>
    </row>
    <row r="26" spans="1:7" x14ac:dyDescent="0.2">
      <c r="A26" s="168" t="s">
        <v>31</v>
      </c>
      <c r="B26" s="72" t="s">
        <v>361</v>
      </c>
      <c r="C26" s="140" t="s">
        <v>168</v>
      </c>
      <c r="D26" s="139">
        <f>'Прогнозные отчеты'!D25-'Прогнозные отчеты'!C25</f>
        <v>73910.696086956537</v>
      </c>
      <c r="E26" s="139">
        <f>'Прогнозные отчеты'!E25-'Прогнозные отчеты'!D25</f>
        <v>48320.037852173962</v>
      </c>
      <c r="F26" s="139">
        <f>'Прогнозные отчеты'!F25-'Прогнозные отчеты'!E25</f>
        <v>55053.940123304375</v>
      </c>
      <c r="G26" s="139">
        <f>'Прогнозные отчеты'!G25-'Прогнозные отчеты'!F25</f>
        <v>62131.876530702692</v>
      </c>
    </row>
    <row r="27" spans="1:7" s="121" customFormat="1" x14ac:dyDescent="0.2">
      <c r="A27" s="121" t="s">
        <v>124</v>
      </c>
      <c r="B27" s="72" t="s">
        <v>361</v>
      </c>
      <c r="C27" s="171" t="s">
        <v>168</v>
      </c>
      <c r="D27" s="141">
        <f>'Прогнозные отчеты'!D26-'Прогнозные отчеты'!C26</f>
        <v>-86089.303913043463</v>
      </c>
      <c r="E27" s="141">
        <f>'Прогнозные отчеты'!E26-'Прогнозные отчеты'!D26</f>
        <v>48320.037852173962</v>
      </c>
      <c r="F27" s="141">
        <f>'Прогнозные отчеты'!F26-'Прогнозные отчеты'!E26</f>
        <v>55053.940123304375</v>
      </c>
      <c r="G27" s="141">
        <f>'Прогнозные отчеты'!G26-'Прогнозные отчеты'!F26</f>
        <v>62131.876530702692</v>
      </c>
    </row>
    <row r="28" spans="1:7" x14ac:dyDescent="0.2">
      <c r="A28" s="118"/>
      <c r="B28" s="118"/>
      <c r="C28" s="146"/>
      <c r="D28" s="143"/>
      <c r="E28" s="143"/>
      <c r="F28" s="143"/>
      <c r="G28" s="143"/>
    </row>
    <row r="29" spans="1:7" x14ac:dyDescent="0.2">
      <c r="A29" s="23" t="s">
        <v>254</v>
      </c>
      <c r="B29" s="118"/>
      <c r="C29" s="146"/>
      <c r="D29" s="143"/>
      <c r="E29" s="143"/>
      <c r="F29" s="143"/>
      <c r="G29" s="143"/>
    </row>
    <row r="30" spans="1:7" x14ac:dyDescent="0.2">
      <c r="A30" s="168" t="s">
        <v>185</v>
      </c>
      <c r="B30" s="72" t="s">
        <v>361</v>
      </c>
      <c r="C30" s="140" t="s">
        <v>168</v>
      </c>
      <c r="D30" s="139">
        <f>'Прогнозные отчеты'!D29-'Прогнозные отчеты'!C29</f>
        <v>-100000</v>
      </c>
      <c r="E30" s="139">
        <f>'Прогнозные отчеты'!E29-'Прогнозные отчеты'!D29</f>
        <v>-100000</v>
      </c>
      <c r="F30" s="139">
        <f>'Прогнозные отчеты'!F29-'Прогнозные отчеты'!E29</f>
        <v>-100000</v>
      </c>
      <c r="G30" s="139">
        <f>'Прогнозные отчеты'!G29-'Прогнозные отчеты'!F29</f>
        <v>-100000</v>
      </c>
    </row>
    <row r="31" spans="1:7" s="121" customFormat="1" x14ac:dyDescent="0.2">
      <c r="A31" s="121" t="s">
        <v>255</v>
      </c>
      <c r="B31" s="72" t="s">
        <v>361</v>
      </c>
      <c r="C31" s="171" t="s">
        <v>168</v>
      </c>
      <c r="D31" s="141">
        <f>'Прогнозные отчеты'!D30-'Прогнозные отчеты'!C30</f>
        <v>-100000</v>
      </c>
      <c r="E31" s="141">
        <f>'Прогнозные отчеты'!E30-'Прогнозные отчеты'!D30</f>
        <v>-100000</v>
      </c>
      <c r="F31" s="141">
        <f>'Прогнозные отчеты'!F30-'Прогнозные отчеты'!E30</f>
        <v>-100000</v>
      </c>
      <c r="G31" s="141">
        <f>'Прогнозные отчеты'!G30-'Прогнозные отчеты'!F30</f>
        <v>-100000</v>
      </c>
    </row>
    <row r="32" spans="1:7" x14ac:dyDescent="0.2">
      <c r="A32" s="145"/>
      <c r="B32" s="72"/>
      <c r="C32" s="146"/>
      <c r="D32" s="143"/>
      <c r="E32" s="143"/>
      <c r="F32" s="143"/>
      <c r="G32" s="143"/>
    </row>
    <row r="33" spans="1:8" x14ac:dyDescent="0.2">
      <c r="A33" s="23" t="s">
        <v>256</v>
      </c>
      <c r="B33" s="72"/>
      <c r="C33" s="146"/>
      <c r="D33" s="143"/>
      <c r="E33" s="143"/>
      <c r="F33" s="143"/>
      <c r="G33" s="143"/>
    </row>
    <row r="34" spans="1:8" x14ac:dyDescent="0.2">
      <c r="A34" s="168" t="s">
        <v>180</v>
      </c>
      <c r="B34" s="72" t="s">
        <v>361</v>
      </c>
      <c r="C34" s="140" t="s">
        <v>168</v>
      </c>
      <c r="D34" s="139">
        <f>'Прогнозные отчеты'!D33-'Прогнозные отчеты'!C33</f>
        <v>0</v>
      </c>
      <c r="E34" s="139">
        <f>'Прогнозные отчеты'!E33-'Прогнозные отчеты'!D33</f>
        <v>0</v>
      </c>
      <c r="F34" s="139">
        <f>'Прогнозные отчеты'!F33-'Прогнозные отчеты'!E33</f>
        <v>0</v>
      </c>
      <c r="G34" s="139">
        <f>'Прогнозные отчеты'!G33-'Прогнозные отчеты'!F33</f>
        <v>0</v>
      </c>
    </row>
    <row r="35" spans="1:8" x14ac:dyDescent="0.2">
      <c r="A35" s="166" t="s">
        <v>173</v>
      </c>
      <c r="B35" s="72" t="s">
        <v>361</v>
      </c>
      <c r="C35" s="140" t="s">
        <v>168</v>
      </c>
      <c r="D35" s="139">
        <f>'Прогнозные отчеты'!D34-'Прогнозные отчеты'!C34</f>
        <v>0</v>
      </c>
      <c r="E35" s="139">
        <f>'Прогнозные отчеты'!E34-'Прогнозные отчеты'!D34</f>
        <v>0</v>
      </c>
      <c r="F35" s="139">
        <f>'Прогнозные отчеты'!F34-'Прогнозные отчеты'!E34</f>
        <v>0</v>
      </c>
      <c r="G35" s="139">
        <f>'Прогнозные отчеты'!G34-'Прогнозные отчеты'!F34</f>
        <v>0</v>
      </c>
    </row>
    <row r="36" spans="1:8" x14ac:dyDescent="0.2">
      <c r="A36" s="166" t="s">
        <v>179</v>
      </c>
      <c r="B36" s="72" t="s">
        <v>361</v>
      </c>
      <c r="C36" s="140" t="s">
        <v>168</v>
      </c>
      <c r="D36" s="139">
        <f>'Прогнозные отчеты'!D35-'Прогнозные отчеты'!C35</f>
        <v>0</v>
      </c>
      <c r="E36" s="139">
        <f>'Прогнозные отчеты'!E35-'Прогнозные отчеты'!D35</f>
        <v>0</v>
      </c>
      <c r="F36" s="139">
        <f>'Прогнозные отчеты'!F35-'Прогнозные отчеты'!E35</f>
        <v>0</v>
      </c>
      <c r="G36" s="139">
        <f>'Прогнозные отчеты'!G35-'Прогнозные отчеты'!F35</f>
        <v>0</v>
      </c>
    </row>
    <row r="37" spans="1:8" x14ac:dyDescent="0.2">
      <c r="A37" s="166" t="s">
        <v>181</v>
      </c>
      <c r="B37" s="72" t="s">
        <v>361</v>
      </c>
      <c r="C37" s="140" t="s">
        <v>168</v>
      </c>
      <c r="D37" s="139">
        <f>'Прогнозные отчеты'!D36-'Прогнозные отчеты'!C36</f>
        <v>2232.0658091983114</v>
      </c>
      <c r="E37" s="139">
        <f>'Прогнозные отчеты'!E36-'Прогнозные отчеты'!D36</f>
        <v>-10735.920049198312</v>
      </c>
      <c r="F37" s="139">
        <f>'Прогнозные отчеты'!F36-'Прогнозные отчеты'!E36</f>
        <v>0</v>
      </c>
      <c r="G37" s="139">
        <f>'Прогнозные отчеты'!G36-'Прогнозные отчеты'!F36</f>
        <v>0</v>
      </c>
    </row>
    <row r="38" spans="1:8" x14ac:dyDescent="0.2">
      <c r="A38" s="166" t="s">
        <v>241</v>
      </c>
      <c r="B38" s="72" t="s">
        <v>361</v>
      </c>
      <c r="C38" s="140" t="s">
        <v>168</v>
      </c>
      <c r="D38" s="139">
        <f>'Прогнозные отчеты'!D37-'Прогнозные отчеты'!C37</f>
        <v>-4000</v>
      </c>
      <c r="E38" s="139">
        <f>'Прогнозные отчеты'!E37-'Прогнозные отчеты'!D37</f>
        <v>-4000</v>
      </c>
      <c r="F38" s="139">
        <f>'Прогнозные отчеты'!F37-'Прогнозные отчеты'!E37</f>
        <v>-4000</v>
      </c>
      <c r="G38" s="139">
        <f>'Прогнозные отчеты'!G37-'Прогнозные отчеты'!F37</f>
        <v>-4000</v>
      </c>
    </row>
    <row r="39" spans="1:8" x14ac:dyDescent="0.2">
      <c r="A39" s="126" t="s">
        <v>256</v>
      </c>
      <c r="B39" s="72" t="s">
        <v>361</v>
      </c>
      <c r="C39" s="171" t="s">
        <v>168</v>
      </c>
      <c r="D39" s="141">
        <f>'Прогнозные отчеты'!D38-'Прогнозные отчеты'!C38</f>
        <v>-1767.9341908016868</v>
      </c>
      <c r="E39" s="141">
        <f>'Прогнозные отчеты'!E38-'Прогнозные отчеты'!D38</f>
        <v>-14735.920049198314</v>
      </c>
      <c r="F39" s="141">
        <f>'Прогнозные отчеты'!F38-'Прогнозные отчеты'!E38</f>
        <v>-4000</v>
      </c>
      <c r="G39" s="141">
        <f>'Прогнозные отчеты'!G38-'Прогнозные отчеты'!F38</f>
        <v>-4000</v>
      </c>
    </row>
    <row r="40" spans="1:8" x14ac:dyDescent="0.2">
      <c r="A40" s="127"/>
      <c r="B40" s="127"/>
      <c r="C40" s="146"/>
      <c r="D40" s="143"/>
      <c r="E40" s="143"/>
      <c r="F40" s="143"/>
      <c r="G40" s="143"/>
    </row>
    <row r="41" spans="1:8" s="147" customFormat="1" x14ac:dyDescent="0.2">
      <c r="A41" s="130" t="s">
        <v>258</v>
      </c>
      <c r="B41" s="72" t="s">
        <v>361</v>
      </c>
      <c r="C41" s="171" t="s">
        <v>168</v>
      </c>
      <c r="D41" s="141">
        <f>'Прогнозные отчеты'!D40-'Прогнозные отчеты'!C40</f>
        <v>-187857.23810384516</v>
      </c>
      <c r="E41" s="141">
        <f>'Прогнозные отчеты'!E40-'Прогнозные отчеты'!D40</f>
        <v>-66415.882197024301</v>
      </c>
      <c r="F41" s="141">
        <f>'Прогнозные отчеты'!F40-'Прогнозные отчеты'!E40</f>
        <v>-48946.059876695508</v>
      </c>
      <c r="G41" s="141">
        <f>'Прогнозные отчеты'!G40-'Прогнозные отчеты'!F40</f>
        <v>-41868.123469297308</v>
      </c>
    </row>
    <row r="42" spans="1:8" ht="13.5" customHeight="1" x14ac:dyDescent="0.2">
      <c r="A42" s="127"/>
      <c r="B42" s="127"/>
      <c r="C42" s="146"/>
      <c r="D42" s="143"/>
      <c r="E42" s="143"/>
      <c r="F42" s="143"/>
      <c r="G42" s="143"/>
    </row>
    <row r="43" spans="1:8" x14ac:dyDescent="0.2">
      <c r="C43" s="146"/>
      <c r="D43" s="143"/>
      <c r="E43" s="143"/>
      <c r="F43" s="143"/>
      <c r="G43" s="143"/>
    </row>
    <row r="44" spans="1:8" x14ac:dyDescent="0.2">
      <c r="A44" s="11" t="s">
        <v>265</v>
      </c>
      <c r="B44" s="133" t="s">
        <v>39</v>
      </c>
      <c r="C44" s="3" t="s">
        <v>393</v>
      </c>
      <c r="D44" s="4" t="s">
        <v>354</v>
      </c>
      <c r="E44" s="5" t="s">
        <v>355</v>
      </c>
      <c r="F44" s="6" t="s">
        <v>356</v>
      </c>
      <c r="G44" s="7" t="s">
        <v>357</v>
      </c>
      <c r="H44" s="18"/>
    </row>
    <row r="45" spans="1:8" x14ac:dyDescent="0.2">
      <c r="A45" s="149"/>
      <c r="B45" s="149"/>
      <c r="C45" s="146"/>
      <c r="D45" s="143"/>
      <c r="E45" s="143"/>
      <c r="F45" s="143"/>
      <c r="G45" s="143"/>
    </row>
    <row r="46" spans="1:8" x14ac:dyDescent="0.2">
      <c r="A46" s="150" t="s">
        <v>65</v>
      </c>
      <c r="B46" s="72" t="s">
        <v>361</v>
      </c>
      <c r="C46" s="140" t="s">
        <v>168</v>
      </c>
      <c r="D46" s="139">
        <f>'Прогнозные отчеты'!D48-'Прогнозные отчеты'!C48</f>
        <v>92425.60800000024</v>
      </c>
      <c r="E46" s="139">
        <f>'Прогнозные отчеты'!E48-'Прогнозные отчеты'!D48</f>
        <v>103849.41314880003</v>
      </c>
      <c r="F46" s="139">
        <f>'Прогнозные отчеты'!F48-'Прогнозные отчеты'!E48</f>
        <v>0</v>
      </c>
      <c r="G46" s="139">
        <f>'Прогнозные отчеты'!G48-'Прогнозные отчеты'!F48</f>
        <v>247792.69202387298</v>
      </c>
    </row>
    <row r="47" spans="1:8" x14ac:dyDescent="0.2">
      <c r="A47" s="150"/>
      <c r="B47" s="72"/>
      <c r="C47" s="146"/>
      <c r="D47" s="143"/>
      <c r="E47" s="143"/>
      <c r="F47" s="143"/>
      <c r="G47" s="143"/>
    </row>
    <row r="48" spans="1:8" x14ac:dyDescent="0.2">
      <c r="A48" s="150" t="s">
        <v>260</v>
      </c>
      <c r="B48" s="72" t="s">
        <v>361</v>
      </c>
      <c r="C48" s="140" t="s">
        <v>168</v>
      </c>
      <c r="D48" s="139">
        <f>'Прогнозные отчеты'!D50-'Прогнозные отчеты'!C50</f>
        <v>148389.14423930447</v>
      </c>
      <c r="E48" s="139">
        <f>'Прогнозные отчеты'!E50-'Прогнозные отчеты'!D50</f>
        <v>73828.165621195338</v>
      </c>
      <c r="F48" s="139">
        <f>'Прогнозные отчеты'!F50-'Прогнозные отчеты'!E50</f>
        <v>82849.899463123176</v>
      </c>
      <c r="G48" s="139">
        <f>'Прогнозные отчеты'!G50-'Прогнозные отчеты'!F50</f>
        <v>92980.513962181634</v>
      </c>
    </row>
    <row r="49" spans="1:7" x14ac:dyDescent="0.2">
      <c r="A49" s="179" t="s">
        <v>261</v>
      </c>
      <c r="B49" s="72" t="s">
        <v>361</v>
      </c>
      <c r="C49" s="140" t="s">
        <v>168</v>
      </c>
      <c r="D49" s="140">
        <f>'Прогнозные отчеты'!D51-'Прогнозные отчеты'!C51</f>
        <v>44704.220399999991</v>
      </c>
      <c r="E49" s="140">
        <f>'Прогнозные отчеты'!E51-'Прогнозные отчеты'!D51</f>
        <v>30940.259041440033</v>
      </c>
      <c r="F49" s="140">
        <f>'Прогнозные отчеты'!F51-'Прогнозные отчеты'!E51</f>
        <v>34764.475058962009</v>
      </c>
      <c r="G49" s="140">
        <f>'Прогнозные отчеты'!G51-'Прогнозные отчеты'!F51</f>
        <v>39061.364176249655</v>
      </c>
    </row>
    <row r="50" spans="1:7" x14ac:dyDescent="0.2">
      <c r="A50" s="179" t="s">
        <v>137</v>
      </c>
      <c r="B50" s="72" t="s">
        <v>361</v>
      </c>
      <c r="C50" s="140" t="s">
        <v>168</v>
      </c>
      <c r="D50" s="140">
        <f>'Прогнозные отчеты'!D52-'Прогнозные отчеты'!C52</f>
        <v>38150.756448000029</v>
      </c>
      <c r="E50" s="140">
        <f>'Прогнозные отчеты'!E52-'Прогнозные отчеты'!D52</f>
        <v>41261.689144972828</v>
      </c>
      <c r="F50" s="140">
        <f>'Прогнозные отчеты'!F52-'Прогнозные отчеты'!E52</f>
        <v>46361.633923291462</v>
      </c>
      <c r="G50" s="140">
        <f>'Прогнозные отчеты'!G52-'Прогнозные отчеты'!F52</f>
        <v>52091.931876210321</v>
      </c>
    </row>
    <row r="51" spans="1:7" ht="12" customHeight="1" x14ac:dyDescent="0.2">
      <c r="A51" s="179" t="s">
        <v>262</v>
      </c>
      <c r="B51" s="72" t="s">
        <v>361</v>
      </c>
      <c r="C51" s="140" t="s">
        <v>168</v>
      </c>
      <c r="D51" s="140">
        <f>'Прогнозные отчеты'!D53-'Прогнозные отчеты'!C53</f>
        <v>1105.7673913043473</v>
      </c>
      <c r="E51" s="140">
        <f>'Прогнозные отчеты'!E53-'Прогнозные отчеты'!D53</f>
        <v>1172.1134347826082</v>
      </c>
      <c r="F51" s="140">
        <f>'Прогнозные отчеты'!F53-'Прогнозные отчеты'!E53</f>
        <v>1242.4402408695714</v>
      </c>
      <c r="G51" s="140">
        <f>'Прогнозные отчеты'!G53-'Прогнозные отчеты'!F53</f>
        <v>1316.9866553217398</v>
      </c>
    </row>
    <row r="52" spans="1:7" x14ac:dyDescent="0.2">
      <c r="A52" s="179" t="s">
        <v>215</v>
      </c>
      <c r="B52" s="72" t="s">
        <v>361</v>
      </c>
      <c r="C52" s="140" t="s">
        <v>168</v>
      </c>
      <c r="D52" s="140">
        <f>'Прогнозные отчеты'!D54-'Прогнозные отчеты'!C54</f>
        <v>428.39999999999964</v>
      </c>
      <c r="E52" s="140">
        <f>'Прогнозные отчеты'!E54-'Прогнозные отчеты'!D54</f>
        <v>454.10400000000027</v>
      </c>
      <c r="F52" s="140">
        <f>'Прогнозные отчеты'!F54-'Прогнозные отчеты'!E54</f>
        <v>481.35024000000067</v>
      </c>
      <c r="G52" s="140">
        <f>'Прогнозные отчеты'!G54-'Прогнозные отчеты'!F54</f>
        <v>510.23125439999967</v>
      </c>
    </row>
    <row r="53" spans="1:7" x14ac:dyDescent="0.2">
      <c r="A53" s="179" t="s">
        <v>62</v>
      </c>
      <c r="B53" s="72" t="s">
        <v>361</v>
      </c>
      <c r="C53" s="140" t="s">
        <v>168</v>
      </c>
      <c r="D53" s="140">
        <f>'Прогнозные отчеты'!D55-'Прогнозные отчеты'!C55</f>
        <v>64000</v>
      </c>
      <c r="E53" s="140">
        <f>'Прогнозные отчеты'!E55-'Прогнозные отчеты'!D55</f>
        <v>0</v>
      </c>
      <c r="F53" s="140">
        <f>'Прогнозные отчеты'!F55-'Прогнозные отчеты'!E55</f>
        <v>0</v>
      </c>
      <c r="G53" s="140">
        <f>'Прогнозные отчеты'!G55-'Прогнозные отчеты'!F55</f>
        <v>0</v>
      </c>
    </row>
    <row r="54" spans="1:7" x14ac:dyDescent="0.2">
      <c r="A54" s="151"/>
      <c r="B54" s="72"/>
      <c r="C54" s="146"/>
      <c r="D54" s="143"/>
      <c r="E54" s="143"/>
      <c r="F54" s="143"/>
      <c r="G54" s="143"/>
    </row>
    <row r="55" spans="1:7" s="121" customFormat="1" x14ac:dyDescent="0.2">
      <c r="A55" s="152" t="s">
        <v>9</v>
      </c>
      <c r="B55" s="72" t="s">
        <v>361</v>
      </c>
      <c r="C55" s="171" t="s">
        <v>168</v>
      </c>
      <c r="D55" s="141">
        <f>'Прогнозные отчеты'!D57-'Прогнозные отчеты'!C57</f>
        <v>-55963.536239304231</v>
      </c>
      <c r="E55" s="141">
        <f>'Прогнозные отчеты'!E57-'Прогнозные отчеты'!D57</f>
        <v>30021.24752760469</v>
      </c>
      <c r="F55" s="141">
        <f>'Прогнозные отчеты'!F57-'Прогнозные отчеты'!E57</f>
        <v>-82849.899463123176</v>
      </c>
      <c r="G55" s="141">
        <f>'Прогнозные отчеты'!G57-'Прогнозные отчеты'!F57</f>
        <v>154812.17806169135</v>
      </c>
    </row>
    <row r="56" spans="1:7" x14ac:dyDescent="0.2">
      <c r="A56" s="151"/>
      <c r="B56" s="72"/>
      <c r="C56" s="146"/>
      <c r="D56" s="143"/>
      <c r="E56" s="143"/>
      <c r="F56" s="143"/>
      <c r="G56" s="143"/>
    </row>
    <row r="57" spans="1:7" s="156" customFormat="1" x14ac:dyDescent="0.2">
      <c r="A57" s="169" t="s">
        <v>55</v>
      </c>
      <c r="B57" s="72" t="s">
        <v>361</v>
      </c>
      <c r="C57" s="140" t="s">
        <v>168</v>
      </c>
      <c r="D57" s="139">
        <f>'Прогнозные отчеты'!D59-'Прогнозные отчеты'!C59</f>
        <v>-4000</v>
      </c>
      <c r="E57" s="139">
        <f>'Прогнозные отчеты'!E59-'Прогнозные отчеты'!D59</f>
        <v>-4000</v>
      </c>
      <c r="F57" s="139">
        <f>'Прогнозные отчеты'!F59-'Прогнозные отчеты'!E59</f>
        <v>-4000</v>
      </c>
      <c r="G57" s="139">
        <f>'Прогнозные отчеты'!G59-'Прогнозные отчеты'!F59</f>
        <v>-4000</v>
      </c>
    </row>
    <row r="58" spans="1:7" x14ac:dyDescent="0.2">
      <c r="A58" s="151"/>
      <c r="B58" s="72"/>
      <c r="C58" s="146"/>
      <c r="D58" s="143"/>
      <c r="E58" s="143"/>
      <c r="F58" s="143"/>
      <c r="G58" s="143"/>
    </row>
    <row r="59" spans="1:7" s="121" customFormat="1" x14ac:dyDescent="0.2">
      <c r="A59" s="157" t="s">
        <v>10</v>
      </c>
      <c r="B59" s="72" t="s">
        <v>361</v>
      </c>
      <c r="C59" s="171" t="s">
        <v>168</v>
      </c>
      <c r="D59" s="141">
        <f>'Прогнозные отчеты'!D61-'Прогнозные отчеты'!C61</f>
        <v>-51963.536239304231</v>
      </c>
      <c r="E59" s="141">
        <f>'Прогнозные отчеты'!E61-'Прогнозные отчеты'!D61</f>
        <v>34021.24752760469</v>
      </c>
      <c r="F59" s="141">
        <f>'Прогнозные отчеты'!F61-'Прогнозные отчеты'!E61</f>
        <v>-78849.899463123176</v>
      </c>
      <c r="G59" s="141">
        <f>'Прогнозные отчеты'!G61-'Прогнозные отчеты'!F61</f>
        <v>158812.17806169135</v>
      </c>
    </row>
    <row r="60" spans="1:7" x14ac:dyDescent="0.2">
      <c r="A60" s="151"/>
      <c r="B60" s="72"/>
      <c r="C60" s="146"/>
      <c r="D60" s="143"/>
      <c r="E60" s="143"/>
      <c r="F60" s="143"/>
      <c r="G60" s="143"/>
    </row>
    <row r="61" spans="1:7" s="156" customFormat="1" x14ac:dyDescent="0.2">
      <c r="A61" s="169" t="s">
        <v>264</v>
      </c>
      <c r="B61" s="72" t="s">
        <v>361</v>
      </c>
      <c r="C61" s="140" t="s">
        <v>168</v>
      </c>
      <c r="D61" s="139">
        <f>'Прогнозные отчеты'!D63-'Прогнозные отчеты'!C63</f>
        <v>-4000</v>
      </c>
      <c r="E61" s="139">
        <f>'Прогнозные отчеты'!E63-'Прогнозные отчеты'!D63</f>
        <v>-4000</v>
      </c>
      <c r="F61" s="139">
        <f>'Прогнозные отчеты'!F63-'Прогнозные отчеты'!E63</f>
        <v>-4000</v>
      </c>
      <c r="G61" s="139">
        <f>'Прогнозные отчеты'!G63-'Прогнозные отчеты'!F63</f>
        <v>-4000</v>
      </c>
    </row>
    <row r="62" spans="1:7" x14ac:dyDescent="0.2">
      <c r="A62" s="151"/>
      <c r="B62" s="72"/>
      <c r="C62" s="146"/>
      <c r="D62" s="143"/>
      <c r="E62" s="143"/>
      <c r="F62" s="143"/>
      <c r="G62" s="143"/>
    </row>
    <row r="63" spans="1:7" s="121" customFormat="1" x14ac:dyDescent="0.2">
      <c r="A63" s="157" t="s">
        <v>13</v>
      </c>
      <c r="B63" s="72" t="s">
        <v>361</v>
      </c>
      <c r="C63" s="171" t="s">
        <v>168</v>
      </c>
      <c r="D63" s="141">
        <f>'Прогнозные отчеты'!D65-'Прогнозные отчеты'!C65</f>
        <v>-47963.536239304231</v>
      </c>
      <c r="E63" s="141">
        <f>'Прогнозные отчеты'!E65-'Прогнозные отчеты'!D65</f>
        <v>38021.24752760469</v>
      </c>
      <c r="F63" s="141">
        <f>'Прогнозные отчеты'!F65-'Прогнозные отчеты'!E65</f>
        <v>-74849.899463123176</v>
      </c>
      <c r="G63" s="141">
        <f>'Прогнозные отчеты'!G65-'Прогнозные отчеты'!F65</f>
        <v>162812.17806169135</v>
      </c>
    </row>
    <row r="64" spans="1:7" x14ac:dyDescent="0.2">
      <c r="A64" s="151"/>
      <c r="B64" s="72"/>
      <c r="C64" s="146"/>
      <c r="D64" s="143"/>
      <c r="E64" s="143"/>
      <c r="F64" s="143"/>
      <c r="G64" s="143"/>
    </row>
    <row r="65" spans="1:7" x14ac:dyDescent="0.2">
      <c r="A65" s="169" t="s">
        <v>49</v>
      </c>
      <c r="B65" s="72" t="s">
        <v>361</v>
      </c>
      <c r="C65" s="140" t="s">
        <v>168</v>
      </c>
      <c r="D65" s="139">
        <f>'Прогнозные отчеты'!D67-'Прогнозные отчеты'!C67</f>
        <v>0</v>
      </c>
      <c r="E65" s="139">
        <f>'Прогнозные отчеты'!E67-'Прогнозные отчеты'!D67</f>
        <v>0</v>
      </c>
      <c r="F65" s="139">
        <f>'Прогнозные отчеты'!F67-'Прогнозные отчеты'!E67</f>
        <v>0</v>
      </c>
      <c r="G65" s="139">
        <f>'Прогнозные отчеты'!G67-'Прогнозные отчеты'!F67</f>
        <v>0</v>
      </c>
    </row>
    <row r="66" spans="1:7" s="156" customFormat="1" x14ac:dyDescent="0.2">
      <c r="A66" s="155"/>
      <c r="B66" s="76"/>
      <c r="C66" s="146"/>
      <c r="D66" s="143"/>
      <c r="E66" s="143"/>
      <c r="F66" s="143"/>
      <c r="G66" s="143"/>
    </row>
    <row r="67" spans="1:7" s="121" customFormat="1" x14ac:dyDescent="0.2">
      <c r="A67" s="152" t="s">
        <v>15</v>
      </c>
      <c r="B67" s="72" t="s">
        <v>361</v>
      </c>
      <c r="C67" s="171" t="s">
        <v>168</v>
      </c>
      <c r="D67" s="141">
        <f>'Прогнозные отчеты'!D69-'Прогнозные отчеты'!C69</f>
        <v>-47963.536239304231</v>
      </c>
      <c r="E67" s="141">
        <f>'Прогнозные отчеты'!E69-'Прогнозные отчеты'!D69</f>
        <v>38021.24752760469</v>
      </c>
      <c r="F67" s="141">
        <f>'Прогнозные отчеты'!F69-'Прогнозные отчеты'!E69</f>
        <v>-74849.899463123176</v>
      </c>
      <c r="G67" s="141">
        <f>'Прогнозные отчеты'!G69-'Прогнозные отчеты'!F69</f>
        <v>162812.17806169135</v>
      </c>
    </row>
    <row r="68" spans="1:7" x14ac:dyDescent="0.2">
      <c r="A68" s="150"/>
      <c r="B68" s="72"/>
      <c r="C68" s="146"/>
      <c r="D68" s="143"/>
      <c r="E68" s="143"/>
      <c r="F68" s="143"/>
      <c r="G68" s="143"/>
    </row>
    <row r="69" spans="1:7" x14ac:dyDescent="0.2">
      <c r="A69" s="125"/>
      <c r="B69" s="125"/>
      <c r="C69" s="129"/>
      <c r="D69" s="129"/>
      <c r="E69" s="129"/>
      <c r="F69" s="129"/>
      <c r="G69" s="129"/>
    </row>
    <row r="70" spans="1:7" x14ac:dyDescent="0.2">
      <c r="A70" s="125"/>
      <c r="B70" s="125"/>
      <c r="C70" s="129"/>
      <c r="D70" s="129"/>
      <c r="E70" s="129"/>
      <c r="F70" s="129"/>
      <c r="G70" s="129"/>
    </row>
    <row r="71" spans="1:7" x14ac:dyDescent="0.2">
      <c r="A71" s="125"/>
      <c r="B71" s="125"/>
      <c r="C71" s="129"/>
      <c r="D71" s="129"/>
      <c r="E71" s="129"/>
      <c r="F71" s="129"/>
      <c r="G71" s="129"/>
    </row>
    <row r="72" spans="1:7" x14ac:dyDescent="0.2">
      <c r="A72" s="125"/>
      <c r="B72" s="125"/>
      <c r="C72" s="129"/>
      <c r="D72" s="129"/>
      <c r="E72" s="129"/>
      <c r="F72" s="129"/>
      <c r="G72" s="129"/>
    </row>
    <row r="73" spans="1:7" x14ac:dyDescent="0.2">
      <c r="A73" s="125"/>
      <c r="B73" s="125"/>
      <c r="C73" s="129"/>
      <c r="D73" s="129"/>
      <c r="E73" s="129"/>
      <c r="F73" s="129"/>
      <c r="G73" s="129"/>
    </row>
    <row r="74" spans="1:7" x14ac:dyDescent="0.2">
      <c r="A74" s="125"/>
      <c r="B74" s="125"/>
      <c r="C74" s="129"/>
      <c r="D74" s="129"/>
      <c r="E74" s="129"/>
      <c r="F74" s="129"/>
      <c r="G74" s="129"/>
    </row>
    <row r="75" spans="1:7" x14ac:dyDescent="0.2">
      <c r="C75" s="129"/>
      <c r="D75" s="129"/>
      <c r="E75" s="129"/>
      <c r="F75" s="129"/>
      <c r="G75" s="129"/>
    </row>
    <row r="76" spans="1:7" x14ac:dyDescent="0.2">
      <c r="C76" s="129"/>
      <c r="D76" s="129"/>
      <c r="E76" s="129"/>
      <c r="F76" s="129"/>
      <c r="G76" s="129"/>
    </row>
    <row r="77" spans="1:7" x14ac:dyDescent="0.2">
      <c r="C77" s="129"/>
      <c r="D77" s="129"/>
      <c r="E77" s="129"/>
      <c r="F77" s="129"/>
      <c r="G77" s="129"/>
    </row>
    <row r="78" spans="1:7" x14ac:dyDescent="0.2">
      <c r="C78" s="129"/>
      <c r="D78" s="129"/>
      <c r="E78" s="129"/>
      <c r="F78" s="129"/>
      <c r="G78" s="129"/>
    </row>
    <row r="79" spans="1:7" x14ac:dyDescent="0.2">
      <c r="C79" s="129"/>
      <c r="D79" s="129"/>
      <c r="E79" s="129"/>
      <c r="F79" s="129"/>
      <c r="G79" s="129"/>
    </row>
    <row r="80" spans="1:7" x14ac:dyDescent="0.2">
      <c r="C80" s="129"/>
      <c r="D80" s="129"/>
      <c r="E80" s="129"/>
      <c r="F80" s="129"/>
      <c r="G80" s="129"/>
    </row>
    <row r="81" spans="3:7" x14ac:dyDescent="0.2">
      <c r="C81" s="129"/>
      <c r="D81" s="129"/>
      <c r="E81" s="129"/>
      <c r="F81" s="129"/>
      <c r="G81" s="129"/>
    </row>
    <row r="82" spans="3:7" x14ac:dyDescent="0.2">
      <c r="C82" s="129"/>
      <c r="D82" s="129"/>
      <c r="E82" s="129"/>
      <c r="F82" s="129"/>
      <c r="G82" s="129"/>
    </row>
    <row r="83" spans="3:7" x14ac:dyDescent="0.2">
      <c r="C83" s="129"/>
      <c r="D83" s="129"/>
      <c r="E83" s="129"/>
      <c r="F83" s="129"/>
      <c r="G83" s="129"/>
    </row>
    <row r="84" spans="3:7" x14ac:dyDescent="0.2">
      <c r="C84" s="129"/>
      <c r="D84" s="129"/>
      <c r="E84" s="129"/>
      <c r="F84" s="129"/>
      <c r="G84" s="129"/>
    </row>
    <row r="85" spans="3:7" x14ac:dyDescent="0.2">
      <c r="C85" s="129"/>
      <c r="D85" s="129"/>
      <c r="E85" s="129"/>
      <c r="F85" s="129"/>
      <c r="G85" s="129"/>
    </row>
    <row r="86" spans="3:7" x14ac:dyDescent="0.2">
      <c r="C86" s="129"/>
      <c r="D86" s="129"/>
      <c r="E86" s="129"/>
      <c r="F86" s="129"/>
      <c r="G86" s="129"/>
    </row>
    <row r="87" spans="3:7" x14ac:dyDescent="0.2">
      <c r="C87" s="129"/>
      <c r="D87" s="129"/>
      <c r="E87" s="129"/>
      <c r="F87" s="129"/>
      <c r="G87" s="129"/>
    </row>
    <row r="88" spans="3:7" x14ac:dyDescent="0.2">
      <c r="C88" s="129"/>
      <c r="D88" s="129"/>
      <c r="E88" s="129"/>
      <c r="F88" s="129"/>
      <c r="G88" s="129"/>
    </row>
    <row r="89" spans="3:7" x14ac:dyDescent="0.2">
      <c r="C89" s="129"/>
      <c r="D89" s="129"/>
      <c r="E89" s="129"/>
      <c r="F89" s="129"/>
      <c r="G89" s="129"/>
    </row>
    <row r="90" spans="3:7" x14ac:dyDescent="0.2">
      <c r="C90" s="129"/>
      <c r="D90" s="129"/>
      <c r="E90" s="129"/>
      <c r="F90" s="129"/>
      <c r="G90" s="129"/>
    </row>
    <row r="91" spans="3:7" x14ac:dyDescent="0.2">
      <c r="C91" s="129"/>
      <c r="D91" s="129"/>
      <c r="E91" s="129"/>
      <c r="F91" s="129"/>
      <c r="G91" s="129"/>
    </row>
    <row r="92" spans="3:7" x14ac:dyDescent="0.2">
      <c r="C92" s="129"/>
      <c r="D92" s="129"/>
      <c r="E92" s="129"/>
      <c r="F92" s="129"/>
      <c r="G92" s="129"/>
    </row>
    <row r="93" spans="3:7" x14ac:dyDescent="0.2">
      <c r="C93" s="129"/>
      <c r="D93" s="129"/>
      <c r="E93" s="129"/>
      <c r="F93" s="129"/>
      <c r="G93" s="129"/>
    </row>
    <row r="94" spans="3:7" x14ac:dyDescent="0.2">
      <c r="C94" s="129"/>
      <c r="D94" s="129"/>
      <c r="E94" s="129"/>
      <c r="F94" s="129"/>
      <c r="G94" s="129"/>
    </row>
    <row r="95" spans="3:7" x14ac:dyDescent="0.2">
      <c r="C95" s="129"/>
      <c r="D95" s="129"/>
      <c r="E95" s="129"/>
      <c r="F95" s="129"/>
      <c r="G95" s="129"/>
    </row>
    <row r="96" spans="3:7" x14ac:dyDescent="0.2">
      <c r="C96" s="129"/>
      <c r="D96" s="129"/>
      <c r="E96" s="129"/>
      <c r="F96" s="129"/>
      <c r="G96" s="129"/>
    </row>
    <row r="97" spans="3:7" x14ac:dyDescent="0.2">
      <c r="C97" s="129"/>
      <c r="D97" s="129"/>
      <c r="E97" s="129"/>
      <c r="F97" s="129"/>
      <c r="G97" s="129"/>
    </row>
    <row r="98" spans="3:7" x14ac:dyDescent="0.2">
      <c r="C98" s="129"/>
      <c r="D98" s="129"/>
      <c r="E98" s="129"/>
      <c r="F98" s="129"/>
      <c r="G98" s="129"/>
    </row>
    <row r="99" spans="3:7" x14ac:dyDescent="0.2">
      <c r="C99" s="129"/>
      <c r="D99" s="129"/>
      <c r="E99" s="129"/>
      <c r="F99" s="129"/>
      <c r="G99" s="129"/>
    </row>
  </sheetData>
  <hyperlinks>
    <hyperlink ref="A1" r:id="rId1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8"/>
  <sheetViews>
    <sheetView zoomScale="85" zoomScaleNormal="85" workbookViewId="0">
      <selection activeCell="J65" sqref="J65"/>
    </sheetView>
  </sheetViews>
  <sheetFormatPr defaultRowHeight="12.75" x14ac:dyDescent="0.2"/>
  <cols>
    <col min="1" max="1" width="47.85546875" style="122" customWidth="1"/>
    <col min="2" max="2" width="5.7109375" style="122" customWidth="1"/>
    <col min="3" max="3" width="10.42578125" style="118" bestFit="1" customWidth="1"/>
    <col min="4" max="6" width="11.7109375" style="118" bestFit="1" customWidth="1"/>
    <col min="7" max="7" width="12.28515625" style="118" bestFit="1" customWidth="1"/>
    <col min="8" max="16384" width="9.140625" style="118"/>
  </cols>
  <sheetData>
    <row r="1" spans="1:8" ht="18" x14ac:dyDescent="0.25">
      <c r="A1" s="242" t="s">
        <v>349</v>
      </c>
    </row>
    <row r="2" spans="1:8" x14ac:dyDescent="0.2">
      <c r="A2" s="11" t="s">
        <v>267</v>
      </c>
      <c r="B2" s="11"/>
      <c r="C2" s="3" t="s">
        <v>353</v>
      </c>
      <c r="D2" s="4" t="s">
        <v>354</v>
      </c>
      <c r="E2" s="5" t="s">
        <v>355</v>
      </c>
      <c r="F2" s="6" t="s">
        <v>356</v>
      </c>
      <c r="G2" s="7" t="s">
        <v>357</v>
      </c>
    </row>
    <row r="3" spans="1:8" s="119" customFormat="1" x14ac:dyDescent="0.2">
      <c r="A3" s="124"/>
      <c r="B3" s="124"/>
    </row>
    <row r="4" spans="1:8" x14ac:dyDescent="0.2">
      <c r="A4" s="144" t="s">
        <v>107</v>
      </c>
      <c r="B4" s="144"/>
      <c r="C4" s="57"/>
      <c r="D4" s="57"/>
      <c r="E4" s="57"/>
      <c r="F4" s="58"/>
      <c r="G4" s="57"/>
      <c r="H4" s="129"/>
    </row>
    <row r="5" spans="1:8" x14ac:dyDescent="0.2">
      <c r="A5" s="23" t="s">
        <v>249</v>
      </c>
      <c r="B5" s="23"/>
    </row>
    <row r="6" spans="1:8" x14ac:dyDescent="0.2">
      <c r="A6" s="166" t="s">
        <v>172</v>
      </c>
      <c r="B6" s="125"/>
      <c r="C6" s="140" t="s">
        <v>168</v>
      </c>
      <c r="D6" s="163" t="str">
        <f>IF('Прогнозные отчеты'!C6=0,"-",('Прогнозные отчеты'!D6-'Прогнозные отчеты'!C6)/'Прогнозные отчеты'!C6)</f>
        <v>-</v>
      </c>
      <c r="E6" s="163" t="str">
        <f>IF('Прогнозные отчеты'!D6=0,"-",('Прогнозные отчеты'!E6-'Прогнозные отчеты'!D6)/'Прогнозные отчеты'!D6)</f>
        <v>-</v>
      </c>
      <c r="F6" s="163" t="str">
        <f>IF('Прогнозные отчеты'!E6=0,"-",('Прогнозные отчеты'!F6-'Прогнозные отчеты'!E6)/'Прогнозные отчеты'!E6)</f>
        <v>-</v>
      </c>
      <c r="G6" s="163" t="str">
        <f>IF('Прогнозные отчеты'!F6=0,"-",('Прогнозные отчеты'!G6-'Прогнозные отчеты'!F6)/'Прогнозные отчеты'!F6)</f>
        <v>-</v>
      </c>
    </row>
    <row r="7" spans="1:8" x14ac:dyDescent="0.2">
      <c r="A7" s="166" t="s">
        <v>171</v>
      </c>
      <c r="B7" s="125"/>
      <c r="C7" s="140" t="s">
        <v>168</v>
      </c>
      <c r="D7" s="163">
        <f>IF('Прогнозные отчеты'!C7=0,"-",('Прогнозные отчеты'!D7-'Прогнозные отчеты'!C7)/'Прогнозные отчеты'!C7)</f>
        <v>-3.0769230769230771E-2</v>
      </c>
      <c r="E7" s="163">
        <f>IF('Прогнозные отчеты'!D7=0,"-",('Прогнозные отчеты'!E7-'Прогнозные отчеты'!D7)/'Прогнозные отчеты'!D7)</f>
        <v>-3.1746031746031744E-2</v>
      </c>
      <c r="F7" s="163">
        <f>IF('Прогнозные отчеты'!E7=0,"-",('Прогнозные отчеты'!F7-'Прогнозные отчеты'!E7)/'Прогнозные отчеты'!E7)</f>
        <v>-3.2786885245901641E-2</v>
      </c>
      <c r="G7" s="163">
        <f>IF('Прогнозные отчеты'!F7=0,"-",('Прогнозные отчеты'!G7-'Прогнозные отчеты'!F7)/'Прогнозные отчеты'!F7)</f>
        <v>-3.3898305084745763E-2</v>
      </c>
    </row>
    <row r="8" spans="1:8" x14ac:dyDescent="0.2">
      <c r="A8" s="166" t="s">
        <v>112</v>
      </c>
      <c r="B8" s="125"/>
      <c r="C8" s="140" t="s">
        <v>168</v>
      </c>
      <c r="D8" s="163" t="str">
        <f>IF('Прогнозные отчеты'!C8=0,"-",('Прогнозные отчеты'!D8-'Прогнозные отчеты'!C8)/'Прогнозные отчеты'!C8)</f>
        <v>-</v>
      </c>
      <c r="E8" s="163" t="str">
        <f>IF('Прогнозные отчеты'!D8=0,"-",('Прогнозные отчеты'!E8-'Прогнозные отчеты'!D8)/'Прогнозные отчеты'!D8)</f>
        <v>-</v>
      </c>
      <c r="F8" s="163" t="str">
        <f>IF('Прогнозные отчеты'!E8=0,"-",('Прогнозные отчеты'!F8-'Прогнозные отчеты'!E8)/'Прогнозные отчеты'!E8)</f>
        <v>-</v>
      </c>
      <c r="G8" s="163" t="str">
        <f>IF('Прогнозные отчеты'!F8=0,"-",('Прогнозные отчеты'!G8-'Прогнозные отчеты'!F8)/'Прогнозные отчеты'!F8)</f>
        <v>-</v>
      </c>
    </row>
    <row r="9" spans="1:8" x14ac:dyDescent="0.2">
      <c r="A9" s="130" t="s">
        <v>250</v>
      </c>
      <c r="B9" s="130"/>
      <c r="C9" s="141" t="s">
        <v>168</v>
      </c>
      <c r="D9" s="164">
        <f>IF('Прогнозные отчеты'!C9=0,"-",('Прогнозные отчеты'!D9-'Прогнозные отчеты'!C9)/'Прогнозные отчеты'!C9)</f>
        <v>-3.0769230769230771E-2</v>
      </c>
      <c r="E9" s="164">
        <f>IF('Прогнозные отчеты'!D9=0,"-",('Прогнозные отчеты'!E9-'Прогнозные отчеты'!D9)/'Прогнозные отчеты'!D9)</f>
        <v>-3.1746031746031744E-2</v>
      </c>
      <c r="F9" s="164">
        <f>IF('Прогнозные отчеты'!E9=0,"-",('Прогнозные отчеты'!F9-'Прогнозные отчеты'!E9)/'Прогнозные отчеты'!E9)</f>
        <v>-3.2786885245901641E-2</v>
      </c>
      <c r="G9" s="164">
        <f>IF('Прогнозные отчеты'!F9=0,"-",('Прогнозные отчеты'!G9-'Прогнозные отчеты'!F9)/'Прогнозные отчеты'!F9)</f>
        <v>-3.3898305084745763E-2</v>
      </c>
    </row>
    <row r="10" spans="1:8" x14ac:dyDescent="0.2">
      <c r="A10" s="128"/>
      <c r="B10" s="128"/>
      <c r="C10" s="142"/>
      <c r="D10" s="142"/>
      <c r="E10" s="142"/>
      <c r="F10" s="142"/>
      <c r="G10" s="142"/>
    </row>
    <row r="11" spans="1:8" x14ac:dyDescent="0.2">
      <c r="A11" s="23" t="s">
        <v>113</v>
      </c>
      <c r="B11" s="23"/>
      <c r="C11" s="142"/>
      <c r="D11" s="142"/>
      <c r="E11" s="142"/>
      <c r="F11" s="142"/>
      <c r="G11" s="142"/>
    </row>
    <row r="12" spans="1:8" x14ac:dyDescent="0.2">
      <c r="A12" s="166" t="s">
        <v>251</v>
      </c>
      <c r="B12" s="125"/>
      <c r="C12" s="140" t="s">
        <v>168</v>
      </c>
      <c r="D12" s="163" t="str">
        <f>IF('Прогнозные отчеты'!C12=0,"-",('Прогнозные отчеты'!D12-'Прогнозные отчеты'!C12)/'Прогнозные отчеты'!C12)</f>
        <v>-</v>
      </c>
      <c r="E12" s="163" t="str">
        <f>IF('Прогнозные отчеты'!D12=0,"-",('Прогнозные отчеты'!E12-'Прогнозные отчеты'!D12)/'Прогнозные отчеты'!D12)</f>
        <v>-</v>
      </c>
      <c r="F12" s="163" t="str">
        <f>IF('Прогнозные отчеты'!E12=0,"-",('Прогнозные отчеты'!F12-'Прогнозные отчеты'!E12)/'Прогнозные отчеты'!E12)</f>
        <v>-</v>
      </c>
      <c r="G12" s="163" t="str">
        <f>IF('Прогнозные отчеты'!F12=0,"-",('Прогнозные отчеты'!G12-'Прогнозные отчеты'!F12)/'Прогнозные отчеты'!F12)</f>
        <v>-</v>
      </c>
    </row>
    <row r="13" spans="1:8" x14ac:dyDescent="0.2">
      <c r="A13" s="167" t="s">
        <v>178</v>
      </c>
      <c r="B13" s="137"/>
      <c r="C13" s="140" t="s">
        <v>168</v>
      </c>
      <c r="D13" s="163" t="str">
        <f>IF('Прогнозные отчеты'!C13=0,"-",('Прогнозные отчеты'!D13-'Прогнозные отчеты'!C13)/'Прогнозные отчеты'!C13)</f>
        <v>-</v>
      </c>
      <c r="E13" s="163" t="str">
        <f>IF('Прогнозные отчеты'!D13=0,"-",('Прогнозные отчеты'!E13-'Прогнозные отчеты'!D13)/'Прогнозные отчеты'!D13)</f>
        <v>-</v>
      </c>
      <c r="F13" s="163" t="str">
        <f>IF('Прогнозные отчеты'!E13=0,"-",('Прогнозные отчеты'!F13-'Прогнозные отчеты'!E13)/'Прогнозные отчеты'!E13)</f>
        <v>-</v>
      </c>
      <c r="G13" s="163" t="str">
        <f>IF('Прогнозные отчеты'!F13=0,"-",('Прогнозные отчеты'!G13-'Прогнозные отчеты'!F13)/'Прогнозные отчеты'!F13)</f>
        <v>-</v>
      </c>
    </row>
    <row r="14" spans="1:8" x14ac:dyDescent="0.2">
      <c r="A14" s="166" t="s">
        <v>177</v>
      </c>
      <c r="B14" s="125"/>
      <c r="C14" s="140" t="s">
        <v>168</v>
      </c>
      <c r="D14" s="163" t="str">
        <f>IF('Прогнозные отчеты'!C14=0,"-",('Прогнозные отчеты'!D14-'Прогнозные отчеты'!C14)/'Прогнозные отчеты'!C14)</f>
        <v>-</v>
      </c>
      <c r="E14" s="163" t="str">
        <f>IF('Прогнозные отчеты'!D14=0,"-",('Прогнозные отчеты'!E14-'Прогнозные отчеты'!D14)/'Прогнозные отчеты'!D14)</f>
        <v>-</v>
      </c>
      <c r="F14" s="163" t="str">
        <f>IF('Прогнозные отчеты'!E14=0,"-",('Прогнозные отчеты'!F14-'Прогнозные отчеты'!E14)/'Прогнозные отчеты'!E14)</f>
        <v>-</v>
      </c>
      <c r="G14" s="163" t="str">
        <f>IF('Прогнозные отчеты'!F14=0,"-",('Прогнозные отчеты'!G14-'Прогнозные отчеты'!F14)/'Прогнозные отчеты'!F14)</f>
        <v>-</v>
      </c>
    </row>
    <row r="15" spans="1:8" x14ac:dyDescent="0.2">
      <c r="A15" s="166" t="s">
        <v>170</v>
      </c>
      <c r="B15" s="125"/>
      <c r="C15" s="140" t="s">
        <v>168</v>
      </c>
      <c r="D15" s="163" t="str">
        <f>IF('Прогнозные отчеты'!C15=0,"-",('Прогнозные отчеты'!D15-'Прогнозные отчеты'!C15)/'Прогнозные отчеты'!C15)</f>
        <v>-</v>
      </c>
      <c r="E15" s="163" t="str">
        <f>IF('Прогнозные отчеты'!D15=0,"-",('Прогнозные отчеты'!E15-'Прогнозные отчеты'!D15)/'Прогнозные отчеты'!D15)</f>
        <v>-</v>
      </c>
      <c r="F15" s="163" t="str">
        <f>IF('Прогнозные отчеты'!E15=0,"-",('Прогнозные отчеты'!F15-'Прогнозные отчеты'!E15)/'Прогнозные отчеты'!E15)</f>
        <v>-</v>
      </c>
      <c r="G15" s="163" t="str">
        <f>IF('Прогнозные отчеты'!F15=0,"-",('Прогнозные отчеты'!G15-'Прогнозные отчеты'!F15)/'Прогнозные отчеты'!F15)</f>
        <v>-</v>
      </c>
    </row>
    <row r="16" spans="1:8" x14ac:dyDescent="0.2">
      <c r="A16" s="166" t="s">
        <v>169</v>
      </c>
      <c r="B16" s="125"/>
      <c r="C16" s="140" t="s">
        <v>168</v>
      </c>
      <c r="D16" s="163">
        <f>IF('Прогнозные отчеты'!C16=0,"-",('Прогнозные отчеты'!D16-'Прогнозные отчеты'!C16)/'Прогнозные отчеты'!C16)</f>
        <v>2.1142334128098468</v>
      </c>
      <c r="E16" s="163">
        <f>IF('Прогнозные отчеты'!D16=0,"-",('Прогнозные отчеты'!E16-'Прогнозные отчеты'!D16)/'Прогнозные отчеты'!D16)</f>
        <v>0.17308675357745795</v>
      </c>
      <c r="F16" s="163">
        <f>IF('Прогнозные отчеты'!E16=0,"-",('Прогнозные отчеты'!F16-'Прогнозные отчеты'!E16)/'Прогнозные отчеты'!E16)</f>
        <v>-0.22035675608572106</v>
      </c>
      <c r="G16" s="163">
        <f>IF('Прогнозные отчеты'!F16=0,"-",('Прогнозные отчеты'!G16-'Прогнозные отчеты'!F16)/'Прогнозные отчеты'!F16)</f>
        <v>8.3389337885870968E-2</v>
      </c>
    </row>
    <row r="17" spans="1:7" x14ac:dyDescent="0.2">
      <c r="A17" s="130" t="s">
        <v>252</v>
      </c>
      <c r="B17" s="130"/>
      <c r="C17" s="141" t="s">
        <v>168</v>
      </c>
      <c r="D17" s="164">
        <f>IF('Прогнозные отчеты'!C17=0,"-",('Прогнозные отчеты'!D17-'Прогнозные отчеты'!C17)/'Прогнозные отчеты'!C17)</f>
        <v>2.1142334128098468</v>
      </c>
      <c r="E17" s="164">
        <f>IF('Прогнозные отчеты'!D17=0,"-",('Прогнозные отчеты'!E17-'Прогнозные отчеты'!D17)/'Прогнозные отчеты'!D17)</f>
        <v>0.17308675357745795</v>
      </c>
      <c r="F17" s="164">
        <f>IF('Прогнозные отчеты'!E17=0,"-",('Прогнозные отчеты'!F17-'Прогнозные отчеты'!E17)/'Прогнозные отчеты'!E17)</f>
        <v>-0.22035675608572106</v>
      </c>
      <c r="G17" s="164">
        <f>IF('Прогнозные отчеты'!F17=0,"-",('Прогнозные отчеты'!G17-'Прогнозные отчеты'!F17)/'Прогнозные отчеты'!F17)</f>
        <v>8.3389337885870968E-2</v>
      </c>
    </row>
    <row r="18" spans="1:7" x14ac:dyDescent="0.2">
      <c r="A18" s="127"/>
      <c r="B18" s="127"/>
      <c r="C18" s="165"/>
      <c r="D18" s="143"/>
      <c r="E18" s="143"/>
      <c r="F18" s="143"/>
      <c r="G18" s="143"/>
    </row>
    <row r="19" spans="1:7" x14ac:dyDescent="0.2">
      <c r="A19" s="120" t="s">
        <v>257</v>
      </c>
      <c r="B19" s="120"/>
      <c r="C19" s="141" t="s">
        <v>168</v>
      </c>
      <c r="D19" s="164">
        <f>IF('Прогнозные отчеты'!C19=0,"-",('Прогнозные отчеты'!D19-'Прогнозные отчеты'!C19)/'Прогнозные отчеты'!C19)</f>
        <v>1.180194253571071</v>
      </c>
      <c r="E19" s="164">
        <f>IF('Прогнозные отчеты'!D19=0,"-",('Прогнозные отчеты'!E19-'Прогнозные отчеты'!D19)/'Прогнозные отчеты'!D19)</f>
        <v>0.13343442235409442</v>
      </c>
      <c r="F19" s="164">
        <f>IF('Прогнозные отчеты'!E19=0,"-",('Прогнозные отчеты'!F19-'Прогнозные отчеты'!E19)/'Прогнозные отчеты'!E19)</f>
        <v>-0.18933793973081894</v>
      </c>
      <c r="G19" s="164">
        <f>IF('Прогнозные отчеты'!F19=0,"-",('Прогнозные отчеты'!G19-'Прогнозные отчеты'!F19)/'Прогнозные отчеты'!F19)</f>
        <v>6.0247559544743076E-2</v>
      </c>
    </row>
    <row r="20" spans="1:7" x14ac:dyDescent="0.2">
      <c r="A20" s="118"/>
      <c r="B20" s="118"/>
    </row>
    <row r="21" spans="1:7" x14ac:dyDescent="0.2">
      <c r="A21" s="144" t="s">
        <v>115</v>
      </c>
      <c r="B21" s="144"/>
      <c r="C21" s="57"/>
      <c r="D21" s="57"/>
      <c r="E21" s="57"/>
      <c r="F21" s="58"/>
      <c r="G21" s="57"/>
    </row>
    <row r="22" spans="1:7" x14ac:dyDescent="0.2">
      <c r="A22" s="23" t="s">
        <v>93</v>
      </c>
      <c r="B22" s="23"/>
    </row>
    <row r="23" spans="1:7" x14ac:dyDescent="0.2">
      <c r="A23" s="168" t="s">
        <v>174</v>
      </c>
      <c r="B23" s="118"/>
      <c r="C23" s="140" t="s">
        <v>168</v>
      </c>
      <c r="D23" s="163">
        <f>IF('Прогнозные отчеты'!C23=0,"-",('Прогнозные отчеты'!D23-'Прогнозные отчеты'!C23)/'Прогнозные отчеты'!C23)</f>
        <v>-1</v>
      </c>
      <c r="E23" s="163" t="str">
        <f>IF('Прогнозные отчеты'!D23=0,"-",('Прогнозные отчеты'!E23-'Прогнозные отчеты'!D23)/'Прогнозные отчеты'!D23)</f>
        <v>-</v>
      </c>
      <c r="F23" s="163" t="str">
        <f>IF('Прогнозные отчеты'!E23=0,"-",('Прогнозные отчеты'!F23-'Прогнозные отчеты'!E23)/'Прогнозные отчеты'!E23)</f>
        <v>-</v>
      </c>
      <c r="G23" s="163" t="str">
        <f>IF('Прогнозные отчеты'!F23=0,"-",('Прогнозные отчеты'!G23-'Прогнозные отчеты'!F23)/'Прогнозные отчеты'!F23)</f>
        <v>-</v>
      </c>
    </row>
    <row r="24" spans="1:7" x14ac:dyDescent="0.2">
      <c r="A24" s="168" t="s">
        <v>85</v>
      </c>
      <c r="B24" s="118"/>
      <c r="C24" s="140" t="s">
        <v>168</v>
      </c>
      <c r="D24" s="163" t="str">
        <f>IF('Прогнозные отчеты'!C24=0,"-",('Прогнозные отчеты'!D24-'Прогнозные отчеты'!C24)/'Прогнозные отчеты'!C24)</f>
        <v>-</v>
      </c>
      <c r="E24" s="163" t="str">
        <f>IF('Прогнозные отчеты'!D24=0,"-",('Прогнозные отчеты'!E24-'Прогнозные отчеты'!D24)/'Прогнозные отчеты'!D24)</f>
        <v>-</v>
      </c>
      <c r="F24" s="163" t="str">
        <f>IF('Прогнозные отчеты'!E24=0,"-",('Прогнозные отчеты'!F24-'Прогнозные отчеты'!E24)/'Прогнозные отчеты'!E24)</f>
        <v>-</v>
      </c>
      <c r="G24" s="163" t="str">
        <f>IF('Прогнозные отчеты'!F24=0,"-",('Прогнозные отчеты'!G24-'Прогнозные отчеты'!F24)/'Прогнозные отчеты'!F24)</f>
        <v>-</v>
      </c>
    </row>
    <row r="25" spans="1:7" x14ac:dyDescent="0.2">
      <c r="A25" s="168" t="s">
        <v>31</v>
      </c>
      <c r="B25" s="118"/>
      <c r="C25" s="140" t="s">
        <v>168</v>
      </c>
      <c r="D25" s="163">
        <f>IF('Прогнозные отчеты'!C25=0,"-",('Прогнозные отчеты'!D25-'Прогнозные отчеты'!C25)/'Прогнозные отчеты'!C25)</f>
        <v>0.85541773890815065</v>
      </c>
      <c r="E25" s="163">
        <f>IF('Прогнозные отчеты'!D25=0,"-",('Прогнозные отчеты'!E25-'Прогнозные отчеты'!D25)/'Прогнозные отчеты'!D25)</f>
        <v>0.30140921160732348</v>
      </c>
      <c r="F25" s="163">
        <f>IF('Прогнозные отчеты'!E25=0,"-",('Прогнозные отчеты'!F25-'Прогнозные отчеты'!E25)/'Прогнозные отчеты'!E25)</f>
        <v>0.26387836526184266</v>
      </c>
      <c r="G25" s="163">
        <f>IF('Прогнозные отчеты'!F25=0,"-",('Прогнозные отчеты'!G25-'Прогнозные отчеты'!F25)/'Прогнозные отчеты'!F25)</f>
        <v>0.23562673722606622</v>
      </c>
    </row>
    <row r="26" spans="1:7" s="121" customFormat="1" x14ac:dyDescent="0.2">
      <c r="A26" s="121" t="s">
        <v>124</v>
      </c>
      <c r="C26" s="171" t="s">
        <v>168</v>
      </c>
      <c r="D26" s="164">
        <f>IF('Прогнозные отчеты'!C26=0,"-",('Прогнозные отчеты'!D26-'Прогнозные отчеты'!C26)/'Прогнозные отчеты'!C26)</f>
        <v>-0.34938409322301561</v>
      </c>
      <c r="E26" s="164">
        <f>IF('Прогнозные отчеты'!D26=0,"-",('Прогнозные отчеты'!E26-'Прогнозные отчеты'!D26)/'Прогнозные отчеты'!D26)</f>
        <v>0.30140921160732348</v>
      </c>
      <c r="F26" s="164">
        <f>IF('Прогнозные отчеты'!E26=0,"-",('Прогнозные отчеты'!F26-'Прогнозные отчеты'!E26)/'Прогнозные отчеты'!E26)</f>
        <v>0.26387836526184266</v>
      </c>
      <c r="G26" s="164">
        <f>IF('Прогнозные отчеты'!F26=0,"-",('Прогнозные отчеты'!G26-'Прогнозные отчеты'!F26)/'Прогнозные отчеты'!F26)</f>
        <v>0.23562673722606622</v>
      </c>
    </row>
    <row r="27" spans="1:7" x14ac:dyDescent="0.2">
      <c r="A27" s="118"/>
      <c r="B27" s="118"/>
    </row>
    <row r="28" spans="1:7" x14ac:dyDescent="0.2">
      <c r="A28" s="23" t="s">
        <v>254</v>
      </c>
      <c r="B28" s="23"/>
    </row>
    <row r="29" spans="1:7" x14ac:dyDescent="0.2">
      <c r="A29" s="168" t="s">
        <v>185</v>
      </c>
      <c r="B29" s="118"/>
      <c r="C29" s="140" t="s">
        <v>168</v>
      </c>
      <c r="D29" s="163">
        <f>IF('Прогнозные отчеты'!C29=0,"-",('Прогнозные отчеты'!D29-'Прогнозные отчеты'!C29)/'Прогнозные отчеты'!C29)</f>
        <v>-0.1</v>
      </c>
      <c r="E29" s="163">
        <f>IF('Прогнозные отчеты'!D29=0,"-",('Прогнозные отчеты'!E29-'Прогнозные отчеты'!D29)/'Прогнозные отчеты'!D29)</f>
        <v>-0.1111111111111111</v>
      </c>
      <c r="F29" s="163">
        <f>IF('Прогнозные отчеты'!E29=0,"-",('Прогнозные отчеты'!F29-'Прогнозные отчеты'!E29)/'Прогнозные отчеты'!E29)</f>
        <v>-0.125</v>
      </c>
      <c r="G29" s="163">
        <f>IF('Прогнозные отчеты'!F29=0,"-",('Прогнозные отчеты'!G29-'Прогнозные отчеты'!F29)/'Прогнозные отчеты'!F29)</f>
        <v>-0.14285714285714285</v>
      </c>
    </row>
    <row r="30" spans="1:7" s="121" customFormat="1" x14ac:dyDescent="0.2">
      <c r="A30" s="121" t="s">
        <v>255</v>
      </c>
      <c r="C30" s="141" t="s">
        <v>168</v>
      </c>
      <c r="D30" s="164">
        <f>IF('Прогнозные отчеты'!C30=0,"-",('Прогнозные отчеты'!D30-'Прогнозные отчеты'!C30)/'Прогнозные отчеты'!C30)</f>
        <v>-0.1</v>
      </c>
      <c r="E30" s="164">
        <f>IF('Прогнозные отчеты'!D30=0,"-",('Прогнозные отчеты'!E30-'Прогнозные отчеты'!D30)/'Прогнозные отчеты'!D30)</f>
        <v>-0.1111111111111111</v>
      </c>
      <c r="F30" s="164">
        <f>IF('Прогнозные отчеты'!E30=0,"-",('Прогнозные отчеты'!F30-'Прогнозные отчеты'!E30)/'Прогнозные отчеты'!E30)</f>
        <v>-0.125</v>
      </c>
      <c r="G30" s="164">
        <f>IF('Прогнозные отчеты'!F30=0,"-",('Прогнозные отчеты'!G30-'Прогнозные отчеты'!F30)/'Прогнозные отчеты'!F30)</f>
        <v>-0.14285714285714285</v>
      </c>
    </row>
    <row r="31" spans="1:7" x14ac:dyDescent="0.2">
      <c r="A31" s="145"/>
      <c r="B31" s="145"/>
      <c r="C31" s="146"/>
      <c r="D31" s="146"/>
      <c r="E31" s="146"/>
      <c r="F31" s="146"/>
      <c r="G31" s="146"/>
    </row>
    <row r="32" spans="1:7" x14ac:dyDescent="0.2">
      <c r="A32" s="23" t="s">
        <v>256</v>
      </c>
      <c r="B32" s="23"/>
      <c r="C32" s="146"/>
      <c r="D32" s="146"/>
      <c r="E32" s="146"/>
      <c r="F32" s="146"/>
      <c r="G32" s="146"/>
    </row>
    <row r="33" spans="1:8" x14ac:dyDescent="0.2">
      <c r="A33" s="168" t="s">
        <v>180</v>
      </c>
      <c r="B33" s="118"/>
      <c r="C33" s="140" t="s">
        <v>168</v>
      </c>
      <c r="D33" s="163" t="str">
        <f>IF('Прогнозные отчеты'!C33=0,"-",('Прогнозные отчеты'!D33-'Прогнозные отчеты'!C33)/'Прогнозные отчеты'!C33)</f>
        <v>-</v>
      </c>
      <c r="E33" s="163" t="str">
        <f>IF('Прогнозные отчеты'!D33=0,"-",('Прогнозные отчеты'!E33-'Прогнозные отчеты'!D33)/'Прогнозные отчеты'!D33)</f>
        <v>-</v>
      </c>
      <c r="F33" s="163" t="str">
        <f>IF('Прогнозные отчеты'!E33=0,"-",('Прогнозные отчеты'!F33-'Прогнозные отчеты'!E33)/'Прогнозные отчеты'!E33)</f>
        <v>-</v>
      </c>
      <c r="G33" s="163" t="str">
        <f>IF('Прогнозные отчеты'!F33=0,"-",('Прогнозные отчеты'!G33-'Прогнозные отчеты'!F33)/'Прогнозные отчеты'!F33)</f>
        <v>-</v>
      </c>
    </row>
    <row r="34" spans="1:8" x14ac:dyDescent="0.2">
      <c r="A34" s="166" t="s">
        <v>173</v>
      </c>
      <c r="B34" s="125"/>
      <c r="C34" s="140" t="s">
        <v>168</v>
      </c>
      <c r="D34" s="163" t="str">
        <f>IF('Прогнозные отчеты'!C34=0,"-",('Прогнозные отчеты'!D34-'Прогнозные отчеты'!C34)/'Прогнозные отчеты'!C34)</f>
        <v>-</v>
      </c>
      <c r="E34" s="163" t="str">
        <f>IF('Прогнозные отчеты'!D34=0,"-",('Прогнозные отчеты'!E34-'Прогнозные отчеты'!D34)/'Прогнозные отчеты'!D34)</f>
        <v>-</v>
      </c>
      <c r="F34" s="163" t="str">
        <f>IF('Прогнозные отчеты'!E34=0,"-",('Прогнозные отчеты'!F34-'Прогнозные отчеты'!E34)/'Прогнозные отчеты'!E34)</f>
        <v>-</v>
      </c>
      <c r="G34" s="163" t="str">
        <f>IF('Прогнозные отчеты'!F34=0,"-",('Прогнозные отчеты'!G34-'Прогнозные отчеты'!F34)/'Прогнозные отчеты'!F34)</f>
        <v>-</v>
      </c>
    </row>
    <row r="35" spans="1:8" x14ac:dyDescent="0.2">
      <c r="A35" s="166" t="s">
        <v>179</v>
      </c>
      <c r="B35" s="125"/>
      <c r="C35" s="140" t="s">
        <v>168</v>
      </c>
      <c r="D35" s="163" t="str">
        <f>IF('Прогнозные отчеты'!C35=0,"-",('Прогнозные отчеты'!D35-'Прогнозные отчеты'!C35)/'Прогнозные отчеты'!C35)</f>
        <v>-</v>
      </c>
      <c r="E35" s="163" t="str">
        <f>IF('Прогнозные отчеты'!D35=0,"-",('Прогнозные отчеты'!E35-'Прогнозные отчеты'!D35)/'Прогнозные отчеты'!D35)</f>
        <v>-</v>
      </c>
      <c r="F35" s="163" t="str">
        <f>IF('Прогнозные отчеты'!E35=0,"-",('Прогнозные отчеты'!F35-'Прогнозные отчеты'!E35)/'Прогнозные отчеты'!E35)</f>
        <v>-</v>
      </c>
      <c r="G35" s="163" t="str">
        <f>IF('Прогнозные отчеты'!F35=0,"-",('Прогнозные отчеты'!G35-'Прогнозные отчеты'!F35)/'Прогнозные отчеты'!F35)</f>
        <v>-</v>
      </c>
    </row>
    <row r="36" spans="1:8" x14ac:dyDescent="0.2">
      <c r="A36" s="166" t="s">
        <v>241</v>
      </c>
      <c r="B36" s="125"/>
      <c r="C36" s="140" t="s">
        <v>168</v>
      </c>
      <c r="D36" s="163">
        <f>IF('Прогнозные отчеты'!C36=0,"-",('Прогнозные отчеты'!D36-'Прогнозные отчеты'!C36)/'Прогнозные отчеты'!C36)</f>
        <v>0.26247696000000009</v>
      </c>
      <c r="E36" s="163">
        <f>IF('Прогнозные отчеты'!D36=0,"-",('Прогнозные отчеты'!E36-'Прогнозные отчеты'!D36)/'Прогнозные отчеты'!D36)</f>
        <v>-1</v>
      </c>
      <c r="F36" s="163" t="str">
        <f>IF('Прогнозные отчеты'!E36=0,"-",('Прогнозные отчеты'!F36-'Прогнозные отчеты'!E36)/'Прогнозные отчеты'!E36)</f>
        <v>-</v>
      </c>
      <c r="G36" s="163" t="str">
        <f>IF('Прогнозные отчеты'!F36=0,"-",('Прогнозные отчеты'!G36-'Прогнозные отчеты'!F36)/'Прогнозные отчеты'!F36)</f>
        <v>-</v>
      </c>
    </row>
    <row r="37" spans="1:8" x14ac:dyDescent="0.2">
      <c r="A37" s="166" t="s">
        <v>181</v>
      </c>
      <c r="B37" s="125"/>
      <c r="C37" s="140" t="s">
        <v>168</v>
      </c>
      <c r="D37" s="163">
        <f>IF('Прогнозные отчеты'!C37=0,"-",('Прогнозные отчеты'!D37-'Прогнозные отчеты'!C37)/'Прогнозные отчеты'!C37)</f>
        <v>-0.21052631578947367</v>
      </c>
      <c r="E37" s="163">
        <f>IF('Прогнозные отчеты'!D37=0,"-",('Прогнозные отчеты'!E37-'Прогнозные отчеты'!D37)/'Прогнозные отчеты'!D37)</f>
        <v>-0.26666666666666666</v>
      </c>
      <c r="F37" s="163">
        <f>IF('Прогнозные отчеты'!E37=0,"-",('Прогнозные отчеты'!F37-'Прогнозные отчеты'!E37)/'Прогнозные отчеты'!E37)</f>
        <v>-0.36363636363636365</v>
      </c>
      <c r="G37" s="163">
        <f>IF('Прогнозные отчеты'!F37=0,"-",('Прогнозные отчеты'!G37-'Прогнозные отчеты'!F37)/'Прогнозные отчеты'!F37)</f>
        <v>-0.5714285714285714</v>
      </c>
    </row>
    <row r="38" spans="1:8" x14ac:dyDescent="0.2">
      <c r="A38" s="126" t="s">
        <v>256</v>
      </c>
      <c r="B38" s="126"/>
      <c r="C38" s="141" t="s">
        <v>168</v>
      </c>
      <c r="D38" s="164">
        <f>IF('Прогнозные отчеты'!C38=0,"-",('Прогнозные отчеты'!D38-'Прогнозные отчеты'!C38)/'Прогнозные отчеты'!C38)</f>
        <v>-6.4279506987442739E-2</v>
      </c>
      <c r="E38" s="164">
        <f>IF('Прогнозные отчеты'!D38=0,"-",('Прогнозные отчеты'!E38-'Прогнозные отчеты'!D38)/'Прогнозные отчеты'!D38)</f>
        <v>-0.57258182419856196</v>
      </c>
      <c r="F38" s="164">
        <f>IF('Прогнозные отчеты'!E38=0,"-",('Прогнозные отчеты'!F38-'Прогнозные отчеты'!E38)/'Прогнозные отчеты'!E38)</f>
        <v>-0.36363636363636365</v>
      </c>
      <c r="G38" s="164">
        <f>IF('Прогнозные отчеты'!F38=0,"-",('Прогнозные отчеты'!G38-'Прогнозные отчеты'!F38)/'Прогнозные отчеты'!F38)</f>
        <v>-0.5714285714285714</v>
      </c>
    </row>
    <row r="39" spans="1:8" x14ac:dyDescent="0.2">
      <c r="A39" s="170"/>
      <c r="B39" s="127"/>
      <c r="C39" s="135"/>
      <c r="D39" s="136"/>
      <c r="E39" s="136"/>
      <c r="F39" s="136"/>
      <c r="G39" s="136"/>
    </row>
    <row r="40" spans="1:8" s="147" customFormat="1" x14ac:dyDescent="0.2">
      <c r="A40" s="130" t="s">
        <v>258</v>
      </c>
      <c r="B40" s="130"/>
      <c r="C40" s="171" t="s">
        <v>168</v>
      </c>
      <c r="D40" s="164">
        <f>IF('Прогнозные отчеты'!C40=0,"-",('Прогнозные отчеты'!D40-'Прогнозные отчеты'!C40)/'Прогнозные отчеты'!C40)</f>
        <v>-0.14746543757657865</v>
      </c>
      <c r="E40" s="164">
        <f>IF('Прогнозные отчеты'!D40=0,"-",('Прогнозные отчеты'!E40-'Прогнозные отчеты'!D40)/'Прогнозные отчеты'!D40)</f>
        <v>-6.1153632901652204E-2</v>
      </c>
      <c r="F40" s="164">
        <f>IF('Прогнозные отчеты'!E40=0,"-",('Прогнозные отчеты'!F40-'Прогнозные отчеты'!E40)/'Прогнозные отчеты'!E40)</f>
        <v>-4.8003568497573652E-2</v>
      </c>
      <c r="G40" s="164">
        <f>IF('Прогнозные отчеты'!F40=0,"-",('Прогнозные отчеты'!G40-'Прогнозные отчеты'!F40)/'Прогнозные отчеты'!F40)</f>
        <v>-4.3132433544511191E-2</v>
      </c>
    </row>
    <row r="41" spans="1:8" x14ac:dyDescent="0.2">
      <c r="A41" s="127"/>
      <c r="B41" s="127"/>
      <c r="C41" s="135"/>
      <c r="D41" s="136"/>
      <c r="E41" s="136"/>
      <c r="F41" s="136"/>
      <c r="G41" s="136"/>
    </row>
    <row r="43" spans="1:8" x14ac:dyDescent="0.2">
      <c r="A43" s="11" t="s">
        <v>231</v>
      </c>
      <c r="B43" s="11"/>
      <c r="C43" s="3" t="s">
        <v>353</v>
      </c>
      <c r="D43" s="4" t="s">
        <v>354</v>
      </c>
      <c r="E43" s="5" t="s">
        <v>355</v>
      </c>
      <c r="F43" s="6" t="s">
        <v>356</v>
      </c>
      <c r="G43" s="7" t="s">
        <v>357</v>
      </c>
      <c r="H43" s="18"/>
    </row>
    <row r="44" spans="1:8" x14ac:dyDescent="0.2">
      <c r="A44" s="149"/>
      <c r="B44" s="149"/>
      <c r="C44" s="129"/>
      <c r="D44" s="129"/>
      <c r="E44" s="129"/>
      <c r="F44" s="129"/>
      <c r="G44" s="129"/>
    </row>
    <row r="45" spans="1:8" x14ac:dyDescent="0.2">
      <c r="A45" s="150" t="s">
        <v>65</v>
      </c>
      <c r="B45" s="150"/>
      <c r="C45" s="140" t="s">
        <v>168</v>
      </c>
      <c r="D45" s="163">
        <f>IF('Прогнозные отчеты'!C48=0,"-",('Прогнозные отчеты'!D48-'Прогнозные отчеты'!C48)/'Прогнозные отчеты'!C48)</f>
        <v>0.12360000000000032</v>
      </c>
      <c r="E45" s="163">
        <f>IF('Прогнозные отчеты'!D48=0,"-",('Прогнозные отчеты'!E48-'Прогнозные отчеты'!D48)/'Прогнозные отчеты'!D48)</f>
        <v>0.1236</v>
      </c>
      <c r="F45" s="163">
        <f>IF('Прогнозные отчеты'!E48=0,"-",('Прогнозные отчеты'!F48-'Прогнозные отчеты'!E48)/'Прогнозные отчеты'!E48)</f>
        <v>0</v>
      </c>
      <c r="G45" s="163">
        <f>IF('Прогнозные отчеты'!F48=0,"-",('Прогнозные отчеты'!G48-'Прогнозные отчеты'!F48)/'Прогнозные отчеты'!F48)</f>
        <v>0.2624769600000002</v>
      </c>
    </row>
    <row r="46" spans="1:8" x14ac:dyDescent="0.2">
      <c r="A46" s="150"/>
      <c r="B46" s="150"/>
      <c r="C46" s="154"/>
      <c r="D46" s="154"/>
      <c r="E46" s="154"/>
      <c r="F46" s="154"/>
      <c r="G46" s="154"/>
    </row>
    <row r="47" spans="1:8" x14ac:dyDescent="0.2">
      <c r="A47" s="150" t="s">
        <v>260</v>
      </c>
      <c r="B47" s="152"/>
      <c r="C47" s="140" t="s">
        <v>168</v>
      </c>
      <c r="D47" s="163">
        <f>IF('Прогнозные отчеты'!C50=0,"-",('Прогнозные отчеты'!D50-'Прогнозные отчеты'!C50)/'Прогнозные отчеты'!C50)</f>
        <v>0.27458234930002196</v>
      </c>
      <c r="E47" s="163">
        <f>IF('Прогнозные отчеты'!D50=0,"-",('Прогнозные отчеты'!E50-'Прогнозные отчеты'!D50)/'Прогнозные отчеты'!D50)</f>
        <v>0.10718269285854684</v>
      </c>
      <c r="F47" s="163">
        <f>IF('Прогнозные отчеты'!E50=0,"-",('Прогнозные отчеты'!F50-'Прогнозные отчеты'!E50)/'Прогнозные отчеты'!E50)</f>
        <v>0.10863637951046388</v>
      </c>
      <c r="G47" s="163">
        <f>IF('Прогнозные отчеты'!F50=0,"-",('Прогнозные отчеты'!G50-'Прогнозные отчеты'!F50)/'Прогнозные отчеты'!F50)</f>
        <v>0.10997301065664238</v>
      </c>
    </row>
    <row r="48" spans="1:8" x14ac:dyDescent="0.2">
      <c r="A48" s="179" t="s">
        <v>261</v>
      </c>
      <c r="B48" s="150"/>
      <c r="C48" s="140" t="s">
        <v>168</v>
      </c>
      <c r="D48" s="180">
        <f>IF('Прогнозные отчеты'!C51=0,"-",('Прогнозные отчеты'!D51-'Прогнозные отчеты'!C51)/'Прогнозные отчеты'!C51)</f>
        <v>0.20485708511764419</v>
      </c>
      <c r="E48" s="180">
        <f>IF('Прогнозные отчеты'!D51=0,"-",('Прогнозные отчеты'!E51-'Прогнозные отчеты'!D51)/'Прогнозные отчеты'!D51)</f>
        <v>0.11767680618833833</v>
      </c>
      <c r="F48" s="180">
        <f>IF('Прогнозные отчеты'!E51=0,"-",('Прогнозные отчеты'!F51-'Прогнозные отчеты'!E51)/'Прогнозные отчеты'!E51)</f>
        <v>0.11830044132716519</v>
      </c>
      <c r="G48" s="180">
        <f>IF('Прогнозные отчеты'!F51=0,"-",('Прогнозные отчеты'!G51-'Прогнозные отчеты'!F51)/'Прогнозные отчеты'!F51)</f>
        <v>0.11886106001841004</v>
      </c>
    </row>
    <row r="49" spans="1:7" x14ac:dyDescent="0.2">
      <c r="A49" s="179" t="s">
        <v>137</v>
      </c>
      <c r="B49" s="150"/>
      <c r="C49" s="140" t="s">
        <v>168</v>
      </c>
      <c r="D49" s="180">
        <f>IF('Прогнозные отчеты'!C52=0,"-",('Прогнозные отчеты'!D52-'Прогнозные отчеты'!C52)/'Прогнозные отчеты'!C52)</f>
        <v>0.12902644644064531</v>
      </c>
      <c r="E49" s="180">
        <f>IF('Прогнозные отчеты'!D52=0,"-",('Прогнозные отчеты'!E52-'Прогнозные отчеты'!D52)/'Прогнозные отчеты'!D52)</f>
        <v>0.12360000000000007</v>
      </c>
      <c r="F49" s="180">
        <f>IF('Прогнозные отчеты'!E52=0,"-",('Прогнозные отчеты'!F52-'Прогнозные отчеты'!E52)/'Прогнозные отчеты'!E52)</f>
        <v>0.12360000000000004</v>
      </c>
      <c r="G49" s="180">
        <f>IF('Прогнозные отчеты'!F52=0,"-",('Прогнозные отчеты'!G52-'Прогнозные отчеты'!F52)/'Прогнозные отчеты'!F52)</f>
        <v>0.12360000000000013</v>
      </c>
    </row>
    <row r="50" spans="1:7" ht="12" customHeight="1" x14ac:dyDescent="0.2">
      <c r="A50" s="179" t="s">
        <v>262</v>
      </c>
      <c r="B50" s="150"/>
      <c r="C50" s="140" t="s">
        <v>168</v>
      </c>
      <c r="D50" s="180">
        <f>IF('Прогнозные отчеты'!C53=0,"-",('Прогнозные отчеты'!D53-'Прогнозные отчеты'!C53)/'Прогнозные отчеты'!C53)</f>
        <v>5.7073466296389777E-2</v>
      </c>
      <c r="E50" s="180">
        <f>IF('Прогнозные отчеты'!D53=0,"-",('Прогнозные отчеты'!E53-'Прогнозные отчеты'!D53)/'Прогнозные отчеты'!D53)</f>
        <v>5.7231475581480867E-2</v>
      </c>
      <c r="F50" s="180">
        <f>IF('Прогнозные отчеты'!E53=0,"-",('Прогнозные отчеты'!F53-'Прогнозные отчеты'!E53)/'Прогнозные отчеты'!E53)</f>
        <v>5.7381345067317346E-2</v>
      </c>
      <c r="G50" s="180">
        <f>IF('Прогнозные отчеты'!F53=0,"-",('Прогнозные отчеты'!G53-'Прогнозные отчеты'!F53)/'Прогнозные отчеты'!F53)</f>
        <v>5.7523452683462831E-2</v>
      </c>
    </row>
    <row r="51" spans="1:7" x14ac:dyDescent="0.2">
      <c r="A51" s="179" t="s">
        <v>215</v>
      </c>
      <c r="B51" s="150"/>
      <c r="C51" s="140" t="s">
        <v>168</v>
      </c>
      <c r="D51" s="180">
        <f>IF('Прогнозные отчеты'!C54=0,"-",('Прогнозные отчеты'!D54-'Прогнозные отчеты'!C54)/'Прогнозные отчеты'!C54)</f>
        <v>5.9999999999999949E-2</v>
      </c>
      <c r="E51" s="180">
        <f>IF('Прогнозные отчеты'!D54=0,"-",('Прогнозные отчеты'!E54-'Прогнозные отчеты'!D54)/'Прогнозные отчеты'!D54)</f>
        <v>6.0000000000000039E-2</v>
      </c>
      <c r="F51" s="180">
        <f>IF('Прогнозные отчеты'!E54=0,"-",('Прогнозные отчеты'!F54-'Прогнозные отчеты'!E54)/'Прогнозные отчеты'!E54)</f>
        <v>6.0000000000000081E-2</v>
      </c>
      <c r="G51" s="180">
        <f>IF('Прогнозные отчеты'!F54=0,"-",('Прогнозные отчеты'!G54-'Прогнозные отчеты'!F54)/'Прогнозные отчеты'!F54)</f>
        <v>5.9999999999999956E-2</v>
      </c>
    </row>
    <row r="52" spans="1:7" x14ac:dyDescent="0.2">
      <c r="A52" s="179" t="s">
        <v>62</v>
      </c>
      <c r="B52" s="150"/>
      <c r="C52" s="140" t="s">
        <v>168</v>
      </c>
      <c r="D52" s="180" t="str">
        <f>IF('Прогнозные отчеты'!C55=0,"-",('Прогнозные отчеты'!D55-'Прогнозные отчеты'!C55)/'Прогнозные отчеты'!C55)</f>
        <v>-</v>
      </c>
      <c r="E52" s="180">
        <f>IF('Прогнозные отчеты'!D55=0,"-",('Прогнозные отчеты'!E55-'Прогнозные отчеты'!D55)/'Прогнозные отчеты'!D55)</f>
        <v>0</v>
      </c>
      <c r="F52" s="180">
        <f>IF('Прогнозные отчеты'!E55=0,"-",('Прогнозные отчеты'!F55-'Прогнозные отчеты'!E55)/'Прогнозные отчеты'!E55)</f>
        <v>0</v>
      </c>
      <c r="G52" s="180">
        <f>IF('Прогнозные отчеты'!F55=0,"-",('Прогнозные отчеты'!G55-'Прогнозные отчеты'!F55)/'Прогнозные отчеты'!F55)</f>
        <v>0</v>
      </c>
    </row>
    <row r="53" spans="1:7" x14ac:dyDescent="0.2">
      <c r="A53" s="151"/>
      <c r="B53" s="151"/>
      <c r="C53" s="153"/>
      <c r="D53" s="160"/>
      <c r="E53" s="160"/>
      <c r="F53" s="160"/>
      <c r="G53" s="160"/>
    </row>
    <row r="54" spans="1:7" s="121" customFormat="1" x14ac:dyDescent="0.2">
      <c r="A54" s="152" t="s">
        <v>9</v>
      </c>
      <c r="B54" s="152"/>
      <c r="C54" s="140" t="s">
        <v>168</v>
      </c>
      <c r="D54" s="163">
        <f>IF('Прогнозные отчеты'!C57=0,"-",('Прогнозные отчеты'!D57-'Прогнозные отчеты'!C57)/'Прогнозные отчеты'!C57)</f>
        <v>-0.26988280467381554</v>
      </c>
      <c r="E54" s="163">
        <f>IF('Прогнозные отчеты'!D57=0,"-",('Прогнозные отчеты'!E57-'Прогнозные отчеты'!D57)/'Прогнозные отчеты'!D57)</f>
        <v>0.19829247078791024</v>
      </c>
      <c r="F54" s="163">
        <f>IF('Прогнозные отчеты'!E57=0,"-",('Прогнозные отчеты'!F57-'Прогнозные отчеты'!E57)/'Прогнозные отчеты'!E57)</f>
        <v>-0.45667437613907175</v>
      </c>
      <c r="G54" s="163">
        <f>IF('Прогнозные отчеты'!F57=0,"-",('Прогнозные отчеты'!G57-'Прогнозные отчеты'!F57)/'Прогнозные отчеты'!F57)</f>
        <v>1.5705782969860598</v>
      </c>
    </row>
    <row r="55" spans="1:7" x14ac:dyDescent="0.2">
      <c r="A55" s="151"/>
      <c r="B55" s="151"/>
      <c r="C55" s="158"/>
      <c r="D55" s="159"/>
      <c r="E55" s="159"/>
      <c r="F55" s="159"/>
      <c r="G55" s="159"/>
    </row>
    <row r="56" spans="1:7" s="156" customFormat="1" x14ac:dyDescent="0.2">
      <c r="A56" s="169" t="s">
        <v>55</v>
      </c>
      <c r="B56" s="155"/>
      <c r="C56" s="140" t="s">
        <v>168</v>
      </c>
      <c r="D56" s="163">
        <f>IF('Прогнозные отчеты'!C59=0,"-",('Прогнозные отчеты'!D59-'Прогнозные отчеты'!C59)/'Прогнозные отчеты'!C59)</f>
        <v>-0.21052631578947367</v>
      </c>
      <c r="E56" s="163">
        <f>IF('Прогнозные отчеты'!D59=0,"-",('Прогнозные отчеты'!E59-'Прогнозные отчеты'!D59)/'Прогнозные отчеты'!D59)</f>
        <v>-0.26666666666666666</v>
      </c>
      <c r="F56" s="163">
        <f>IF('Прогнозные отчеты'!E59=0,"-",('Прогнозные отчеты'!F59-'Прогнозные отчеты'!E59)/'Прогнозные отчеты'!E59)</f>
        <v>-0.36363636363636365</v>
      </c>
      <c r="G56" s="163">
        <f>IF('Прогнозные отчеты'!F59=0,"-",('Прогнозные отчеты'!G59-'Прогнозные отчеты'!F59)/'Прогнозные отчеты'!F59)</f>
        <v>-0.5714285714285714</v>
      </c>
    </row>
    <row r="57" spans="1:7" x14ac:dyDescent="0.2">
      <c r="A57" s="151"/>
      <c r="B57" s="151"/>
      <c r="C57" s="158"/>
      <c r="D57" s="159"/>
      <c r="E57" s="159"/>
      <c r="F57" s="159"/>
      <c r="G57" s="159"/>
    </row>
    <row r="58" spans="1:7" s="121" customFormat="1" x14ac:dyDescent="0.2">
      <c r="A58" s="157" t="s">
        <v>10</v>
      </c>
      <c r="B58" s="157"/>
      <c r="C58" s="140" t="s">
        <v>168</v>
      </c>
      <c r="D58" s="163">
        <f>IF('Прогнозные отчеты'!C61=0,"-",('Прогнозные отчеты'!D61-'Прогнозные отчеты'!C61)/'Прогнозные отчеты'!C61)</f>
        <v>-0.27587005853906366</v>
      </c>
      <c r="E58" s="163">
        <f>IF('Прогнозные отчеты'!D61=0,"-",('Прогнозные отчеты'!E61-'Прогнозные отчеты'!D61)/'Прогнозные отчеты'!D61)</f>
        <v>0.24942478037588231</v>
      </c>
      <c r="F58" s="163">
        <f>IF('Прогнозные отчеты'!E61=0,"-",('Прогнозные отчеты'!F61-'Прогнозные отчеты'!E61)/'Прогнозные отчеты'!E61)</f>
        <v>-0.46267964364603448</v>
      </c>
      <c r="G58" s="163">
        <f>IF('Прогнозные отчеты'!F61=0,"-",('Прогнозные отчеты'!G61-'Прогнозные отчеты'!F61)/'Прогнозные отчеты'!F61)</f>
        <v>1.7343220927057499</v>
      </c>
    </row>
    <row r="59" spans="1:7" x14ac:dyDescent="0.2">
      <c r="A59" s="151"/>
      <c r="B59" s="151"/>
      <c r="C59" s="158"/>
      <c r="D59" s="159"/>
      <c r="E59" s="159"/>
      <c r="F59" s="159"/>
      <c r="G59" s="159"/>
    </row>
    <row r="60" spans="1:7" s="156" customFormat="1" ht="12" customHeight="1" x14ac:dyDescent="0.2">
      <c r="A60" s="169" t="s">
        <v>263</v>
      </c>
      <c r="B60" s="155"/>
      <c r="C60" s="140" t="s">
        <v>168</v>
      </c>
      <c r="D60" s="163"/>
      <c r="E60" s="163"/>
      <c r="F60" s="163"/>
      <c r="G60" s="163"/>
    </row>
    <row r="61" spans="1:7" s="156" customFormat="1" x14ac:dyDescent="0.2">
      <c r="A61" s="169" t="s">
        <v>264</v>
      </c>
      <c r="B61" s="155"/>
      <c r="C61" s="140" t="s">
        <v>168</v>
      </c>
      <c r="D61" s="163">
        <f>IF('Прогнозные отчеты'!C63=0,"-",('Прогнозные отчеты'!D63-'Прогнозные отчеты'!C63)/'Прогнозные отчеты'!C63)</f>
        <v>-0.21052631578947367</v>
      </c>
      <c r="E61" s="163">
        <f>IF('Прогнозные отчеты'!D63=0,"-",('Прогнозные отчеты'!E63-'Прогнозные отчеты'!D63)/'Прогнозные отчеты'!D63)</f>
        <v>-0.26666666666666666</v>
      </c>
      <c r="F61" s="163">
        <f>IF('Прогнозные отчеты'!E63=0,"-",('Прогнозные отчеты'!F63-'Прогнозные отчеты'!E63)/'Прогнозные отчеты'!E63)</f>
        <v>-0.36363636363636365</v>
      </c>
      <c r="G61" s="163">
        <f>IF('Прогнозные отчеты'!F63=0,"-",('Прогнозные отчеты'!G63-'Прогнозные отчеты'!F63)/'Прогнозные отчеты'!F63)</f>
        <v>-0.5714285714285714</v>
      </c>
    </row>
    <row r="62" spans="1:7" x14ac:dyDescent="0.2">
      <c r="A62" s="151"/>
      <c r="B62" s="151"/>
      <c r="C62" s="158"/>
      <c r="D62" s="159"/>
      <c r="E62" s="159"/>
      <c r="F62" s="159"/>
      <c r="G62" s="159"/>
    </row>
    <row r="63" spans="1:7" s="121" customFormat="1" x14ac:dyDescent="0.2">
      <c r="A63" s="157" t="s">
        <v>13</v>
      </c>
      <c r="B63" s="157"/>
      <c r="C63" s="140" t="s">
        <v>168</v>
      </c>
      <c r="D63" s="163">
        <f>IF('Прогнозные отчеты'!C65=0,"-",('Прогнозные отчеты'!D65-'Прогнозные отчеты'!C65)/'Прогнозные отчеты'!C65)</f>
        <v>-0.28320067844034752</v>
      </c>
      <c r="E63" s="163">
        <f>IF('Прогнозные отчеты'!D65=0,"-",('Прогнозные отчеты'!E65-'Прогнозные отчеты'!D65)/'Прогнозные отчеты'!D65)</f>
        <v>0.31319287337731161</v>
      </c>
      <c r="F63" s="163">
        <f>IF('Прогнозные отчеты'!E65=0,"-",('Прогнозные отчеты'!F65-'Прогнозные отчеты'!E65)/'Прогнозные отчеты'!E65)</f>
        <v>-0.46951363918707095</v>
      </c>
      <c r="G63" s="163">
        <f>IF('Прогнозные отчеты'!F65=0,"-",('Прогнозные отчеты'!G65-'Прогнозные отчеты'!F65)/'Прогнозные отчеты'!F65)</f>
        <v>1.9251725265735873</v>
      </c>
    </row>
    <row r="64" spans="1:7" x14ac:dyDescent="0.2">
      <c r="A64" s="151"/>
      <c r="B64" s="151"/>
      <c r="C64" s="158"/>
      <c r="D64" s="159"/>
      <c r="E64" s="159"/>
      <c r="F64" s="159"/>
      <c r="G64" s="159"/>
    </row>
    <row r="65" spans="1:7" x14ac:dyDescent="0.2">
      <c r="A65" s="169" t="s">
        <v>49</v>
      </c>
      <c r="B65" s="150"/>
      <c r="C65" s="140" t="s">
        <v>168</v>
      </c>
      <c r="D65" s="163" t="str">
        <f>IF('Прогнозные отчеты'!C67=0,"-",('Прогнозные отчеты'!D67-'Прогнозные отчеты'!C67)/'Прогнозные отчеты'!C67)</f>
        <v>-</v>
      </c>
      <c r="E65" s="163" t="str">
        <f>IF('Прогнозные отчеты'!D67=0,"-",('Прогнозные отчеты'!E67-'Прогнозные отчеты'!D67)/'Прогнозные отчеты'!D67)</f>
        <v>-</v>
      </c>
      <c r="F65" s="163" t="str">
        <f>IF('Прогнозные отчеты'!E67=0,"-",('Прогнозные отчеты'!F67-'Прогнозные отчеты'!E67)/'Прогнозные отчеты'!E67)</f>
        <v>-</v>
      </c>
      <c r="G65" s="163">
        <v>0</v>
      </c>
    </row>
    <row r="66" spans="1:7" s="156" customFormat="1" x14ac:dyDescent="0.2">
      <c r="A66" s="155"/>
      <c r="B66" s="155"/>
      <c r="C66" s="161"/>
      <c r="D66" s="162"/>
      <c r="E66" s="162"/>
      <c r="F66" s="162"/>
      <c r="G66" s="162"/>
    </row>
    <row r="67" spans="1:7" s="121" customFormat="1" x14ac:dyDescent="0.2">
      <c r="A67" s="152" t="s">
        <v>15</v>
      </c>
      <c r="B67" s="152"/>
      <c r="C67" s="140" t="s">
        <v>168</v>
      </c>
      <c r="D67" s="163">
        <f>IF('Прогнозные отчеты'!C69=0,"-",('Прогнозные отчеты'!D69-'Прогнозные отчеты'!C69)/'Прогнозные отчеты'!C69)</f>
        <v>-0.28320067844034752</v>
      </c>
      <c r="E67" s="163">
        <f>IF('Прогнозные отчеты'!D69=0,"-",('Прогнозные отчеты'!E69-'Прогнозные отчеты'!D69)/'Прогнозные отчеты'!D69)</f>
        <v>0.31319287337731161</v>
      </c>
      <c r="F67" s="163">
        <f>IF('Прогнозные отчеты'!E69=0,"-",('Прогнозные отчеты'!F69-'Прогнозные отчеты'!E69)/'Прогнозные отчеты'!E69)</f>
        <v>-0.46951363918707095</v>
      </c>
      <c r="G67" s="163">
        <f>IF('Прогнозные отчеты'!F69=0,"-",('Прогнозные отчеты'!G69-'Прогнозные отчеты'!F69)/'Прогнозные отчеты'!F69)</f>
        <v>1.9251725265735873</v>
      </c>
    </row>
    <row r="68" spans="1:7" x14ac:dyDescent="0.2">
      <c r="A68" s="150"/>
      <c r="B68" s="150"/>
      <c r="C68" s="123"/>
      <c r="D68" s="123"/>
      <c r="E68" s="123"/>
      <c r="F68" s="123"/>
      <c r="G68" s="123"/>
    </row>
    <row r="69" spans="1:7" x14ac:dyDescent="0.2">
      <c r="A69" s="125"/>
      <c r="B69" s="125"/>
      <c r="C69" s="129"/>
      <c r="D69" s="129"/>
      <c r="E69" s="129"/>
      <c r="F69" s="129"/>
      <c r="G69" s="129"/>
    </row>
    <row r="70" spans="1:7" x14ac:dyDescent="0.2">
      <c r="A70" s="125"/>
      <c r="B70" s="125"/>
      <c r="C70" s="129"/>
      <c r="D70" s="129"/>
      <c r="E70" s="129"/>
      <c r="F70" s="129"/>
      <c r="G70" s="129"/>
    </row>
    <row r="71" spans="1:7" x14ac:dyDescent="0.2">
      <c r="A71" s="11" t="s">
        <v>342</v>
      </c>
      <c r="B71" s="11"/>
      <c r="C71" s="3" t="s">
        <v>353</v>
      </c>
      <c r="D71" s="4" t="s">
        <v>354</v>
      </c>
      <c r="E71" s="5" t="s">
        <v>355</v>
      </c>
      <c r="F71" s="6" t="s">
        <v>356</v>
      </c>
      <c r="G71" s="7" t="s">
        <v>357</v>
      </c>
    </row>
    <row r="72" spans="1:7" x14ac:dyDescent="0.2">
      <c r="A72" s="125"/>
      <c r="B72" s="125"/>
      <c r="C72" s="129"/>
      <c r="D72" s="129"/>
      <c r="E72" s="129"/>
      <c r="F72" s="129"/>
      <c r="G72" s="129"/>
    </row>
    <row r="73" spans="1:7" ht="15" x14ac:dyDescent="0.25">
      <c r="A73" s="125" t="s">
        <v>343</v>
      </c>
      <c r="B73" s="72" t="s">
        <v>44</v>
      </c>
      <c r="C73" s="284" t="str">
        <f>C67</f>
        <v>-</v>
      </c>
      <c r="D73" s="285">
        <f>D67*100</f>
        <v>-28.320067844034753</v>
      </c>
      <c r="E73" s="285">
        <f>E67*100</f>
        <v>31.319287337731161</v>
      </c>
      <c r="F73" s="285">
        <f>F67*100</f>
        <v>-46.951363918707095</v>
      </c>
      <c r="G73" s="285">
        <f>G67*100</f>
        <v>192.51725265735874</v>
      </c>
    </row>
    <row r="74" spans="1:7" ht="15" x14ac:dyDescent="0.25">
      <c r="A74" s="125" t="s">
        <v>344</v>
      </c>
      <c r="B74" s="72" t="s">
        <v>44</v>
      </c>
      <c r="C74" s="284" t="str">
        <f>C45</f>
        <v>-</v>
      </c>
      <c r="D74" s="285">
        <f>D45*100</f>
        <v>12.360000000000031</v>
      </c>
      <c r="E74" s="285">
        <f>E45*100</f>
        <v>12.36</v>
      </c>
      <c r="F74" s="285">
        <f>F45*100</f>
        <v>0</v>
      </c>
      <c r="G74" s="285">
        <f>G45*100</f>
        <v>26.247696000000019</v>
      </c>
    </row>
    <row r="75" spans="1:7" ht="15" x14ac:dyDescent="0.25">
      <c r="A75" s="122" t="s">
        <v>345</v>
      </c>
      <c r="B75" s="72" t="s">
        <v>44</v>
      </c>
      <c r="C75" s="284" t="str">
        <f>C19</f>
        <v>-</v>
      </c>
      <c r="D75" s="285">
        <f>D19*100</f>
        <v>118.0194253571071</v>
      </c>
      <c r="E75" s="285">
        <f>E19*100</f>
        <v>13.343442235409441</v>
      </c>
      <c r="F75" s="285">
        <f>F19*100</f>
        <v>-18.933793973081894</v>
      </c>
      <c r="G75" s="285">
        <f>G19*100</f>
        <v>6.0247559544743075</v>
      </c>
    </row>
    <row r="76" spans="1:7" ht="15" x14ac:dyDescent="0.25">
      <c r="A76" s="122" t="s">
        <v>346</v>
      </c>
      <c r="B76" s="72" t="s">
        <v>44</v>
      </c>
      <c r="C76" s="284" t="str">
        <f>C26</f>
        <v>-</v>
      </c>
      <c r="D76" s="285">
        <f>D26*100</f>
        <v>-34.93840932230156</v>
      </c>
      <c r="E76" s="285">
        <f>E26*100</f>
        <v>30.140921160732347</v>
      </c>
      <c r="F76" s="285">
        <f>F26*100</f>
        <v>26.387836526184266</v>
      </c>
      <c r="G76" s="285">
        <f>G26*100</f>
        <v>23.562673722606622</v>
      </c>
    </row>
    <row r="78" spans="1:7" s="121" customFormat="1" x14ac:dyDescent="0.2">
      <c r="A78" s="120" t="s">
        <v>347</v>
      </c>
      <c r="B78" s="120"/>
      <c r="C78" s="219"/>
      <c r="D78" s="219"/>
      <c r="E78" s="219"/>
      <c r="F78" s="219"/>
      <c r="G78" s="219"/>
    </row>
  </sheetData>
  <hyperlinks>
    <hyperlink ref="A1" r:id="rId1"/>
  </hyperlink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5"/>
  <sheetViews>
    <sheetView topLeftCell="A28" zoomScale="85" zoomScaleNormal="85" workbookViewId="0">
      <selection activeCell="A58" sqref="A58:XFD58"/>
    </sheetView>
  </sheetViews>
  <sheetFormatPr defaultRowHeight="12.75" x14ac:dyDescent="0.2"/>
  <cols>
    <col min="1" max="1" width="41.140625" style="122" customWidth="1"/>
    <col min="2" max="2" width="11.85546875" style="122" customWidth="1"/>
    <col min="3" max="3" width="10.42578125" style="118" bestFit="1" customWidth="1"/>
    <col min="4" max="6" width="11.7109375" style="118" bestFit="1" customWidth="1"/>
    <col min="7" max="7" width="12.28515625" style="118" bestFit="1" customWidth="1"/>
    <col min="8" max="16384" width="9.140625" style="118"/>
  </cols>
  <sheetData>
    <row r="1" spans="1:8" ht="18" x14ac:dyDescent="0.25">
      <c r="A1" s="242" t="s">
        <v>349</v>
      </c>
    </row>
    <row r="2" spans="1:8" x14ac:dyDescent="0.2">
      <c r="A2" s="11" t="s">
        <v>270</v>
      </c>
      <c r="B2" s="11"/>
      <c r="C2" s="3" t="s">
        <v>353</v>
      </c>
      <c r="D2" s="4" t="s">
        <v>354</v>
      </c>
      <c r="E2" s="5" t="s">
        <v>355</v>
      </c>
      <c r="F2" s="6" t="s">
        <v>356</v>
      </c>
      <c r="G2" s="7" t="s">
        <v>357</v>
      </c>
    </row>
    <row r="3" spans="1:8" s="119" customFormat="1" x14ac:dyDescent="0.2">
      <c r="A3" s="124"/>
      <c r="B3" s="124"/>
    </row>
    <row r="4" spans="1:8" x14ac:dyDescent="0.2">
      <c r="A4" s="144" t="s">
        <v>107</v>
      </c>
      <c r="B4" s="101"/>
      <c r="C4" s="57"/>
      <c r="D4" s="57"/>
      <c r="E4" s="57"/>
      <c r="F4" s="58"/>
      <c r="G4" s="57"/>
      <c r="H4" s="129"/>
    </row>
    <row r="5" spans="1:8" x14ac:dyDescent="0.2">
      <c r="A5" s="23" t="s">
        <v>249</v>
      </c>
      <c r="B5" s="23"/>
    </row>
    <row r="6" spans="1:8" x14ac:dyDescent="0.2">
      <c r="A6" s="166" t="s">
        <v>172</v>
      </c>
      <c r="B6" s="72"/>
      <c r="C6" s="283">
        <f>IF('Прогнозные отчеты'!C$19=0,0,'Прогнозные отчеты'!C6/'Прогнозные отчеты'!C$19)</f>
        <v>0</v>
      </c>
      <c r="D6" s="163">
        <f>IF('Прогнозные отчеты'!D$19=0,0,'Прогнозные отчеты'!D6/'Прогнозные отчеты'!D$19)</f>
        <v>0</v>
      </c>
      <c r="E6" s="163">
        <f>IF('Прогнозные отчеты'!E$19=0,0,'Прогнозные отчеты'!E6/'Прогнозные отчеты'!E$19)</f>
        <v>0</v>
      </c>
      <c r="F6" s="163">
        <f>IF('Прогнозные отчеты'!F$19=0,0,'Прогнозные отчеты'!F6/'Прогнозные отчеты'!F$19)</f>
        <v>0</v>
      </c>
      <c r="G6" s="163">
        <f>IF('Прогнозные отчеты'!G$19=0,0,'Прогнозные отчеты'!G6/'Прогнозные отчеты'!G$19)</f>
        <v>0</v>
      </c>
    </row>
    <row r="7" spans="1:8" x14ac:dyDescent="0.2">
      <c r="A7" s="166" t="s">
        <v>171</v>
      </c>
      <c r="B7" s="72"/>
      <c r="C7" s="163">
        <f>IF('Прогнозные отчеты'!C$19=0,0,'Прогнозные отчеты'!C7/'Прогнозные отчеты'!C$19)</f>
        <v>0.43544895482285756</v>
      </c>
      <c r="D7" s="163">
        <f>IF('Прогнозные отчеты'!D$19=0,0,'Прогнозные отчеты'!D7/'Прогнозные отчеты'!D$19)</f>
        <v>0.19358390875142931</v>
      </c>
      <c r="E7" s="163">
        <f>IF('Прогнозные отчеты'!E$19=0,0,'Прогнозные отчеты'!E7/'Прогнозные отчеты'!E$19)</f>
        <v>0.1653720622401639</v>
      </c>
      <c r="F7" s="163">
        <f>IF('Прогнозные отчеты'!F$19=0,0,'Прогнозные отчеты'!F7/'Прогнозные отчеты'!F$19)</f>
        <v>0.1973078983855566</v>
      </c>
      <c r="G7" s="163">
        <f>IF('Прогнозные отчеты'!G$19=0,0,'Прогнозные отчеты'!G7/'Прогнозные отчеты'!G$19)</f>
        <v>0.17978772347498032</v>
      </c>
    </row>
    <row r="8" spans="1:8" x14ac:dyDescent="0.2">
      <c r="A8" s="166" t="s">
        <v>112</v>
      </c>
      <c r="B8" s="72"/>
      <c r="C8" s="163">
        <f>IF('Прогнозные отчеты'!C$19=0,0,'Прогнозные отчеты'!C8/'Прогнозные отчеты'!C$19)</f>
        <v>0</v>
      </c>
      <c r="D8" s="163">
        <f>IF('Прогнозные отчеты'!D$19=0,0,'Прогнозные отчеты'!D8/'Прогнозные отчеты'!D$19)</f>
        <v>0</v>
      </c>
      <c r="E8" s="163">
        <f>IF('Прогнозные отчеты'!E$19=0,0,'Прогнозные отчеты'!E8/'Прогнозные отчеты'!E$19)</f>
        <v>0</v>
      </c>
      <c r="F8" s="163">
        <f>IF('Прогнозные отчеты'!F$19=0,0,'Прогнозные отчеты'!F8/'Прогнозные отчеты'!F$19)</f>
        <v>0</v>
      </c>
      <c r="G8" s="163">
        <f>IF('Прогнозные отчеты'!G$19=0,0,'Прогнозные отчеты'!G8/'Прогнозные отчеты'!G$19)</f>
        <v>0</v>
      </c>
    </row>
    <row r="9" spans="1:8" x14ac:dyDescent="0.2">
      <c r="A9" s="130" t="s">
        <v>250</v>
      </c>
      <c r="B9" s="72"/>
      <c r="C9" s="164">
        <f>IF('Прогнозные отчеты'!C$19=0,0,'Прогнозные отчеты'!C9/'Прогнозные отчеты'!C$19)</f>
        <v>0.43544895482285756</v>
      </c>
      <c r="D9" s="164">
        <f>IF('Прогнозные отчеты'!D$19=0,0,'Прогнозные отчеты'!D9/'Прогнозные отчеты'!D$19)</f>
        <v>0.19358390875142931</v>
      </c>
      <c r="E9" s="164">
        <f>IF('Прогнозные отчеты'!E$19=0,0,'Прогнозные отчеты'!E9/'Прогнозные отчеты'!E$19)</f>
        <v>0.1653720622401639</v>
      </c>
      <c r="F9" s="164">
        <f>IF('Прогнозные отчеты'!F$19=0,0,'Прогнозные отчеты'!F9/'Прогнозные отчеты'!F$19)</f>
        <v>0.1973078983855566</v>
      </c>
      <c r="G9" s="164">
        <f>IF('Прогнозные отчеты'!G$19=0,0,'Прогнозные отчеты'!G9/'Прогнозные отчеты'!G$19)</f>
        <v>0.17978772347498032</v>
      </c>
    </row>
    <row r="10" spans="1:8" x14ac:dyDescent="0.2">
      <c r="A10" s="128"/>
      <c r="B10" s="128"/>
      <c r="C10" s="181"/>
      <c r="D10" s="181"/>
      <c r="E10" s="181"/>
      <c r="F10" s="181"/>
      <c r="G10" s="181"/>
      <c r="H10" s="129"/>
    </row>
    <row r="11" spans="1:8" x14ac:dyDescent="0.2">
      <c r="A11" s="23" t="s">
        <v>113</v>
      </c>
      <c r="B11" s="129"/>
      <c r="C11" s="181"/>
      <c r="D11" s="181"/>
      <c r="E11" s="181"/>
      <c r="F11" s="181"/>
      <c r="G11" s="181"/>
      <c r="H11" s="129"/>
    </row>
    <row r="12" spans="1:8" x14ac:dyDescent="0.2">
      <c r="A12" s="166" t="s">
        <v>251</v>
      </c>
      <c r="B12" s="72"/>
      <c r="C12" s="163">
        <f>IF('Прогнозные отчеты'!C$19=0,0,'Прогнозные отчеты'!C12/'Прогнозные отчеты'!C$19)</f>
        <v>0</v>
      </c>
      <c r="D12" s="163">
        <f>IF('Прогнозные отчеты'!D$19=0,0,'Прогнозные отчеты'!D12/'Прогнозные отчеты'!D$19)</f>
        <v>0</v>
      </c>
      <c r="E12" s="163">
        <f>IF('Прогнозные отчеты'!E$19=0,0,'Прогнозные отчеты'!E12/'Прогнозные отчеты'!E$19)</f>
        <v>0</v>
      </c>
      <c r="F12" s="163">
        <f>IF('Прогнозные отчеты'!F$19=0,0,'Прогнозные отчеты'!F12/'Прогнозные отчеты'!F$19)</f>
        <v>0</v>
      </c>
      <c r="G12" s="163">
        <f>IF('Прогнозные отчеты'!G$19=0,0,'Прогнозные отчеты'!G12/'Прогнозные отчеты'!G$19)</f>
        <v>0</v>
      </c>
    </row>
    <row r="13" spans="1:8" x14ac:dyDescent="0.2">
      <c r="A13" s="167" t="s">
        <v>178</v>
      </c>
      <c r="B13" s="72"/>
      <c r="C13" s="163">
        <f>IF('Прогнозные отчеты'!C$19=0,0,'Прогнозные отчеты'!C13/'Прогнозные отчеты'!C$19)</f>
        <v>0</v>
      </c>
      <c r="D13" s="163">
        <f>IF('Прогнозные отчеты'!D$19=0,0,'Прогнозные отчеты'!D13/'Прогнозные отчеты'!D$19)</f>
        <v>0</v>
      </c>
      <c r="E13" s="163">
        <f>IF('Прогнозные отчеты'!E$19=0,0,'Прогнозные отчеты'!E13/'Прогнозные отчеты'!E$19)</f>
        <v>0</v>
      </c>
      <c r="F13" s="163">
        <f>IF('Прогнозные отчеты'!F$19=0,0,'Прогнозные отчеты'!F13/'Прогнозные отчеты'!F$19)</f>
        <v>0</v>
      </c>
      <c r="G13" s="163">
        <f>IF('Прогнозные отчеты'!G$19=0,0,'Прогнозные отчеты'!G13/'Прогнозные отчеты'!G$19)</f>
        <v>0</v>
      </c>
    </row>
    <row r="14" spans="1:8" x14ac:dyDescent="0.2">
      <c r="A14" s="166" t="s">
        <v>177</v>
      </c>
      <c r="B14" s="72"/>
      <c r="C14" s="163">
        <f>IF('Прогнозные отчеты'!C$19=0,0,'Прогнозные отчеты'!C14/'Прогнозные отчеты'!C$19)</f>
        <v>0</v>
      </c>
      <c r="D14" s="163">
        <f>IF('Прогнозные отчеты'!D$19=0,0,'Прогнозные отчеты'!D14/'Прогнозные отчеты'!D$19)</f>
        <v>0</v>
      </c>
      <c r="E14" s="163">
        <f>IF('Прогнозные отчеты'!E$19=0,0,'Прогнозные отчеты'!E14/'Прогнозные отчеты'!E$19)</f>
        <v>0</v>
      </c>
      <c r="F14" s="163">
        <f>IF('Прогнозные отчеты'!F$19=0,0,'Прогнозные отчеты'!F14/'Прогнозные отчеты'!F$19)</f>
        <v>0</v>
      </c>
      <c r="G14" s="163">
        <f>IF('Прогнозные отчеты'!G$19=0,0,'Прогнозные отчеты'!G14/'Прогнозные отчеты'!G$19)</f>
        <v>0</v>
      </c>
    </row>
    <row r="15" spans="1:8" x14ac:dyDescent="0.2">
      <c r="A15" s="166" t="s">
        <v>170</v>
      </c>
      <c r="B15" s="72"/>
      <c r="C15" s="163">
        <f>IF('Прогнозные отчеты'!C$19=0,0,'Прогнозные отчеты'!C15/'Прогнозные отчеты'!C$19)</f>
        <v>0</v>
      </c>
      <c r="D15" s="163">
        <f>IF('Прогнозные отчеты'!D$19=0,0,'Прогнозные отчеты'!D15/'Прогнозные отчеты'!D$19)</f>
        <v>0</v>
      </c>
      <c r="E15" s="163">
        <f>IF('Прогнозные отчеты'!E$19=0,0,'Прогнозные отчеты'!E15/'Прогнозные отчеты'!E$19)</f>
        <v>0</v>
      </c>
      <c r="F15" s="163">
        <f>IF('Прогнозные отчеты'!F$19=0,0,'Прогнозные отчеты'!F15/'Прогнозные отчеты'!F$19)</f>
        <v>0</v>
      </c>
      <c r="G15" s="163">
        <f>IF('Прогнозные отчеты'!G$19=0,0,'Прогнозные отчеты'!G15/'Прогнозные отчеты'!G$19)</f>
        <v>0</v>
      </c>
    </row>
    <row r="16" spans="1:8" x14ac:dyDescent="0.2">
      <c r="A16" s="166" t="s">
        <v>169</v>
      </c>
      <c r="B16" s="72"/>
      <c r="C16" s="163">
        <f>IF('Прогнозные отчеты'!C$19=0,0,'Прогнозные отчеты'!C16/'Прогнозные отчеты'!C$19)</f>
        <v>0.56455104517714239</v>
      </c>
      <c r="D16" s="163">
        <f>IF('Прогнозные отчеты'!D$19=0,0,'Прогнозные отчеты'!D16/'Прогнозные отчеты'!D$19)</f>
        <v>0.80641609124857072</v>
      </c>
      <c r="E16" s="163">
        <f>IF('Прогнозные отчеты'!E$19=0,0,'Прогнозные отчеты'!E16/'Прогнозные отчеты'!E$19)</f>
        <v>0.83462793775983612</v>
      </c>
      <c r="F16" s="163">
        <f>IF('Прогнозные отчеты'!F$19=0,0,'Прогнозные отчеты'!F16/'Прогнозные отчеты'!F$19)</f>
        <v>0.80269210161444338</v>
      </c>
      <c r="G16" s="163">
        <f>IF('Прогнозные отчеты'!G$19=0,0,'Прогнозные отчеты'!G16/'Прогнозные отчеты'!G$19)</f>
        <v>0.82021227652501971</v>
      </c>
    </row>
    <row r="17" spans="1:8" x14ac:dyDescent="0.2">
      <c r="A17" s="130" t="s">
        <v>252</v>
      </c>
      <c r="B17" s="72"/>
      <c r="C17" s="164">
        <f>IF('Прогнозные отчеты'!C$19=0,0,'Прогнозные отчеты'!C17/'Прогнозные отчеты'!C$19)</f>
        <v>0.56455104517714239</v>
      </c>
      <c r="D17" s="164">
        <f>IF('Прогнозные отчеты'!D$19=0,0,'Прогнозные отчеты'!D17/'Прогнозные отчеты'!D$19)</f>
        <v>0.80641609124857072</v>
      </c>
      <c r="E17" s="164">
        <f>IF('Прогнозные отчеты'!E$19=0,0,'Прогнозные отчеты'!E17/'Прогнозные отчеты'!E$19)</f>
        <v>0.83462793775983612</v>
      </c>
      <c r="F17" s="164">
        <f>IF('Прогнозные отчеты'!F$19=0,0,'Прогнозные отчеты'!F17/'Прогнозные отчеты'!F$19)</f>
        <v>0.80269210161444338</v>
      </c>
      <c r="G17" s="164">
        <f>IF('Прогнозные отчеты'!G$19=0,0,'Прогнозные отчеты'!G17/'Прогнозные отчеты'!G$19)</f>
        <v>0.82021227652501971</v>
      </c>
    </row>
    <row r="18" spans="1:8" x14ac:dyDescent="0.2">
      <c r="A18" s="127"/>
      <c r="B18" s="127"/>
      <c r="C18" s="181"/>
      <c r="D18" s="181"/>
      <c r="E18" s="181"/>
      <c r="F18" s="181"/>
      <c r="G18" s="181"/>
      <c r="H18" s="129"/>
    </row>
    <row r="19" spans="1:8" x14ac:dyDescent="0.2">
      <c r="A19" s="120" t="s">
        <v>257</v>
      </c>
      <c r="B19" s="72"/>
      <c r="C19" s="164">
        <f>IF('Прогнозные отчеты'!C$19=0,0,'Прогнозные отчеты'!C19/'Прогнозные отчеты'!C$19)</f>
        <v>1</v>
      </c>
      <c r="D19" s="164">
        <f>IF('Прогнозные отчеты'!D$19=0,0,'Прогнозные отчеты'!D19/'Прогнозные отчеты'!D$19)</f>
        <v>1</v>
      </c>
      <c r="E19" s="164">
        <f>IF('Прогнозные отчеты'!E$19=0,0,'Прогнозные отчеты'!E19/'Прогнозные отчеты'!E$19)</f>
        <v>1</v>
      </c>
      <c r="F19" s="164">
        <f>IF('Прогнозные отчеты'!F$19=0,0,'Прогнозные отчеты'!F19/'Прогнозные отчеты'!F$19)</f>
        <v>1</v>
      </c>
      <c r="G19" s="164">
        <f>IF('Прогнозные отчеты'!G$19=0,0,'Прогнозные отчеты'!G19/'Прогнозные отчеты'!G$19)</f>
        <v>1</v>
      </c>
    </row>
    <row r="20" spans="1:8" x14ac:dyDescent="0.2">
      <c r="A20" s="118"/>
      <c r="B20" s="118"/>
      <c r="C20" s="123"/>
      <c r="D20" s="123"/>
      <c r="E20" s="123"/>
      <c r="F20" s="123"/>
      <c r="G20" s="123"/>
    </row>
    <row r="21" spans="1:8" x14ac:dyDescent="0.2">
      <c r="A21" s="118"/>
      <c r="B21" s="118"/>
    </row>
    <row r="22" spans="1:8" x14ac:dyDescent="0.2">
      <c r="A22" s="144" t="s">
        <v>115</v>
      </c>
      <c r="B22" s="101"/>
      <c r="C22" s="57"/>
      <c r="D22" s="57"/>
      <c r="E22" s="57"/>
      <c r="F22" s="58"/>
      <c r="G22" s="57"/>
    </row>
    <row r="23" spans="1:8" x14ac:dyDescent="0.2">
      <c r="A23" s="23" t="s">
        <v>93</v>
      </c>
      <c r="B23" s="118"/>
      <c r="C23" s="129"/>
      <c r="D23" s="129"/>
      <c r="E23" s="129"/>
      <c r="F23" s="129"/>
      <c r="G23" s="129"/>
    </row>
    <row r="24" spans="1:8" x14ac:dyDescent="0.2">
      <c r="A24" s="168" t="s">
        <v>174</v>
      </c>
      <c r="B24" s="72"/>
      <c r="C24" s="183">
        <f>IF('Прогнозные отчеты'!C$40=0,0,'Прогнозные отчеты'!C23/'Прогнозные отчеты'!C$40)</f>
        <v>0.12559787554850485</v>
      </c>
      <c r="D24" s="183">
        <f>IF('Прогнозные отчеты'!D$40=0,0,'Прогнозные отчеты'!D23/'Прогнозные отчеты'!D$40)</f>
        <v>0</v>
      </c>
      <c r="E24" s="183">
        <f>IF('Прогнозные отчеты'!E$40=0,0,'Прогнозные отчеты'!E23/'Прогнозные отчеты'!E$40)</f>
        <v>0</v>
      </c>
      <c r="F24" s="183">
        <f>IF('Прогнозные отчеты'!F$40=0,0,'Прогнозные отчеты'!F23/'Прогнозные отчеты'!F$40)</f>
        <v>0</v>
      </c>
      <c r="G24" s="183">
        <f>IF('Прогнозные отчеты'!G$40=0,0,'Прогнозные отчеты'!G23/'Прогнозные отчеты'!G$40)</f>
        <v>0</v>
      </c>
    </row>
    <row r="25" spans="1:8" x14ac:dyDescent="0.2">
      <c r="A25" s="168" t="s">
        <v>85</v>
      </c>
      <c r="B25" s="72"/>
      <c r="C25" s="183">
        <f>IF('Прогнозные отчеты'!C$40=0,0,'Прогнозные отчеты'!C24/'Прогнозные отчеты'!C$40)</f>
        <v>0</v>
      </c>
      <c r="D25" s="183">
        <f>IF('Прогнозные отчеты'!D$40=0,0,'Прогнозные отчеты'!D24/'Прогнозные отчеты'!D$40)</f>
        <v>0</v>
      </c>
      <c r="E25" s="183">
        <f>IF('Прогнозные отчеты'!E$40=0,0,'Прогнозные отчеты'!E24/'Прогнозные отчеты'!E$40)</f>
        <v>0</v>
      </c>
      <c r="F25" s="183">
        <f>IF('Прогнозные отчеты'!F$40=0,0,'Прогнозные отчеты'!F24/'Прогнозные отчеты'!F$40)</f>
        <v>0</v>
      </c>
      <c r="G25" s="183">
        <f>IF('Прогнозные отчеты'!G$40=0,0,'Прогнозные отчеты'!G24/'Прогнозные отчеты'!G$40)</f>
        <v>0</v>
      </c>
    </row>
    <row r="26" spans="1:8" x14ac:dyDescent="0.2">
      <c r="A26" s="168" t="s">
        <v>31</v>
      </c>
      <c r="B26" s="72"/>
      <c r="C26" s="183">
        <f>IF('Прогнозные отчеты'!C$40=0,0,'Прогнозные отчеты'!C25/'Прогнозные отчеты'!C$40)</f>
        <v>6.7825241886216636E-2</v>
      </c>
      <c r="D26" s="183">
        <f>IF('Прогнозные отчеты'!D$40=0,0,'Прогнозные отчеты'!D25/'Прогнозные отчеты'!D$40)</f>
        <v>0.14761179486224801</v>
      </c>
      <c r="E26" s="183">
        <f>IF('Прогнозные отчеты'!E$40=0,0,'Прогнозные отчеты'!E25/'Прогнозные отчеты'!E$40)</f>
        <v>0.20461638486107769</v>
      </c>
      <c r="F26" s="183">
        <f>IF('Прогнозные отчеты'!F$40=0,0,'Прогнозные отчеты'!F25/'Прогнозные отчеты'!F$40)</f>
        <v>0.27165041112168054</v>
      </c>
      <c r="G26" s="183">
        <f>IF('Прогнозные отчеты'!G$40=0,0,'Прогнозные отчеты'!G25/'Прогнозные отчеты'!G$40)</f>
        <v>0.35078888963054394</v>
      </c>
    </row>
    <row r="27" spans="1:8" s="121" customFormat="1" x14ac:dyDescent="0.2">
      <c r="A27" s="121" t="s">
        <v>124</v>
      </c>
      <c r="B27" s="72"/>
      <c r="C27" s="184">
        <f>IF('Прогнозные отчеты'!C$40=0,0,'Прогнозные отчеты'!C26/'Прогнозные отчеты'!C$40)</f>
        <v>0.19342311743472146</v>
      </c>
      <c r="D27" s="184">
        <f>IF('Прогнозные отчеты'!D$40=0,0,'Прогнозные отчеты'!D26/'Прогнозные отчеты'!D$40)</f>
        <v>0.14761179486224801</v>
      </c>
      <c r="E27" s="184">
        <f>IF('Прогнозные отчеты'!E$40=0,0,'Прогнозные отчеты'!E26/'Прогнозные отчеты'!E$40)</f>
        <v>0.20461638486107769</v>
      </c>
      <c r="F27" s="184">
        <f>IF('Прогнозные отчеты'!F$40=0,0,'Прогнозные отчеты'!F26/'Прогнозные отчеты'!F$40)</f>
        <v>0.27165041112168054</v>
      </c>
      <c r="G27" s="184">
        <f>IF('Прогнозные отчеты'!G$40=0,0,'Прогнозные отчеты'!G26/'Прогнозные отчеты'!G$40)</f>
        <v>0.35078888963054394</v>
      </c>
    </row>
    <row r="28" spans="1:8" x14ac:dyDescent="0.2">
      <c r="A28" s="118"/>
      <c r="B28" s="118"/>
      <c r="C28" s="182"/>
      <c r="D28" s="182"/>
      <c r="E28" s="182"/>
      <c r="F28" s="182"/>
      <c r="G28" s="182"/>
    </row>
    <row r="29" spans="1:8" x14ac:dyDescent="0.2">
      <c r="A29" s="23" t="s">
        <v>254</v>
      </c>
      <c r="B29" s="118"/>
      <c r="C29" s="182"/>
      <c r="D29" s="182"/>
      <c r="E29" s="182"/>
      <c r="F29" s="182"/>
      <c r="G29" s="182"/>
    </row>
    <row r="30" spans="1:8" x14ac:dyDescent="0.2">
      <c r="A30" s="168" t="s">
        <v>185</v>
      </c>
      <c r="B30" s="72"/>
      <c r="C30" s="183">
        <f>IF('Прогнозные отчеты'!C$40=0,0,'Прогнозные отчеты'!C29/'Прогнозные отчеты'!C$40)</f>
        <v>0.78498672217815524</v>
      </c>
      <c r="D30" s="183">
        <f>IF('Прогнозные отчеты'!D$40=0,0,'Прогнозные отчеты'!D29/'Прогнозные отчеты'!D$40)</f>
        <v>0.82869138812633159</v>
      </c>
      <c r="E30" s="183">
        <f>IF('Прогнозные отчеты'!E$40=0,0,'Прогнозные отчеты'!E29/'Прогнозные отчеты'!E$40)</f>
        <v>0.78459542800386917</v>
      </c>
      <c r="F30" s="183">
        <f>IF('Прогнозные отчеты'!F$40=0,0,'Прогнозные отчеты'!F29/'Прогнозные отчеты'!F$40)</f>
        <v>0.72113820681021723</v>
      </c>
      <c r="G30" s="183">
        <f>IF('Прогнозные отчеты'!G$40=0,0,'Прогнозные отчеты'!G29/'Прогнозные отчеты'!G$40)</f>
        <v>0.64598120434771744</v>
      </c>
    </row>
    <row r="31" spans="1:8" s="121" customFormat="1" x14ac:dyDescent="0.2">
      <c r="A31" s="121" t="s">
        <v>255</v>
      </c>
      <c r="B31" s="72"/>
      <c r="C31" s="184">
        <f>IF('Прогнозные отчеты'!C$40=0,0,'Прогнозные отчеты'!C30/'Прогнозные отчеты'!C$40)</f>
        <v>0.78498672217815524</v>
      </c>
      <c r="D31" s="184">
        <f>IF('Прогнозные отчеты'!D$40=0,0,'Прогнозные отчеты'!D30/'Прогнозные отчеты'!D$40)</f>
        <v>0.82869138812633159</v>
      </c>
      <c r="E31" s="184">
        <f>IF('Прогнозные отчеты'!E$40=0,0,'Прогнозные отчеты'!E30/'Прогнозные отчеты'!E$40)</f>
        <v>0.78459542800386917</v>
      </c>
      <c r="F31" s="184">
        <f>IF('Прогнозные отчеты'!F$40=0,0,'Прогнозные отчеты'!F30/'Прогнозные отчеты'!F$40)</f>
        <v>0.72113820681021723</v>
      </c>
      <c r="G31" s="184">
        <f>IF('Прогнозные отчеты'!G$40=0,0,'Прогнозные отчеты'!G30/'Прогнозные отчеты'!G$40)</f>
        <v>0.64598120434771744</v>
      </c>
    </row>
    <row r="32" spans="1:8" x14ac:dyDescent="0.2">
      <c r="A32" s="145"/>
      <c r="B32" s="72"/>
      <c r="C32" s="182"/>
      <c r="D32" s="182"/>
      <c r="E32" s="182"/>
      <c r="F32" s="182"/>
      <c r="G32" s="182"/>
    </row>
    <row r="33" spans="1:8" x14ac:dyDescent="0.2">
      <c r="A33" s="23" t="s">
        <v>256</v>
      </c>
      <c r="B33" s="72"/>
      <c r="C33" s="182"/>
      <c r="D33" s="182"/>
      <c r="E33" s="182"/>
      <c r="F33" s="182"/>
      <c r="G33" s="182"/>
    </row>
    <row r="34" spans="1:8" x14ac:dyDescent="0.2">
      <c r="A34" s="168" t="s">
        <v>180</v>
      </c>
      <c r="B34" s="72"/>
      <c r="C34" s="183">
        <f>IF('Прогнозные отчеты'!C$40=0,0,'Прогнозные отчеты'!C33/'Прогнозные отчеты'!C$40)</f>
        <v>0</v>
      </c>
      <c r="D34" s="183">
        <f>IF('Прогнозные отчеты'!D$40=0,0,'Прогнозные отчеты'!D33/'Прогнозные отчеты'!D$40)</f>
        <v>0</v>
      </c>
      <c r="E34" s="183">
        <f>IF('Прогнозные отчеты'!E$40=0,0,'Прогнозные отчеты'!E33/'Прогнозные отчеты'!E$40)</f>
        <v>0</v>
      </c>
      <c r="F34" s="183">
        <f>IF('Прогнозные отчеты'!F$40=0,0,'Прогнозные отчеты'!F33/'Прогнозные отчеты'!F$40)</f>
        <v>0</v>
      </c>
      <c r="G34" s="183">
        <f>IF('Прогнозные отчеты'!G$40=0,0,'Прогнозные отчеты'!G33/'Прогнозные отчеты'!G$40)</f>
        <v>0</v>
      </c>
    </row>
    <row r="35" spans="1:8" x14ac:dyDescent="0.2">
      <c r="A35" s="166" t="s">
        <v>173</v>
      </c>
      <c r="B35" s="72"/>
      <c r="C35" s="183">
        <f>IF('Прогнозные отчеты'!C$40=0,0,'Прогнозные отчеты'!C34/'Прогнозные отчеты'!C$40)</f>
        <v>0</v>
      </c>
      <c r="D35" s="183">
        <f>IF('Прогнозные отчеты'!D$40=0,0,'Прогнозные отчеты'!D34/'Прогнозные отчеты'!D$40)</f>
        <v>0</v>
      </c>
      <c r="E35" s="183">
        <f>IF('Прогнозные отчеты'!E$40=0,0,'Прогнозные отчеты'!E34/'Прогнозные отчеты'!E$40)</f>
        <v>0</v>
      </c>
      <c r="F35" s="183">
        <f>IF('Прогнозные отчеты'!F$40=0,0,'Прогнозные отчеты'!F34/'Прогнозные отчеты'!F$40)</f>
        <v>0</v>
      </c>
      <c r="G35" s="183">
        <f>IF('Прогнозные отчеты'!G$40=0,0,'Прогнозные отчеты'!G34/'Прогнозные отчеты'!G$40)</f>
        <v>0</v>
      </c>
    </row>
    <row r="36" spans="1:8" x14ac:dyDescent="0.2">
      <c r="A36" s="166" t="s">
        <v>179</v>
      </c>
      <c r="B36" s="72"/>
      <c r="C36" s="183">
        <f>IF('Прогнозные отчеты'!C$40=0,0,'Прогнозные отчеты'!C35/'Прогнозные отчеты'!C$40)</f>
        <v>0</v>
      </c>
      <c r="D36" s="183">
        <f>IF('Прогнозные отчеты'!D$40=0,0,'Прогнозные отчеты'!D35/'Прогнозные отчеты'!D$40)</f>
        <v>0</v>
      </c>
      <c r="E36" s="183">
        <f>IF('Прогнозные отчеты'!E$40=0,0,'Прогнозные отчеты'!E35/'Прогнозные отчеты'!E$40)</f>
        <v>0</v>
      </c>
      <c r="F36" s="183">
        <f>IF('Прогнозные отчеты'!F$40=0,0,'Прогнозные отчеты'!F35/'Прогнозные отчеты'!F$40)</f>
        <v>0</v>
      </c>
      <c r="G36" s="183">
        <f>IF('Прогнозные отчеты'!G$40=0,0,'Прогнозные отчеты'!G35/'Прогнозные отчеты'!G$40)</f>
        <v>0</v>
      </c>
    </row>
    <row r="37" spans="1:8" x14ac:dyDescent="0.2">
      <c r="A37" s="166" t="s">
        <v>181</v>
      </c>
      <c r="B37" s="72"/>
      <c r="C37" s="183">
        <f>IF('Прогнозные отчеты'!C$40=0,0,'Прогнозные отчеты'!C36/'Прогнозные отчеты'!C$40)</f>
        <v>6.6754126657384083E-3</v>
      </c>
      <c r="D37" s="183">
        <f>IF('Прогнозные отчеты'!D$40=0,0,'Прогнозные отчеты'!D36/'Прогнозные отчеты'!D$40)</f>
        <v>9.8852938759816256E-3</v>
      </c>
      <c r="E37" s="183">
        <f>IF('Прогнозные отчеты'!E$40=0,0,'Прогнозные отчеты'!E36/'Прогнозные отчеты'!E$40)</f>
        <v>0</v>
      </c>
      <c r="F37" s="183">
        <f>IF('Прогнозные отчеты'!F$40=0,0,'Прогнозные отчеты'!F36/'Прогнозные отчеты'!F$40)</f>
        <v>0</v>
      </c>
      <c r="G37" s="183">
        <f>IF('Прогнозные отчеты'!G$40=0,0,'Прогнозные отчеты'!G36/'Прогнозные отчеты'!G$40)</f>
        <v>0</v>
      </c>
    </row>
    <row r="38" spans="1:8" x14ac:dyDescent="0.2">
      <c r="A38" s="166" t="s">
        <v>241</v>
      </c>
      <c r="B38" s="72"/>
      <c r="C38" s="183">
        <f>IF('Прогнозные отчеты'!C$40=0,0,'Прогнозные отчеты'!C37/'Прогнозные отчеты'!C$40)</f>
        <v>1.4914747721384949E-2</v>
      </c>
      <c r="D38" s="183">
        <f>IF('Прогнозные отчеты'!D$40=0,0,'Прогнозные отчеты'!D37/'Прогнозные отчеты'!D$40)</f>
        <v>1.3811523135438861E-2</v>
      </c>
      <c r="E38" s="183">
        <f>IF('Прогнозные отчеты'!E$40=0,0,'Прогнозные отчеты'!E37/'Прогнозные отчеты'!E$40)</f>
        <v>1.0788187135053201E-2</v>
      </c>
      <c r="F38" s="183">
        <f>IF('Прогнозные отчеты'!F$40=0,0,'Прогнозные отчеты'!F37/'Прогнозные отчеты'!F$40)</f>
        <v>7.211382068102172E-3</v>
      </c>
      <c r="G38" s="183">
        <f>IF('Прогнозные отчеты'!G$40=0,0,'Прогнозные отчеты'!G37/'Прогнозные отчеты'!G$40)</f>
        <v>3.2299060217385869E-3</v>
      </c>
    </row>
    <row r="39" spans="1:8" x14ac:dyDescent="0.2">
      <c r="A39" s="126" t="s">
        <v>256</v>
      </c>
      <c r="B39" s="72"/>
      <c r="C39" s="184">
        <f>IF('Прогнозные отчеты'!C$40=0,0,'Прогнозные отчеты'!C38/'Прогнозные отчеты'!C$40)</f>
        <v>2.1590160387123358E-2</v>
      </c>
      <c r="D39" s="184">
        <f>IF('Прогнозные отчеты'!D$40=0,0,'Прогнозные отчеты'!D38/'Прогнозные отчеты'!D$40)</f>
        <v>2.3696817011420488E-2</v>
      </c>
      <c r="E39" s="184">
        <f>IF('Прогнозные отчеты'!E$40=0,0,'Прогнозные отчеты'!E38/'Прогнозные отчеты'!E$40)</f>
        <v>1.0788187135053201E-2</v>
      </c>
      <c r="F39" s="184">
        <f>IF('Прогнозные отчеты'!F$40=0,0,'Прогнозные отчеты'!F38/'Прогнозные отчеты'!F$40)</f>
        <v>7.211382068102172E-3</v>
      </c>
      <c r="G39" s="184">
        <f>IF('Прогнозные отчеты'!G$40=0,0,'Прогнозные отчеты'!G38/'Прогнозные отчеты'!G$40)</f>
        <v>3.2299060217385869E-3</v>
      </c>
    </row>
    <row r="40" spans="1:8" x14ac:dyDescent="0.2">
      <c r="A40" s="127"/>
      <c r="B40" s="127"/>
      <c r="C40" s="182"/>
      <c r="D40" s="182"/>
      <c r="E40" s="182"/>
      <c r="F40" s="182"/>
      <c r="G40" s="182"/>
    </row>
    <row r="41" spans="1:8" s="147" customFormat="1" x14ac:dyDescent="0.2">
      <c r="A41" s="130" t="s">
        <v>258</v>
      </c>
      <c r="B41" s="72"/>
      <c r="C41" s="184">
        <f>IF('Прогнозные отчеты'!C$40=0,0,'Прогнозные отчеты'!C40/'Прогнозные отчеты'!C$40)</f>
        <v>1</v>
      </c>
      <c r="D41" s="184">
        <f>IF('Прогнозные отчеты'!D$40=0,0,'Прогнозные отчеты'!D40/'Прогнозные отчеты'!D$40)</f>
        <v>1</v>
      </c>
      <c r="E41" s="184">
        <f>IF('Прогнозные отчеты'!E$40=0,0,'Прогнозные отчеты'!E40/'Прогнозные отчеты'!E$40)</f>
        <v>1</v>
      </c>
      <c r="F41" s="184">
        <f>IF('Прогнозные отчеты'!F$40=0,0,'Прогнозные отчеты'!F40/'Прогнозные отчеты'!F$40)</f>
        <v>1</v>
      </c>
      <c r="G41" s="184">
        <f>IF('Прогнозные отчеты'!G$40=0,0,'Прогнозные отчеты'!G40/'Прогнозные отчеты'!G$40)</f>
        <v>1</v>
      </c>
    </row>
    <row r="42" spans="1:8" ht="13.5" customHeight="1" x14ac:dyDescent="0.2">
      <c r="A42" s="127"/>
      <c r="B42" s="127"/>
      <c r="C42" s="123"/>
      <c r="D42" s="123"/>
      <c r="E42" s="123"/>
      <c r="F42" s="123"/>
      <c r="G42" s="123"/>
    </row>
    <row r="43" spans="1:8" x14ac:dyDescent="0.2">
      <c r="A43" s="127"/>
      <c r="B43" s="127"/>
      <c r="C43" s="135"/>
      <c r="D43" s="136"/>
      <c r="E43" s="136"/>
      <c r="F43" s="136"/>
      <c r="G43" s="136"/>
    </row>
    <row r="44" spans="1:8" x14ac:dyDescent="0.2">
      <c r="C44" s="129"/>
      <c r="D44" s="129"/>
      <c r="E44" s="129"/>
      <c r="F44" s="129"/>
      <c r="G44" s="129"/>
    </row>
    <row r="45" spans="1:8" x14ac:dyDescent="0.2">
      <c r="A45" s="11" t="s">
        <v>271</v>
      </c>
      <c r="B45" s="11"/>
      <c r="C45" s="173" t="s">
        <v>353</v>
      </c>
      <c r="D45" s="174" t="s">
        <v>354</v>
      </c>
      <c r="E45" s="175" t="s">
        <v>355</v>
      </c>
      <c r="F45" s="176" t="s">
        <v>356</v>
      </c>
      <c r="G45" s="177" t="s">
        <v>357</v>
      </c>
      <c r="H45" s="18"/>
    </row>
    <row r="46" spans="1:8" x14ac:dyDescent="0.2">
      <c r="A46" s="149"/>
      <c r="B46" s="149"/>
      <c r="C46" s="129"/>
      <c r="D46" s="129"/>
      <c r="E46" s="129"/>
      <c r="F46" s="129"/>
      <c r="G46" s="129"/>
    </row>
    <row r="47" spans="1:8" x14ac:dyDescent="0.2">
      <c r="A47" s="150" t="s">
        <v>65</v>
      </c>
      <c r="B47" s="72"/>
      <c r="C47" s="184">
        <f>IF('Прогнозные отчеты'!C$48=0,0,'Прогнозные отчеты'!C48/'Прогнозные отчеты'!C$48)</f>
        <v>1</v>
      </c>
      <c r="D47" s="184">
        <f>IF('Прогнозные отчеты'!D$48=0,0,'Прогнозные отчеты'!D48/'Прогнозные отчеты'!D$48)</f>
        <v>1</v>
      </c>
      <c r="E47" s="184">
        <f>IF('Прогнозные отчеты'!E$48=0,0,'Прогнозные отчеты'!E48/'Прогнозные отчеты'!E$48)</f>
        <v>1</v>
      </c>
      <c r="F47" s="184">
        <f>IF('Прогнозные отчеты'!F$48=0,0,'Прогнозные отчеты'!F48/'Прогнозные отчеты'!F$48)</f>
        <v>1</v>
      </c>
      <c r="G47" s="184">
        <f>IF('Прогнозные отчеты'!G$48=0,0,'Прогнозные отчеты'!G48/'Прогнозные отчеты'!G$48)</f>
        <v>1</v>
      </c>
    </row>
    <row r="48" spans="1:8" x14ac:dyDescent="0.2">
      <c r="A48" s="150"/>
      <c r="B48" s="72"/>
      <c r="C48" s="182"/>
      <c r="D48" s="182"/>
      <c r="E48" s="182"/>
      <c r="F48" s="182"/>
      <c r="G48" s="182"/>
    </row>
    <row r="49" spans="1:7" x14ac:dyDescent="0.2">
      <c r="A49" s="150" t="s">
        <v>260</v>
      </c>
      <c r="B49" s="72"/>
      <c r="C49" s="183">
        <f>IF('Прогнозные отчеты'!C$48=0,0,'Прогнозные отчеты'!C50/'Прогнозные отчеты'!C$48)</f>
        <v>0.72269602894131835</v>
      </c>
      <c r="D49" s="183">
        <f>IF('Прогнозные отчеты'!D$48=0,0,'Прогнозные отчеты'!D50/'Прогнозные отчеты'!D$48)</f>
        <v>0.81980740690443399</v>
      </c>
      <c r="E49" s="183">
        <f>IF('Прогнозные отчеты'!E$48=0,0,'Прогнозные отчеты'!E50/'Прогнозные отчеты'!E$48)</f>
        <v>0.80782891812195945</v>
      </c>
      <c r="F49" s="183">
        <f>IF('Прогнозные отчеты'!F$48=0,0,'Прогнозные отчеты'!F50/'Прогнозные отчеты'!F$48)</f>
        <v>0.89558852705058412</v>
      </c>
      <c r="G49" s="183">
        <f>IF('Прогнозные отчеты'!G$48=0,0,'Прогнозные отчеты'!G50/'Прогнозные отчеты'!G$48)</f>
        <v>0.78740375086123116</v>
      </c>
    </row>
    <row r="50" spans="1:7" x14ac:dyDescent="0.2">
      <c r="A50" s="179" t="s">
        <v>261</v>
      </c>
      <c r="B50" s="72"/>
      <c r="C50" s="185">
        <f>IF('Прогнозные отчеты'!C$48=0,0,'Прогнозные отчеты'!C51/'Прогнозные отчеты'!C$48)</f>
        <v>0.29182580438096767</v>
      </c>
      <c r="D50" s="185">
        <f>IF('Прогнозные отчеты'!D$48=0,0,'Прогнозные отчеты'!D51/'Прогнозные отчеты'!D$48)</f>
        <v>0.31293021362456785</v>
      </c>
      <c r="E50" s="185">
        <f>IF('Прогнозные отчеты'!E$48=0,0,'Прогнозные отчеты'!E51/'Прогнозные отчеты'!E$48)</f>
        <v>0.31128056401187382</v>
      </c>
      <c r="F50" s="185">
        <f>IF('Прогнозные отчеты'!F$48=0,0,'Прогнозные отчеты'!F51/'Прогнозные отчеты'!F$48)</f>
        <v>0.3481051921110474</v>
      </c>
      <c r="G50" s="185">
        <f>IF('Прогнозные отчеты'!G$48=0,0,'Прогнозные отчеты'!G51/'Прогнозные отчеты'!G$48)</f>
        <v>0.30850570472452715</v>
      </c>
    </row>
    <row r="51" spans="1:7" x14ac:dyDescent="0.2">
      <c r="A51" s="179" t="s">
        <v>137</v>
      </c>
      <c r="B51" s="72"/>
      <c r="C51" s="185">
        <f>IF('Прогнозные отчеты'!C$48=0,0,'Прогнозные отчеты'!C52/'Прогнозные отчеты'!C$48)</f>
        <v>0.39541266147797477</v>
      </c>
      <c r="D51" s="185">
        <f>IF('Прогнозные отчеты'!D$48=0,0,'Прогнозные отчеты'!D52/'Прогнозные отчеты'!D$48)</f>
        <v>0.39732231404958668</v>
      </c>
      <c r="E51" s="185">
        <f>IF('Прогнозные отчеты'!E$48=0,0,'Прогнозные отчеты'!E52/'Прогнозные отчеты'!E$48)</f>
        <v>0.39732231404958673</v>
      </c>
      <c r="F51" s="185">
        <f>IF('Прогнозные отчеты'!F$48=0,0,'Прогнозные отчеты'!F52/'Прогнозные отчеты'!F$48)</f>
        <v>0.44643135206611567</v>
      </c>
      <c r="G51" s="185">
        <f>IF('Прогнозные отчеты'!G$48=0,0,'Прогнозные отчеты'!G52/'Прогнозные отчеты'!G$48)</f>
        <v>0.39732231404958673</v>
      </c>
    </row>
    <row r="52" spans="1:7" ht="12" customHeight="1" x14ac:dyDescent="0.2">
      <c r="A52" s="179" t="s">
        <v>262</v>
      </c>
      <c r="B52" s="72"/>
      <c r="C52" s="185">
        <f>IF('Прогнозные отчеты'!C$48=0,0,'Прогнозные отчеты'!C53/'Прогнозные отчеты'!C$48)</f>
        <v>2.5909300224316145E-2</v>
      </c>
      <c r="D52" s="185">
        <f>IF('Прогнозные отчеты'!D$48=0,0,'Прогнозные отчеты'!D53/'Прогнозные отчеты'!D$48)</f>
        <v>2.437525257870389E-2</v>
      </c>
      <c r="E52" s="185">
        <f>IF('Прогнозные отчеты'!E$48=0,0,'Прогнозные отчеты'!E53/'Прогнозные отчеты'!E$48)</f>
        <v>2.2935461241949458E-2</v>
      </c>
      <c r="F52" s="185">
        <f>IF('Прогнозные отчеты'!F$48=0,0,'Прогнозные отчеты'!F53/'Прогнозные отчеты'!F$48)</f>
        <v>2.4251528857751843E-2</v>
      </c>
      <c r="G52" s="185">
        <f>IF('Прогнозные отчеты'!G$48=0,0,'Прогнозные отчеты'!G53/'Прогнозные отчеты'!G$48)</f>
        <v>2.0314478080061246E-2</v>
      </c>
    </row>
    <row r="53" spans="1:7" x14ac:dyDescent="0.2">
      <c r="A53" s="179" t="s">
        <v>215</v>
      </c>
      <c r="B53" s="72"/>
      <c r="C53" s="185">
        <f>IF('Прогнозные отчеты'!C$48=0,0,'Прогнозные отчеты'!C54/'Прогнозные отчеты'!C$48)</f>
        <v>9.5482628580598576E-3</v>
      </c>
      <c r="D53" s="185">
        <f>IF('Прогнозные отчеты'!D$48=0,0,'Прогнозные отчеты'!D54/'Прогнозные отчеты'!D$48)</f>
        <v>9.0077951491130698E-3</v>
      </c>
      <c r="E53" s="185">
        <f>IF('Прогнозные отчеты'!E$48=0,0,'Прогнозные отчеты'!E54/'Прогнозные отчеты'!E$48)</f>
        <v>8.4979199519934628E-3</v>
      </c>
      <c r="F53" s="185">
        <f>IF('Прогнозные отчеты'!F$48=0,0,'Прогнозные отчеты'!F54/'Прогнозные отчеты'!F$48)</f>
        <v>9.0077951491130716E-3</v>
      </c>
      <c r="G53" s="185">
        <f>IF('Прогнозные отчеты'!G$48=0,0,'Прогнозные отчеты'!G54/'Прогнозные отчеты'!G$48)</f>
        <v>7.5631185048001615E-3</v>
      </c>
    </row>
    <row r="54" spans="1:7" x14ac:dyDescent="0.2">
      <c r="A54" s="179" t="s">
        <v>62</v>
      </c>
      <c r="B54" s="72"/>
      <c r="C54" s="185">
        <f>IF('Прогнозные отчеты'!C$48=0,0,'Прогнозные отчеты'!C55/'Прогнозные отчеты'!C$48)</f>
        <v>0</v>
      </c>
      <c r="D54" s="185">
        <f>IF('Прогнозные отчеты'!D$48=0,0,'Прогнозные отчеты'!D55/'Прогнозные отчеты'!D$48)</f>
        <v>7.6171831502462414E-2</v>
      </c>
      <c r="E54" s="185">
        <f>IF('Прогнозные отчеты'!E$48=0,0,'Прогнозные отчеты'!E55/'Прогнозные отчеты'!E$48)</f>
        <v>6.7792658866556083E-2</v>
      </c>
      <c r="F54" s="185">
        <f>IF('Прогнозные отчеты'!F$48=0,0,'Прогнозные отчеты'!F55/'Прогнозные отчеты'!F$48)</f>
        <v>6.7792658866556083E-2</v>
      </c>
      <c r="G54" s="185">
        <f>IF('Прогнозные отчеты'!G$48=0,0,'Прогнозные отчеты'!G55/'Прогнозные отчеты'!G$48)</f>
        <v>5.369813550225587E-2</v>
      </c>
    </row>
    <row r="55" spans="1:7" x14ac:dyDescent="0.2">
      <c r="A55" s="151"/>
      <c r="B55" s="72"/>
      <c r="C55" s="182"/>
      <c r="D55" s="182"/>
      <c r="E55" s="182"/>
      <c r="F55" s="182"/>
      <c r="G55" s="182"/>
    </row>
    <row r="56" spans="1:7" s="121" customFormat="1" x14ac:dyDescent="0.2">
      <c r="A56" s="152" t="s">
        <v>9</v>
      </c>
      <c r="B56" s="72"/>
      <c r="C56" s="184">
        <f>IF('Прогнозные отчеты'!C$48=0,0,'Прогнозные отчеты'!C57/'Прогнозные отчеты'!C$48)</f>
        <v>0.2773039710586816</v>
      </c>
      <c r="D56" s="184">
        <f>IF('Прогнозные отчеты'!D$48=0,0,'Прогнозные отчеты'!D57/'Прогнозные отчеты'!D$48)</f>
        <v>0.18019259309556604</v>
      </c>
      <c r="E56" s="184">
        <f>IF('Прогнозные отчеты'!E$48=0,0,'Прогнозные отчеты'!E57/'Прогнозные отчеты'!E$48)</f>
        <v>0.19217108187804055</v>
      </c>
      <c r="F56" s="184">
        <f>IF('Прогнозные отчеты'!F$48=0,0,'Прогнозные отчеты'!F57/'Прогнозные отчеты'!F$48)</f>
        <v>0.1044114729494159</v>
      </c>
      <c r="G56" s="184">
        <f>IF('Прогнозные отчеты'!G$48=0,0,'Прогнозные отчеты'!G57/'Прогнозные отчеты'!G$48)</f>
        <v>0.21259624913876884</v>
      </c>
    </row>
    <row r="57" spans="1:7" x14ac:dyDescent="0.2">
      <c r="A57" s="151"/>
      <c r="B57" s="72"/>
      <c r="C57" s="182"/>
      <c r="D57" s="182"/>
      <c r="E57" s="182"/>
      <c r="F57" s="182"/>
      <c r="G57" s="182"/>
    </row>
    <row r="58" spans="1:7" s="156" customFormat="1" x14ac:dyDescent="0.2">
      <c r="A58" s="169" t="s">
        <v>55</v>
      </c>
      <c r="B58" s="72"/>
      <c r="C58" s="286">
        <f>IF('Прогнозные отчеты'!C$48=0,0,'Прогнозные отчеты'!C59/'Прогнозные отчеты'!C$48)</f>
        <v>2.5408542619487016E-2</v>
      </c>
      <c r="D58" s="286">
        <f>IF('Прогнозные отчеты'!D$48=0,0,'Прогнозные отчеты'!D59/'Прогнозные отчеты'!D$48)</f>
        <v>1.7852773008389628E-2</v>
      </c>
      <c r="E58" s="286">
        <f>IF('Прогнозные отчеты'!E$48=0,0,'Прогнозные отчеты'!E59/'Прогнозные отчеты'!E$48)</f>
        <v>1.1651863242689325E-2</v>
      </c>
      <c r="F58" s="286">
        <f>IF('Прогнозные отчеты'!F$48=0,0,'Прогнозные отчеты'!F59/'Прогнозные отчеты'!F$48)</f>
        <v>7.4148220635295711E-3</v>
      </c>
      <c r="G58" s="286">
        <f>IF('Прогнозные отчеты'!G$48=0,0,'Прогнозные отчеты'!G59/'Прогнозные отчеты'!G$48)</f>
        <v>2.5171001016682441E-3</v>
      </c>
    </row>
    <row r="59" spans="1:7" x14ac:dyDescent="0.2">
      <c r="A59" s="151"/>
      <c r="B59" s="72"/>
      <c r="C59" s="182"/>
      <c r="D59" s="182"/>
      <c r="E59" s="182"/>
      <c r="F59" s="182"/>
      <c r="G59" s="182"/>
    </row>
    <row r="60" spans="1:7" s="121" customFormat="1" x14ac:dyDescent="0.2">
      <c r="A60" s="157" t="s">
        <v>10</v>
      </c>
      <c r="B60" s="72"/>
      <c r="C60" s="184">
        <f>IF('Прогнозные отчеты'!C$48=0,0,'Прогнозные отчеты'!C61/'Прогнозные отчеты'!C$48)</f>
        <v>0.2518954284391946</v>
      </c>
      <c r="D60" s="184">
        <f>IF('Прогнозные отчеты'!D$48=0,0,'Прогнозные отчеты'!D61/'Прогнозные отчеты'!D$48)</f>
        <v>0.1623398200871764</v>
      </c>
      <c r="E60" s="184">
        <f>IF('Прогнозные отчеты'!E$48=0,0,'Прогнозные отчеты'!E61/'Прогнозные отчеты'!E$48)</f>
        <v>0.18051921863535123</v>
      </c>
      <c r="F60" s="184">
        <f>IF('Прогнозные отчеты'!F$48=0,0,'Прогнозные отчеты'!F61/'Прогнозные отчеты'!F$48)</f>
        <v>9.6996650885886326E-2</v>
      </c>
      <c r="G60" s="184">
        <f>IF('Прогнозные отчеты'!G$48=0,0,'Прогнозные отчеты'!G61/'Прогнозные отчеты'!G$48)</f>
        <v>0.21007914903710059</v>
      </c>
    </row>
    <row r="61" spans="1:7" x14ac:dyDescent="0.2">
      <c r="A61" s="151"/>
      <c r="B61" s="72"/>
      <c r="C61" s="182"/>
      <c r="D61" s="182"/>
      <c r="E61" s="182"/>
      <c r="F61" s="182"/>
      <c r="G61" s="182"/>
    </row>
    <row r="62" spans="1:7" s="156" customFormat="1" ht="12" customHeight="1" x14ac:dyDescent="0.2">
      <c r="A62" s="169" t="s">
        <v>263</v>
      </c>
      <c r="B62" s="72"/>
      <c r="C62" s="183"/>
      <c r="D62" s="183"/>
      <c r="E62" s="183"/>
      <c r="F62" s="183"/>
      <c r="G62" s="183"/>
    </row>
    <row r="63" spans="1:7" s="156" customFormat="1" x14ac:dyDescent="0.2">
      <c r="A63" s="169" t="s">
        <v>264</v>
      </c>
      <c r="B63" s="72"/>
      <c r="C63" s="183">
        <f>IF('Прогнозные отчеты'!C$48=0,0,'Прогнозные отчеты'!C63/'Прогнозные отчеты'!C$48)</f>
        <v>2.5408542619487016E-2</v>
      </c>
      <c r="D63" s="183">
        <f>IF('Прогнозные отчеты'!D$48=0,0,'Прогнозные отчеты'!D63/'Прогнозные отчеты'!D$48)</f>
        <v>1.7852773008389628E-2</v>
      </c>
      <c r="E63" s="183">
        <f>IF('Прогнозные отчеты'!E$48=0,0,'Прогнозные отчеты'!E63/'Прогнозные отчеты'!E$48)</f>
        <v>1.1651863242689325E-2</v>
      </c>
      <c r="F63" s="183">
        <f>IF('Прогнозные отчеты'!F$48=0,0,'Прогнозные отчеты'!F63/'Прогнозные отчеты'!F$48)</f>
        <v>7.4148220635295711E-3</v>
      </c>
      <c r="G63" s="183">
        <f>IF('Прогнозные отчеты'!G$48=0,0,'Прогнозные отчеты'!G63/'Прогнозные отчеты'!G$48)</f>
        <v>2.5171001016682441E-3</v>
      </c>
    </row>
    <row r="64" spans="1:7" x14ac:dyDescent="0.2">
      <c r="A64" s="151"/>
      <c r="B64" s="72"/>
      <c r="C64" s="182"/>
      <c r="D64" s="182"/>
      <c r="E64" s="182"/>
      <c r="F64" s="182"/>
      <c r="G64" s="182"/>
    </row>
    <row r="65" spans="1:7" s="121" customFormat="1" x14ac:dyDescent="0.2">
      <c r="A65" s="157" t="s">
        <v>13</v>
      </c>
      <c r="B65" s="72"/>
      <c r="C65" s="184">
        <f>IF('Прогнозные отчеты'!C$48=0,0,'Прогнозные отчеты'!C65/'Прогнозные отчеты'!C$48)</f>
        <v>0.22648688581970758</v>
      </c>
      <c r="D65" s="184">
        <f>IF('Прогнозные отчеты'!D$48=0,0,'Прогнозные отчеты'!D65/'Прогнозные отчеты'!D$48)</f>
        <v>0.14448704707878676</v>
      </c>
      <c r="E65" s="184">
        <f>IF('Прогнозные отчеты'!E$48=0,0,'Прогнозные отчеты'!E65/'Прогнозные отчеты'!E$48)</f>
        <v>0.1688673553926619</v>
      </c>
      <c r="F65" s="184">
        <f>IF('Прогнозные отчеты'!F$48=0,0,'Прогнозные отчеты'!F65/'Прогнозные отчеты'!F$48)</f>
        <v>8.9581828822356754E-2</v>
      </c>
      <c r="G65" s="184">
        <f>IF('Прогнозные отчеты'!G$48=0,0,'Прогнозные отчеты'!G65/'Прогнозные отчеты'!G$48)</f>
        <v>0.20756204893543237</v>
      </c>
    </row>
    <row r="66" spans="1:7" x14ac:dyDescent="0.2">
      <c r="A66" s="151"/>
      <c r="B66" s="72"/>
      <c r="C66" s="182"/>
      <c r="D66" s="182"/>
      <c r="E66" s="182"/>
      <c r="F66" s="182"/>
      <c r="G66" s="182"/>
    </row>
    <row r="67" spans="1:7" x14ac:dyDescent="0.2">
      <c r="A67" s="169" t="s">
        <v>49</v>
      </c>
      <c r="B67" s="72"/>
      <c r="C67" s="183">
        <f>IF('Прогнозные отчеты'!C$48=0,0,'Прогнозные отчеты'!C67/'Прогнозные отчеты'!C$48)</f>
        <v>0</v>
      </c>
      <c r="D67" s="183">
        <f>IF('Прогнозные отчеты'!D$48=0,0,'Прогнозные отчеты'!D67/'Прогнозные отчеты'!D$48)</f>
        <v>0</v>
      </c>
      <c r="E67" s="183">
        <f>IF('Прогнозные отчеты'!E$48=0,0,'Прогнозные отчеты'!E67/'Прогнозные отчеты'!E$48)</f>
        <v>0</v>
      </c>
      <c r="F67" s="183">
        <f>IF('Прогнозные отчеты'!F$48=0,0,'Прогнозные отчеты'!F67/'Прогнозные отчеты'!F$48)</f>
        <v>0</v>
      </c>
      <c r="G67" s="183">
        <f>IF('Прогнозные отчеты'!G$48=0,0,'Прогнозные отчеты'!G67/'Прогнозные отчеты'!G$48)</f>
        <v>0</v>
      </c>
    </row>
    <row r="68" spans="1:7" s="156" customFormat="1" x14ac:dyDescent="0.2">
      <c r="A68" s="155"/>
      <c r="B68" s="76"/>
      <c r="C68" s="182"/>
      <c r="D68" s="182"/>
      <c r="E68" s="182"/>
      <c r="F68" s="182"/>
      <c r="G68" s="182"/>
    </row>
    <row r="69" spans="1:7" s="121" customFormat="1" x14ac:dyDescent="0.2">
      <c r="A69" s="152" t="s">
        <v>15</v>
      </c>
      <c r="B69" s="72"/>
      <c r="C69" s="184">
        <f>IF('Прогнозные отчеты'!C$48=0,0,'Прогнозные отчеты'!C69/'Прогнозные отчеты'!C$48)</f>
        <v>0.22648688581970758</v>
      </c>
      <c r="D69" s="184">
        <f>IF('Прогнозные отчеты'!D$48=0,0,'Прогнозные отчеты'!D69/'Прогнозные отчеты'!D$48)</f>
        <v>0.14448704707878676</v>
      </c>
      <c r="E69" s="184">
        <f>IF('Прогнозные отчеты'!E$48=0,0,'Прогнозные отчеты'!E69/'Прогнозные отчеты'!E$48)</f>
        <v>0.1688673553926619</v>
      </c>
      <c r="F69" s="184">
        <f>IF('Прогнозные отчеты'!F$48=0,0,'Прогнозные отчеты'!F69/'Прогнозные отчеты'!F$48)</f>
        <v>8.9581828822356754E-2</v>
      </c>
      <c r="G69" s="184">
        <f>IF('Прогнозные отчеты'!G$48=0,0,'Прогнозные отчеты'!G69/'Прогнозные отчеты'!G$48)</f>
        <v>0.20756204893543237</v>
      </c>
    </row>
    <row r="70" spans="1:7" x14ac:dyDescent="0.2">
      <c r="A70" s="125"/>
      <c r="B70" s="125"/>
      <c r="C70" s="129"/>
      <c r="D70" s="129"/>
      <c r="E70" s="129"/>
      <c r="F70" s="129"/>
      <c r="G70" s="129"/>
    </row>
    <row r="71" spans="1:7" x14ac:dyDescent="0.2">
      <c r="A71" s="125"/>
      <c r="B71" s="125"/>
      <c r="C71" s="129"/>
      <c r="D71" s="129"/>
      <c r="E71" s="129"/>
      <c r="F71" s="129"/>
      <c r="G71" s="129"/>
    </row>
    <row r="72" spans="1:7" x14ac:dyDescent="0.2">
      <c r="A72" s="125"/>
      <c r="B72" s="125"/>
      <c r="C72" s="129"/>
      <c r="D72" s="129"/>
      <c r="E72" s="129"/>
      <c r="F72" s="129"/>
      <c r="G72" s="129"/>
    </row>
    <row r="73" spans="1:7" x14ac:dyDescent="0.2">
      <c r="A73" s="125"/>
      <c r="B73" s="125"/>
      <c r="C73" s="129"/>
      <c r="D73" s="129"/>
      <c r="E73" s="129"/>
      <c r="F73" s="129"/>
      <c r="G73" s="129"/>
    </row>
    <row r="74" spans="1:7" x14ac:dyDescent="0.2">
      <c r="A74" s="125"/>
      <c r="B74" s="125"/>
      <c r="C74" s="129"/>
      <c r="D74" s="129"/>
      <c r="E74" s="129"/>
      <c r="F74" s="129"/>
      <c r="G74" s="129"/>
    </row>
    <row r="75" spans="1:7" x14ac:dyDescent="0.2">
      <c r="A75" s="125"/>
      <c r="B75" s="125"/>
      <c r="C75" s="129"/>
      <c r="D75" s="129"/>
      <c r="E75" s="129"/>
      <c r="F75" s="129"/>
      <c r="G75" s="129"/>
    </row>
  </sheetData>
  <hyperlinks>
    <hyperlink ref="A1" r:id="rId1"/>
  </hyperlinks>
  <pageMargins left="0.7" right="0.7" top="0.75" bottom="0.75" header="0.3" footer="0.3"/>
  <pageSetup paperSize="9" orientation="portrait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2"/>
  <sheetViews>
    <sheetView topLeftCell="A7" zoomScale="85" zoomScaleNormal="85" workbookViewId="0">
      <selection activeCell="F5" sqref="F5"/>
    </sheetView>
  </sheetViews>
  <sheetFormatPr defaultRowHeight="12.75" x14ac:dyDescent="0.2"/>
  <cols>
    <col min="1" max="1" width="45.42578125" style="118" customWidth="1"/>
    <col min="2" max="2" width="11.7109375" style="118" customWidth="1"/>
    <col min="3" max="7" width="11.85546875" style="118" customWidth="1"/>
    <col min="8" max="16384" width="9.140625" style="118"/>
  </cols>
  <sheetData>
    <row r="1" spans="1:8" ht="18" x14ac:dyDescent="0.25">
      <c r="A1" s="242" t="s">
        <v>349</v>
      </c>
    </row>
    <row r="2" spans="1:8" x14ac:dyDescent="0.2">
      <c r="A2" s="11" t="s">
        <v>324</v>
      </c>
      <c r="B2" s="133" t="s">
        <v>39</v>
      </c>
      <c r="C2" s="3" t="s">
        <v>353</v>
      </c>
      <c r="D2" s="4" t="s">
        <v>354</v>
      </c>
      <c r="E2" s="5" t="s">
        <v>355</v>
      </c>
      <c r="F2" s="6" t="s">
        <v>356</v>
      </c>
      <c r="G2" s="7" t="s">
        <v>357</v>
      </c>
    </row>
    <row r="3" spans="1:8" x14ac:dyDescent="0.2">
      <c r="A3" s="129"/>
      <c r="B3" s="129"/>
      <c r="C3" s="129"/>
      <c r="D3" s="129"/>
      <c r="E3" s="129"/>
      <c r="F3" s="129"/>
      <c r="G3" s="129"/>
      <c r="H3" s="129"/>
    </row>
    <row r="4" spans="1:8" x14ac:dyDescent="0.2">
      <c r="A4" s="23" t="s">
        <v>329</v>
      </c>
      <c r="B4" s="23"/>
      <c r="C4" s="23"/>
      <c r="D4" s="23"/>
      <c r="E4" s="23"/>
      <c r="F4" s="23"/>
      <c r="G4" s="23"/>
      <c r="H4" s="129"/>
    </row>
    <row r="5" spans="1:8" x14ac:dyDescent="0.2">
      <c r="A5" s="166" t="s">
        <v>9</v>
      </c>
      <c r="B5" s="72" t="s">
        <v>361</v>
      </c>
      <c r="C5" s="191">
        <f>'Прогнозные отчеты'!C57</f>
        <v>207362.36347826093</v>
      </c>
      <c r="D5" s="191">
        <f>'Прогнозные отчеты'!D57</f>
        <v>151398.8272389567</v>
      </c>
      <c r="E5" s="191">
        <f>'Прогнозные отчеты'!E57</f>
        <v>181420.07476656139</v>
      </c>
      <c r="F5" s="191">
        <f>'Прогнозные отчеты'!F57</f>
        <v>98570.175303438213</v>
      </c>
      <c r="G5" s="191">
        <f>'Прогнозные отчеты'!G57</f>
        <v>253382.35336512956</v>
      </c>
      <c r="H5" s="129"/>
    </row>
    <row r="6" spans="1:8" x14ac:dyDescent="0.2">
      <c r="A6" s="166" t="s">
        <v>65</v>
      </c>
      <c r="B6" s="72" t="s">
        <v>361</v>
      </c>
      <c r="C6" s="191">
        <f>'Прогнозные отчеты'!C48</f>
        <v>747780</v>
      </c>
      <c r="D6" s="191">
        <f>'Прогнозные отчеты'!D48</f>
        <v>840205.60800000024</v>
      </c>
      <c r="E6" s="191">
        <f>'Прогнозные отчеты'!E48</f>
        <v>944055.02114880027</v>
      </c>
      <c r="F6" s="191">
        <f>'Прогнозные отчеты'!F48</f>
        <v>944055.02114880027</v>
      </c>
      <c r="G6" s="191">
        <f>'Прогнозные отчеты'!G48</f>
        <v>1191847.7131726732</v>
      </c>
      <c r="H6" s="129"/>
    </row>
    <row r="7" spans="1:8" s="121" customFormat="1" x14ac:dyDescent="0.2">
      <c r="A7" s="126" t="s">
        <v>329</v>
      </c>
      <c r="B7" s="72" t="s">
        <v>44</v>
      </c>
      <c r="C7" s="212">
        <f>IF(C6=0,"-",C5/C6)</f>
        <v>0.2773039710586816</v>
      </c>
      <c r="D7" s="212">
        <f>IF(D6=0,"-",D5/D6)</f>
        <v>0.18019259309556604</v>
      </c>
      <c r="E7" s="212">
        <f>IF(E6=0,"-",E5/E6)</f>
        <v>0.19217108187804055</v>
      </c>
      <c r="F7" s="212">
        <f>IF(F6=0,"-",F5/F6)</f>
        <v>0.1044114729494159</v>
      </c>
      <c r="G7" s="212">
        <f>IF(G6=0,"-",G5/G6)</f>
        <v>0.21259624913876884</v>
      </c>
      <c r="H7" s="199"/>
    </row>
    <row r="8" spans="1:8" x14ac:dyDescent="0.2">
      <c r="A8" s="129"/>
      <c r="B8" s="129"/>
      <c r="C8" s="129"/>
      <c r="D8" s="129"/>
      <c r="E8" s="129"/>
      <c r="F8" s="129"/>
      <c r="G8" s="129"/>
      <c r="H8" s="129"/>
    </row>
    <row r="9" spans="1:8" x14ac:dyDescent="0.2">
      <c r="A9" s="23" t="s">
        <v>330</v>
      </c>
      <c r="B9" s="23"/>
      <c r="C9" s="23"/>
      <c r="D9" s="23"/>
      <c r="E9" s="23"/>
      <c r="F9" s="23"/>
      <c r="G9" s="23"/>
      <c r="H9" s="129"/>
    </row>
    <row r="10" spans="1:8" x14ac:dyDescent="0.2">
      <c r="A10" s="166" t="s">
        <v>145</v>
      </c>
      <c r="B10" s="72" t="s">
        <v>361</v>
      </c>
      <c r="C10" s="191">
        <f>'Прогнозные отчеты'!C69</f>
        <v>169362.36347826093</v>
      </c>
      <c r="D10" s="191">
        <f>'Прогнозные отчеты'!D69</f>
        <v>121398.8272389567</v>
      </c>
      <c r="E10" s="191">
        <f>'Прогнозные отчеты'!E69</f>
        <v>159420.07476656139</v>
      </c>
      <c r="F10" s="191">
        <f>'Прогнозные отчеты'!F69</f>
        <v>84570.175303438213</v>
      </c>
      <c r="G10" s="191">
        <f>'Прогнозные отчеты'!G69</f>
        <v>247382.35336512956</v>
      </c>
      <c r="H10" s="129"/>
    </row>
    <row r="11" spans="1:8" x14ac:dyDescent="0.2">
      <c r="A11" s="166" t="s">
        <v>65</v>
      </c>
      <c r="B11" s="72" t="s">
        <v>361</v>
      </c>
      <c r="C11" s="191">
        <f>'Прогнозные отчеты'!C48</f>
        <v>747780</v>
      </c>
      <c r="D11" s="191">
        <f>'Прогнозные отчеты'!D48</f>
        <v>840205.60800000024</v>
      </c>
      <c r="E11" s="191">
        <f>'Прогнозные отчеты'!E48</f>
        <v>944055.02114880027</v>
      </c>
      <c r="F11" s="191">
        <f>'Прогнозные отчеты'!F48</f>
        <v>944055.02114880027</v>
      </c>
      <c r="G11" s="191">
        <f>'Прогнозные отчеты'!G48</f>
        <v>1191847.7131726732</v>
      </c>
      <c r="H11" s="129"/>
    </row>
    <row r="12" spans="1:8" s="121" customFormat="1" x14ac:dyDescent="0.2">
      <c r="A12" s="126" t="s">
        <v>330</v>
      </c>
      <c r="B12" s="72" t="s">
        <v>44</v>
      </c>
      <c r="C12" s="212">
        <f>IF(C11=0,"-",C10/C11)</f>
        <v>0.22648688581970758</v>
      </c>
      <c r="D12" s="212">
        <f>IF(D11=0,"-",D10/D11)</f>
        <v>0.14448704707878676</v>
      </c>
      <c r="E12" s="212">
        <f>IF(E11=0,"-",E10/E11)</f>
        <v>0.1688673553926619</v>
      </c>
      <c r="F12" s="212">
        <f>IF(F11=0,"-",F10/F11)</f>
        <v>8.9581828822356754E-2</v>
      </c>
      <c r="G12" s="212">
        <f>IF(G11=0,"-",G10/G11)</f>
        <v>0.20756204893543237</v>
      </c>
      <c r="H12" s="199"/>
    </row>
    <row r="13" spans="1:8" x14ac:dyDescent="0.2">
      <c r="A13" s="129"/>
      <c r="B13" s="129"/>
      <c r="C13" s="129"/>
      <c r="D13" s="129"/>
      <c r="E13" s="129"/>
      <c r="F13" s="129"/>
      <c r="G13" s="129"/>
      <c r="H13" s="129"/>
    </row>
    <row r="14" spans="1:8" x14ac:dyDescent="0.2">
      <c r="A14" s="23" t="s">
        <v>333</v>
      </c>
      <c r="B14" s="23"/>
      <c r="C14" s="23"/>
      <c r="D14" s="23"/>
      <c r="E14" s="23"/>
      <c r="F14" s="23"/>
      <c r="G14" s="23"/>
      <c r="H14" s="129"/>
    </row>
    <row r="15" spans="1:8" x14ac:dyDescent="0.2">
      <c r="A15" s="166" t="s">
        <v>246</v>
      </c>
      <c r="B15" s="72" t="s">
        <v>361</v>
      </c>
      <c r="C15" s="191">
        <f>'Прогнозные отчеты'!C61</f>
        <v>188362.36347826093</v>
      </c>
      <c r="D15" s="191">
        <f>'Прогнозные отчеты'!D61</f>
        <v>136398.8272389567</v>
      </c>
      <c r="E15" s="191">
        <f>'Прогнозные отчеты'!E61</f>
        <v>170420.07476656139</v>
      </c>
      <c r="F15" s="191">
        <f>'Прогнозные отчеты'!F61</f>
        <v>91570.175303438213</v>
      </c>
      <c r="G15" s="191">
        <f>'Прогнозные отчеты'!G61</f>
        <v>250382.35336512956</v>
      </c>
      <c r="H15" s="129"/>
    </row>
    <row r="16" spans="1:8" x14ac:dyDescent="0.2">
      <c r="A16" s="166" t="s">
        <v>65</v>
      </c>
      <c r="B16" s="72" t="s">
        <v>361</v>
      </c>
      <c r="C16" s="191">
        <f>'Прогнозные отчеты'!C48</f>
        <v>747780</v>
      </c>
      <c r="D16" s="191">
        <f>'Прогнозные отчеты'!D48</f>
        <v>840205.60800000024</v>
      </c>
      <c r="E16" s="191">
        <f>'Прогнозные отчеты'!E48</f>
        <v>944055.02114880027</v>
      </c>
      <c r="F16" s="191">
        <f>'Прогнозные отчеты'!F48</f>
        <v>944055.02114880027</v>
      </c>
      <c r="G16" s="191">
        <f>'Прогнозные отчеты'!G48</f>
        <v>1191847.7131726732</v>
      </c>
      <c r="H16" s="129"/>
    </row>
    <row r="17" spans="1:8" s="121" customFormat="1" x14ac:dyDescent="0.2">
      <c r="A17" s="126" t="s">
        <v>333</v>
      </c>
      <c r="B17" s="72" t="s">
        <v>44</v>
      </c>
      <c r="C17" s="212">
        <f>IF(C16=0,"-",C15/C16)</f>
        <v>0.2518954284391946</v>
      </c>
      <c r="D17" s="212">
        <f>IF(D16=0,"-",D15/D16)</f>
        <v>0.1623398200871764</v>
      </c>
      <c r="E17" s="212">
        <f>IF(E16=0,"-",E15/E16)</f>
        <v>0.18051921863535123</v>
      </c>
      <c r="F17" s="212">
        <f>IF(F16=0,"-",F15/F16)</f>
        <v>9.6996650885886326E-2</v>
      </c>
      <c r="G17" s="212">
        <f>IF(G16=0,"-",G15/G16)</f>
        <v>0.21007914903710059</v>
      </c>
      <c r="H17" s="199"/>
    </row>
    <row r="18" spans="1:8" x14ac:dyDescent="0.2">
      <c r="A18" s="129"/>
      <c r="B18" s="129"/>
      <c r="C18" s="129"/>
      <c r="D18" s="129"/>
      <c r="E18" s="129"/>
      <c r="F18" s="129"/>
      <c r="G18" s="129"/>
      <c r="H18" s="129"/>
    </row>
    <row r="19" spans="1:8" x14ac:dyDescent="0.2">
      <c r="A19" s="23" t="s">
        <v>332</v>
      </c>
      <c r="B19" s="23"/>
      <c r="C19" s="23"/>
      <c r="D19" s="23"/>
      <c r="E19" s="23"/>
      <c r="F19" s="23"/>
      <c r="G19" s="23"/>
      <c r="H19" s="129"/>
    </row>
    <row r="20" spans="1:8" x14ac:dyDescent="0.2">
      <c r="A20" s="213" t="s">
        <v>331</v>
      </c>
      <c r="B20" s="72" t="s">
        <v>361</v>
      </c>
      <c r="C20" s="191">
        <f>'Прогнозные отчеты'!C61</f>
        <v>188362.36347826093</v>
      </c>
      <c r="D20" s="191">
        <f>'Прогнозные отчеты'!D61</f>
        <v>136398.8272389567</v>
      </c>
      <c r="E20" s="191">
        <f>'Прогнозные отчеты'!E61</f>
        <v>170420.07476656139</v>
      </c>
      <c r="F20" s="191">
        <f>'Прогнозные отчеты'!F61</f>
        <v>91570.175303438213</v>
      </c>
      <c r="G20" s="191">
        <f>'Прогнозные отчеты'!G61</f>
        <v>250382.35336512956</v>
      </c>
      <c r="H20" s="129"/>
    </row>
    <row r="21" spans="1:8" x14ac:dyDescent="0.2">
      <c r="A21" s="213" t="s">
        <v>62</v>
      </c>
      <c r="B21" s="72" t="s">
        <v>361</v>
      </c>
      <c r="C21" s="191">
        <f>-'Прогнозные отчеты'!C55</f>
        <v>0</v>
      </c>
      <c r="D21" s="191">
        <f>-'Прогнозные отчеты'!D55</f>
        <v>-64000</v>
      </c>
      <c r="E21" s="191">
        <f>-'Прогнозные отчеты'!E55</f>
        <v>-64000</v>
      </c>
      <c r="F21" s="191">
        <f>-'Прогнозные отчеты'!F55</f>
        <v>-64000</v>
      </c>
      <c r="G21" s="191">
        <f>-'Прогнозные отчеты'!G55</f>
        <v>-64000</v>
      </c>
      <c r="H21" s="129"/>
    </row>
    <row r="22" spans="1:8" x14ac:dyDescent="0.2">
      <c r="A22" s="166" t="s">
        <v>146</v>
      </c>
      <c r="B22" s="72" t="s">
        <v>361</v>
      </c>
      <c r="C22" s="191">
        <f>SUM(C20:C21)</f>
        <v>188362.36347826093</v>
      </c>
      <c r="D22" s="191">
        <f>SUM(D20:D21)</f>
        <v>72398.827238956699</v>
      </c>
      <c r="E22" s="191">
        <f>SUM(E20:E21)</f>
        <v>106420.07476656139</v>
      </c>
      <c r="F22" s="191">
        <f>SUM(F20:F21)</f>
        <v>27570.175303438213</v>
      </c>
      <c r="G22" s="191">
        <f>SUM(G20:G21)</f>
        <v>186382.35336512956</v>
      </c>
      <c r="H22" s="129"/>
    </row>
    <row r="23" spans="1:8" x14ac:dyDescent="0.2">
      <c r="A23" s="166" t="s">
        <v>65</v>
      </c>
      <c r="B23" s="72" t="s">
        <v>361</v>
      </c>
      <c r="C23" s="191">
        <f>'Прогнозные отчеты'!C48</f>
        <v>747780</v>
      </c>
      <c r="D23" s="191">
        <f>'Прогнозные отчеты'!D48</f>
        <v>840205.60800000024</v>
      </c>
      <c r="E23" s="191">
        <f>'Прогнозные отчеты'!E48</f>
        <v>944055.02114880027</v>
      </c>
      <c r="F23" s="191">
        <f>'Прогнозные отчеты'!F48</f>
        <v>944055.02114880027</v>
      </c>
      <c r="G23" s="191">
        <f>'Прогнозные отчеты'!G48</f>
        <v>1191847.7131726732</v>
      </c>
      <c r="H23" s="129"/>
    </row>
    <row r="24" spans="1:8" x14ac:dyDescent="0.2">
      <c r="A24" s="126" t="s">
        <v>332</v>
      </c>
      <c r="B24" s="72" t="s">
        <v>44</v>
      </c>
      <c r="C24" s="212">
        <f>IF(C23=0,"-",C22/C23)</f>
        <v>0.2518954284391946</v>
      </c>
      <c r="D24" s="212">
        <f>IF(D23=0,"-",D22/D23)</f>
        <v>8.6167988584713986E-2</v>
      </c>
      <c r="E24" s="212">
        <f>IF(E23=0,"-",E22/E23)</f>
        <v>0.11272655976879513</v>
      </c>
      <c r="F24" s="212">
        <f>IF(F23=0,"-",F22/F23)</f>
        <v>2.9203992019330251E-2</v>
      </c>
      <c r="G24" s="212">
        <f>IF(G23=0,"-",G22/G23)</f>
        <v>0.15638101353484474</v>
      </c>
      <c r="H24" s="129"/>
    </row>
    <row r="25" spans="1:8" x14ac:dyDescent="0.2">
      <c r="A25" s="129"/>
      <c r="B25" s="129"/>
      <c r="C25" s="129"/>
      <c r="D25" s="129"/>
      <c r="E25" s="129"/>
      <c r="F25" s="129"/>
      <c r="G25" s="129"/>
      <c r="H25" s="129"/>
    </row>
    <row r="26" spans="1:8" x14ac:dyDescent="0.2">
      <c r="A26" s="23" t="s">
        <v>334</v>
      </c>
      <c r="B26" s="23"/>
      <c r="C26" s="23"/>
      <c r="D26" s="23"/>
      <c r="E26" s="23"/>
      <c r="F26" s="23"/>
      <c r="G26" s="23"/>
      <c r="H26" s="129"/>
    </row>
    <row r="27" spans="1:8" x14ac:dyDescent="0.2">
      <c r="A27" s="166" t="s">
        <v>145</v>
      </c>
      <c r="B27" s="72" t="s">
        <v>361</v>
      </c>
      <c r="C27" s="191">
        <f>'Прогнозные отчеты'!C69</f>
        <v>169362.36347826093</v>
      </c>
      <c r="D27" s="191">
        <f>'Прогнозные отчеты'!D69</f>
        <v>121398.8272389567</v>
      </c>
      <c r="E27" s="191">
        <f>'Прогнозные отчеты'!E69</f>
        <v>159420.07476656139</v>
      </c>
      <c r="F27" s="191">
        <f>'Прогнозные отчеты'!F69</f>
        <v>84570.175303438213</v>
      </c>
      <c r="G27" s="191">
        <f>'Прогнозные отчеты'!G69</f>
        <v>247382.35336512956</v>
      </c>
      <c r="H27" s="129"/>
    </row>
    <row r="28" spans="1:8" x14ac:dyDescent="0.2">
      <c r="A28" s="166" t="s">
        <v>295</v>
      </c>
      <c r="B28" s="72" t="s">
        <v>361</v>
      </c>
      <c r="C28" s="195" t="s">
        <v>168</v>
      </c>
      <c r="D28" s="191">
        <f>('Прогнозные отчеты'!C19+'Прогнозные отчеты'!D19)/2</f>
        <v>3797691.9993520007</v>
      </c>
      <c r="E28" s="191">
        <f>('Прогнозные отчеты'!D19+'Прогнозные отчеты'!E19)/2</f>
        <v>5554443.8367919084</v>
      </c>
      <c r="F28" s="191">
        <f>('Прогнозные отчеты'!E19+'Прогнозные отчеты'!F19)/2</f>
        <v>5343121.8879530896</v>
      </c>
      <c r="G28" s="191">
        <f>('Прогнозные отчеты'!F19+'Прогнозные отчеты'!G19)/2</f>
        <v>4928524.6868571546</v>
      </c>
      <c r="H28" s="129"/>
    </row>
    <row r="29" spans="1:8" s="121" customFormat="1" x14ac:dyDescent="0.2">
      <c r="A29" s="126" t="s">
        <v>334</v>
      </c>
      <c r="B29" s="72" t="s">
        <v>44</v>
      </c>
      <c r="C29" s="212" t="s">
        <v>168</v>
      </c>
      <c r="D29" s="212">
        <f>IF(D28=0,"-",D27/D28)</f>
        <v>3.1966475232765308E-2</v>
      </c>
      <c r="E29" s="212">
        <f>IF(E28=0,"-",E27/E28)</f>
        <v>2.8701356868636188E-2</v>
      </c>
      <c r="F29" s="212">
        <f>IF(F28=0,"-",F27/F28)</f>
        <v>1.5827858146772771E-2</v>
      </c>
      <c r="G29" s="212">
        <f>IF(G28=0,"-",G27/G28)</f>
        <v>5.0193997003773055E-2</v>
      </c>
      <c r="H29" s="199"/>
    </row>
    <row r="30" spans="1:8" x14ac:dyDescent="0.2">
      <c r="A30" s="129"/>
      <c r="B30" s="129"/>
      <c r="C30" s="129"/>
      <c r="D30" s="129"/>
      <c r="E30" s="129"/>
      <c r="F30" s="129"/>
      <c r="G30" s="129"/>
      <c r="H30" s="129"/>
    </row>
    <row r="31" spans="1:8" x14ac:dyDescent="0.2">
      <c r="A31" s="23" t="s">
        <v>339</v>
      </c>
      <c r="B31" s="23"/>
      <c r="C31" s="23"/>
      <c r="D31" s="23"/>
      <c r="E31" s="23"/>
      <c r="F31" s="23"/>
      <c r="G31" s="23"/>
      <c r="H31" s="129"/>
    </row>
    <row r="32" spans="1:8" x14ac:dyDescent="0.2">
      <c r="A32" s="166" t="s">
        <v>327</v>
      </c>
      <c r="B32" s="72" t="s">
        <v>361</v>
      </c>
      <c r="C32" s="191">
        <f>'Прогнозные отчеты'!C61</f>
        <v>188362.36347826093</v>
      </c>
      <c r="D32" s="191">
        <f>'Прогнозные отчеты'!D61</f>
        <v>136398.8272389567</v>
      </c>
      <c r="E32" s="191">
        <f>'Прогнозные отчеты'!E61</f>
        <v>170420.07476656139</v>
      </c>
      <c r="F32" s="191">
        <f>'Прогнозные отчеты'!F61</f>
        <v>91570.175303438213</v>
      </c>
      <c r="G32" s="191">
        <f>'Прогнозные отчеты'!G61</f>
        <v>250382.35336512956</v>
      </c>
      <c r="H32" s="129"/>
    </row>
    <row r="33" spans="1:8" x14ac:dyDescent="0.2">
      <c r="A33" s="166" t="s">
        <v>295</v>
      </c>
      <c r="B33" s="72" t="s">
        <v>361</v>
      </c>
      <c r="C33" s="195" t="s">
        <v>168</v>
      </c>
      <c r="D33" s="191">
        <f>('Прогнозные отчеты'!C19+'Прогнозные отчеты'!D19)/2</f>
        <v>3797691.9993520007</v>
      </c>
      <c r="E33" s="191">
        <f>('Прогнозные отчеты'!D19+'Прогнозные отчеты'!E19)/2</f>
        <v>5554443.8367919084</v>
      </c>
      <c r="F33" s="191">
        <f>('Прогнозные отчеты'!E19+'Прогнозные отчеты'!F19)/2</f>
        <v>5343121.8879530896</v>
      </c>
      <c r="G33" s="191">
        <f>('Прогнозные отчеты'!F19+'Прогнозные отчеты'!G19)/2</f>
        <v>4928524.6868571546</v>
      </c>
      <c r="H33" s="129"/>
    </row>
    <row r="34" spans="1:8" s="121" customFormat="1" x14ac:dyDescent="0.2">
      <c r="A34" s="126" t="s">
        <v>335</v>
      </c>
      <c r="B34" s="72" t="s">
        <v>44</v>
      </c>
      <c r="C34" s="192" t="s">
        <v>168</v>
      </c>
      <c r="D34" s="212">
        <f>IF(D33=0,"-",D32/D33)</f>
        <v>3.5916242618472059E-2</v>
      </c>
      <c r="E34" s="212">
        <f>IF(E33=0,"-",E32/E33)</f>
        <v>3.0681753164506075E-2</v>
      </c>
      <c r="F34" s="212">
        <f>IF(F33=0,"-",F32/F33)</f>
        <v>1.7137953657747843E-2</v>
      </c>
      <c r="G34" s="212">
        <f>IF(G33=0,"-",G32/G33)</f>
        <v>5.0802698428765419E-2</v>
      </c>
      <c r="H34" s="199"/>
    </row>
    <row r="35" spans="1:8" x14ac:dyDescent="0.2">
      <c r="A35" s="129"/>
      <c r="B35" s="129"/>
      <c r="C35" s="129"/>
      <c r="D35" s="129"/>
      <c r="E35" s="129"/>
      <c r="F35" s="129"/>
      <c r="G35" s="129"/>
      <c r="H35" s="129"/>
    </row>
    <row r="36" spans="1:8" x14ac:dyDescent="0.2">
      <c r="A36" s="23" t="s">
        <v>315</v>
      </c>
      <c r="B36" s="23"/>
      <c r="C36" s="23"/>
      <c r="D36" s="23"/>
      <c r="E36" s="23"/>
      <c r="F36" s="23"/>
      <c r="G36" s="23"/>
      <c r="H36" s="129"/>
    </row>
    <row r="37" spans="1:8" x14ac:dyDescent="0.2">
      <c r="A37" s="166" t="s">
        <v>145</v>
      </c>
      <c r="B37" s="72" t="s">
        <v>361</v>
      </c>
      <c r="C37" s="191">
        <f>'Прогнозные отчеты'!C69</f>
        <v>169362.36347826093</v>
      </c>
      <c r="D37" s="191">
        <f>'Прогнозные отчеты'!D69</f>
        <v>121398.8272389567</v>
      </c>
      <c r="E37" s="191">
        <f>'Прогнозные отчеты'!E69</f>
        <v>159420.07476656139</v>
      </c>
      <c r="F37" s="191">
        <f>'Прогнозные отчеты'!F69</f>
        <v>84570.175303438213</v>
      </c>
      <c r="G37" s="191">
        <f>'Прогнозные отчеты'!G69</f>
        <v>247382.35336512956</v>
      </c>
      <c r="H37" s="129"/>
    </row>
    <row r="38" spans="1:8" x14ac:dyDescent="0.2">
      <c r="A38" s="166" t="s">
        <v>297</v>
      </c>
      <c r="B38" s="72" t="s">
        <v>361</v>
      </c>
      <c r="C38" s="195" t="s">
        <v>168</v>
      </c>
      <c r="D38" s="191">
        <f>'Анализ оборачиваемости'!D61</f>
        <v>3771072.1122074015</v>
      </c>
      <c r="E38" s="191">
        <f>'Анализ оборачиваемости'!E61</f>
        <v>5536075.8767673094</v>
      </c>
      <c r="F38" s="191">
        <f>'Анализ оборачиваемости'!F61</f>
        <v>5334121.8879530896</v>
      </c>
      <c r="G38" s="191">
        <f>'Анализ оборачиваемости'!G61</f>
        <v>4923524.6868571546</v>
      </c>
      <c r="H38" s="129"/>
    </row>
    <row r="39" spans="1:8" s="121" customFormat="1" x14ac:dyDescent="0.2">
      <c r="A39" s="126" t="s">
        <v>336</v>
      </c>
      <c r="B39" s="72" t="s">
        <v>44</v>
      </c>
      <c r="C39" s="212" t="s">
        <v>168</v>
      </c>
      <c r="D39" s="212">
        <f>IF(D38=0,"-",D37/D38)</f>
        <v>3.2192125641399033E-2</v>
      </c>
      <c r="E39" s="212">
        <f>IF(E38=0,"-",E37/E38)</f>
        <v>2.879658413562999E-2</v>
      </c>
      <c r="F39" s="212">
        <f>IF(F38=0,"-",F37/F38)</f>
        <v>1.5854563708871505E-2</v>
      </c>
      <c r="G39" s="212">
        <f>IF(G38=0,"-",G37/G38)</f>
        <v>5.0244970645824408E-2</v>
      </c>
      <c r="H39" s="199"/>
    </row>
    <row r="40" spans="1:8" x14ac:dyDescent="0.2">
      <c r="A40" s="129"/>
      <c r="B40" s="129"/>
      <c r="C40" s="129"/>
      <c r="D40" s="129"/>
      <c r="E40" s="129"/>
      <c r="F40" s="129"/>
      <c r="G40" s="129"/>
      <c r="H40" s="129"/>
    </row>
    <row r="41" spans="1:8" x14ac:dyDescent="0.2">
      <c r="A41" s="23" t="s">
        <v>338</v>
      </c>
      <c r="B41" s="23"/>
      <c r="C41" s="23"/>
      <c r="D41" s="23"/>
      <c r="E41" s="23"/>
      <c r="F41" s="23"/>
      <c r="G41" s="23"/>
      <c r="H41" s="129"/>
    </row>
    <row r="42" spans="1:8" x14ac:dyDescent="0.2">
      <c r="A42" s="166" t="s">
        <v>145</v>
      </c>
      <c r="B42" s="72" t="s">
        <v>361</v>
      </c>
      <c r="C42" s="191">
        <f>'Прогнозные отчеты'!C69</f>
        <v>169362.36347826093</v>
      </c>
      <c r="D42" s="191">
        <f>'Прогнозные отчеты'!D69</f>
        <v>121398.8272389567</v>
      </c>
      <c r="E42" s="191">
        <f>'Прогнозные отчеты'!E69</f>
        <v>159420.07476656139</v>
      </c>
      <c r="F42" s="191">
        <f>'Прогнозные отчеты'!F69</f>
        <v>84570.175303438213</v>
      </c>
      <c r="G42" s="191">
        <f>'Прогнозные отчеты'!G69</f>
        <v>247382.35336512956</v>
      </c>
      <c r="H42" s="129"/>
    </row>
    <row r="43" spans="1:8" x14ac:dyDescent="0.2">
      <c r="A43" s="166" t="s">
        <v>328</v>
      </c>
      <c r="B43" s="72" t="s">
        <v>361</v>
      </c>
      <c r="C43" s="195" t="s">
        <v>168</v>
      </c>
      <c r="D43" s="191">
        <f>('Прогнозные отчеты'!C26+'Прогнозные отчеты'!D26)/2</f>
        <v>203358.39152173913</v>
      </c>
      <c r="E43" s="191">
        <f>('Прогнозные отчеты'!D26+'Прогнозные отчеты'!E26)/2</f>
        <v>184473.75849130438</v>
      </c>
      <c r="F43" s="191">
        <f>('Прогнозные отчеты'!E26+'Прогнозные отчеты'!F26)/2</f>
        <v>236160.74747904355</v>
      </c>
      <c r="G43" s="191">
        <f>('Прогнозные отчеты'!F26+'Прогнозные отчеты'!G26)/2</f>
        <v>294753.65580604709</v>
      </c>
      <c r="H43" s="129"/>
    </row>
    <row r="44" spans="1:8" s="121" customFormat="1" x14ac:dyDescent="0.2">
      <c r="A44" s="126" t="s">
        <v>337</v>
      </c>
      <c r="B44" s="72" t="s">
        <v>44</v>
      </c>
      <c r="C44" s="192" t="s">
        <v>168</v>
      </c>
      <c r="D44" s="212">
        <f>IF(D43=0,"-",D42/D43)</f>
        <v>0.59696984388263663</v>
      </c>
      <c r="E44" s="212">
        <f>IF(E43=0,"-",E42/E43)</f>
        <v>0.86418835974481456</v>
      </c>
      <c r="F44" s="212">
        <f>IF(F43=0,"-",F42/F43)</f>
        <v>0.35810428365510999</v>
      </c>
      <c r="G44" s="212">
        <f>IF(G43=0,"-",G42/G43)</f>
        <v>0.83928510636662412</v>
      </c>
      <c r="H44" s="199"/>
    </row>
    <row r="45" spans="1:8" x14ac:dyDescent="0.2">
      <c r="A45" s="129" t="s">
        <v>325</v>
      </c>
      <c r="B45" s="72" t="s">
        <v>44</v>
      </c>
      <c r="C45" s="192" t="s">
        <v>168</v>
      </c>
      <c r="D45" s="192" t="s">
        <v>168</v>
      </c>
      <c r="E45" s="214">
        <f>IF(E44="-","-",(E44-D44)/D44)</f>
        <v>0.44762481488882827</v>
      </c>
      <c r="F45" s="214">
        <f>IF(F44="-","-",(F44-E44)/E44)</f>
        <v>-0.58561778850984025</v>
      </c>
      <c r="G45" s="214">
        <f>IF(G44="-","-",(G44-F44)/F44)</f>
        <v>1.3436891002815792</v>
      </c>
      <c r="H45" s="129"/>
    </row>
    <row r="46" spans="1:8" x14ac:dyDescent="0.2">
      <c r="A46" s="129" t="s">
        <v>326</v>
      </c>
      <c r="B46" s="72" t="s">
        <v>44</v>
      </c>
      <c r="C46" s="154"/>
      <c r="D46" s="154"/>
      <c r="E46" s="154"/>
      <c r="F46" s="154"/>
      <c r="G46" s="183">
        <f>IF(D44="-","-",AVERAGE(D44:G44))</f>
        <v>0.66463689841229634</v>
      </c>
      <c r="H46" s="129"/>
    </row>
    <row r="47" spans="1:8" x14ac:dyDescent="0.2">
      <c r="A47" s="129"/>
      <c r="B47" s="129"/>
      <c r="C47" s="129"/>
      <c r="D47" s="129"/>
      <c r="E47" s="129"/>
      <c r="F47" s="129"/>
      <c r="G47" s="129"/>
      <c r="H47" s="129"/>
    </row>
    <row r="48" spans="1:8" x14ac:dyDescent="0.2">
      <c r="A48" s="23" t="s">
        <v>316</v>
      </c>
      <c r="B48" s="23"/>
      <c r="C48" s="23"/>
      <c r="D48" s="23"/>
      <c r="E48" s="23"/>
      <c r="F48" s="23"/>
      <c r="G48" s="23"/>
    </row>
    <row r="49" spans="1:7" x14ac:dyDescent="0.2">
      <c r="A49" s="166" t="s">
        <v>246</v>
      </c>
      <c r="B49" s="72" t="s">
        <v>361</v>
      </c>
      <c r="C49" s="191">
        <f>'Прогнозные отчеты'!C61</f>
        <v>188362.36347826093</v>
      </c>
      <c r="D49" s="191">
        <f>'Прогнозные отчеты'!D61</f>
        <v>136398.8272389567</v>
      </c>
      <c r="E49" s="191">
        <f>'Прогнозные отчеты'!E61</f>
        <v>170420.07476656139</v>
      </c>
      <c r="F49" s="191">
        <f>'Прогнозные отчеты'!F61</f>
        <v>91570.175303438213</v>
      </c>
      <c r="G49" s="191">
        <f>'Прогнозные отчеты'!G61</f>
        <v>250382.35336512956</v>
      </c>
    </row>
    <row r="50" spans="1:7" x14ac:dyDescent="0.2">
      <c r="A50" s="166" t="s">
        <v>314</v>
      </c>
      <c r="B50" s="72" t="s">
        <v>361</v>
      </c>
      <c r="C50" s="191">
        <f>'Прогнозные отчеты'!C26+'Прогнозные отчеты'!C30</f>
        <v>1246403.0434782607</v>
      </c>
      <c r="D50" s="191">
        <f>'Прогнозные отчеты'!D26+'Прогнозные отчеты'!D30</f>
        <v>1060313.7395652174</v>
      </c>
      <c r="E50" s="191">
        <f>'Прогнозные отчеты'!E26+'Прогнозные отчеты'!E30</f>
        <v>1008633.7774173913</v>
      </c>
      <c r="F50" s="191">
        <f>'Прогнозные отчеты'!F26+'Прогнозные отчеты'!F30</f>
        <v>963687.7175406958</v>
      </c>
      <c r="G50" s="191">
        <f>'Прогнозные отчеты'!G26+'Прогнозные отчеты'!G30</f>
        <v>925819.59407139849</v>
      </c>
    </row>
    <row r="51" spans="1:7" x14ac:dyDescent="0.2">
      <c r="A51" s="166" t="s">
        <v>317</v>
      </c>
      <c r="B51" s="72" t="s">
        <v>361</v>
      </c>
      <c r="C51" s="195" t="s">
        <v>168</v>
      </c>
      <c r="D51" s="191">
        <f>IF((C50+D50)=0,"-",(C50+D50)/2)</f>
        <v>1153358.3915217391</v>
      </c>
      <c r="E51" s="191">
        <f>IF((D50+E50)=0,"-",(D50+E50)/2)</f>
        <v>1034473.7584913044</v>
      </c>
      <c r="F51" s="191">
        <f>IF((E50+F50)=0,"-",(E50+F50)/2)</f>
        <v>986160.74747904355</v>
      </c>
      <c r="G51" s="191">
        <f>IF((F50+G50)=0,"-",(F50+G50)/2)</f>
        <v>944753.65580604714</v>
      </c>
    </row>
    <row r="52" spans="1:7" x14ac:dyDescent="0.2">
      <c r="A52" s="126" t="s">
        <v>336</v>
      </c>
      <c r="B52" s="72" t="s">
        <v>44</v>
      </c>
      <c r="C52" s="212" t="s">
        <v>168</v>
      </c>
      <c r="D52" s="212">
        <f>IF(D51="-","-",D49*(1+Окружение!K12)/D51)</f>
        <v>0.11826230965293652</v>
      </c>
      <c r="E52" s="212">
        <f>IF(E51="-","-",E49*(1-E54)/E51)</f>
        <v>0.16474083887357874</v>
      </c>
      <c r="F52" s="212">
        <f>IF(F51="-","-",F49*(1-Окружение!K12)/F51)</f>
        <v>9.2855222170951518E-2</v>
      </c>
      <c r="G52" s="212">
        <f>IF(G51="-","-",G49*(1-Окружение!K12)/G51)</f>
        <v>0.26502395817829122</v>
      </c>
    </row>
  </sheetData>
  <hyperlinks>
    <hyperlink ref="A1" r:id="rId1"/>
  </hyperlinks>
  <pageMargins left="0.7" right="0.7" top="0.75" bottom="0.75" header="0.3" footer="0.3"/>
  <pageSetup paperSize="9" orientation="portrait" horizontalDpi="1200" verticalDpi="120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0"/>
  <sheetViews>
    <sheetView topLeftCell="A4" zoomScale="85" zoomScaleNormal="85" workbookViewId="0">
      <selection activeCell="F5" sqref="F5"/>
    </sheetView>
  </sheetViews>
  <sheetFormatPr defaultRowHeight="12.75" x14ac:dyDescent="0.2"/>
  <cols>
    <col min="1" max="1" width="49.140625" style="118" customWidth="1"/>
    <col min="2" max="2" width="10.85546875" style="118" customWidth="1"/>
    <col min="3" max="7" width="11.85546875" style="118" customWidth="1"/>
    <col min="8" max="16384" width="9.140625" style="118"/>
  </cols>
  <sheetData>
    <row r="1" spans="1:7" ht="18" x14ac:dyDescent="0.25">
      <c r="A1" s="242" t="s">
        <v>349</v>
      </c>
    </row>
    <row r="2" spans="1:7" x14ac:dyDescent="0.2">
      <c r="A2" s="11" t="s">
        <v>299</v>
      </c>
      <c r="B2" s="133" t="s">
        <v>39</v>
      </c>
      <c r="C2" s="3" t="s">
        <v>353</v>
      </c>
      <c r="D2" s="4" t="s">
        <v>354</v>
      </c>
      <c r="E2" s="5" t="s">
        <v>355</v>
      </c>
      <c r="F2" s="6" t="s">
        <v>356</v>
      </c>
      <c r="G2" s="7" t="s">
        <v>357</v>
      </c>
    </row>
    <row r="3" spans="1:7" s="119" customFormat="1" x14ac:dyDescent="0.2">
      <c r="A3" s="18"/>
      <c r="B3" s="18"/>
    </row>
    <row r="4" spans="1:7" ht="12" customHeight="1" x14ac:dyDescent="0.2">
      <c r="A4" s="23" t="s">
        <v>272</v>
      </c>
      <c r="B4" s="187"/>
      <c r="C4" s="188"/>
      <c r="D4" s="188"/>
      <c r="E4" s="188"/>
      <c r="F4" s="188"/>
      <c r="G4" s="188"/>
    </row>
    <row r="5" spans="1:7" x14ac:dyDescent="0.2">
      <c r="A5" s="166" t="s">
        <v>132</v>
      </c>
      <c r="B5" s="72" t="s">
        <v>361</v>
      </c>
      <c r="C5" s="191">
        <f>'Прогнозные отчеты'!C17</f>
        <v>1348339.6400000001</v>
      </c>
      <c r="D5" s="191">
        <f>'Прогнозные отчеты'!D17</f>
        <v>4199044.3587040007</v>
      </c>
      <c r="E5" s="191">
        <f>'Прогнозные отчеты'!E17</f>
        <v>4925843.3148798151</v>
      </c>
      <c r="F5" s="191">
        <f>'Прогнозные отчеты'!F17</f>
        <v>3840400.461026364</v>
      </c>
      <c r="G5" s="191">
        <f>'Прогнозные отчеты'!G17</f>
        <v>4160648.9126879461</v>
      </c>
    </row>
    <row r="6" spans="1:7" x14ac:dyDescent="0.2">
      <c r="A6" s="166" t="s">
        <v>134</v>
      </c>
      <c r="B6" s="72" t="s">
        <v>361</v>
      </c>
      <c r="C6" s="191">
        <f>'Прогнозные отчеты'!C38</f>
        <v>27503.854240000001</v>
      </c>
      <c r="D6" s="191">
        <f>'Прогнозные отчеты'!D38</f>
        <v>25735.920049198314</v>
      </c>
      <c r="E6" s="191">
        <f>'Прогнозные отчеты'!E38</f>
        <v>11000</v>
      </c>
      <c r="F6" s="191">
        <f>'Прогнозные отчеты'!F38</f>
        <v>7000</v>
      </c>
      <c r="G6" s="191">
        <f>'Прогнозные отчеты'!G38</f>
        <v>3000</v>
      </c>
    </row>
    <row r="7" spans="1:7" s="121" customFormat="1" x14ac:dyDescent="0.2">
      <c r="A7" s="126" t="s">
        <v>192</v>
      </c>
      <c r="B7" s="126"/>
      <c r="C7" s="192" t="s">
        <v>168</v>
      </c>
      <c r="D7" s="192">
        <f>IF(C6+D6=0,"-",(D5+C5)/(D6+C6))</f>
        <v>104.19623435235893</v>
      </c>
      <c r="E7" s="192">
        <f>IF(D6+E6=0,"-",(E5+D5)/(E6+D6))</f>
        <v>248.39142891653123</v>
      </c>
      <c r="F7" s="192">
        <f>IF(E6+F6=0,"-",(F5+E5)/(F6+E6))</f>
        <v>487.01354310589886</v>
      </c>
      <c r="G7" s="192">
        <f>IF(F6+G6=0,"-",(G5+F5)/(G6+F6))</f>
        <v>800.10493737143099</v>
      </c>
    </row>
    <row r="8" spans="1:7" x14ac:dyDescent="0.2">
      <c r="A8" s="129"/>
      <c r="B8" s="129"/>
      <c r="C8" s="129"/>
      <c r="D8" s="129"/>
      <c r="E8" s="129"/>
      <c r="F8" s="129"/>
      <c r="G8" s="129"/>
    </row>
    <row r="9" spans="1:7" ht="12.75" customHeight="1" x14ac:dyDescent="0.2">
      <c r="A9" s="23" t="s">
        <v>193</v>
      </c>
      <c r="B9" s="23"/>
      <c r="C9" s="23"/>
      <c r="D9" s="23"/>
      <c r="E9" s="23"/>
      <c r="F9" s="23"/>
      <c r="G9" s="23"/>
    </row>
    <row r="10" spans="1:7" x14ac:dyDescent="0.2">
      <c r="A10" s="166" t="s">
        <v>132</v>
      </c>
      <c r="B10" s="72" t="s">
        <v>361</v>
      </c>
      <c r="C10" s="191">
        <f>'Прогнозные отчеты'!C17</f>
        <v>1348339.6400000001</v>
      </c>
      <c r="D10" s="191">
        <f>'Прогнозные отчеты'!D17</f>
        <v>4199044.3587040007</v>
      </c>
      <c r="E10" s="191">
        <f>'Прогнозные отчеты'!E17</f>
        <v>4925843.3148798151</v>
      </c>
      <c r="F10" s="191">
        <f>'Прогнозные отчеты'!F17</f>
        <v>3840400.461026364</v>
      </c>
      <c r="G10" s="191">
        <f>'Прогнозные отчеты'!G17</f>
        <v>4160648.9126879461</v>
      </c>
    </row>
    <row r="11" spans="1:7" x14ac:dyDescent="0.2">
      <c r="A11" s="166" t="s">
        <v>191</v>
      </c>
      <c r="B11" s="72" t="s">
        <v>361</v>
      </c>
      <c r="C11" s="191">
        <f>'Прогнозные отчеты'!C12</f>
        <v>0</v>
      </c>
      <c r="D11" s="191">
        <f>'Прогнозные отчеты'!D12</f>
        <v>0</v>
      </c>
      <c r="E11" s="191">
        <f>'Прогнозные отчеты'!E12</f>
        <v>0</v>
      </c>
      <c r="F11" s="191">
        <f>'Прогнозные отчеты'!F12</f>
        <v>0</v>
      </c>
      <c r="G11" s="191">
        <f>'Прогнозные отчеты'!G12</f>
        <v>0</v>
      </c>
    </row>
    <row r="12" spans="1:7" x14ac:dyDescent="0.2">
      <c r="A12" s="166" t="s">
        <v>134</v>
      </c>
      <c r="B12" s="72" t="s">
        <v>361</v>
      </c>
      <c r="C12" s="191">
        <f>'Прогнозные отчеты'!C38</f>
        <v>27503.854240000001</v>
      </c>
      <c r="D12" s="191">
        <f>'Прогнозные отчеты'!D38</f>
        <v>25735.920049198314</v>
      </c>
      <c r="E12" s="191">
        <f>'Прогнозные отчеты'!E38</f>
        <v>11000</v>
      </c>
      <c r="F12" s="191">
        <f>'Прогнозные отчеты'!F38</f>
        <v>7000</v>
      </c>
      <c r="G12" s="191">
        <f>'Прогнозные отчеты'!G38</f>
        <v>3000</v>
      </c>
    </row>
    <row r="13" spans="1:7" s="121" customFormat="1" x14ac:dyDescent="0.2">
      <c r="A13" s="126" t="s">
        <v>193</v>
      </c>
      <c r="B13" s="126"/>
      <c r="C13" s="192" t="s">
        <v>168</v>
      </c>
      <c r="D13" s="192">
        <f>IF(C12+D12=0,"-",((D10+C10)/2-(D11+C11)/2)/((D12+C12)/2))</f>
        <v>104.19623435235893</v>
      </c>
      <c r="E13" s="192">
        <f>IF(D12+E12=0,"-",((E10+D10)/2-(E11+D11)/2)/((E12+D12)/2))</f>
        <v>248.39142891653123</v>
      </c>
      <c r="F13" s="192">
        <f>IF(E12+F12=0,"-",((F10+E10)/2-(F11+E11)/2)/((F12+E12)/2))</f>
        <v>487.01354310589886</v>
      </c>
      <c r="G13" s="192">
        <f>IF(F12+G12=0,"-",((G10+F10)/2-(G11+F11)/2)/((G12+F12)/2))</f>
        <v>800.10493737143099</v>
      </c>
    </row>
    <row r="14" spans="1:7" x14ac:dyDescent="0.2">
      <c r="A14" s="125"/>
      <c r="B14" s="125"/>
      <c r="C14" s="189"/>
      <c r="D14" s="189"/>
      <c r="E14" s="189"/>
      <c r="F14" s="189"/>
      <c r="G14" s="189"/>
    </row>
    <row r="15" spans="1:7" x14ac:dyDescent="0.2">
      <c r="A15" s="23" t="s">
        <v>148</v>
      </c>
      <c r="B15" s="23"/>
      <c r="C15" s="23"/>
      <c r="D15" s="23"/>
      <c r="E15" s="23"/>
      <c r="F15" s="23"/>
      <c r="G15" s="23"/>
    </row>
    <row r="16" spans="1:7" x14ac:dyDescent="0.2">
      <c r="A16" s="166" t="s">
        <v>194</v>
      </c>
      <c r="B16" s="72" t="s">
        <v>361</v>
      </c>
      <c r="C16" s="191">
        <f>'Прогнозные отчеты'!C16</f>
        <v>1348339.6400000001</v>
      </c>
      <c r="D16" s="191">
        <f>'Прогнозные отчеты'!D16</f>
        <v>4199044.3587040007</v>
      </c>
      <c r="E16" s="191">
        <f>'Прогнозные отчеты'!E16</f>
        <v>4925843.3148798151</v>
      </c>
      <c r="F16" s="191">
        <f>'Прогнозные отчеты'!F16</f>
        <v>3840400.461026364</v>
      </c>
      <c r="G16" s="191">
        <f>'Прогнозные отчеты'!G16</f>
        <v>4160648.9126879461</v>
      </c>
    </row>
    <row r="17" spans="1:7" x14ac:dyDescent="0.2">
      <c r="A17" s="166" t="s">
        <v>134</v>
      </c>
      <c r="B17" s="72" t="s">
        <v>361</v>
      </c>
      <c r="C17" s="191">
        <f>'Прогнозные отчеты'!C38</f>
        <v>27503.854240000001</v>
      </c>
      <c r="D17" s="191">
        <f>'Прогнозные отчеты'!D38</f>
        <v>25735.920049198314</v>
      </c>
      <c r="E17" s="191">
        <f>'Прогнозные отчеты'!E38</f>
        <v>11000</v>
      </c>
      <c r="F17" s="191">
        <f>'Прогнозные отчеты'!F38</f>
        <v>7000</v>
      </c>
      <c r="G17" s="191">
        <f>'Прогнозные отчеты'!G38</f>
        <v>3000</v>
      </c>
    </row>
    <row r="18" spans="1:7" s="121" customFormat="1" x14ac:dyDescent="0.2">
      <c r="A18" s="126" t="s">
        <v>148</v>
      </c>
      <c r="B18" s="126"/>
      <c r="C18" s="192" t="s">
        <v>168</v>
      </c>
      <c r="D18" s="192">
        <f>IF(C17+D17=0,"-",(D16+C16)/(D17+C17))</f>
        <v>104.19623435235893</v>
      </c>
      <c r="E18" s="192">
        <f>IF(D17+E17=0,"-",(E16+D16)/(E17+D17))</f>
        <v>248.39142891653123</v>
      </c>
      <c r="F18" s="192">
        <f>IF(E17+F17=0,"-",(F16+E16)/(F17+E17))</f>
        <v>487.01354310589886</v>
      </c>
      <c r="G18" s="192">
        <f>IF(F17+G17=0,"-",(G16+F16)/(G17+F17))</f>
        <v>800.10493737143099</v>
      </c>
    </row>
    <row r="19" spans="1:7" x14ac:dyDescent="0.2">
      <c r="A19" s="129"/>
      <c r="B19" s="129"/>
      <c r="C19" s="129"/>
      <c r="D19" s="129"/>
      <c r="E19" s="129"/>
      <c r="F19" s="129"/>
      <c r="G19" s="129"/>
    </row>
    <row r="20" spans="1:7" ht="12.75" customHeight="1" x14ac:dyDescent="0.2">
      <c r="A20" s="23" t="s">
        <v>273</v>
      </c>
      <c r="B20" s="23"/>
      <c r="C20" s="23"/>
      <c r="D20" s="23"/>
      <c r="E20" s="23"/>
      <c r="F20" s="23"/>
      <c r="G20" s="23"/>
    </row>
    <row r="21" spans="1:7" x14ac:dyDescent="0.2">
      <c r="A21" s="213" t="s">
        <v>173</v>
      </c>
      <c r="B21" s="72" t="s">
        <v>361</v>
      </c>
      <c r="C21" s="191">
        <f>'Прогнозные отчеты'!C34</f>
        <v>0</v>
      </c>
      <c r="D21" s="191">
        <f>'Прогнозные отчеты'!D34</f>
        <v>0</v>
      </c>
      <c r="E21" s="191">
        <f>'Прогнозные отчеты'!E34</f>
        <v>0</v>
      </c>
      <c r="F21" s="191">
        <f>'Прогнозные отчеты'!F34</f>
        <v>0</v>
      </c>
      <c r="G21" s="191">
        <f>'Прогнозные отчеты'!G34</f>
        <v>0</v>
      </c>
    </row>
    <row r="22" spans="1:7" x14ac:dyDescent="0.2">
      <c r="A22" s="213" t="s">
        <v>191</v>
      </c>
      <c r="B22" s="72" t="s">
        <v>361</v>
      </c>
      <c r="C22" s="191">
        <f>'Прогнозные отчеты'!C12</f>
        <v>0</v>
      </c>
      <c r="D22" s="191">
        <f>'Прогнозные отчеты'!D12</f>
        <v>0</v>
      </c>
      <c r="E22" s="191">
        <f>'Прогнозные отчеты'!E12</f>
        <v>0</v>
      </c>
      <c r="F22" s="191">
        <f>'Прогнозные отчеты'!F12</f>
        <v>0</v>
      </c>
      <c r="G22" s="191">
        <f>'Прогнозные отчеты'!G12</f>
        <v>0</v>
      </c>
    </row>
    <row r="23" spans="1:7" x14ac:dyDescent="0.2">
      <c r="A23" s="213" t="s">
        <v>178</v>
      </c>
      <c r="B23" s="72" t="s">
        <v>361</v>
      </c>
      <c r="C23" s="191">
        <f>'Прогнозные отчеты'!C13</f>
        <v>0</v>
      </c>
      <c r="D23" s="191">
        <f>'Прогнозные отчеты'!D13</f>
        <v>0</v>
      </c>
      <c r="E23" s="191">
        <f>'Прогнозные отчеты'!E13</f>
        <v>0</v>
      </c>
      <c r="F23" s="191">
        <f>'Прогнозные отчеты'!F13</f>
        <v>0</v>
      </c>
      <c r="G23" s="191">
        <f>'Прогнозные отчеты'!G13</f>
        <v>0</v>
      </c>
    </row>
    <row r="24" spans="1:7" x14ac:dyDescent="0.2">
      <c r="A24" s="213" t="s">
        <v>195</v>
      </c>
      <c r="B24" s="72" t="s">
        <v>361</v>
      </c>
      <c r="C24" s="196">
        <f>C21+C22-C23</f>
        <v>0</v>
      </c>
      <c r="D24" s="196">
        <f>D21+D22-D23</f>
        <v>0</v>
      </c>
      <c r="E24" s="196">
        <f>E21+E22-E23</f>
        <v>0</v>
      </c>
      <c r="F24" s="196">
        <f>F21+F22-F23</f>
        <v>0</v>
      </c>
      <c r="G24" s="196">
        <f>G21+G22-G23</f>
        <v>0</v>
      </c>
    </row>
    <row r="25" spans="1:7" x14ac:dyDescent="0.2">
      <c r="A25" s="166" t="s">
        <v>196</v>
      </c>
      <c r="B25" s="72" t="s">
        <v>361</v>
      </c>
      <c r="C25" s="196" t="s">
        <v>168</v>
      </c>
      <c r="D25" s="196">
        <f>(D24+C24)/2</f>
        <v>0</v>
      </c>
      <c r="E25" s="196">
        <f>(E24+D24)/2</f>
        <v>0</v>
      </c>
      <c r="F25" s="196">
        <f>(F24+E24)/2</f>
        <v>0</v>
      </c>
      <c r="G25" s="196">
        <f>(G24+F24)/2</f>
        <v>0</v>
      </c>
    </row>
    <row r="26" spans="1:7" x14ac:dyDescent="0.2">
      <c r="A26" s="166" t="s">
        <v>65</v>
      </c>
      <c r="B26" s="72" t="s">
        <v>361</v>
      </c>
      <c r="C26" s="191">
        <f>'Прогнозные отчеты'!C48</f>
        <v>747780</v>
      </c>
      <c r="D26" s="191">
        <f>'Прогнозные отчеты'!D48</f>
        <v>840205.60800000024</v>
      </c>
      <c r="E26" s="191">
        <f>'Прогнозные отчеты'!E48</f>
        <v>944055.02114880027</v>
      </c>
      <c r="F26" s="191">
        <f>'Прогнозные отчеты'!F48</f>
        <v>944055.02114880027</v>
      </c>
      <c r="G26" s="191">
        <f>'Прогнозные отчеты'!G48</f>
        <v>1191847.7131726732</v>
      </c>
    </row>
    <row r="27" spans="1:7" s="121" customFormat="1" ht="12" customHeight="1" x14ac:dyDescent="0.2">
      <c r="A27" s="126" t="s">
        <v>197</v>
      </c>
      <c r="B27" s="126"/>
      <c r="C27" s="192" t="s">
        <v>168</v>
      </c>
      <c r="D27" s="192">
        <f>IF(D26=0,"-",D25/D26)</f>
        <v>0</v>
      </c>
      <c r="E27" s="192">
        <f>IF(E26=0,"-",E25/E26)</f>
        <v>0</v>
      </c>
      <c r="F27" s="192">
        <f>IF(F26=0,"-",F25/F26)</f>
        <v>0</v>
      </c>
      <c r="G27" s="192">
        <f>IF(G26=0,"-",G25/G26)</f>
        <v>0</v>
      </c>
    </row>
    <row r="28" spans="1:7" x14ac:dyDescent="0.2">
      <c r="A28" s="129"/>
      <c r="B28" s="129"/>
      <c r="C28" s="129"/>
      <c r="D28" s="129"/>
      <c r="E28" s="129"/>
      <c r="F28" s="129"/>
      <c r="G28" s="129"/>
    </row>
    <row r="29" spans="1:7" ht="12.75" customHeight="1" x14ac:dyDescent="0.2">
      <c r="A29" s="23" t="s">
        <v>190</v>
      </c>
      <c r="B29" s="23"/>
      <c r="C29" s="23"/>
      <c r="D29" s="23"/>
      <c r="E29" s="23"/>
      <c r="F29" s="23"/>
      <c r="G29" s="23"/>
    </row>
    <row r="30" spans="1:7" x14ac:dyDescent="0.2">
      <c r="A30" s="166" t="s">
        <v>132</v>
      </c>
      <c r="B30" s="72" t="s">
        <v>361</v>
      </c>
      <c r="C30" s="191">
        <f>'Прогнозные отчеты'!C17</f>
        <v>1348339.6400000001</v>
      </c>
      <c r="D30" s="191">
        <f>'Прогнозные отчеты'!D17</f>
        <v>4199044.3587040007</v>
      </c>
      <c r="E30" s="191">
        <f>'Прогнозные отчеты'!E17</f>
        <v>4925843.3148798151</v>
      </c>
      <c r="F30" s="191">
        <f>'Прогнозные отчеты'!F17</f>
        <v>3840400.461026364</v>
      </c>
      <c r="G30" s="191">
        <f>'Прогнозные отчеты'!G17</f>
        <v>4160648.9126879461</v>
      </c>
    </row>
    <row r="31" spans="1:7" x14ac:dyDescent="0.2">
      <c r="A31" s="166" t="s">
        <v>191</v>
      </c>
      <c r="B31" s="72" t="s">
        <v>361</v>
      </c>
      <c r="C31" s="191">
        <f>'Прогнозные отчеты'!C12</f>
        <v>0</v>
      </c>
      <c r="D31" s="191">
        <f>'Прогнозные отчеты'!D12</f>
        <v>0</v>
      </c>
      <c r="E31" s="191">
        <f>'Прогнозные отчеты'!E12</f>
        <v>0</v>
      </c>
      <c r="F31" s="191">
        <f>'Прогнозные отчеты'!F12</f>
        <v>0</v>
      </c>
      <c r="G31" s="191">
        <f>'Прогнозные отчеты'!G12</f>
        <v>0</v>
      </c>
    </row>
    <row r="32" spans="1:7" x14ac:dyDescent="0.2">
      <c r="A32" s="166" t="s">
        <v>198</v>
      </c>
      <c r="B32" s="72" t="s">
        <v>361</v>
      </c>
      <c r="C32" s="197" t="e">
        <f>('Прогнозные отчеты'!C50-'Прогнозные отчеты'!C55+'Прогнозные отчеты'!#REF!+'Прогнозные отчеты'!C59)/365</f>
        <v>#REF!</v>
      </c>
      <c r="D32" s="197" t="e">
        <f>('Прогнозные отчеты'!D50-'Прогнозные отчеты'!D55+'Прогнозные отчеты'!#REF!+'Прогнозные отчеты'!D59)/365</f>
        <v>#REF!</v>
      </c>
      <c r="E32" s="197" t="e">
        <f>('Прогнозные отчеты'!E50-'Прогнозные отчеты'!E55+'Прогнозные отчеты'!#REF!+'Прогнозные отчеты'!E59)/365</f>
        <v>#REF!</v>
      </c>
      <c r="F32" s="197" t="e">
        <f>('Прогнозные отчеты'!F50-'Прогнозные отчеты'!F55+'Прогнозные отчеты'!#REF!+'Прогнозные отчеты'!F59)/365</f>
        <v>#REF!</v>
      </c>
      <c r="G32" s="197" t="e">
        <f>('Прогнозные отчеты'!G50-'Прогнозные отчеты'!G55+'Прогнозные отчеты'!#REF!+'Прогнозные отчеты'!G59)/365</f>
        <v>#REF!</v>
      </c>
    </row>
    <row r="33" spans="1:7" s="121" customFormat="1" x14ac:dyDescent="0.2">
      <c r="A33" s="126" t="s">
        <v>199</v>
      </c>
      <c r="B33" s="72" t="s">
        <v>200</v>
      </c>
      <c r="C33" s="192" t="e">
        <f>IF(C32=0,"-",(C30-C31)/C32)</f>
        <v>#REF!</v>
      </c>
      <c r="D33" s="192" t="e">
        <f>IF(D32=0,"-",(D30-D31)/D32)</f>
        <v>#REF!</v>
      </c>
      <c r="E33" s="192" t="e">
        <f>IF(E32=0,"-",(E30-E31)/E32)</f>
        <v>#REF!</v>
      </c>
      <c r="F33" s="192" t="e">
        <f>IF(F32=0,"-",(F30-F31)/F32)</f>
        <v>#REF!</v>
      </c>
      <c r="G33" s="192" t="e">
        <f>IF(G32=0,"-",(G30-G31)/G32)</f>
        <v>#REF!</v>
      </c>
    </row>
    <row r="34" spans="1:7" x14ac:dyDescent="0.2">
      <c r="A34" s="129"/>
      <c r="B34" s="129"/>
      <c r="C34" s="129"/>
      <c r="D34" s="129"/>
      <c r="E34" s="129"/>
      <c r="F34" s="129"/>
      <c r="G34" s="129"/>
    </row>
    <row r="35" spans="1:7" x14ac:dyDescent="0.2">
      <c r="A35" s="23" t="s">
        <v>183</v>
      </c>
      <c r="B35" s="129"/>
      <c r="C35" s="129"/>
      <c r="D35" s="129"/>
      <c r="E35" s="129"/>
      <c r="F35" s="129"/>
      <c r="G35" s="190"/>
    </row>
    <row r="36" spans="1:7" x14ac:dyDescent="0.2">
      <c r="A36" s="198" t="s">
        <v>276</v>
      </c>
      <c r="B36" s="72" t="s">
        <v>361</v>
      </c>
      <c r="C36" s="131">
        <f>'Прогнозные отчеты'!C17</f>
        <v>1348339.6400000001</v>
      </c>
      <c r="D36" s="131">
        <f>'Прогнозные отчеты'!D17</f>
        <v>4199044.3587040007</v>
      </c>
      <c r="E36" s="131">
        <f>'Прогнозные отчеты'!E17</f>
        <v>4925843.3148798151</v>
      </c>
      <c r="F36" s="131">
        <f>'Прогнозные отчеты'!F17</f>
        <v>3840400.461026364</v>
      </c>
      <c r="G36" s="131">
        <f>'Прогнозные отчеты'!G17</f>
        <v>4160648.9126879461</v>
      </c>
    </row>
    <row r="37" spans="1:7" x14ac:dyDescent="0.2">
      <c r="A37" s="198" t="s">
        <v>277</v>
      </c>
      <c r="B37" s="72" t="s">
        <v>361</v>
      </c>
      <c r="C37" s="131">
        <f>'Прогнозные отчеты'!C38</f>
        <v>27503.854240000001</v>
      </c>
      <c r="D37" s="131">
        <f>'Прогнозные отчеты'!D38</f>
        <v>25735.920049198314</v>
      </c>
      <c r="E37" s="131">
        <f>'Прогнозные отчеты'!E38</f>
        <v>11000</v>
      </c>
      <c r="F37" s="131">
        <f>'Прогнозные отчеты'!F38</f>
        <v>7000</v>
      </c>
      <c r="G37" s="131">
        <f>'Прогнозные отчеты'!G38</f>
        <v>3000</v>
      </c>
    </row>
    <row r="38" spans="1:7" s="121" customFormat="1" x14ac:dyDescent="0.2">
      <c r="A38" s="199" t="s">
        <v>275</v>
      </c>
      <c r="B38" s="72" t="s">
        <v>361</v>
      </c>
      <c r="C38" s="200">
        <f>C36-C37</f>
        <v>1320835.7857600001</v>
      </c>
      <c r="D38" s="200">
        <f>D36-D37</f>
        <v>4173308.4386548023</v>
      </c>
      <c r="E38" s="200">
        <f>E36-E37</f>
        <v>4914843.3148798151</v>
      </c>
      <c r="F38" s="200">
        <f>F36-F37</f>
        <v>3833400.461026364</v>
      </c>
      <c r="G38" s="200">
        <f>G36-G37</f>
        <v>4157648.9126879461</v>
      </c>
    </row>
    <row r="39" spans="1:7" x14ac:dyDescent="0.2">
      <c r="A39" s="129"/>
      <c r="B39" s="129"/>
      <c r="C39" s="129"/>
      <c r="D39" s="129"/>
      <c r="E39" s="129"/>
      <c r="F39" s="129"/>
      <c r="G39" s="129"/>
    </row>
    <row r="40" spans="1:7" x14ac:dyDescent="0.2">
      <c r="A40" s="129"/>
      <c r="B40" s="129"/>
      <c r="C40" s="129"/>
      <c r="D40" s="129"/>
      <c r="E40" s="129"/>
      <c r="F40" s="129"/>
      <c r="G40" s="129"/>
    </row>
  </sheetData>
  <hyperlinks>
    <hyperlink ref="A1" r:id="rId1"/>
  </hyperlinks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zoomScale="90" zoomScaleNormal="90" workbookViewId="0">
      <selection activeCell="D11" sqref="D11"/>
    </sheetView>
  </sheetViews>
  <sheetFormatPr defaultRowHeight="12.75" x14ac:dyDescent="0.2"/>
  <cols>
    <col min="1" max="1" width="60.42578125" style="118" customWidth="1"/>
    <col min="2" max="2" width="10.28515625" style="118" customWidth="1"/>
    <col min="3" max="7" width="11.85546875" style="118" customWidth="1"/>
    <col min="8" max="16384" width="9.140625" style="118"/>
  </cols>
  <sheetData>
    <row r="1" spans="1:8" ht="18" x14ac:dyDescent="0.25">
      <c r="A1" s="242" t="s">
        <v>349</v>
      </c>
    </row>
    <row r="2" spans="1:8" x14ac:dyDescent="0.2">
      <c r="A2" s="11" t="s">
        <v>243</v>
      </c>
      <c r="B2" s="133" t="s">
        <v>39</v>
      </c>
      <c r="C2" s="3" t="s">
        <v>353</v>
      </c>
      <c r="D2" s="4" t="s">
        <v>354</v>
      </c>
      <c r="E2" s="5" t="s">
        <v>355</v>
      </c>
      <c r="F2" s="6" t="s">
        <v>356</v>
      </c>
      <c r="G2" s="7" t="s">
        <v>357</v>
      </c>
    </row>
    <row r="4" spans="1:8" x14ac:dyDescent="0.2">
      <c r="A4" s="23" t="s">
        <v>232</v>
      </c>
      <c r="B4" s="23"/>
      <c r="C4" s="23"/>
      <c r="D4" s="23"/>
      <c r="E4" s="23"/>
      <c r="F4" s="23"/>
      <c r="G4" s="23"/>
      <c r="H4" s="129"/>
    </row>
    <row r="5" spans="1:8" x14ac:dyDescent="0.2">
      <c r="A5" s="166" t="s">
        <v>93</v>
      </c>
      <c r="B5" s="72" t="s">
        <v>361</v>
      </c>
      <c r="C5" s="191">
        <f>'Прогнозные отчеты'!C26</f>
        <v>246403.04347826086</v>
      </c>
      <c r="D5" s="191">
        <f>'Прогнозные отчеты'!D26</f>
        <v>160313.7395652174</v>
      </c>
      <c r="E5" s="191">
        <f>'Прогнозные отчеты'!E26</f>
        <v>208633.77741739136</v>
      </c>
      <c r="F5" s="191">
        <f>'Прогнозные отчеты'!F26</f>
        <v>263687.71754069574</v>
      </c>
      <c r="G5" s="191">
        <f>'Прогнозные отчеты'!G26</f>
        <v>325819.59407139843</v>
      </c>
      <c r="H5" s="129"/>
    </row>
    <row r="6" spans="1:8" x14ac:dyDescent="0.2">
      <c r="A6" s="166" t="s">
        <v>244</v>
      </c>
      <c r="B6" s="72" t="s">
        <v>361</v>
      </c>
      <c r="C6" s="191">
        <f>'Прогнозные отчеты'!C19</f>
        <v>2388339.64</v>
      </c>
      <c r="D6" s="191">
        <f>'Прогнозные отчеты'!D19</f>
        <v>5207044.3587040007</v>
      </c>
      <c r="E6" s="191">
        <f>'Прогнозные отчеты'!E19</f>
        <v>5901843.3148798151</v>
      </c>
      <c r="F6" s="191">
        <f>'Прогнозные отчеты'!F19</f>
        <v>4784400.461026364</v>
      </c>
      <c r="G6" s="191">
        <f>'Прогнозные отчеты'!G19</f>
        <v>5072648.9126879461</v>
      </c>
      <c r="H6" s="129"/>
    </row>
    <row r="7" spans="1:8" s="121" customFormat="1" x14ac:dyDescent="0.2">
      <c r="A7" s="126" t="s">
        <v>322</v>
      </c>
      <c r="B7" s="126"/>
      <c r="C7" s="192">
        <f>IF(C6=0,"-",C5/C6)</f>
        <v>0.10316918052671137</v>
      </c>
      <c r="D7" s="192">
        <f>IF(D6=0,"-",D5/D6)</f>
        <v>3.0787857471818895E-2</v>
      </c>
      <c r="E7" s="192">
        <f>IF(E6=0,"-",E5/E6)</f>
        <v>3.5350612729989087E-2</v>
      </c>
      <c r="F7" s="192">
        <f>IF(F6=0,"-",F5/F6)</f>
        <v>5.5114056544532782E-2</v>
      </c>
      <c r="G7" s="192">
        <f>IF(G6=0,"-",G5/G6)</f>
        <v>6.4230661273726883E-2</v>
      </c>
      <c r="H7" s="199"/>
    </row>
    <row r="8" spans="1:8" x14ac:dyDescent="0.2">
      <c r="A8" s="129"/>
      <c r="B8" s="129"/>
      <c r="C8" s="129"/>
      <c r="D8" s="129"/>
      <c r="E8" s="129"/>
      <c r="F8" s="129"/>
      <c r="G8" s="129"/>
      <c r="H8" s="129"/>
    </row>
    <row r="9" spans="1:8" x14ac:dyDescent="0.2">
      <c r="A9" s="23" t="s">
        <v>233</v>
      </c>
      <c r="B9" s="23"/>
      <c r="C9" s="23"/>
      <c r="D9" s="23"/>
      <c r="E9" s="23"/>
      <c r="F9" s="23"/>
      <c r="G9" s="23"/>
      <c r="H9" s="129"/>
    </row>
    <row r="10" spans="1:8" x14ac:dyDescent="0.2">
      <c r="A10" s="166" t="s">
        <v>244</v>
      </c>
      <c r="B10" s="72" t="s">
        <v>361</v>
      </c>
      <c r="C10" s="191">
        <f>'Прогнозные отчеты'!C19</f>
        <v>2388339.64</v>
      </c>
      <c r="D10" s="191">
        <f>'Прогнозные отчеты'!D19</f>
        <v>5207044.3587040007</v>
      </c>
      <c r="E10" s="191">
        <f>'Прогнозные отчеты'!E19</f>
        <v>5901843.3148798151</v>
      </c>
      <c r="F10" s="191">
        <f>'Прогнозные отчеты'!F19</f>
        <v>4784400.461026364</v>
      </c>
      <c r="G10" s="191">
        <f>'Прогнозные отчеты'!G19</f>
        <v>5072648.9126879461</v>
      </c>
      <c r="H10" s="129"/>
    </row>
    <row r="11" spans="1:8" x14ac:dyDescent="0.2">
      <c r="A11" s="166" t="s">
        <v>93</v>
      </c>
      <c r="B11" s="72" t="s">
        <v>361</v>
      </c>
      <c r="C11" s="191">
        <f>'Прогнозные отчеты'!C26</f>
        <v>246403.04347826086</v>
      </c>
      <c r="D11" s="191">
        <f>'Прогнозные отчеты'!D26</f>
        <v>160313.7395652174</v>
      </c>
      <c r="E11" s="191">
        <f>'Прогнозные отчеты'!E26</f>
        <v>208633.77741739136</v>
      </c>
      <c r="F11" s="191">
        <f>'Прогнозные отчеты'!F26</f>
        <v>263687.71754069574</v>
      </c>
      <c r="G11" s="191">
        <f>'Прогнозные отчеты'!G26</f>
        <v>325819.59407139843</v>
      </c>
      <c r="H11" s="129"/>
    </row>
    <row r="12" spans="1:8" s="121" customFormat="1" x14ac:dyDescent="0.2">
      <c r="A12" s="126" t="s">
        <v>233</v>
      </c>
      <c r="B12" s="126"/>
      <c r="C12" s="192">
        <f>IF(C11=0,"-",C10/C11)</f>
        <v>9.6928171271176424</v>
      </c>
      <c r="D12" s="192">
        <f>IF(D11=0,"-",D10/D11)</f>
        <v>32.480337448467523</v>
      </c>
      <c r="E12" s="192">
        <f>IF(E11=0,"-",E10/E11)</f>
        <v>28.288052816455632</v>
      </c>
      <c r="F12" s="192">
        <f>IF(F11=0,"-",F10/F11)</f>
        <v>18.144191567390592</v>
      </c>
      <c r="G12" s="192">
        <f>IF(G11=0,"-",G10/G11)</f>
        <v>15.568888443143637</v>
      </c>
      <c r="H12" s="199"/>
    </row>
    <row r="13" spans="1:8" x14ac:dyDescent="0.2">
      <c r="A13" s="129"/>
      <c r="B13" s="129"/>
      <c r="C13" s="129"/>
      <c r="D13" s="129"/>
      <c r="E13" s="129"/>
      <c r="F13" s="129"/>
      <c r="G13" s="129"/>
      <c r="H13" s="129"/>
    </row>
    <row r="14" spans="1:8" x14ac:dyDescent="0.2">
      <c r="A14" s="23" t="s">
        <v>234</v>
      </c>
      <c r="B14" s="23"/>
      <c r="C14" s="23"/>
      <c r="D14" s="23"/>
      <c r="E14" s="23"/>
      <c r="F14" s="23"/>
      <c r="G14" s="23"/>
      <c r="H14" s="129"/>
    </row>
    <row r="15" spans="1:8" x14ac:dyDescent="0.2">
      <c r="A15" s="166" t="s">
        <v>245</v>
      </c>
      <c r="B15" s="72" t="s">
        <v>361</v>
      </c>
      <c r="C15" s="191">
        <f>'Прогнозные отчеты'!C30+'Прогнозные отчеты'!C38</f>
        <v>1027503.85424</v>
      </c>
      <c r="D15" s="191">
        <f>'Прогнозные отчеты'!D30+'Прогнозные отчеты'!D38</f>
        <v>925735.92004919832</v>
      </c>
      <c r="E15" s="191">
        <f>'Прогнозные отчеты'!E30+'Прогнозные отчеты'!E38</f>
        <v>811000</v>
      </c>
      <c r="F15" s="191">
        <f>'Прогнозные отчеты'!F30+'Прогнозные отчеты'!F38</f>
        <v>707000</v>
      </c>
      <c r="G15" s="191">
        <f>'Прогнозные отчеты'!G30+'Прогнозные отчеты'!G38</f>
        <v>603000</v>
      </c>
      <c r="H15" s="129"/>
    </row>
    <row r="16" spans="1:8" x14ac:dyDescent="0.2">
      <c r="A16" s="166" t="s">
        <v>93</v>
      </c>
      <c r="B16" s="72" t="s">
        <v>361</v>
      </c>
      <c r="C16" s="191">
        <f>'Прогнозные отчеты'!C26</f>
        <v>246403.04347826086</v>
      </c>
      <c r="D16" s="191">
        <f>'Прогнозные отчеты'!D26</f>
        <v>160313.7395652174</v>
      </c>
      <c r="E16" s="191">
        <f>'Прогнозные отчеты'!E26</f>
        <v>208633.77741739136</v>
      </c>
      <c r="F16" s="191">
        <f>'Прогнозные отчеты'!F26</f>
        <v>263687.71754069574</v>
      </c>
      <c r="G16" s="191">
        <f>'Прогнозные отчеты'!G26</f>
        <v>325819.59407139843</v>
      </c>
      <c r="H16" s="129"/>
    </row>
    <row r="17" spans="1:8" s="121" customFormat="1" x14ac:dyDescent="0.2">
      <c r="A17" s="126" t="s">
        <v>323</v>
      </c>
      <c r="B17" s="126"/>
      <c r="C17" s="192">
        <f>IF(C16=0,"-",C15/C16)</f>
        <v>4.1700128364309448</v>
      </c>
      <c r="D17" s="192">
        <f>IF(D16=0,"-",D15/D16)</f>
        <v>5.7745263915610847</v>
      </c>
      <c r="E17" s="192">
        <f>IF(E16=0,"-",E15/E16)</f>
        <v>3.8871941544609947</v>
      </c>
      <c r="F17" s="192">
        <f>IF(F16=0,"-",F15/F16)</f>
        <v>2.6812018648190792</v>
      </c>
      <c r="G17" s="192">
        <f>IF(G16=0,"-",G15/G16)</f>
        <v>1.8507174245262292</v>
      </c>
      <c r="H17" s="199"/>
    </row>
    <row r="18" spans="1:8" x14ac:dyDescent="0.2">
      <c r="A18" s="129"/>
      <c r="B18" s="129"/>
      <c r="C18" s="129"/>
      <c r="D18" s="129"/>
      <c r="E18" s="129"/>
      <c r="F18" s="129"/>
      <c r="G18" s="129"/>
      <c r="H18" s="129"/>
    </row>
    <row r="19" spans="1:8" x14ac:dyDescent="0.2">
      <c r="A19" s="23" t="s">
        <v>235</v>
      </c>
      <c r="B19" s="23"/>
      <c r="C19" s="23"/>
      <c r="D19" s="23"/>
      <c r="E19" s="23"/>
      <c r="F19" s="23"/>
      <c r="G19" s="23"/>
      <c r="H19" s="129"/>
    </row>
    <row r="20" spans="1:8" x14ac:dyDescent="0.2">
      <c r="A20" s="166" t="s">
        <v>245</v>
      </c>
      <c r="B20" s="72" t="s">
        <v>361</v>
      </c>
      <c r="C20" s="191">
        <f>'Прогнозные отчеты'!C30+'Прогнозные отчеты'!C38</f>
        <v>1027503.85424</v>
      </c>
      <c r="D20" s="191">
        <f>'Прогнозные отчеты'!D30+'Прогнозные отчеты'!D38</f>
        <v>925735.92004919832</v>
      </c>
      <c r="E20" s="191">
        <f>'Прогнозные отчеты'!E30+'Прогнозные отчеты'!E38</f>
        <v>811000</v>
      </c>
      <c r="F20" s="191">
        <f>'Прогнозные отчеты'!F30+'Прогнозные отчеты'!F38</f>
        <v>707000</v>
      </c>
      <c r="G20" s="191">
        <f>'Прогнозные отчеты'!G30+'Прогнозные отчеты'!G38</f>
        <v>603000</v>
      </c>
      <c r="H20" s="129"/>
    </row>
    <row r="21" spans="1:8" x14ac:dyDescent="0.2">
      <c r="A21" s="166" t="s">
        <v>244</v>
      </c>
      <c r="B21" s="72" t="s">
        <v>361</v>
      </c>
      <c r="C21" s="191">
        <f>'Прогнозные отчеты'!C19</f>
        <v>2388339.64</v>
      </c>
      <c r="D21" s="191">
        <f>'Прогнозные отчеты'!D19</f>
        <v>5207044.3587040007</v>
      </c>
      <c r="E21" s="191">
        <f>'Прогнозные отчеты'!E19</f>
        <v>5901843.3148798151</v>
      </c>
      <c r="F21" s="191">
        <f>'Прогнозные отчеты'!F19</f>
        <v>4784400.461026364</v>
      </c>
      <c r="G21" s="191">
        <f>'Прогнозные отчеты'!G19</f>
        <v>5072648.9126879461</v>
      </c>
      <c r="H21" s="129"/>
    </row>
    <row r="22" spans="1:8" s="121" customFormat="1" x14ac:dyDescent="0.2">
      <c r="A22" s="126" t="s">
        <v>235</v>
      </c>
      <c r="B22" s="126"/>
      <c r="C22" s="192">
        <f>IF(C21=0,"-",C20/C21)</f>
        <v>0.43021680712044791</v>
      </c>
      <c r="D22" s="192">
        <f>IF(D21=0,"-",D20/D21)</f>
        <v>0.17778529551063935</v>
      </c>
      <c r="E22" s="192">
        <f>IF(E21=0,"-",E20/E21)</f>
        <v>0.13741469516062799</v>
      </c>
      <c r="F22" s="192">
        <f>IF(F21=0,"-",F20/F21)</f>
        <v>0.14777191118494545</v>
      </c>
      <c r="G22" s="192">
        <f>IF(G21=0,"-",G20/G21)</f>
        <v>0.11887280400812843</v>
      </c>
      <c r="H22" s="199"/>
    </row>
    <row r="23" spans="1:8" x14ac:dyDescent="0.2">
      <c r="A23" s="129"/>
      <c r="B23" s="129"/>
      <c r="C23" s="129"/>
      <c r="D23" s="129"/>
      <c r="E23" s="129"/>
      <c r="F23" s="129"/>
      <c r="G23" s="129"/>
      <c r="H23" s="129"/>
    </row>
    <row r="24" spans="1:8" x14ac:dyDescent="0.2">
      <c r="A24" s="23" t="s">
        <v>236</v>
      </c>
      <c r="B24" s="23"/>
      <c r="C24" s="23"/>
      <c r="D24" s="23"/>
      <c r="E24" s="23"/>
      <c r="F24" s="23"/>
      <c r="G24" s="23"/>
      <c r="H24" s="129"/>
    </row>
    <row r="25" spans="1:8" x14ac:dyDescent="0.2">
      <c r="A25" s="166" t="s">
        <v>246</v>
      </c>
      <c r="B25" s="72" t="s">
        <v>361</v>
      </c>
      <c r="C25" s="191">
        <f>'Прогнозные отчеты'!C61</f>
        <v>188362.36347826093</v>
      </c>
      <c r="D25" s="191">
        <f>'Прогнозные отчеты'!D61</f>
        <v>136398.8272389567</v>
      </c>
      <c r="E25" s="191">
        <f>'Прогнозные отчеты'!E61</f>
        <v>170420.07476656139</v>
      </c>
      <c r="F25" s="191">
        <f>'Прогнозные отчеты'!F61</f>
        <v>91570.175303438213</v>
      </c>
      <c r="G25" s="191">
        <f>'Прогнозные отчеты'!G61</f>
        <v>250382.35336512956</v>
      </c>
      <c r="H25" s="129"/>
    </row>
    <row r="26" spans="1:8" x14ac:dyDescent="0.2">
      <c r="A26" s="166" t="s">
        <v>247</v>
      </c>
      <c r="B26" s="72" t="s">
        <v>361</v>
      </c>
      <c r="C26" s="191">
        <f>-'Прогнозные отчеты'!C63</f>
        <v>-19000</v>
      </c>
      <c r="D26" s="191">
        <f>-'Прогнозные отчеты'!D63</f>
        <v>-15000</v>
      </c>
      <c r="E26" s="191">
        <f>-'Прогнозные отчеты'!E63</f>
        <v>-11000</v>
      </c>
      <c r="F26" s="191">
        <f>-'Прогнозные отчеты'!F63</f>
        <v>-7000</v>
      </c>
      <c r="G26" s="191">
        <f>-'Прогнозные отчеты'!G63</f>
        <v>-3000</v>
      </c>
      <c r="H26" s="129"/>
    </row>
    <row r="27" spans="1:8" s="121" customFormat="1" x14ac:dyDescent="0.2">
      <c r="A27" s="126" t="s">
        <v>236</v>
      </c>
      <c r="B27" s="126"/>
      <c r="C27" s="192">
        <f>IF(C26=0,"-",C25/C26)</f>
        <v>-9.9138086041189961</v>
      </c>
      <c r="D27" s="192">
        <f>IF(D26=0,"-",D25/D26)</f>
        <v>-9.0932551492637792</v>
      </c>
      <c r="E27" s="192">
        <f>IF(E26=0,"-",E25/E26)</f>
        <v>-15.492734069687399</v>
      </c>
      <c r="F27" s="192">
        <f>IF(F26=0,"-",F25/F26)</f>
        <v>-13.081453614776887</v>
      </c>
      <c r="G27" s="192">
        <f>IF(G26=0,"-",G25/G26)</f>
        <v>-83.460784455043182</v>
      </c>
      <c r="H27" s="199"/>
    </row>
    <row r="28" spans="1:8" x14ac:dyDescent="0.2">
      <c r="A28" s="129"/>
      <c r="B28" s="129"/>
      <c r="C28" s="129"/>
      <c r="D28" s="129"/>
      <c r="E28" s="129"/>
      <c r="F28" s="129"/>
      <c r="G28" s="211"/>
      <c r="H28" s="129"/>
    </row>
    <row r="29" spans="1:8" x14ac:dyDescent="0.2">
      <c r="A29" s="129"/>
      <c r="B29" s="129"/>
      <c r="C29" s="129"/>
      <c r="D29" s="129"/>
      <c r="E29" s="129"/>
      <c r="F29" s="129"/>
      <c r="G29" s="129"/>
      <c r="H29" s="129"/>
    </row>
    <row r="30" spans="1:8" x14ac:dyDescent="0.2">
      <c r="A30" s="129"/>
      <c r="B30" s="129"/>
      <c r="C30" s="129"/>
      <c r="D30" s="129"/>
      <c r="E30" s="129"/>
      <c r="F30" s="129"/>
      <c r="G30" s="129"/>
      <c r="H30" s="129"/>
    </row>
  </sheetData>
  <hyperlinks>
    <hyperlink ref="A1" r:id="rId1"/>
  </hyperlinks>
  <pageMargins left="0.7" right="0.7" top="0.75" bottom="0.75" header="0.3" footer="0.3"/>
  <pageSetup paperSize="9" orientation="portrait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9"/>
  <sheetViews>
    <sheetView zoomScale="97" zoomScaleNormal="97" workbookViewId="0">
      <selection activeCell="D12" sqref="D12"/>
    </sheetView>
  </sheetViews>
  <sheetFormatPr defaultRowHeight="12.75" x14ac:dyDescent="0.2"/>
  <cols>
    <col min="1" max="1" width="3.7109375" style="2" customWidth="1"/>
    <col min="2" max="2" width="28.42578125" style="2" customWidth="1"/>
    <col min="3" max="3" width="9.140625" style="2" customWidth="1"/>
    <col min="4" max="4" width="10.42578125" style="2" bestFit="1" customWidth="1"/>
    <col min="5" max="6" width="10" style="2" bestFit="1" customWidth="1"/>
    <col min="7" max="7" width="11.28515625" style="2" customWidth="1"/>
    <col min="8" max="8" width="10" style="2" bestFit="1" customWidth="1"/>
    <col min="9" max="9" width="13.28515625" style="2" customWidth="1"/>
    <col min="10" max="11" width="10" style="2" bestFit="1" customWidth="1"/>
    <col min="12" max="12" width="10.42578125" style="2" bestFit="1" customWidth="1"/>
    <col min="13" max="14" width="10" style="2" bestFit="1" customWidth="1"/>
    <col min="15" max="16" width="10.85546875" style="2" bestFit="1" customWidth="1"/>
    <col min="17" max="17" width="9.140625" style="2" customWidth="1"/>
    <col min="18" max="18" width="13.7109375" style="2" customWidth="1"/>
    <col min="19" max="16384" width="9.140625" style="2"/>
  </cols>
  <sheetData>
    <row r="1" spans="1:16" ht="18" x14ac:dyDescent="0.25">
      <c r="B1" s="242" t="s">
        <v>349</v>
      </c>
    </row>
    <row r="2" spans="1:16" x14ac:dyDescent="0.2">
      <c r="A2" s="11" t="s">
        <v>40</v>
      </c>
      <c r="B2" s="244"/>
      <c r="C2" s="243" t="s">
        <v>39</v>
      </c>
      <c r="D2" s="245" t="s">
        <v>353</v>
      </c>
      <c r="E2" s="315" t="s">
        <v>354</v>
      </c>
      <c r="F2" s="315" t="s">
        <v>355</v>
      </c>
      <c r="G2" s="315" t="s">
        <v>356</v>
      </c>
      <c r="H2" s="315" t="s">
        <v>357</v>
      </c>
      <c r="I2" s="315" t="s">
        <v>358</v>
      </c>
      <c r="J2" s="315" t="s">
        <v>359</v>
      </c>
      <c r="K2" s="315" t="s">
        <v>360</v>
      </c>
      <c r="L2" s="315" t="s">
        <v>405</v>
      </c>
      <c r="M2" s="315" t="s">
        <v>406</v>
      </c>
      <c r="N2" s="246"/>
      <c r="O2" s="247"/>
      <c r="P2" s="247"/>
    </row>
    <row r="3" spans="1:16" x14ac:dyDescent="0.2"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:16" x14ac:dyDescent="0.2">
      <c r="A4" s="344" t="s">
        <v>427</v>
      </c>
      <c r="B4" s="345"/>
      <c r="C4" s="71"/>
      <c r="D4" s="248"/>
      <c r="E4" s="243"/>
      <c r="F4" s="243"/>
      <c r="G4" s="243"/>
      <c r="H4" s="243"/>
      <c r="I4" s="243"/>
      <c r="J4" s="243"/>
      <c r="K4" s="243"/>
      <c r="L4" s="243">
        <f>'Пр-во и Продажи'!J3</f>
        <v>0</v>
      </c>
      <c r="M4" s="243"/>
      <c r="N4" s="243"/>
      <c r="O4" s="243"/>
      <c r="P4" s="243"/>
    </row>
    <row r="5" spans="1:16" x14ac:dyDescent="0.2">
      <c r="A5" s="9"/>
      <c r="B5" s="249" t="s">
        <v>428</v>
      </c>
      <c r="C5" s="13" t="s">
        <v>352</v>
      </c>
      <c r="D5" s="90">
        <v>60</v>
      </c>
      <c r="E5" s="90">
        <f>D5</f>
        <v>60</v>
      </c>
      <c r="F5" s="90">
        <f t="shared" ref="F5:M5" si="0">E5</f>
        <v>60</v>
      </c>
      <c r="G5" s="90">
        <f t="shared" si="0"/>
        <v>60</v>
      </c>
      <c r="H5" s="90">
        <f t="shared" si="0"/>
        <v>60</v>
      </c>
      <c r="I5" s="90">
        <f t="shared" si="0"/>
        <v>60</v>
      </c>
      <c r="J5" s="90">
        <f t="shared" si="0"/>
        <v>60</v>
      </c>
      <c r="K5" s="90">
        <f t="shared" si="0"/>
        <v>60</v>
      </c>
      <c r="L5" s="90">
        <f t="shared" si="0"/>
        <v>60</v>
      </c>
      <c r="M5" s="90">
        <f t="shared" si="0"/>
        <v>60</v>
      </c>
      <c r="N5" s="90"/>
      <c r="O5" s="90"/>
      <c r="P5" s="90"/>
    </row>
    <row r="6" spans="1:16" s="326" customFormat="1" x14ac:dyDescent="0.2">
      <c r="A6" s="9"/>
      <c r="B6" s="316" t="s">
        <v>429</v>
      </c>
      <c r="C6" s="13"/>
      <c r="D6" s="44">
        <v>105</v>
      </c>
      <c r="E6" s="44">
        <v>105</v>
      </c>
      <c r="F6" s="44">
        <v>105</v>
      </c>
      <c r="G6" s="44">
        <v>105</v>
      </c>
      <c r="H6" s="44">
        <v>105</v>
      </c>
      <c r="I6" s="44">
        <v>105</v>
      </c>
      <c r="J6" s="44">
        <v>105</v>
      </c>
      <c r="K6" s="44">
        <v>105</v>
      </c>
      <c r="L6" s="44">
        <v>105</v>
      </c>
      <c r="M6" s="44">
        <v>105</v>
      </c>
      <c r="N6" s="44"/>
      <c r="O6" s="44"/>
      <c r="P6" s="44"/>
    </row>
    <row r="7" spans="1:16" s="326" customFormat="1" x14ac:dyDescent="0.2">
      <c r="A7" s="9"/>
      <c r="B7" s="316" t="s">
        <v>426</v>
      </c>
      <c r="C7" s="13"/>
      <c r="D7" s="44">
        <f t="shared" ref="D7:M7" si="1">SUM(D5:D6)</f>
        <v>165</v>
      </c>
      <c r="E7" s="44">
        <f t="shared" si="1"/>
        <v>165</v>
      </c>
      <c r="F7" s="44">
        <f t="shared" si="1"/>
        <v>165</v>
      </c>
      <c r="G7" s="44">
        <f t="shared" si="1"/>
        <v>165</v>
      </c>
      <c r="H7" s="44">
        <f t="shared" si="1"/>
        <v>165</v>
      </c>
      <c r="I7" s="44">
        <f t="shared" si="1"/>
        <v>165</v>
      </c>
      <c r="J7" s="44">
        <f t="shared" si="1"/>
        <v>165</v>
      </c>
      <c r="K7" s="44">
        <f t="shared" si="1"/>
        <v>165</v>
      </c>
      <c r="L7" s="44">
        <f t="shared" si="1"/>
        <v>165</v>
      </c>
      <c r="M7" s="44">
        <f t="shared" si="1"/>
        <v>165</v>
      </c>
      <c r="N7" s="44"/>
      <c r="O7" s="44"/>
      <c r="P7" s="44"/>
    </row>
    <row r="8" spans="1:16" x14ac:dyDescent="0.2">
      <c r="A8" s="344" t="s">
        <v>415</v>
      </c>
      <c r="B8" s="344"/>
      <c r="D8" s="16"/>
    </row>
    <row r="9" spans="1:16" x14ac:dyDescent="0.2">
      <c r="B9" s="249" t="s">
        <v>422</v>
      </c>
      <c r="C9" s="17" t="s">
        <v>44</v>
      </c>
      <c r="D9" s="71">
        <v>1</v>
      </c>
      <c r="E9" s="71">
        <v>1</v>
      </c>
      <c r="F9" s="71">
        <v>1</v>
      </c>
      <c r="G9" s="71">
        <v>1</v>
      </c>
      <c r="H9" s="71">
        <v>1</v>
      </c>
      <c r="I9" s="71">
        <v>1</v>
      </c>
      <c r="J9" s="71">
        <v>1</v>
      </c>
      <c r="K9" s="71">
        <v>1</v>
      </c>
      <c r="L9" s="71">
        <v>1</v>
      </c>
      <c r="M9" s="71">
        <v>1</v>
      </c>
      <c r="N9" s="71"/>
      <c r="O9" s="71"/>
      <c r="P9" s="71"/>
    </row>
    <row r="10" spans="1:16" x14ac:dyDescent="0.2">
      <c r="A10" s="344" t="s">
        <v>467</v>
      </c>
      <c r="B10" s="344"/>
    </row>
    <row r="11" spans="1:16" x14ac:dyDescent="0.2">
      <c r="A11" s="23"/>
      <c r="B11" s="249" t="s">
        <v>446</v>
      </c>
      <c r="C11" s="13" t="s">
        <v>361</v>
      </c>
      <c r="D11" s="2">
        <v>2200</v>
      </c>
      <c r="E11" s="117">
        <f>D11*(1+Окружение!E5)</f>
        <v>2332</v>
      </c>
      <c r="F11" s="117">
        <f>D11*(Окружение!F6)</f>
        <v>2471.9200000000005</v>
      </c>
      <c r="G11" s="117">
        <f>D11*Окружение!G6</f>
        <v>2620.2352000000005</v>
      </c>
      <c r="H11" s="117">
        <f>D11*Окружение!H6</f>
        <v>2777.4493120000006</v>
      </c>
      <c r="I11" s="117">
        <f>D11*Окружение!I6</f>
        <v>2944.096270720001</v>
      </c>
      <c r="J11" s="117">
        <f>D11*Окружение!J6</f>
        <v>3120.7420469632011</v>
      </c>
      <c r="K11" s="117">
        <f>D11*Окружение!K6</f>
        <v>3307.9865697809932</v>
      </c>
      <c r="L11" s="117">
        <f>D11*Окружение!L6</f>
        <v>3506.465763967853</v>
      </c>
      <c r="M11" s="117">
        <f>D11*Окружение!M6</f>
        <v>3716.8537098059242</v>
      </c>
      <c r="N11" s="117"/>
      <c r="O11" s="117"/>
      <c r="P11" s="117"/>
    </row>
    <row r="12" spans="1:16" x14ac:dyDescent="0.2">
      <c r="A12" s="344" t="s">
        <v>423</v>
      </c>
      <c r="B12" s="344"/>
    </row>
    <row r="13" spans="1:16" x14ac:dyDescent="0.2">
      <c r="A13" s="9"/>
      <c r="B13" s="249" t="s">
        <v>424</v>
      </c>
      <c r="C13" s="13"/>
      <c r="D13" s="14">
        <f>D11*D7</f>
        <v>363000</v>
      </c>
      <c r="E13" s="14">
        <f>E7*E11</f>
        <v>384780</v>
      </c>
      <c r="F13" s="14">
        <f t="shared" ref="F13:M13" si="2">F7*F11</f>
        <v>407866.8000000001</v>
      </c>
      <c r="G13" s="14">
        <f t="shared" si="2"/>
        <v>432338.80800000008</v>
      </c>
      <c r="H13" s="14">
        <f t="shared" si="2"/>
        <v>458279.1364800001</v>
      </c>
      <c r="I13" s="14">
        <f t="shared" si="2"/>
        <v>485775.88466880016</v>
      </c>
      <c r="J13" s="14">
        <f t="shared" si="2"/>
        <v>514922.43774892821</v>
      </c>
      <c r="K13" s="14">
        <f t="shared" si="2"/>
        <v>545817.78401386389</v>
      </c>
      <c r="L13" s="14">
        <f t="shared" si="2"/>
        <v>578566.85105469578</v>
      </c>
      <c r="M13" s="14">
        <f t="shared" si="2"/>
        <v>613280.86211797746</v>
      </c>
      <c r="N13" s="14"/>
      <c r="O13" s="14"/>
      <c r="P13" s="14"/>
    </row>
    <row r="14" spans="1:16" x14ac:dyDescent="0.2">
      <c r="A14" s="344" t="s">
        <v>178</v>
      </c>
      <c r="B14" s="344"/>
      <c r="D14" s="62"/>
      <c r="E14" s="44"/>
      <c r="F14" s="44"/>
      <c r="G14" s="44"/>
      <c r="H14" s="44"/>
      <c r="I14" s="44"/>
      <c r="J14" s="44"/>
      <c r="K14" s="44"/>
      <c r="L14" s="44"/>
      <c r="M14" s="44"/>
    </row>
    <row r="15" spans="1:16" x14ac:dyDescent="0.2">
      <c r="A15" s="23"/>
      <c r="B15" s="249" t="s">
        <v>416</v>
      </c>
      <c r="C15" s="13" t="s">
        <v>44</v>
      </c>
      <c r="D15" s="70">
        <v>0.1</v>
      </c>
      <c r="E15" s="73">
        <f>D15</f>
        <v>0.1</v>
      </c>
      <c r="F15" s="73">
        <f t="shared" ref="F15:M15" si="3">E15</f>
        <v>0.1</v>
      </c>
      <c r="G15" s="73">
        <f t="shared" si="3"/>
        <v>0.1</v>
      </c>
      <c r="H15" s="73"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v>0</v>
      </c>
      <c r="M15" s="73">
        <f t="shared" si="3"/>
        <v>0</v>
      </c>
      <c r="N15" s="73"/>
      <c r="O15" s="73"/>
      <c r="P15" s="73"/>
    </row>
    <row r="16" spans="1:16" x14ac:dyDescent="0.2">
      <c r="A16" s="344" t="s">
        <v>179</v>
      </c>
      <c r="B16" s="344"/>
      <c r="D16" s="62"/>
      <c r="E16" s="44"/>
      <c r="F16" s="44"/>
      <c r="G16" s="44"/>
      <c r="H16" s="44"/>
      <c r="I16" s="44"/>
      <c r="J16" s="44"/>
      <c r="K16" s="44"/>
      <c r="L16" s="44"/>
      <c r="M16" s="44"/>
    </row>
    <row r="17" spans="1:18" x14ac:dyDescent="0.2">
      <c r="A17" s="23"/>
      <c r="B17" s="249" t="s">
        <v>425</v>
      </c>
      <c r="C17" s="13" t="s">
        <v>44</v>
      </c>
      <c r="D17" s="70">
        <v>0</v>
      </c>
      <c r="E17" s="73">
        <v>0</v>
      </c>
      <c r="F17" s="73">
        <f t="shared" ref="F17:M17" si="4">E17</f>
        <v>0</v>
      </c>
      <c r="G17" s="73">
        <f t="shared" si="4"/>
        <v>0</v>
      </c>
      <c r="H17" s="73">
        <f t="shared" si="4"/>
        <v>0</v>
      </c>
      <c r="I17" s="73">
        <f t="shared" si="4"/>
        <v>0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3"/>
      <c r="O17" s="73"/>
      <c r="P17" s="73"/>
    </row>
    <row r="18" spans="1:18" x14ac:dyDescent="0.2">
      <c r="A18" s="344" t="s">
        <v>186</v>
      </c>
      <c r="B18" s="344"/>
      <c r="C18" s="72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/>
      <c r="O18" s="14"/>
      <c r="P18" s="14"/>
      <c r="Q18" s="1"/>
      <c r="R18" s="1"/>
    </row>
    <row r="19" spans="1:18" x14ac:dyDescent="0.2">
      <c r="A19" s="1"/>
      <c r="B19" s="1"/>
      <c r="D19" s="5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7">
    <mergeCell ref="A4:B4"/>
    <mergeCell ref="A8:B8"/>
    <mergeCell ref="A10:B10"/>
    <mergeCell ref="A18:B18"/>
    <mergeCell ref="A12:B12"/>
    <mergeCell ref="A14:B14"/>
    <mergeCell ref="A16:B16"/>
  </mergeCells>
  <phoneticPr fontId="0" type="noConversion"/>
  <hyperlinks>
    <hyperlink ref="B1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7"/>
  <sheetViews>
    <sheetView topLeftCell="A25" zoomScale="85" zoomScaleNormal="85" workbookViewId="0">
      <selection activeCell="B61" sqref="B61"/>
    </sheetView>
  </sheetViews>
  <sheetFormatPr defaultRowHeight="12.75" x14ac:dyDescent="0.2"/>
  <cols>
    <col min="1" max="1" width="60.42578125" style="118" customWidth="1"/>
    <col min="2" max="7" width="11.85546875" style="118" customWidth="1"/>
    <col min="8" max="16384" width="9.140625" style="118"/>
  </cols>
  <sheetData>
    <row r="1" spans="1:8" ht="18" x14ac:dyDescent="0.25">
      <c r="A1" s="242" t="s">
        <v>349</v>
      </c>
    </row>
    <row r="2" spans="1:8" x14ac:dyDescent="0.2">
      <c r="A2" s="11" t="s">
        <v>300</v>
      </c>
      <c r="B2" s="133" t="s">
        <v>39</v>
      </c>
      <c r="C2" s="3" t="s">
        <v>353</v>
      </c>
      <c r="D2" s="4" t="s">
        <v>354</v>
      </c>
      <c r="E2" s="5" t="s">
        <v>355</v>
      </c>
      <c r="F2" s="6" t="s">
        <v>356</v>
      </c>
      <c r="G2" s="7" t="s">
        <v>357</v>
      </c>
    </row>
    <row r="3" spans="1:8" x14ac:dyDescent="0.2">
      <c r="A3" s="129"/>
      <c r="B3" s="129"/>
      <c r="C3" s="129"/>
      <c r="D3" s="129"/>
      <c r="E3" s="129"/>
      <c r="F3" s="129"/>
      <c r="G3" s="129"/>
      <c r="H3" s="129"/>
    </row>
    <row r="4" spans="1:8" x14ac:dyDescent="0.2">
      <c r="A4" s="23" t="s">
        <v>201</v>
      </c>
      <c r="B4" s="23"/>
      <c r="C4" s="23"/>
      <c r="D4" s="23"/>
      <c r="E4" s="23"/>
      <c r="F4" s="23"/>
      <c r="G4" s="23"/>
      <c r="H4" s="129"/>
    </row>
    <row r="5" spans="1:8" x14ac:dyDescent="0.2">
      <c r="A5" s="166" t="s">
        <v>65</v>
      </c>
      <c r="B5" s="72" t="s">
        <v>361</v>
      </c>
      <c r="C5" s="191">
        <f>'Прогнозные отчеты'!C48</f>
        <v>747780</v>
      </c>
      <c r="D5" s="191">
        <f>'Прогнозные отчеты'!D48</f>
        <v>840205.60800000024</v>
      </c>
      <c r="E5" s="191">
        <f>'Прогнозные отчеты'!E48</f>
        <v>944055.02114880027</v>
      </c>
      <c r="F5" s="191">
        <f>'Прогнозные отчеты'!F48</f>
        <v>944055.02114880027</v>
      </c>
      <c r="G5" s="191">
        <f>'Прогнозные отчеты'!G48</f>
        <v>1191847.7131726732</v>
      </c>
      <c r="H5" s="129"/>
    </row>
    <row r="6" spans="1:8" x14ac:dyDescent="0.2">
      <c r="A6" s="166" t="s">
        <v>211</v>
      </c>
      <c r="B6" s="72" t="s">
        <v>361</v>
      </c>
      <c r="C6" s="195" t="s">
        <v>168</v>
      </c>
      <c r="D6" s="196">
        <f>('Прогнозные отчеты'!C12+'Прогнозные отчеты'!D12)/2</f>
        <v>0</v>
      </c>
      <c r="E6" s="196">
        <f>('Прогнозные отчеты'!D12+'Прогнозные отчеты'!E12)/2</f>
        <v>0</v>
      </c>
      <c r="F6" s="196">
        <f>('Прогнозные отчеты'!E12+'Прогнозные отчеты'!F12)/2</f>
        <v>0</v>
      </c>
      <c r="G6" s="196">
        <f>('Прогнозные отчеты'!F12+'Прогнозные отчеты'!G12)/2</f>
        <v>0</v>
      </c>
      <c r="H6" s="129"/>
    </row>
    <row r="7" spans="1:8" s="121" customFormat="1" x14ac:dyDescent="0.2">
      <c r="A7" s="126" t="s">
        <v>202</v>
      </c>
      <c r="B7" s="126"/>
      <c r="C7" s="192" t="s">
        <v>168</v>
      </c>
      <c r="D7" s="192" t="str">
        <f>IF(D6=0,"-",D5/D6)</f>
        <v>-</v>
      </c>
      <c r="E7" s="192" t="str">
        <f>IF(E6=0,"-",E5/E6)</f>
        <v>-</v>
      </c>
      <c r="F7" s="192" t="str">
        <f>IF(F6=0,"-",F5/F6)</f>
        <v>-</v>
      </c>
      <c r="G7" s="192" t="str">
        <f>IF(G6=0,"-",G5/G6)</f>
        <v>-</v>
      </c>
      <c r="H7" s="199"/>
    </row>
    <row r="8" spans="1:8" x14ac:dyDescent="0.2">
      <c r="A8" s="129"/>
      <c r="B8" s="129"/>
      <c r="C8" s="129"/>
      <c r="D8" s="129"/>
      <c r="E8" s="129"/>
      <c r="F8" s="129"/>
      <c r="G8" s="129"/>
      <c r="H8" s="129"/>
    </row>
    <row r="9" spans="1:8" x14ac:dyDescent="0.2">
      <c r="A9" s="75" t="s">
        <v>203</v>
      </c>
      <c r="B9" s="23"/>
      <c r="C9" s="23"/>
      <c r="D9" s="23"/>
      <c r="E9" s="23"/>
      <c r="F9" s="23"/>
      <c r="G9" s="23"/>
      <c r="H9" s="129"/>
    </row>
    <row r="10" spans="1:8" x14ac:dyDescent="0.2">
      <c r="A10" s="166" t="s">
        <v>212</v>
      </c>
      <c r="B10" s="72" t="s">
        <v>361</v>
      </c>
      <c r="C10" s="191">
        <f>-'Прогнозные отчеты'!C50</f>
        <v>-540417.63652173907</v>
      </c>
      <c r="D10" s="191">
        <f>-'Прогнозные отчеты'!D50</f>
        <v>-688806.78076104354</v>
      </c>
      <c r="E10" s="191">
        <f>-'Прогнозные отчеты'!E50</f>
        <v>-762634.94638223888</v>
      </c>
      <c r="F10" s="191">
        <f>-'Прогнозные отчеты'!F50</f>
        <v>-845484.84584536206</v>
      </c>
      <c r="G10" s="191">
        <f>-'Прогнозные отчеты'!G50</f>
        <v>-938465.35980754369</v>
      </c>
      <c r="H10" s="129"/>
    </row>
    <row r="11" spans="1:8" x14ac:dyDescent="0.2">
      <c r="A11" s="166" t="s">
        <v>211</v>
      </c>
      <c r="B11" s="72" t="s">
        <v>361</v>
      </c>
      <c r="C11" s="195" t="s">
        <v>168</v>
      </c>
      <c r="D11" s="196">
        <f>('Прогнозные отчеты'!C12+'Прогнозные отчеты'!D12)/2</f>
        <v>0</v>
      </c>
      <c r="E11" s="196">
        <f>('Прогнозные отчеты'!D12+'Прогнозные отчеты'!E12)/2</f>
        <v>0</v>
      </c>
      <c r="F11" s="196">
        <f>('Прогнозные отчеты'!E12+'Прогнозные отчеты'!F12)/2</f>
        <v>0</v>
      </c>
      <c r="G11" s="196">
        <f>('Прогнозные отчеты'!F12+'Прогнозные отчеты'!G12)/2</f>
        <v>0</v>
      </c>
      <c r="H11" s="129"/>
    </row>
    <row r="12" spans="1:8" s="121" customFormat="1" x14ac:dyDescent="0.2">
      <c r="A12" s="126" t="s">
        <v>202</v>
      </c>
      <c r="B12" s="126"/>
      <c r="C12" s="192" t="s">
        <v>168</v>
      </c>
      <c r="D12" s="192" t="str">
        <f>IF(D11=0,"-",D10/D11)</f>
        <v>-</v>
      </c>
      <c r="E12" s="192" t="str">
        <f>IF(E11=0,"-",E10/E11)</f>
        <v>-</v>
      </c>
      <c r="F12" s="192" t="str">
        <f>IF(F11=0,"-",F10/F11)</f>
        <v>-</v>
      </c>
      <c r="G12" s="192" t="str">
        <f>IF(G11=0,"-",G10/G11)</f>
        <v>-</v>
      </c>
      <c r="H12" s="199"/>
    </row>
    <row r="13" spans="1:8" x14ac:dyDescent="0.2">
      <c r="A13" s="129"/>
      <c r="B13" s="129"/>
      <c r="C13" s="129"/>
      <c r="D13" s="129"/>
      <c r="E13" s="129"/>
      <c r="F13" s="129"/>
      <c r="G13" s="129"/>
      <c r="H13" s="129"/>
    </row>
    <row r="14" spans="1:8" x14ac:dyDescent="0.2">
      <c r="A14" s="23" t="s">
        <v>204</v>
      </c>
      <c r="B14" s="23"/>
      <c r="C14" s="23"/>
      <c r="D14" s="23"/>
      <c r="E14" s="23"/>
      <c r="F14" s="23"/>
      <c r="G14" s="23"/>
      <c r="H14" s="129"/>
    </row>
    <row r="15" spans="1:8" x14ac:dyDescent="0.2">
      <c r="A15" s="166" t="s">
        <v>211</v>
      </c>
      <c r="B15" s="72" t="s">
        <v>361</v>
      </c>
      <c r="C15" s="195" t="s">
        <v>168</v>
      </c>
      <c r="D15" s="196">
        <f>('Прогнозные отчеты'!C12+'Прогнозные отчеты'!D12)/2</f>
        <v>0</v>
      </c>
      <c r="E15" s="196">
        <f>('Прогнозные отчеты'!D12+'Прогнозные отчеты'!E12)/2</f>
        <v>0</v>
      </c>
      <c r="F15" s="196">
        <f>('Прогнозные отчеты'!E12+'Прогнозные отчеты'!F12)/2</f>
        <v>0</v>
      </c>
      <c r="G15" s="196">
        <f>('Прогнозные отчеты'!F12+'Прогнозные отчеты'!G12)/2</f>
        <v>0</v>
      </c>
      <c r="H15" s="129"/>
    </row>
    <row r="16" spans="1:8" x14ac:dyDescent="0.2">
      <c r="A16" s="166" t="s">
        <v>212</v>
      </c>
      <c r="B16" s="72" t="s">
        <v>361</v>
      </c>
      <c r="C16" s="191">
        <f>-'Прогнозные отчеты'!C50</f>
        <v>-540417.63652173907</v>
      </c>
      <c r="D16" s="191">
        <f>-'Прогнозные отчеты'!D50</f>
        <v>-688806.78076104354</v>
      </c>
      <c r="E16" s="191">
        <f>-'Прогнозные отчеты'!E50</f>
        <v>-762634.94638223888</v>
      </c>
      <c r="F16" s="191">
        <f>-'Прогнозные отчеты'!F50</f>
        <v>-845484.84584536206</v>
      </c>
      <c r="G16" s="191">
        <f>-'Прогнозные отчеты'!G50</f>
        <v>-938465.35980754369</v>
      </c>
      <c r="H16" s="129"/>
    </row>
    <row r="17" spans="1:8" s="121" customFormat="1" ht="12" customHeight="1" x14ac:dyDescent="0.2">
      <c r="A17" s="126" t="s">
        <v>286</v>
      </c>
      <c r="B17" s="72" t="s">
        <v>200</v>
      </c>
      <c r="C17" s="192" t="s">
        <v>168</v>
      </c>
      <c r="D17" s="192">
        <f>IF(D16=0,"-",D15*365/D16)</f>
        <v>0</v>
      </c>
      <c r="E17" s="192">
        <f>IF(E16=0,"-",E15*365/E16)</f>
        <v>0</v>
      </c>
      <c r="F17" s="192">
        <f>IF(F16=0,"-",F15*365/F16)</f>
        <v>0</v>
      </c>
      <c r="G17" s="192">
        <f>IF(G16=0,"-",G15*365/G16)</f>
        <v>0</v>
      </c>
      <c r="H17" s="199"/>
    </row>
    <row r="18" spans="1:8" x14ac:dyDescent="0.2">
      <c r="A18" s="129"/>
      <c r="B18" s="129"/>
      <c r="C18" s="129"/>
      <c r="D18" s="129"/>
      <c r="E18" s="129"/>
      <c r="F18" s="129"/>
      <c r="G18" s="129"/>
      <c r="H18" s="129"/>
    </row>
    <row r="19" spans="1:8" x14ac:dyDescent="0.2">
      <c r="A19" s="23" t="s">
        <v>205</v>
      </c>
      <c r="B19" s="23"/>
      <c r="C19" s="23"/>
      <c r="D19" s="23"/>
      <c r="E19" s="23"/>
      <c r="F19" s="23"/>
      <c r="G19" s="23"/>
      <c r="H19" s="129"/>
    </row>
    <row r="20" spans="1:8" x14ac:dyDescent="0.2">
      <c r="A20" s="166" t="s">
        <v>65</v>
      </c>
      <c r="B20" s="72" t="s">
        <v>361</v>
      </c>
      <c r="C20" s="191">
        <f>'Прогнозные отчеты'!C48</f>
        <v>747780</v>
      </c>
      <c r="D20" s="191">
        <f>'Прогнозные отчеты'!D48</f>
        <v>840205.60800000024</v>
      </c>
      <c r="E20" s="191">
        <f>'Прогнозные отчеты'!E48</f>
        <v>944055.02114880027</v>
      </c>
      <c r="F20" s="191">
        <f>'Прогнозные отчеты'!F48</f>
        <v>944055.02114880027</v>
      </c>
      <c r="G20" s="191">
        <f>'Прогнозные отчеты'!G48</f>
        <v>1191847.7131726732</v>
      </c>
      <c r="H20" s="129"/>
    </row>
    <row r="21" spans="1:8" x14ac:dyDescent="0.2">
      <c r="A21" s="166" t="s">
        <v>287</v>
      </c>
      <c r="B21" s="72" t="s">
        <v>361</v>
      </c>
      <c r="C21" s="195" t="s">
        <v>168</v>
      </c>
      <c r="D21" s="196">
        <f>('Прогнозные отчеты'!C13+'Прогнозные отчеты'!D13)/2</f>
        <v>0</v>
      </c>
      <c r="E21" s="196">
        <f>('Прогнозные отчеты'!D13+'Прогнозные отчеты'!E13)/2</f>
        <v>0</v>
      </c>
      <c r="F21" s="196">
        <f>('Прогнозные отчеты'!E13+'Прогнозные отчеты'!F13)/2</f>
        <v>0</v>
      </c>
      <c r="G21" s="196">
        <f>('Прогнозные отчеты'!F13+'Прогнозные отчеты'!G13)/2</f>
        <v>0</v>
      </c>
      <c r="H21" s="129"/>
    </row>
    <row r="22" spans="1:8" s="121" customFormat="1" x14ac:dyDescent="0.2">
      <c r="A22" s="126" t="s">
        <v>205</v>
      </c>
      <c r="B22" s="126"/>
      <c r="C22" s="192" t="s">
        <v>168</v>
      </c>
      <c r="D22" s="192" t="str">
        <f>IF(D21=0,"-",D20/D21)</f>
        <v>-</v>
      </c>
      <c r="E22" s="192" t="str">
        <f>IF(E21=0,"-",E20/E21)</f>
        <v>-</v>
      </c>
      <c r="F22" s="192" t="str">
        <f>IF(F21=0,"-",F20/F21)</f>
        <v>-</v>
      </c>
      <c r="G22" s="192" t="str">
        <f>IF(G21=0,"-",G20/G21)</f>
        <v>-</v>
      </c>
      <c r="H22" s="199"/>
    </row>
    <row r="23" spans="1:8" x14ac:dyDescent="0.2">
      <c r="A23" s="129"/>
      <c r="B23" s="129"/>
      <c r="C23" s="129"/>
      <c r="D23" s="129"/>
      <c r="E23" s="129"/>
      <c r="F23" s="129"/>
      <c r="G23" s="129"/>
      <c r="H23" s="129"/>
    </row>
    <row r="24" spans="1:8" x14ac:dyDescent="0.2">
      <c r="A24" s="23" t="s">
        <v>206</v>
      </c>
      <c r="B24" s="23"/>
      <c r="C24" s="23"/>
      <c r="D24" s="23"/>
      <c r="E24" s="23"/>
      <c r="F24" s="23"/>
      <c r="G24" s="23"/>
      <c r="H24" s="129"/>
    </row>
    <row r="25" spans="1:8" x14ac:dyDescent="0.2">
      <c r="A25" s="166" t="s">
        <v>287</v>
      </c>
      <c r="B25" s="72" t="s">
        <v>361</v>
      </c>
      <c r="C25" s="195" t="s">
        <v>168</v>
      </c>
      <c r="D25" s="196">
        <f>('Прогнозные отчеты'!C13+'Прогнозные отчеты'!D13)/2</f>
        <v>0</v>
      </c>
      <c r="E25" s="196">
        <f>('Прогнозные отчеты'!D13+'Прогнозные отчеты'!E13)/2</f>
        <v>0</v>
      </c>
      <c r="F25" s="196">
        <f>('Прогнозные отчеты'!E13+'Прогнозные отчеты'!F13)/2</f>
        <v>0</v>
      </c>
      <c r="G25" s="196">
        <f>('Прогнозные отчеты'!F13+'Прогнозные отчеты'!G13)/2</f>
        <v>0</v>
      </c>
      <c r="H25" s="129"/>
    </row>
    <row r="26" spans="1:8" x14ac:dyDescent="0.2">
      <c r="A26" s="166" t="s">
        <v>65</v>
      </c>
      <c r="B26" s="72" t="s">
        <v>361</v>
      </c>
      <c r="C26" s="191">
        <f>'Прогнозные отчеты'!C48</f>
        <v>747780</v>
      </c>
      <c r="D26" s="191">
        <f>'Прогнозные отчеты'!D48</f>
        <v>840205.60800000024</v>
      </c>
      <c r="E26" s="191">
        <f>'Прогнозные отчеты'!E48</f>
        <v>944055.02114880027</v>
      </c>
      <c r="F26" s="191">
        <f>'Прогнозные отчеты'!F48</f>
        <v>944055.02114880027</v>
      </c>
      <c r="G26" s="191">
        <f>'Прогнозные отчеты'!G48</f>
        <v>1191847.7131726732</v>
      </c>
      <c r="H26" s="129"/>
    </row>
    <row r="27" spans="1:8" s="121" customFormat="1" x14ac:dyDescent="0.2">
      <c r="A27" s="126" t="s">
        <v>288</v>
      </c>
      <c r="B27" s="72" t="s">
        <v>200</v>
      </c>
      <c r="C27" s="192" t="s">
        <v>168</v>
      </c>
      <c r="D27" s="192">
        <f>IF(D26=0,"-",D25*365/D26)</f>
        <v>0</v>
      </c>
      <c r="E27" s="192">
        <f>IF(E26=0,"-",E25*365/E26)</f>
        <v>0</v>
      </c>
      <c r="F27" s="192">
        <f>IF(F26=0,"-",F25*365/F26)</f>
        <v>0</v>
      </c>
      <c r="G27" s="192">
        <f>IF(G26=0,"-",G25*365/G26)</f>
        <v>0</v>
      </c>
      <c r="H27" s="199"/>
    </row>
    <row r="28" spans="1:8" x14ac:dyDescent="0.2">
      <c r="A28" s="129"/>
      <c r="B28" s="129"/>
      <c r="C28" s="129"/>
      <c r="D28" s="129"/>
      <c r="E28" s="129"/>
      <c r="F28" s="129"/>
      <c r="G28" s="129"/>
      <c r="H28" s="129"/>
    </row>
    <row r="29" spans="1:8" x14ac:dyDescent="0.2">
      <c r="A29" s="23" t="s">
        <v>207</v>
      </c>
      <c r="B29" s="23"/>
      <c r="C29" s="23"/>
      <c r="D29" s="23"/>
      <c r="E29" s="23"/>
      <c r="F29" s="23"/>
      <c r="G29" s="23"/>
      <c r="H29" s="129"/>
    </row>
    <row r="30" spans="1:8" x14ac:dyDescent="0.2">
      <c r="A30" s="166" t="s">
        <v>212</v>
      </c>
      <c r="B30" s="72" t="s">
        <v>361</v>
      </c>
      <c r="C30" s="191">
        <f>-'Прогнозные отчеты'!C50</f>
        <v>-540417.63652173907</v>
      </c>
      <c r="D30" s="191">
        <f>-'Прогнозные отчеты'!D50</f>
        <v>-688806.78076104354</v>
      </c>
      <c r="E30" s="191">
        <f>-'Прогнозные отчеты'!E50</f>
        <v>-762634.94638223888</v>
      </c>
      <c r="F30" s="191">
        <f>-'Прогнозные отчеты'!F50</f>
        <v>-845484.84584536206</v>
      </c>
      <c r="G30" s="191">
        <f>-'Прогнозные отчеты'!G50</f>
        <v>-938465.35980754369</v>
      </c>
      <c r="H30" s="129"/>
    </row>
    <row r="31" spans="1:8" x14ac:dyDescent="0.2">
      <c r="A31" s="166" t="s">
        <v>289</v>
      </c>
      <c r="B31" s="72" t="s">
        <v>361</v>
      </c>
      <c r="C31" s="195" t="s">
        <v>168</v>
      </c>
      <c r="D31" s="196">
        <f>('Прогнозные отчеты'!C34+'Прогнозные отчеты'!D34)/2</f>
        <v>0</v>
      </c>
      <c r="E31" s="196">
        <f>('Прогнозные отчеты'!D34+'Прогнозные отчеты'!E34)/2</f>
        <v>0</v>
      </c>
      <c r="F31" s="196">
        <f>('Прогнозные отчеты'!E34+'Прогнозные отчеты'!F34)/2</f>
        <v>0</v>
      </c>
      <c r="G31" s="196">
        <f>('Прогнозные отчеты'!F34+'Прогнозные отчеты'!G34)/2</f>
        <v>0</v>
      </c>
      <c r="H31" s="129"/>
    </row>
    <row r="32" spans="1:8" s="121" customFormat="1" x14ac:dyDescent="0.2">
      <c r="A32" s="126" t="s">
        <v>207</v>
      </c>
      <c r="B32" s="126"/>
      <c r="C32" s="192" t="s">
        <v>168</v>
      </c>
      <c r="D32" s="192" t="str">
        <f>IF(D31=0,"-",D30/D31)</f>
        <v>-</v>
      </c>
      <c r="E32" s="192" t="str">
        <f>IF(E31=0,"-",E30/E31)</f>
        <v>-</v>
      </c>
      <c r="F32" s="192" t="str">
        <f>IF(F31=0,"-",F30/F31)</f>
        <v>-</v>
      </c>
      <c r="G32" s="192" t="str">
        <f>IF(G31=0,"-",G30/G31)</f>
        <v>-</v>
      </c>
      <c r="H32" s="199"/>
    </row>
    <row r="33" spans="1:8" x14ac:dyDescent="0.2">
      <c r="A33" s="129"/>
      <c r="B33" s="129"/>
      <c r="C33" s="129"/>
      <c r="D33" s="129"/>
      <c r="E33" s="129"/>
      <c r="F33" s="129"/>
      <c r="G33" s="129"/>
      <c r="H33" s="129"/>
    </row>
    <row r="34" spans="1:8" x14ac:dyDescent="0.2">
      <c r="A34" s="23" t="s">
        <v>208</v>
      </c>
      <c r="B34" s="23"/>
      <c r="C34" s="23"/>
      <c r="D34" s="23"/>
      <c r="E34" s="23"/>
      <c r="F34" s="23"/>
      <c r="G34" s="23"/>
      <c r="H34" s="129"/>
    </row>
    <row r="35" spans="1:8" x14ac:dyDescent="0.2">
      <c r="A35" s="166" t="s">
        <v>289</v>
      </c>
      <c r="B35" s="72" t="s">
        <v>361</v>
      </c>
      <c r="C35" s="195" t="s">
        <v>168</v>
      </c>
      <c r="D35" s="196">
        <f>('Прогнозные отчеты'!C34+'Прогнозные отчеты'!D34)/2</f>
        <v>0</v>
      </c>
      <c r="E35" s="196">
        <f>('Прогнозные отчеты'!D34+'Прогнозные отчеты'!E34)/2</f>
        <v>0</v>
      </c>
      <c r="F35" s="196">
        <f>('Прогнозные отчеты'!E34+'Прогнозные отчеты'!F34)/2</f>
        <v>0</v>
      </c>
      <c r="G35" s="196">
        <f>('Прогнозные отчеты'!F34+'Прогнозные отчеты'!G34)/2</f>
        <v>0</v>
      </c>
      <c r="H35" s="129"/>
    </row>
    <row r="36" spans="1:8" x14ac:dyDescent="0.2">
      <c r="A36" s="166" t="s">
        <v>212</v>
      </c>
      <c r="B36" s="72" t="s">
        <v>361</v>
      </c>
      <c r="C36" s="191">
        <f>-'Прогнозные отчеты'!C50</f>
        <v>-540417.63652173907</v>
      </c>
      <c r="D36" s="191">
        <f>-'Прогнозные отчеты'!D50</f>
        <v>-688806.78076104354</v>
      </c>
      <c r="E36" s="191">
        <f>-'Прогнозные отчеты'!E50</f>
        <v>-762634.94638223888</v>
      </c>
      <c r="F36" s="191">
        <f>-'Прогнозные отчеты'!F50</f>
        <v>-845484.84584536206</v>
      </c>
      <c r="G36" s="191">
        <f>-'Прогнозные отчеты'!G50</f>
        <v>-938465.35980754369</v>
      </c>
      <c r="H36" s="129"/>
    </row>
    <row r="37" spans="1:8" s="121" customFormat="1" x14ac:dyDescent="0.2">
      <c r="A37" s="126" t="s">
        <v>290</v>
      </c>
      <c r="B37" s="72" t="s">
        <v>200</v>
      </c>
      <c r="C37" s="192" t="s">
        <v>168</v>
      </c>
      <c r="D37" s="192">
        <f>IF(D36=0,"-",D35*365/D36)</f>
        <v>0</v>
      </c>
      <c r="E37" s="192">
        <f>IF(E36=0,"-",E35*365/E36)</f>
        <v>0</v>
      </c>
      <c r="F37" s="192">
        <f>IF(F36=0,"-",F35*365/F36)</f>
        <v>0</v>
      </c>
      <c r="G37" s="192">
        <f>IF(G36=0,"-",G35*365/G36)</f>
        <v>0</v>
      </c>
      <c r="H37" s="199"/>
    </row>
    <row r="38" spans="1:8" x14ac:dyDescent="0.2">
      <c r="A38" s="129"/>
      <c r="B38" s="129"/>
      <c r="C38" s="129"/>
      <c r="D38" s="129"/>
      <c r="E38" s="129"/>
      <c r="F38" s="129"/>
      <c r="G38" s="129"/>
      <c r="H38" s="129"/>
    </row>
    <row r="39" spans="1:8" x14ac:dyDescent="0.2">
      <c r="A39" s="23" t="s">
        <v>209</v>
      </c>
      <c r="B39" s="193"/>
      <c r="C39" s="194"/>
      <c r="D39" s="194"/>
      <c r="E39" s="194"/>
      <c r="F39" s="194"/>
      <c r="G39" s="194"/>
      <c r="H39" s="129"/>
    </row>
    <row r="40" spans="1:8" x14ac:dyDescent="0.2">
      <c r="A40" s="166" t="s">
        <v>291</v>
      </c>
      <c r="B40" s="72" t="s">
        <v>200</v>
      </c>
      <c r="C40" s="209" t="str">
        <f>C17</f>
        <v>-</v>
      </c>
      <c r="D40" s="209">
        <f>D17</f>
        <v>0</v>
      </c>
      <c r="E40" s="209">
        <f>E17</f>
        <v>0</v>
      </c>
      <c r="F40" s="209">
        <f>F17</f>
        <v>0</v>
      </c>
      <c r="G40" s="209">
        <f>G17</f>
        <v>0</v>
      </c>
      <c r="H40" s="129"/>
    </row>
    <row r="41" spans="1:8" x14ac:dyDescent="0.2">
      <c r="A41" s="166" t="s">
        <v>288</v>
      </c>
      <c r="B41" s="72" t="s">
        <v>200</v>
      </c>
      <c r="C41" s="209" t="str">
        <f>C27</f>
        <v>-</v>
      </c>
      <c r="D41" s="209">
        <f>D27</f>
        <v>0</v>
      </c>
      <c r="E41" s="209">
        <f>E27</f>
        <v>0</v>
      </c>
      <c r="F41" s="209">
        <f>F27</f>
        <v>0</v>
      </c>
      <c r="G41" s="209">
        <f>G27</f>
        <v>0</v>
      </c>
      <c r="H41" s="129"/>
    </row>
    <row r="42" spans="1:8" x14ac:dyDescent="0.2">
      <c r="A42" s="166" t="s">
        <v>290</v>
      </c>
      <c r="B42" s="72" t="s">
        <v>200</v>
      </c>
      <c r="C42" s="209" t="str">
        <f>C37</f>
        <v>-</v>
      </c>
      <c r="D42" s="209">
        <f>IF(D37="-","-",-D37)</f>
        <v>0</v>
      </c>
      <c r="E42" s="209">
        <f>IF(E37="-","-",-E37)</f>
        <v>0</v>
      </c>
      <c r="F42" s="209">
        <f>IF(F37="-","-",-F37)</f>
        <v>0</v>
      </c>
      <c r="G42" s="209">
        <f>IF(G37="-","-",-G37)</f>
        <v>0</v>
      </c>
      <c r="H42" s="129"/>
    </row>
    <row r="43" spans="1:8" s="121" customFormat="1" x14ac:dyDescent="0.2">
      <c r="A43" s="130" t="s">
        <v>292</v>
      </c>
      <c r="B43" s="72" t="s">
        <v>200</v>
      </c>
      <c r="C43" s="192" t="s">
        <v>168</v>
      </c>
      <c r="D43" s="210">
        <f>IF(D40="-","-",D40+D41)</f>
        <v>0</v>
      </c>
      <c r="E43" s="210">
        <f>IF(E40="-","-",E40+E41)</f>
        <v>0</v>
      </c>
      <c r="F43" s="210">
        <f>IF(F40="-","-",F40+F41)</f>
        <v>0</v>
      </c>
      <c r="G43" s="210">
        <f>IF(G40="-","-",G40+G41)</f>
        <v>0</v>
      </c>
      <c r="H43" s="199"/>
    </row>
    <row r="44" spans="1:8" s="121" customFormat="1" x14ac:dyDescent="0.2">
      <c r="A44" s="126" t="s">
        <v>293</v>
      </c>
      <c r="B44" s="72" t="s">
        <v>200</v>
      </c>
      <c r="C44" s="192" t="s">
        <v>168</v>
      </c>
      <c r="D44" s="210">
        <f>IF(D42="-","-",D43+D42)</f>
        <v>0</v>
      </c>
      <c r="E44" s="210">
        <f>IF(E42="-","-",E43+E42)</f>
        <v>0</v>
      </c>
      <c r="F44" s="210">
        <f>IF(F42="-","-",F43+F42)</f>
        <v>0</v>
      </c>
      <c r="G44" s="210">
        <f>IF(G42="-","-",G43+G42)</f>
        <v>0</v>
      </c>
      <c r="H44" s="199"/>
    </row>
    <row r="45" spans="1:8" x14ac:dyDescent="0.2">
      <c r="A45" s="129"/>
      <c r="B45" s="198"/>
      <c r="C45" s="129"/>
      <c r="D45" s="129"/>
      <c r="E45" s="129"/>
      <c r="F45" s="129"/>
      <c r="G45" s="129"/>
      <c r="H45" s="129"/>
    </row>
    <row r="46" spans="1:8" x14ac:dyDescent="0.2">
      <c r="A46" s="23" t="s">
        <v>210</v>
      </c>
      <c r="B46" s="23"/>
      <c r="C46" s="23"/>
      <c r="D46" s="23"/>
      <c r="E46" s="23"/>
      <c r="F46" s="23"/>
      <c r="G46" s="23"/>
      <c r="H46" s="129"/>
    </row>
    <row r="47" spans="1:8" x14ac:dyDescent="0.2">
      <c r="A47" s="166" t="s">
        <v>65</v>
      </c>
      <c r="B47" s="72" t="s">
        <v>361</v>
      </c>
      <c r="C47" s="191">
        <f>'Прогнозные отчеты'!C48</f>
        <v>747780</v>
      </c>
      <c r="D47" s="191">
        <f>'Прогнозные отчеты'!D48</f>
        <v>840205.60800000024</v>
      </c>
      <c r="E47" s="191">
        <f>'Прогнозные отчеты'!E48</f>
        <v>944055.02114880027</v>
      </c>
      <c r="F47" s="191">
        <f>'Прогнозные отчеты'!F48</f>
        <v>944055.02114880027</v>
      </c>
      <c r="G47" s="191">
        <f>'Прогнозные отчеты'!G48</f>
        <v>1191847.7131726732</v>
      </c>
      <c r="H47" s="129"/>
    </row>
    <row r="48" spans="1:8" x14ac:dyDescent="0.2">
      <c r="A48" s="166" t="s">
        <v>294</v>
      </c>
      <c r="B48" s="72" t="s">
        <v>361</v>
      </c>
      <c r="C48" s="195" t="s">
        <v>168</v>
      </c>
      <c r="D48" s="196">
        <f>('Прогнозные отчеты'!C9+'Прогнозные отчеты'!D9)/2</f>
        <v>1024000</v>
      </c>
      <c r="E48" s="196">
        <f>('Прогнозные отчеты'!D9+'Прогнозные отчеты'!E9)/2</f>
        <v>992000</v>
      </c>
      <c r="F48" s="196">
        <f>('Прогнозные отчеты'!E9+'Прогнозные отчеты'!F9)/2</f>
        <v>960000</v>
      </c>
      <c r="G48" s="196">
        <f>('Прогнозные отчеты'!F9+'Прогнозные отчеты'!G9)/2</f>
        <v>928000</v>
      </c>
      <c r="H48" s="129"/>
    </row>
    <row r="49" spans="1:8" s="121" customFormat="1" x14ac:dyDescent="0.2">
      <c r="A49" s="126" t="s">
        <v>210</v>
      </c>
      <c r="B49" s="126"/>
      <c r="C49" s="192" t="s">
        <v>168</v>
      </c>
      <c r="D49" s="192">
        <f>IF(D48=0,"-",D47/D48)</f>
        <v>0.82051328906250021</v>
      </c>
      <c r="E49" s="192">
        <f>IF(E48=0,"-",E47/E48)</f>
        <v>0.95166836809354871</v>
      </c>
      <c r="F49" s="192">
        <f>IF(F48=0,"-",F47/F48)</f>
        <v>0.98339064703000023</v>
      </c>
      <c r="G49" s="192">
        <f>IF(G48=0,"-",G47/G48)</f>
        <v>1.2843186564360702</v>
      </c>
      <c r="H49" s="199"/>
    </row>
    <row r="50" spans="1:8" x14ac:dyDescent="0.2">
      <c r="A50" s="129"/>
      <c r="B50" s="129"/>
      <c r="C50" s="129"/>
      <c r="D50" s="129"/>
      <c r="E50" s="129"/>
      <c r="F50" s="129"/>
      <c r="G50" s="129"/>
      <c r="H50" s="129"/>
    </row>
    <row r="51" spans="1:8" x14ac:dyDescent="0.2">
      <c r="A51" s="23" t="s">
        <v>242</v>
      </c>
      <c r="B51" s="23"/>
      <c r="C51" s="23"/>
      <c r="D51" s="23"/>
      <c r="E51" s="23"/>
      <c r="F51" s="23"/>
      <c r="G51" s="23"/>
      <c r="H51" s="129"/>
    </row>
    <row r="52" spans="1:8" x14ac:dyDescent="0.2">
      <c r="A52" s="166" t="s">
        <v>65</v>
      </c>
      <c r="B52" s="72" t="s">
        <v>361</v>
      </c>
      <c r="C52" s="191">
        <f>'Прогнозные отчеты'!C48</f>
        <v>747780</v>
      </c>
      <c r="D52" s="191">
        <f>'Прогнозные отчеты'!D48</f>
        <v>840205.60800000024</v>
      </c>
      <c r="E52" s="191">
        <f>'Прогнозные отчеты'!E48</f>
        <v>944055.02114880027</v>
      </c>
      <c r="F52" s="191">
        <f>'Прогнозные отчеты'!F48</f>
        <v>944055.02114880027</v>
      </c>
      <c r="G52" s="191">
        <f>'Прогнозные отчеты'!G48</f>
        <v>1191847.7131726732</v>
      </c>
      <c r="H52" s="129"/>
    </row>
    <row r="53" spans="1:8" x14ac:dyDescent="0.2">
      <c r="A53" s="166" t="s">
        <v>295</v>
      </c>
      <c r="B53" s="72" t="s">
        <v>361</v>
      </c>
      <c r="C53" s="195" t="s">
        <v>168</v>
      </c>
      <c r="D53" s="196">
        <f>('Прогнозные отчеты'!C19+'Прогнозные отчеты'!D19)/2</f>
        <v>3797691.9993520007</v>
      </c>
      <c r="E53" s="196">
        <f>('Прогнозные отчеты'!D19+'Прогнозные отчеты'!E19)/2</f>
        <v>5554443.8367919084</v>
      </c>
      <c r="F53" s="196">
        <f>('Прогнозные отчеты'!E19+'Прогнозные отчеты'!F19)/2</f>
        <v>5343121.8879530896</v>
      </c>
      <c r="G53" s="196">
        <f>('Прогнозные отчеты'!F19+'Прогнозные отчеты'!G19)/2</f>
        <v>4928524.6868571546</v>
      </c>
      <c r="H53" s="129"/>
    </row>
    <row r="54" spans="1:8" s="121" customFormat="1" x14ac:dyDescent="0.2">
      <c r="A54" s="126" t="s">
        <v>242</v>
      </c>
      <c r="B54" s="126"/>
      <c r="C54" s="192" t="s">
        <v>168</v>
      </c>
      <c r="D54" s="192">
        <f>IF(D53=0,"-",D52/D53)</f>
        <v>0.22124111385108755</v>
      </c>
      <c r="E54" s="192">
        <f>IF(E53=0,"-",E52/E53)</f>
        <v>0.16996391518004078</v>
      </c>
      <c r="F54" s="192">
        <f>IF(F53=0,"-",F52/F53)</f>
        <v>0.1766860350457887</v>
      </c>
      <c r="G54" s="192">
        <f>IF(G53=0,"-",G52/G53)</f>
        <v>0.24182646712736594</v>
      </c>
      <c r="H54" s="199"/>
    </row>
    <row r="55" spans="1:8" x14ac:dyDescent="0.2">
      <c r="A55" s="129"/>
      <c r="B55" s="129"/>
      <c r="C55" s="129"/>
      <c r="D55" s="129"/>
      <c r="E55" s="129"/>
      <c r="F55" s="129"/>
      <c r="G55" s="129"/>
      <c r="H55" s="129"/>
    </row>
    <row r="56" spans="1:8" x14ac:dyDescent="0.2">
      <c r="A56" s="23" t="s">
        <v>298</v>
      </c>
      <c r="B56" s="23"/>
      <c r="C56" s="23"/>
      <c r="D56" s="23"/>
      <c r="E56" s="23"/>
      <c r="F56" s="23"/>
      <c r="G56" s="23"/>
      <c r="H56" s="129"/>
    </row>
    <row r="57" spans="1:8" x14ac:dyDescent="0.2">
      <c r="A57" s="166" t="s">
        <v>65</v>
      </c>
      <c r="B57" s="72" t="s">
        <v>361</v>
      </c>
      <c r="C57" s="191">
        <f>'Прогнозные отчеты'!C48</f>
        <v>747780</v>
      </c>
      <c r="D57" s="191">
        <f>'Прогнозные отчеты'!D48</f>
        <v>840205.60800000024</v>
      </c>
      <c r="E57" s="191">
        <f>'Прогнозные отчеты'!E48</f>
        <v>944055.02114880027</v>
      </c>
      <c r="F57" s="191">
        <f>'Прогнозные отчеты'!F48</f>
        <v>944055.02114880027</v>
      </c>
      <c r="G57" s="191">
        <f>'Прогнозные отчеты'!G48</f>
        <v>1191847.7131726732</v>
      </c>
      <c r="H57" s="129"/>
    </row>
    <row r="58" spans="1:8" x14ac:dyDescent="0.2">
      <c r="A58" s="166" t="s">
        <v>171</v>
      </c>
      <c r="B58" s="72" t="s">
        <v>361</v>
      </c>
      <c r="C58" s="191">
        <f>'Прогнозные отчеты'!C7</f>
        <v>1040000</v>
      </c>
      <c r="D58" s="191">
        <f>'Прогнозные отчеты'!D7</f>
        <v>1008000</v>
      </c>
      <c r="E58" s="191">
        <f>'Прогнозные отчеты'!E7</f>
        <v>976000</v>
      </c>
      <c r="F58" s="191">
        <f>'Прогнозные отчеты'!F7</f>
        <v>944000</v>
      </c>
      <c r="G58" s="191">
        <f>'Прогнозные отчеты'!G7</f>
        <v>912000</v>
      </c>
      <c r="H58" s="129"/>
    </row>
    <row r="59" spans="1:8" x14ac:dyDescent="0.2">
      <c r="A59" s="166" t="s">
        <v>183</v>
      </c>
      <c r="B59" s="72" t="s">
        <v>361</v>
      </c>
      <c r="C59" s="191">
        <f>'Анализ ликвидности'!C38</f>
        <v>1320835.7857600001</v>
      </c>
      <c r="D59" s="191">
        <f>'Анализ ликвидности'!D38</f>
        <v>4173308.4386548023</v>
      </c>
      <c r="E59" s="191">
        <f>'Анализ ликвидности'!E38</f>
        <v>4914843.3148798151</v>
      </c>
      <c r="F59" s="191">
        <f>'Анализ ликвидности'!F38</f>
        <v>3833400.461026364</v>
      </c>
      <c r="G59" s="191">
        <f>'Анализ ликвидности'!G38</f>
        <v>4157648.9126879461</v>
      </c>
      <c r="H59" s="129"/>
    </row>
    <row r="60" spans="1:8" x14ac:dyDescent="0.2">
      <c r="A60" s="166" t="s">
        <v>296</v>
      </c>
      <c r="B60" s="72" t="s">
        <v>361</v>
      </c>
      <c r="C60" s="196">
        <f>C58+C59</f>
        <v>2360835.7857600003</v>
      </c>
      <c r="D60" s="196">
        <f>D58+D59</f>
        <v>5181308.4386548027</v>
      </c>
      <c r="E60" s="196">
        <f>E58+E59</f>
        <v>5890843.3148798151</v>
      </c>
      <c r="F60" s="196">
        <f>F58+F59</f>
        <v>4777400.461026364</v>
      </c>
      <c r="G60" s="196">
        <f>G58+G59</f>
        <v>5069648.9126879461</v>
      </c>
      <c r="H60" s="129"/>
    </row>
    <row r="61" spans="1:8" x14ac:dyDescent="0.2">
      <c r="A61" s="166" t="s">
        <v>297</v>
      </c>
      <c r="B61" s="72" t="s">
        <v>361</v>
      </c>
      <c r="C61" s="195" t="s">
        <v>168</v>
      </c>
      <c r="D61" s="196">
        <f>(C60+D60)/2</f>
        <v>3771072.1122074015</v>
      </c>
      <c r="E61" s="196">
        <f>(D60+E60)/2</f>
        <v>5536075.8767673094</v>
      </c>
      <c r="F61" s="196">
        <f>(E60+F60)/2</f>
        <v>5334121.8879530896</v>
      </c>
      <c r="G61" s="196">
        <f>(F60+G60)/2</f>
        <v>4923524.6868571546</v>
      </c>
      <c r="H61" s="129"/>
    </row>
    <row r="62" spans="1:8" s="121" customFormat="1" x14ac:dyDescent="0.2">
      <c r="A62" s="126" t="s">
        <v>298</v>
      </c>
      <c r="B62" s="126"/>
      <c r="C62" s="192" t="s">
        <v>168</v>
      </c>
      <c r="D62" s="192">
        <f>IF(D61=0,"-",D57/D61)</f>
        <v>0.22280284836775102</v>
      </c>
      <c r="E62" s="192">
        <f>IF(E61=0,"-",E57/E61)</f>
        <v>0.17052783273990529</v>
      </c>
      <c r="F62" s="192">
        <f>IF(F61=0,"-",F57/F61)</f>
        <v>0.17698414865264187</v>
      </c>
      <c r="G62" s="192">
        <f>IF(G61=0,"-",G57/G61)</f>
        <v>0.24207204979680283</v>
      </c>
      <c r="H62" s="199"/>
    </row>
    <row r="63" spans="1:8" x14ac:dyDescent="0.2">
      <c r="A63" s="129"/>
      <c r="B63" s="129"/>
      <c r="C63" s="129"/>
      <c r="D63" s="129"/>
      <c r="E63" s="129"/>
      <c r="F63" s="129"/>
      <c r="G63" s="129"/>
      <c r="H63" s="129"/>
    </row>
    <row r="64" spans="1:8" x14ac:dyDescent="0.2">
      <c r="A64" s="129"/>
      <c r="B64" s="129"/>
      <c r="C64" s="129"/>
      <c r="D64" s="129"/>
      <c r="E64" s="129"/>
      <c r="F64" s="129"/>
      <c r="G64" s="129"/>
      <c r="H64" s="129"/>
    </row>
    <row r="65" spans="1:8" x14ac:dyDescent="0.2">
      <c r="A65" s="129"/>
      <c r="B65" s="129"/>
      <c r="C65" s="129"/>
      <c r="D65" s="129"/>
      <c r="E65" s="129"/>
      <c r="F65" s="129"/>
      <c r="G65" s="129"/>
      <c r="H65" s="129"/>
    </row>
    <row r="66" spans="1:8" x14ac:dyDescent="0.2">
      <c r="A66" s="129"/>
      <c r="B66" s="129"/>
      <c r="C66" s="129"/>
      <c r="D66" s="129"/>
      <c r="E66" s="129"/>
      <c r="F66" s="129"/>
      <c r="G66" s="129"/>
      <c r="H66" s="129"/>
    </row>
    <row r="67" spans="1:8" x14ac:dyDescent="0.2">
      <c r="A67" s="129"/>
      <c r="B67" s="129"/>
      <c r="C67" s="129"/>
      <c r="D67" s="129"/>
      <c r="E67" s="129"/>
      <c r="F67" s="129"/>
      <c r="G67" s="129"/>
      <c r="H67" s="129"/>
    </row>
  </sheetData>
  <hyperlinks>
    <hyperlink ref="A1" r:id="rId1"/>
  </hyperlinks>
  <pageMargins left="0.7" right="0.7" top="0.75" bottom="0.75" header="0.3" footer="0.3"/>
  <pageSetup paperSize="9" orientation="portrait" horizontalDpi="1200" verticalDpi="120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"/>
  <sheetViews>
    <sheetView zoomScale="85" zoomScaleNormal="85" workbookViewId="0">
      <selection activeCell="E31" sqref="E31"/>
    </sheetView>
  </sheetViews>
  <sheetFormatPr defaultRowHeight="12.75" x14ac:dyDescent="0.2"/>
  <cols>
    <col min="1" max="1" width="37.42578125" style="129" customWidth="1"/>
    <col min="2" max="2" width="10" style="129" customWidth="1"/>
    <col min="3" max="7" width="11.85546875" style="129" customWidth="1"/>
    <col min="8" max="16384" width="9.140625" style="129"/>
  </cols>
  <sheetData>
    <row r="1" spans="1:7" ht="18" x14ac:dyDescent="0.25">
      <c r="A1" s="242" t="s">
        <v>349</v>
      </c>
    </row>
    <row r="2" spans="1:7" x14ac:dyDescent="0.2">
      <c r="A2" s="216" t="s">
        <v>340</v>
      </c>
      <c r="B2" s="133" t="s">
        <v>39</v>
      </c>
      <c r="C2" s="173" t="s">
        <v>353</v>
      </c>
      <c r="D2" s="174" t="s">
        <v>354</v>
      </c>
      <c r="E2" s="175" t="s">
        <v>355</v>
      </c>
      <c r="F2" s="176" t="s">
        <v>356</v>
      </c>
      <c r="G2" s="177" t="s">
        <v>357</v>
      </c>
    </row>
    <row r="4" spans="1:7" x14ac:dyDescent="0.2">
      <c r="A4" s="23" t="s">
        <v>237</v>
      </c>
      <c r="B4" s="23"/>
      <c r="C4" s="23"/>
      <c r="D4" s="23"/>
      <c r="E4" s="23"/>
      <c r="F4" s="23"/>
      <c r="G4" s="23"/>
    </row>
    <row r="5" spans="1:7" x14ac:dyDescent="0.2">
      <c r="A5" s="166" t="s">
        <v>247</v>
      </c>
      <c r="B5" s="125"/>
      <c r="C5" s="196">
        <f>-'Прогнозные отчеты'!C63</f>
        <v>-19000</v>
      </c>
      <c r="D5" s="196">
        <f>-'Прогнозные отчеты'!D63</f>
        <v>-15000</v>
      </c>
      <c r="E5" s="196">
        <f>-'Прогнозные отчеты'!E63</f>
        <v>-11000</v>
      </c>
      <c r="F5" s="196">
        <f>-'Прогнозные отчеты'!F63</f>
        <v>-7000</v>
      </c>
      <c r="G5" s="196">
        <f>-'Прогнозные отчеты'!G63</f>
        <v>-3000</v>
      </c>
    </row>
    <row r="6" spans="1:7" x14ac:dyDescent="0.2">
      <c r="A6" s="166" t="s">
        <v>246</v>
      </c>
      <c r="B6" s="125"/>
      <c r="C6" s="197">
        <f>'Прогнозные отчеты'!C61</f>
        <v>188362.36347826093</v>
      </c>
      <c r="D6" s="197">
        <f>'Прогнозные отчеты'!D61</f>
        <v>136398.8272389567</v>
      </c>
      <c r="E6" s="197">
        <f>'Прогнозные отчеты'!E61</f>
        <v>170420.07476656139</v>
      </c>
      <c r="F6" s="197">
        <f>'Прогнозные отчеты'!F61</f>
        <v>91570.175303438213</v>
      </c>
      <c r="G6" s="197">
        <f>'Прогнозные отчеты'!G61</f>
        <v>250382.35336512956</v>
      </c>
    </row>
    <row r="7" spans="1:7" s="199" customFormat="1" x14ac:dyDescent="0.2">
      <c r="A7" s="126" t="s">
        <v>341</v>
      </c>
      <c r="B7" s="126"/>
      <c r="C7" s="217">
        <f>IF(C6=0,"-",1-C5/C6)</f>
        <v>1.1008694075034411</v>
      </c>
      <c r="D7" s="217">
        <f>IF(D6=0,"-",1-D5/D6)</f>
        <v>1.1099716200178287</v>
      </c>
      <c r="E7" s="217">
        <f>IF(E6=0,"-",1-E5/E6)</f>
        <v>1.0645463864223017</v>
      </c>
      <c r="F7" s="217">
        <f>IF(F6=0,"-",1-F5/F6)</f>
        <v>1.0764441039541961</v>
      </c>
      <c r="G7" s="217">
        <f>IF(G6=0,"-",1-G5/G6)</f>
        <v>1.0119816750648762</v>
      </c>
    </row>
    <row r="9" spans="1:7" x14ac:dyDescent="0.2">
      <c r="A9" s="23" t="s">
        <v>238</v>
      </c>
      <c r="B9" s="23"/>
      <c r="C9" s="23"/>
      <c r="D9" s="23"/>
      <c r="E9" s="23"/>
      <c r="F9" s="23"/>
      <c r="G9" s="23"/>
    </row>
    <row r="10" spans="1:7" x14ac:dyDescent="0.2">
      <c r="A10" s="166" t="s">
        <v>145</v>
      </c>
      <c r="B10" s="125"/>
      <c r="C10" s="196">
        <f>'Прогнозные отчеты'!C69</f>
        <v>169362.36347826093</v>
      </c>
      <c r="D10" s="196">
        <f>'Прогнозные отчеты'!D69</f>
        <v>121398.8272389567</v>
      </c>
      <c r="E10" s="196">
        <f>'Прогнозные отчеты'!E69</f>
        <v>159420.07476656139</v>
      </c>
      <c r="F10" s="196">
        <f>'Прогнозные отчеты'!F69</f>
        <v>84570.175303438213</v>
      </c>
      <c r="G10" s="196">
        <f>'Прогнозные отчеты'!G69</f>
        <v>247382.35336512956</v>
      </c>
    </row>
    <row r="11" spans="1:7" x14ac:dyDescent="0.2">
      <c r="A11" s="166" t="s">
        <v>13</v>
      </c>
      <c r="B11" s="125"/>
      <c r="C11" s="196">
        <f>'Прогнозные отчеты'!C65</f>
        <v>169362.36347826093</v>
      </c>
      <c r="D11" s="196">
        <f>'Прогнозные отчеты'!D65</f>
        <v>121398.8272389567</v>
      </c>
      <c r="E11" s="196">
        <f>'Прогнозные отчеты'!E65</f>
        <v>159420.07476656139</v>
      </c>
      <c r="F11" s="196">
        <f>'Прогнозные отчеты'!F65</f>
        <v>84570.175303438213</v>
      </c>
      <c r="G11" s="196">
        <f>'Прогнозные отчеты'!G65</f>
        <v>247382.35336512956</v>
      </c>
    </row>
    <row r="12" spans="1:7" s="199" customFormat="1" x14ac:dyDescent="0.2">
      <c r="A12" s="126" t="s">
        <v>239</v>
      </c>
      <c r="B12" s="126"/>
      <c r="C12" s="192">
        <f>IF(C11=0,"-",C10/C11)</f>
        <v>1</v>
      </c>
      <c r="D12" s="192">
        <f>IF(D11=0,"-",D10/D11)</f>
        <v>1</v>
      </c>
      <c r="E12" s="192">
        <f>IF(E11=0,"-",E10/E11)</f>
        <v>1</v>
      </c>
      <c r="F12" s="192">
        <f>IF(F11=0,"-",F10/F11)</f>
        <v>1</v>
      </c>
      <c r="G12" s="192">
        <f>IF(G11=0,"-",G10/G11)</f>
        <v>1</v>
      </c>
    </row>
    <row r="14" spans="1:7" x14ac:dyDescent="0.2">
      <c r="A14" s="23" t="s">
        <v>240</v>
      </c>
      <c r="B14" s="23"/>
      <c r="C14" s="23"/>
      <c r="D14" s="23"/>
      <c r="E14" s="23"/>
      <c r="F14" s="23"/>
      <c r="G14" s="23"/>
    </row>
    <row r="15" spans="1:7" x14ac:dyDescent="0.2">
      <c r="A15" s="166" t="s">
        <v>238</v>
      </c>
      <c r="B15" s="125"/>
      <c r="C15" s="209">
        <f>C12</f>
        <v>1</v>
      </c>
      <c r="D15" s="209">
        <f>D12</f>
        <v>1</v>
      </c>
      <c r="E15" s="209">
        <f>E12</f>
        <v>1</v>
      </c>
      <c r="F15" s="209">
        <f>F12</f>
        <v>1</v>
      </c>
      <c r="G15" s="209">
        <f>G12</f>
        <v>1</v>
      </c>
    </row>
    <row r="16" spans="1:7" s="199" customFormat="1" x14ac:dyDescent="0.2">
      <c r="A16" s="126" t="s">
        <v>240</v>
      </c>
      <c r="B16" s="126"/>
      <c r="C16" s="192">
        <f>IF(C15="-","-",1-C15)</f>
        <v>0</v>
      </c>
      <c r="D16" s="192">
        <f>IF(D15="-","-",1-D15)</f>
        <v>0</v>
      </c>
      <c r="E16" s="192">
        <f>IF(E15="-","-",1-E15)</f>
        <v>0</v>
      </c>
      <c r="F16" s="192">
        <f>IF(F15="-","-",1-F15)</f>
        <v>0</v>
      </c>
      <c r="G16" s="192">
        <f>IF(G15="-","-",1-G15)</f>
        <v>0</v>
      </c>
    </row>
  </sheetData>
  <hyperlinks>
    <hyperlink ref="A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1"/>
  <sheetViews>
    <sheetView zoomScale="85" zoomScaleNormal="85" workbookViewId="0">
      <pane xSplit="3" ySplit="1" topLeftCell="D14" activePane="bottomRight" state="frozen"/>
      <selection pane="topRight" activeCell="D1" sqref="D1"/>
      <selection pane="bottomLeft" activeCell="A3" sqref="A3"/>
      <selection pane="bottomRight" activeCell="F43" sqref="F43"/>
    </sheetView>
  </sheetViews>
  <sheetFormatPr defaultRowHeight="12.75" x14ac:dyDescent="0.2"/>
  <cols>
    <col min="1" max="2" width="3.7109375" style="1" customWidth="1"/>
    <col min="3" max="3" width="50.85546875" style="1" customWidth="1"/>
    <col min="4" max="4" width="9.140625" style="1" customWidth="1"/>
    <col min="5" max="5" width="9.7109375" style="1" customWidth="1"/>
    <col min="6" max="7" width="9.28515625" style="1" bestFit="1" customWidth="1"/>
    <col min="8" max="8" width="9.140625" style="1" customWidth="1"/>
    <col min="9" max="9" width="9.28515625" style="1" bestFit="1" customWidth="1"/>
    <col min="10" max="10" width="8.5703125" style="1" customWidth="1"/>
    <col min="11" max="11" width="9.28515625" style="1" bestFit="1" customWidth="1"/>
    <col min="12" max="12" width="9.5703125" style="1" bestFit="1" customWidth="1"/>
    <col min="13" max="13" width="11" style="1" customWidth="1"/>
    <col min="14" max="20" width="9.28515625" style="1" bestFit="1" customWidth="1"/>
    <col min="21" max="16384" width="9.140625" style="1"/>
  </cols>
  <sheetData>
    <row r="1" spans="1:16" ht="18" x14ac:dyDescent="0.25">
      <c r="C1" s="242" t="s">
        <v>349</v>
      </c>
    </row>
    <row r="2" spans="1:16" s="257" customFormat="1" x14ac:dyDescent="0.2">
      <c r="A2" s="258" t="s">
        <v>369</v>
      </c>
      <c r="B2" s="258"/>
      <c r="C2" s="12"/>
      <c r="D2" s="174"/>
      <c r="E2" s="174"/>
      <c r="F2" s="347"/>
      <c r="G2" s="347"/>
      <c r="H2" s="347"/>
      <c r="I2" s="347"/>
      <c r="J2" s="348"/>
      <c r="K2" s="348"/>
      <c r="L2" s="348"/>
      <c r="M2" s="348"/>
      <c r="N2" s="346"/>
      <c r="O2" s="346"/>
      <c r="P2" s="174"/>
    </row>
    <row r="3" spans="1:16" x14ac:dyDescent="0.2">
      <c r="D3" s="1" t="s">
        <v>362</v>
      </c>
      <c r="F3" s="1" t="s">
        <v>353</v>
      </c>
      <c r="G3" s="1" t="s">
        <v>354</v>
      </c>
      <c r="H3" s="1" t="s">
        <v>355</v>
      </c>
      <c r="I3" s="1" t="s">
        <v>356</v>
      </c>
      <c r="J3" s="1" t="s">
        <v>357</v>
      </c>
      <c r="K3" s="1" t="s">
        <v>358</v>
      </c>
      <c r="L3" s="1" t="s">
        <v>359</v>
      </c>
      <c r="M3" s="1" t="s">
        <v>360</v>
      </c>
      <c r="N3" s="1" t="s">
        <v>405</v>
      </c>
      <c r="O3" s="1" t="s">
        <v>406</v>
      </c>
    </row>
    <row r="4" spans="1:16" x14ac:dyDescent="0.2">
      <c r="B4" s="237"/>
      <c r="C4" s="236"/>
      <c r="D4" s="13"/>
      <c r="E4" s="13" t="s">
        <v>445</v>
      </c>
      <c r="F4" s="84"/>
    </row>
    <row r="5" spans="1:16" ht="16.5" x14ac:dyDescent="0.3">
      <c r="B5" s="236"/>
      <c r="C5" s="328" t="s">
        <v>430</v>
      </c>
      <c r="D5" s="13" t="s">
        <v>51</v>
      </c>
      <c r="E5" s="13"/>
      <c r="F5" s="27">
        <v>1</v>
      </c>
      <c r="G5" s="27">
        <f t="shared" ref="G5:O5" si="0">F5</f>
        <v>1</v>
      </c>
      <c r="H5" s="27">
        <f t="shared" si="0"/>
        <v>1</v>
      </c>
      <c r="I5" s="27">
        <f t="shared" si="0"/>
        <v>1</v>
      </c>
      <c r="J5" s="27">
        <f t="shared" si="0"/>
        <v>1</v>
      </c>
      <c r="K5" s="27">
        <f t="shared" si="0"/>
        <v>1</v>
      </c>
      <c r="L5" s="27">
        <f t="shared" si="0"/>
        <v>1</v>
      </c>
      <c r="M5" s="27">
        <f t="shared" si="0"/>
        <v>1</v>
      </c>
      <c r="N5" s="27">
        <f t="shared" si="0"/>
        <v>1</v>
      </c>
      <c r="O5" s="27">
        <f t="shared" si="0"/>
        <v>1</v>
      </c>
    </row>
    <row r="6" spans="1:16" x14ac:dyDescent="0.2">
      <c r="B6" s="236"/>
      <c r="D6" s="13" t="s">
        <v>361</v>
      </c>
      <c r="E6" s="13">
        <f>700*12</f>
        <v>8400</v>
      </c>
      <c r="F6" s="27">
        <f>E6*F5</f>
        <v>8400</v>
      </c>
      <c r="G6" s="27">
        <f>F6*(1+Окружение!I5)</f>
        <v>8904</v>
      </c>
      <c r="H6" s="27">
        <f>G6*(1+Окружение!J5)</f>
        <v>9438.24</v>
      </c>
      <c r="I6" s="27">
        <f>H6*(1+Окружение!K5)</f>
        <v>10004.5344</v>
      </c>
      <c r="J6" s="27">
        <f>I6*(1+Окружение!L5)</f>
        <v>10604.806464000001</v>
      </c>
      <c r="K6" s="27">
        <f>J6*(1+Окружение!M5)</f>
        <v>11241.094851840002</v>
      </c>
      <c r="L6" s="27">
        <f>K6*(1+Окружение!J5)</f>
        <v>11915.560542950403</v>
      </c>
      <c r="M6" s="27">
        <f>L6*(1+Окружение!K5)</f>
        <v>12630.494175527429</v>
      </c>
      <c r="N6" s="27">
        <f>M6*(1+Окружение!L5)</f>
        <v>13388.323826059075</v>
      </c>
      <c r="O6" s="27">
        <f>N6*(1+Окружение!M5)</f>
        <v>14191.62325562262</v>
      </c>
    </row>
    <row r="7" spans="1:16" x14ac:dyDescent="0.2">
      <c r="B7" s="236"/>
      <c r="C7" s="1" t="s">
        <v>431</v>
      </c>
      <c r="D7" s="13" t="s">
        <v>51</v>
      </c>
      <c r="E7" s="13"/>
      <c r="F7" s="27">
        <v>1</v>
      </c>
      <c r="G7" s="27">
        <f t="shared" ref="G7:O7" si="1">F7</f>
        <v>1</v>
      </c>
      <c r="H7" s="27">
        <f t="shared" si="1"/>
        <v>1</v>
      </c>
      <c r="I7" s="27">
        <f t="shared" si="1"/>
        <v>1</v>
      </c>
      <c r="J7" s="27">
        <f t="shared" si="1"/>
        <v>1</v>
      </c>
      <c r="K7" s="27">
        <f t="shared" si="1"/>
        <v>1</v>
      </c>
      <c r="L7" s="27">
        <f t="shared" si="1"/>
        <v>1</v>
      </c>
      <c r="M7" s="27">
        <f t="shared" si="1"/>
        <v>1</v>
      </c>
      <c r="N7" s="27">
        <f t="shared" si="1"/>
        <v>1</v>
      </c>
      <c r="O7" s="27">
        <f t="shared" si="1"/>
        <v>1</v>
      </c>
    </row>
    <row r="8" spans="1:16" x14ac:dyDescent="0.2">
      <c r="B8" s="236"/>
      <c r="D8" s="13" t="s">
        <v>361</v>
      </c>
      <c r="E8" s="13">
        <f>600*12</f>
        <v>7200</v>
      </c>
      <c r="F8" s="27">
        <f>E8*F7</f>
        <v>7200</v>
      </c>
      <c r="G8" s="27">
        <f>F8*(1+Окружение!I5)</f>
        <v>7632</v>
      </c>
      <c r="H8" s="27">
        <f>G8*(1+Окружение!J5)</f>
        <v>8089.92</v>
      </c>
      <c r="I8" s="27">
        <f>H8*(1+Окружение!K5)</f>
        <v>8575.3152000000009</v>
      </c>
      <c r="J8" s="27">
        <f>I8*(1+Окружение!L5)</f>
        <v>9089.8341120000023</v>
      </c>
      <c r="K8" s="27">
        <f>J8*(1+Окружение!M5)</f>
        <v>9635.2241587200024</v>
      </c>
      <c r="L8" s="27">
        <f>K8*(1+Окружение!J5)</f>
        <v>10213.337608243202</v>
      </c>
      <c r="M8" s="27">
        <f>L8*(1+Окружение!K5)</f>
        <v>10826.137864737795</v>
      </c>
      <c r="N8" s="27">
        <f>M8*(1+Окружение!L5)</f>
        <v>11475.706136622064</v>
      </c>
      <c r="O8" s="27">
        <f>N8*(1+Окружение!M5)</f>
        <v>12164.248504819388</v>
      </c>
    </row>
    <row r="9" spans="1:16" x14ac:dyDescent="0.2">
      <c r="B9" s="238"/>
      <c r="C9" s="1" t="s">
        <v>321</v>
      </c>
      <c r="D9" s="13" t="s">
        <v>51</v>
      </c>
      <c r="E9" s="13"/>
      <c r="F9" s="27">
        <v>1</v>
      </c>
      <c r="G9" s="27">
        <f t="shared" ref="G9:O9" si="2">F9</f>
        <v>1</v>
      </c>
      <c r="H9" s="27">
        <f t="shared" si="2"/>
        <v>1</v>
      </c>
      <c r="I9" s="27">
        <f t="shared" si="2"/>
        <v>1</v>
      </c>
      <c r="J9" s="27">
        <f t="shared" si="2"/>
        <v>1</v>
      </c>
      <c r="K9" s="27">
        <f t="shared" si="2"/>
        <v>1</v>
      </c>
      <c r="L9" s="27">
        <f t="shared" si="2"/>
        <v>1</v>
      </c>
      <c r="M9" s="27">
        <f t="shared" si="2"/>
        <v>1</v>
      </c>
      <c r="N9" s="27">
        <f t="shared" si="2"/>
        <v>1</v>
      </c>
      <c r="O9" s="27">
        <f t="shared" si="2"/>
        <v>1</v>
      </c>
    </row>
    <row r="10" spans="1:16" x14ac:dyDescent="0.2">
      <c r="B10" s="236"/>
      <c r="D10" s="13"/>
      <c r="E10" s="13">
        <f>400*12</f>
        <v>4800</v>
      </c>
      <c r="F10" s="27">
        <f>E10*F9</f>
        <v>4800</v>
      </c>
      <c r="G10" s="27">
        <f>E10*G9*(1+Окружение!E5)</f>
        <v>5088</v>
      </c>
      <c r="H10" s="27">
        <f>F10*H9*(1+Окружение!F5)</f>
        <v>5088</v>
      </c>
      <c r="I10" s="27">
        <f>G10*I9*(1+Окружение!G5)</f>
        <v>5393.2800000000007</v>
      </c>
      <c r="J10" s="27">
        <f>H10*J9*(1+Окружение!H5)</f>
        <v>5393.2800000000007</v>
      </c>
      <c r="K10" s="27">
        <f>I10*K9*(1+Окружение!I5)</f>
        <v>5716.8768000000009</v>
      </c>
      <c r="L10" s="27">
        <f>J10*L9*(1+Окружение!J5)</f>
        <v>5716.8768000000009</v>
      </c>
      <c r="M10" s="27">
        <f>K10*M9*(1+Окружение!K5)</f>
        <v>6059.8894080000009</v>
      </c>
      <c r="N10" s="27">
        <f>L10*N9*(1+Окружение!L5)</f>
        <v>6059.8894080000009</v>
      </c>
      <c r="O10" s="27">
        <f>M10*O9*(1+Окружение!M5)</f>
        <v>6423.4827724800016</v>
      </c>
    </row>
    <row r="11" spans="1:16" x14ac:dyDescent="0.2">
      <c r="B11" s="26"/>
      <c r="C11" s="1" t="s">
        <v>432</v>
      </c>
      <c r="D11" s="13" t="s">
        <v>51</v>
      </c>
      <c r="E11" s="13"/>
      <c r="F11" s="29">
        <v>4</v>
      </c>
      <c r="G11" s="29">
        <v>8</v>
      </c>
      <c r="H11" s="29">
        <v>8</v>
      </c>
      <c r="I11" s="29">
        <v>8</v>
      </c>
      <c r="J11" s="29">
        <v>8</v>
      </c>
      <c r="K11" s="29">
        <v>8</v>
      </c>
      <c r="L11" s="29">
        <v>8</v>
      </c>
      <c r="M11" s="29">
        <v>8</v>
      </c>
      <c r="N11" s="29">
        <v>8</v>
      </c>
      <c r="O11" s="29">
        <v>8</v>
      </c>
    </row>
    <row r="12" spans="1:16" x14ac:dyDescent="0.2">
      <c r="B12" s="26"/>
      <c r="D12" s="13" t="s">
        <v>361</v>
      </c>
      <c r="E12" s="13">
        <f>500*12</f>
        <v>6000</v>
      </c>
      <c r="F12" s="29">
        <f>E12*F11</f>
        <v>24000</v>
      </c>
      <c r="G12" s="29">
        <f>E12*G11*(1+Окружение!E5)</f>
        <v>50880</v>
      </c>
      <c r="H12" s="29">
        <f>G12*(1+Окружение!F5)</f>
        <v>53932.800000000003</v>
      </c>
      <c r="I12" s="29">
        <f>H12*(1+Окружение!G5)</f>
        <v>57168.768000000004</v>
      </c>
      <c r="J12" s="29">
        <f>I12*(1+Окружение!H5)</f>
        <v>60598.894080000005</v>
      </c>
      <c r="K12" s="29">
        <f>J12*(1+Окружение!I5)</f>
        <v>64234.827724800009</v>
      </c>
      <c r="L12" s="29">
        <f>K12*(1+Окружение!J5)</f>
        <v>68088.917388288013</v>
      </c>
      <c r="M12" s="29">
        <f>L12*(1+Окружение!K5)</f>
        <v>72174.252431585293</v>
      </c>
      <c r="N12" s="29">
        <f>M12*(1+Окружение!L5)</f>
        <v>76504.707577480411</v>
      </c>
      <c r="O12" s="29">
        <f>N12*(1+Окружение!M5)</f>
        <v>81094.990032129237</v>
      </c>
    </row>
    <row r="13" spans="1:16" x14ac:dyDescent="0.2">
      <c r="A13" s="23"/>
      <c r="B13" s="10"/>
      <c r="C13" s="1" t="s">
        <v>433</v>
      </c>
      <c r="D13" s="13"/>
      <c r="E13" s="13"/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</row>
    <row r="14" spans="1:16" x14ac:dyDescent="0.2">
      <c r="B14" s="237"/>
      <c r="C14" s="236"/>
      <c r="D14" s="13"/>
      <c r="E14" s="13">
        <f>400*12</f>
        <v>4800</v>
      </c>
      <c r="F14" s="1">
        <f>E14*F13</f>
        <v>9600</v>
      </c>
      <c r="G14" s="1">
        <f>E14*G13*(1+Окружение!E5)</f>
        <v>10176</v>
      </c>
      <c r="H14" s="280">
        <f>G14*(1+Окружение!F5)</f>
        <v>10786.560000000001</v>
      </c>
      <c r="I14" s="280">
        <f>H14*(1+Окружение!G5)</f>
        <v>11433.753600000002</v>
      </c>
      <c r="J14" s="280">
        <f>I14*(1+Окружение!H5)</f>
        <v>12119.778816000002</v>
      </c>
      <c r="K14" s="280">
        <f>J14*(1+Окружение!I5)</f>
        <v>12846.965544960003</v>
      </c>
      <c r="L14" s="280">
        <f>K14*(1+Окружение!J5)</f>
        <v>13617.783477657604</v>
      </c>
      <c r="M14" s="280">
        <f>L14*(1+Окружение!K5)</f>
        <v>14434.85048631706</v>
      </c>
      <c r="N14" s="280">
        <f>M14*(1+Окружение!L5)</f>
        <v>15300.941515496084</v>
      </c>
      <c r="O14" s="280">
        <f>N14*(1+Окружение!M5)</f>
        <v>16218.998006425851</v>
      </c>
    </row>
    <row r="15" spans="1:16" x14ac:dyDescent="0.2">
      <c r="B15" s="236"/>
      <c r="C15" s="1" t="s">
        <v>434</v>
      </c>
      <c r="D15" s="13" t="s">
        <v>51</v>
      </c>
      <c r="E15" s="13"/>
      <c r="F15" s="27">
        <v>2</v>
      </c>
      <c r="G15" s="27">
        <f t="shared" ref="G15:O15" si="3">F15</f>
        <v>2</v>
      </c>
      <c r="H15" s="27">
        <f t="shared" si="3"/>
        <v>2</v>
      </c>
      <c r="I15" s="27">
        <f t="shared" si="3"/>
        <v>2</v>
      </c>
      <c r="J15" s="27">
        <f t="shared" si="3"/>
        <v>2</v>
      </c>
      <c r="K15" s="27">
        <f t="shared" si="3"/>
        <v>2</v>
      </c>
      <c r="L15" s="27">
        <f t="shared" si="3"/>
        <v>2</v>
      </c>
      <c r="M15" s="27">
        <f t="shared" si="3"/>
        <v>2</v>
      </c>
      <c r="N15" s="27">
        <f t="shared" si="3"/>
        <v>2</v>
      </c>
      <c r="O15" s="27">
        <f t="shared" si="3"/>
        <v>2</v>
      </c>
    </row>
    <row r="16" spans="1:16" x14ac:dyDescent="0.2">
      <c r="B16" s="236"/>
      <c r="D16" s="13" t="s">
        <v>361</v>
      </c>
      <c r="E16" s="13">
        <f>400*12</f>
        <v>4800</v>
      </c>
      <c r="F16" s="27">
        <f>E16*F15</f>
        <v>9600</v>
      </c>
      <c r="G16" s="27">
        <f>F16*(1+Окружение!I5)</f>
        <v>10176</v>
      </c>
      <c r="H16" s="27">
        <f>G16*(1+Окружение!J5)</f>
        <v>10786.560000000001</v>
      </c>
      <c r="I16" s="27">
        <f>H16*(1+Окружение!K5)</f>
        <v>11433.753600000002</v>
      </c>
      <c r="J16" s="27">
        <f>I16*(1+Окружение!L5)</f>
        <v>12119.778816000002</v>
      </c>
      <c r="K16" s="27">
        <f>J16*(1+Окружение!M5)</f>
        <v>12846.965544960003</v>
      </c>
      <c r="L16" s="27">
        <f>K16*(1+Окружение!J5)</f>
        <v>13617.783477657604</v>
      </c>
      <c r="M16" s="27">
        <f>L16*(1+Окружение!K5)</f>
        <v>14434.85048631706</v>
      </c>
      <c r="N16" s="27">
        <f>M16*(1+Окружение!L5)</f>
        <v>15300.941515496084</v>
      </c>
      <c r="O16" s="27">
        <f>N16*(1+Окружение!M5)</f>
        <v>16218.998006425851</v>
      </c>
    </row>
    <row r="17" spans="1:15" x14ac:dyDescent="0.2">
      <c r="B17" s="236"/>
      <c r="C17" s="1" t="s">
        <v>435</v>
      </c>
      <c r="D17" s="13" t="s">
        <v>51</v>
      </c>
      <c r="E17" s="13"/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</row>
    <row r="18" spans="1:15" x14ac:dyDescent="0.2">
      <c r="B18" s="236"/>
      <c r="D18" s="13" t="s">
        <v>361</v>
      </c>
      <c r="E18" s="13">
        <f>500*12</f>
        <v>6000</v>
      </c>
      <c r="F18" s="27">
        <f>E18*F17</f>
        <v>6000</v>
      </c>
      <c r="G18" s="27">
        <f>F18*(1+Окружение!I5)</f>
        <v>6360</v>
      </c>
      <c r="H18" s="27">
        <f>G18*(1+Окружение!J5)</f>
        <v>6741.6</v>
      </c>
      <c r="I18" s="27">
        <f>H18*(1+Окружение!K5)</f>
        <v>7146.0960000000005</v>
      </c>
      <c r="J18" s="27">
        <f>I18*(1+Окружение!L5)</f>
        <v>7574.8617600000007</v>
      </c>
      <c r="K18" s="27">
        <f>J18*(1+Окружение!M5)</f>
        <v>8029.3534656000011</v>
      </c>
      <c r="L18" s="27">
        <f>K18*(1+Окружение!J5)</f>
        <v>8511.1146735360016</v>
      </c>
      <c r="M18" s="27">
        <f>L18*(1+Окружение!K5)</f>
        <v>9021.7815539481617</v>
      </c>
      <c r="N18" s="27">
        <f>M18*(1+Окружение!L5)</f>
        <v>9563.0884471850513</v>
      </c>
      <c r="O18" s="27">
        <f>N18*(1+Окружение!M5)</f>
        <v>10136.873754016155</v>
      </c>
    </row>
    <row r="19" spans="1:15" x14ac:dyDescent="0.2">
      <c r="B19" s="236"/>
      <c r="C19" s="1" t="s">
        <v>436</v>
      </c>
      <c r="D19" s="13" t="s">
        <v>51</v>
      </c>
      <c r="E19" s="13"/>
      <c r="F19" s="27">
        <v>4</v>
      </c>
      <c r="G19" s="27">
        <f t="shared" ref="G19:O19" si="4">F19</f>
        <v>4</v>
      </c>
      <c r="H19" s="27">
        <f t="shared" si="4"/>
        <v>4</v>
      </c>
      <c r="I19" s="27">
        <f t="shared" si="4"/>
        <v>4</v>
      </c>
      <c r="J19" s="27">
        <f t="shared" si="4"/>
        <v>4</v>
      </c>
      <c r="K19" s="27">
        <f t="shared" si="4"/>
        <v>4</v>
      </c>
      <c r="L19" s="27">
        <f t="shared" si="4"/>
        <v>4</v>
      </c>
      <c r="M19" s="27">
        <f t="shared" si="4"/>
        <v>4</v>
      </c>
      <c r="N19" s="27">
        <f t="shared" si="4"/>
        <v>4</v>
      </c>
      <c r="O19" s="27">
        <f t="shared" si="4"/>
        <v>4</v>
      </c>
    </row>
    <row r="20" spans="1:15" x14ac:dyDescent="0.2">
      <c r="B20" s="236"/>
      <c r="D20" s="13" t="s">
        <v>361</v>
      </c>
      <c r="E20" s="13">
        <f>500*12</f>
        <v>6000</v>
      </c>
      <c r="F20" s="27">
        <f>E20*F19</f>
        <v>24000</v>
      </c>
      <c r="G20" s="27">
        <f>F20*(1+Окружение!I5)</f>
        <v>25440</v>
      </c>
      <c r="H20" s="27">
        <f>G20*(1+Окружение!J5)</f>
        <v>26966.400000000001</v>
      </c>
      <c r="I20" s="27">
        <f>H20*(1+Окружение!K5)</f>
        <v>28584.384000000002</v>
      </c>
      <c r="J20" s="27">
        <f>I20*(1+Окружение!L5)</f>
        <v>30299.447040000003</v>
      </c>
      <c r="K20" s="27">
        <f>J20*(1+Окружение!M5)</f>
        <v>32117.413862400004</v>
      </c>
      <c r="L20" s="27">
        <f>K20*(1+Окружение!J5)</f>
        <v>34044.458694144007</v>
      </c>
      <c r="M20" s="27">
        <f>L20*(1+Окружение!K5)</f>
        <v>36087.126215792647</v>
      </c>
      <c r="N20" s="27">
        <f>M20*(1+Окружение!L5)</f>
        <v>38252.353788740205</v>
      </c>
      <c r="O20" s="27">
        <f>N20*(1+Окружение!M5)</f>
        <v>40547.495016064619</v>
      </c>
    </row>
    <row r="21" spans="1:15" x14ac:dyDescent="0.2">
      <c r="B21" s="26"/>
      <c r="C21" s="1" t="s">
        <v>437</v>
      </c>
      <c r="D21" s="13" t="s">
        <v>51</v>
      </c>
      <c r="E21" s="13"/>
      <c r="F21" s="29">
        <v>4</v>
      </c>
      <c r="G21" s="29">
        <v>4</v>
      </c>
      <c r="H21" s="29">
        <v>4</v>
      </c>
      <c r="I21" s="29">
        <v>4</v>
      </c>
      <c r="J21" s="29">
        <v>4</v>
      </c>
      <c r="K21" s="29">
        <v>4</v>
      </c>
      <c r="L21" s="29">
        <v>4</v>
      </c>
      <c r="M21" s="29">
        <v>4</v>
      </c>
      <c r="N21" s="29">
        <v>4</v>
      </c>
      <c r="O21" s="29">
        <v>4</v>
      </c>
    </row>
    <row r="22" spans="1:15" x14ac:dyDescent="0.2">
      <c r="A22" s="22"/>
      <c r="B22" s="26"/>
      <c r="D22" s="13" t="s">
        <v>361</v>
      </c>
      <c r="E22" s="13">
        <f>500*12</f>
        <v>6000</v>
      </c>
      <c r="F22" s="29">
        <f>E22*F21</f>
        <v>24000</v>
      </c>
      <c r="G22" s="29">
        <f>E22*G21*(1+Окружение!E5)</f>
        <v>25440</v>
      </c>
      <c r="H22" s="29">
        <f>G22*(1+Окружение!F5)</f>
        <v>26966.400000000001</v>
      </c>
      <c r="I22" s="29">
        <f>H22*(1+Окружение!G5)</f>
        <v>28584.384000000002</v>
      </c>
      <c r="J22" s="29">
        <f>I22*(1+Окружение!H5)</f>
        <v>30299.447040000003</v>
      </c>
      <c r="K22" s="29">
        <f>J22*(1+Окружение!I5)</f>
        <v>32117.413862400004</v>
      </c>
      <c r="L22" s="29">
        <f>K22*(1+Окружение!J5)</f>
        <v>34044.458694144007</v>
      </c>
      <c r="M22" s="29">
        <f>L22*(1+Окружение!K5)</f>
        <v>36087.126215792647</v>
      </c>
      <c r="N22" s="29">
        <f>M22*(1+Окружение!L5)</f>
        <v>38252.353788740205</v>
      </c>
      <c r="O22" s="29">
        <f>N22*(1+Окружение!M5)</f>
        <v>40547.495016064619</v>
      </c>
    </row>
    <row r="23" spans="1:15" x14ac:dyDescent="0.2">
      <c r="A23" s="22"/>
      <c r="B23" s="26"/>
      <c r="C23" s="1" t="s">
        <v>438</v>
      </c>
      <c r="D23" s="13"/>
      <c r="E23" s="13"/>
      <c r="F23" s="30">
        <v>1</v>
      </c>
      <c r="G23" s="30">
        <v>1</v>
      </c>
      <c r="H23" s="30">
        <v>1</v>
      </c>
      <c r="I23" s="30">
        <v>1</v>
      </c>
      <c r="J23" s="30">
        <v>1</v>
      </c>
      <c r="K23" s="30">
        <v>1</v>
      </c>
      <c r="L23" s="30">
        <v>1</v>
      </c>
      <c r="M23" s="30">
        <v>1</v>
      </c>
      <c r="N23" s="30">
        <v>1</v>
      </c>
      <c r="O23" s="30">
        <v>1</v>
      </c>
    </row>
    <row r="24" spans="1:15" x14ac:dyDescent="0.2">
      <c r="A24" s="22"/>
      <c r="B24" s="26"/>
      <c r="D24" s="13"/>
      <c r="E24" s="13">
        <f>400*12</f>
        <v>4800</v>
      </c>
      <c r="F24" s="30">
        <f>E24*F23</f>
        <v>4800</v>
      </c>
      <c r="G24" s="30">
        <f>F24*(1+Окружение!E5)</f>
        <v>5088</v>
      </c>
      <c r="H24" s="30">
        <f>G24*(1+Окружение!F5)</f>
        <v>5393.2800000000007</v>
      </c>
      <c r="I24" s="30">
        <f>H24*(1+Окружение!G5)</f>
        <v>5716.8768000000009</v>
      </c>
      <c r="J24" s="30">
        <f>I24*(1+Окружение!H5)</f>
        <v>6059.8894080000009</v>
      </c>
      <c r="K24" s="30">
        <f>J24*(1+Окружение!I5)</f>
        <v>6423.4827724800016</v>
      </c>
      <c r="L24" s="30">
        <f>K24*(1+Окружение!J5)</f>
        <v>6808.8917388288019</v>
      </c>
      <c r="M24" s="30">
        <f>L24*(1+Окружение!K5)</f>
        <v>7217.4252431585301</v>
      </c>
      <c r="N24" s="30">
        <f>M24*(1+Окружение!L5)</f>
        <v>7650.4707577480422</v>
      </c>
      <c r="O24" s="30">
        <f>N24*(1+Окружение!M5)</f>
        <v>8109.4990032129253</v>
      </c>
    </row>
    <row r="25" spans="1:15" x14ac:dyDescent="0.2">
      <c r="A25" s="22"/>
      <c r="B25" s="26"/>
      <c r="C25" s="1" t="s">
        <v>439</v>
      </c>
      <c r="D25" s="13"/>
      <c r="E25" s="13"/>
      <c r="F25" s="30">
        <v>1</v>
      </c>
      <c r="G25" s="30">
        <v>1</v>
      </c>
      <c r="H25" s="30"/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</row>
    <row r="26" spans="1:15" x14ac:dyDescent="0.2">
      <c r="A26" s="22"/>
      <c r="B26" s="26"/>
      <c r="D26" s="13"/>
      <c r="E26" s="13">
        <f>250*12</f>
        <v>3000</v>
      </c>
      <c r="F26" s="30">
        <f>E26*F25</f>
        <v>3000</v>
      </c>
      <c r="G26" s="30">
        <f>F26*(1+Окружение!E5)</f>
        <v>3180</v>
      </c>
      <c r="H26" s="30">
        <f>G26*(1+Окружение!F5)</f>
        <v>3370.8</v>
      </c>
      <c r="I26" s="30">
        <f>H26*(1+Окружение!G5)</f>
        <v>3573.0480000000002</v>
      </c>
      <c r="J26" s="30">
        <f>I26*(1+Окружение!H5)</f>
        <v>3787.4308800000003</v>
      </c>
      <c r="K26" s="30">
        <f>J26*(1+Окружение!I5)</f>
        <v>4014.6767328000005</v>
      </c>
      <c r="L26" s="30">
        <f>K26*(1+Окружение!J5)</f>
        <v>4255.5573367680008</v>
      </c>
      <c r="M26" s="30">
        <f>L26*(1+Окружение!K5)</f>
        <v>4510.8907769740808</v>
      </c>
      <c r="N26" s="30">
        <f>M26*(1+Окружение!L5)</f>
        <v>4781.5442235925257</v>
      </c>
      <c r="O26" s="30">
        <f>N26*(1+Окружение!M5)</f>
        <v>5068.4368770080773</v>
      </c>
    </row>
    <row r="27" spans="1:15" x14ac:dyDescent="0.2">
      <c r="A27" s="22"/>
      <c r="B27" s="26"/>
      <c r="C27" s="1" t="s">
        <v>441</v>
      </c>
      <c r="D27" s="13"/>
      <c r="E27" s="13"/>
      <c r="F27" s="30">
        <v>1</v>
      </c>
      <c r="G27" s="30">
        <v>1</v>
      </c>
      <c r="H27" s="30">
        <v>1</v>
      </c>
      <c r="I27" s="30">
        <v>1</v>
      </c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</row>
    <row r="28" spans="1:15" x14ac:dyDescent="0.2">
      <c r="A28" s="22"/>
      <c r="B28" s="26"/>
      <c r="D28" s="13"/>
      <c r="E28" s="13">
        <f>200*12</f>
        <v>2400</v>
      </c>
      <c r="F28" s="30">
        <f>E28*F27</f>
        <v>2400</v>
      </c>
      <c r="G28" s="30">
        <f>F28*(1+Окружение!E5)</f>
        <v>2544</v>
      </c>
      <c r="H28" s="30">
        <f>G28*(1+Окружение!F5)</f>
        <v>2696.6400000000003</v>
      </c>
      <c r="I28" s="30">
        <f>H28*(1+Окружение!G5)</f>
        <v>2858.4384000000005</v>
      </c>
      <c r="J28" s="30">
        <f>I28*(1+Окружение!H5)</f>
        <v>3029.9447040000005</v>
      </c>
      <c r="K28" s="30">
        <f>J28*(1+Окружение!I5)</f>
        <v>3211.7413862400008</v>
      </c>
      <c r="L28" s="30">
        <f>K28*(1+Окружение!J5)</f>
        <v>3404.4458694144009</v>
      </c>
      <c r="M28" s="30">
        <f>L28*(1+Окружение!K5)</f>
        <v>3608.712621579265</v>
      </c>
      <c r="N28" s="30">
        <f>M28*(1+Окружение!L5)</f>
        <v>3825.2353788740211</v>
      </c>
      <c r="O28" s="30">
        <f>N28*(1+Окружение!M5)</f>
        <v>4054.7495016064627</v>
      </c>
    </row>
    <row r="29" spans="1:15" x14ac:dyDescent="0.2">
      <c r="A29" s="22"/>
      <c r="B29" s="26"/>
      <c r="C29" s="1" t="s">
        <v>442</v>
      </c>
      <c r="D29" s="13"/>
      <c r="E29" s="13"/>
      <c r="F29" s="30">
        <v>3</v>
      </c>
      <c r="G29" s="30">
        <v>3</v>
      </c>
      <c r="H29" s="30">
        <v>3</v>
      </c>
      <c r="I29" s="30">
        <v>3</v>
      </c>
      <c r="J29" s="30">
        <v>3</v>
      </c>
      <c r="K29" s="30">
        <v>3</v>
      </c>
      <c r="L29" s="30">
        <v>3</v>
      </c>
      <c r="M29" s="30">
        <v>3</v>
      </c>
      <c r="N29" s="30">
        <v>3</v>
      </c>
      <c r="O29" s="30">
        <v>3</v>
      </c>
    </row>
    <row r="30" spans="1:15" x14ac:dyDescent="0.2">
      <c r="A30" s="22"/>
      <c r="B30" s="26"/>
      <c r="D30" s="13"/>
      <c r="E30" s="13">
        <f>150*12</f>
        <v>1800</v>
      </c>
      <c r="F30" s="30">
        <f>E30*F29</f>
        <v>5400</v>
      </c>
      <c r="G30" s="30">
        <f>F30*(1+Окружение!E5)</f>
        <v>5724</v>
      </c>
      <c r="H30" s="30">
        <f>G30*(1+Окружение!F5)</f>
        <v>6067.4400000000005</v>
      </c>
      <c r="I30" s="30">
        <f>H30*(1+Окружение!G5)</f>
        <v>6431.4864000000007</v>
      </c>
      <c r="J30" s="30">
        <f>I30*(1+Окружение!H5)</f>
        <v>6817.3755840000013</v>
      </c>
      <c r="K30" s="30">
        <f>J30*(1+Окружение!I5)</f>
        <v>7226.4181190400013</v>
      </c>
      <c r="L30" s="30">
        <f>K30*(1+Окружение!J5)</f>
        <v>7660.0032061824022</v>
      </c>
      <c r="M30" s="30">
        <f>L30*(1+Окружение!K5)</f>
        <v>8119.6033985533468</v>
      </c>
      <c r="N30" s="30">
        <f>M30*(1+Окружение!L5)</f>
        <v>8606.7796024665477</v>
      </c>
      <c r="O30" s="30">
        <f>N30*(1+Окружение!M5)</f>
        <v>9123.1863786145404</v>
      </c>
    </row>
    <row r="31" spans="1:15" x14ac:dyDescent="0.2">
      <c r="A31" s="22"/>
      <c r="B31" s="26"/>
      <c r="C31" s="1" t="s">
        <v>443</v>
      </c>
      <c r="D31" s="13"/>
      <c r="E31" s="13"/>
      <c r="F31" s="30">
        <v>3</v>
      </c>
      <c r="G31" s="30">
        <v>3</v>
      </c>
      <c r="H31" s="30">
        <v>3</v>
      </c>
      <c r="I31" s="30">
        <v>3</v>
      </c>
      <c r="J31" s="30">
        <v>3</v>
      </c>
      <c r="K31" s="30">
        <v>3</v>
      </c>
      <c r="L31" s="30">
        <v>3</v>
      </c>
      <c r="M31" s="30">
        <v>3</v>
      </c>
      <c r="N31" s="30">
        <v>3</v>
      </c>
      <c r="O31" s="30">
        <v>3</v>
      </c>
    </row>
    <row r="32" spans="1:15" x14ac:dyDescent="0.2">
      <c r="A32" s="22"/>
      <c r="B32" s="26"/>
      <c r="D32" s="13"/>
      <c r="E32" s="13">
        <f>150*12</f>
        <v>1800</v>
      </c>
      <c r="F32" s="30">
        <f>E32*F31</f>
        <v>5400</v>
      </c>
      <c r="G32" s="30">
        <f>F32*(1+Окружение!E5)</f>
        <v>5724</v>
      </c>
      <c r="H32" s="30">
        <f>G32*(1+Окружение!F5)</f>
        <v>6067.4400000000005</v>
      </c>
      <c r="I32" s="30">
        <f>H32*(1+Окружение!G5)</f>
        <v>6431.4864000000007</v>
      </c>
      <c r="J32" s="30">
        <f>I32*(1+Окружение!H5)</f>
        <v>6817.3755840000013</v>
      </c>
      <c r="K32" s="30">
        <f>J32*(1+Окружение!I5)</f>
        <v>7226.4181190400013</v>
      </c>
      <c r="L32" s="30">
        <f>K32*(1+Окружение!J5)</f>
        <v>7660.0032061824022</v>
      </c>
      <c r="M32" s="30">
        <f>L32*(1+Окружение!K5)</f>
        <v>8119.6033985533468</v>
      </c>
      <c r="N32" s="30">
        <f>M32*(1+Окружение!L5)</f>
        <v>8606.7796024665477</v>
      </c>
      <c r="O32" s="30">
        <f>N32*(1+Окружение!M5)</f>
        <v>9123.1863786145404</v>
      </c>
    </row>
    <row r="33" spans="1:15" x14ac:dyDescent="0.2">
      <c r="A33" s="22"/>
      <c r="B33" s="26"/>
      <c r="C33" s="1" t="s">
        <v>440</v>
      </c>
      <c r="D33" s="13"/>
      <c r="E33" s="13"/>
      <c r="F33" s="30">
        <v>1</v>
      </c>
      <c r="G33" s="30">
        <v>1</v>
      </c>
      <c r="H33" s="30">
        <v>1</v>
      </c>
      <c r="I33" s="30">
        <v>1</v>
      </c>
      <c r="J33" s="30">
        <v>1</v>
      </c>
      <c r="K33" s="30">
        <v>1</v>
      </c>
      <c r="L33" s="30">
        <v>1</v>
      </c>
      <c r="M33" s="30">
        <v>1</v>
      </c>
      <c r="N33" s="30">
        <v>1</v>
      </c>
      <c r="O33" s="30">
        <v>1</v>
      </c>
    </row>
    <row r="34" spans="1:15" x14ac:dyDescent="0.2">
      <c r="A34" s="22"/>
      <c r="B34" s="26"/>
      <c r="D34" s="13"/>
      <c r="E34" s="13">
        <f>150*12</f>
        <v>1800</v>
      </c>
      <c r="F34" s="30">
        <f>E34*F33</f>
        <v>1800</v>
      </c>
      <c r="G34" s="30">
        <f>F34*(1+Окружение!E5)</f>
        <v>1908</v>
      </c>
      <c r="H34" s="30">
        <f>G34*(1+Окружение!F5)</f>
        <v>2022.48</v>
      </c>
      <c r="I34" s="30">
        <f>H34*(1+Окружение!G5)</f>
        <v>2143.8288000000002</v>
      </c>
      <c r="J34" s="30">
        <f>I34*(1+Окружение!H5)</f>
        <v>2272.4585280000006</v>
      </c>
      <c r="K34" s="30">
        <f>J34*(1+Окружение!I5)</f>
        <v>2408.8060396800006</v>
      </c>
      <c r="L34" s="30">
        <f>K34*(1+Окружение!J5)</f>
        <v>2553.3344020608006</v>
      </c>
      <c r="M34" s="30">
        <f>L34*(1+Окружение!K5)</f>
        <v>2706.5344661844488</v>
      </c>
      <c r="N34" s="30">
        <f>M34*(1+Окружение!L5)</f>
        <v>2868.926534155516</v>
      </c>
      <c r="O34" s="30">
        <f>N34*(1+Окружение!M5)</f>
        <v>3041.0621262048471</v>
      </c>
    </row>
    <row r="35" spans="1:15" x14ac:dyDescent="0.2">
      <c r="A35" s="22"/>
      <c r="B35" s="26"/>
      <c r="C35" s="1" t="s">
        <v>444</v>
      </c>
      <c r="D35" s="13"/>
      <c r="E35" s="13"/>
      <c r="F35" s="30">
        <v>2</v>
      </c>
      <c r="G35" s="30">
        <v>2</v>
      </c>
      <c r="H35" s="30">
        <v>2</v>
      </c>
      <c r="I35" s="30">
        <v>2</v>
      </c>
      <c r="J35" s="30">
        <v>2</v>
      </c>
      <c r="K35" s="30">
        <v>2</v>
      </c>
      <c r="L35" s="30">
        <v>2</v>
      </c>
      <c r="M35" s="30">
        <v>2</v>
      </c>
      <c r="N35" s="30">
        <v>2</v>
      </c>
      <c r="O35" s="30">
        <v>2</v>
      </c>
    </row>
    <row r="36" spans="1:15" x14ac:dyDescent="0.2">
      <c r="A36" s="22"/>
      <c r="B36" s="26"/>
      <c r="D36" s="13"/>
      <c r="E36" s="13">
        <f>100*12</f>
        <v>1200</v>
      </c>
      <c r="F36" s="30">
        <f>E36*F35</f>
        <v>2400</v>
      </c>
      <c r="G36" s="30">
        <f>F36*(1+Окружение!E5)</f>
        <v>2544</v>
      </c>
      <c r="H36" s="30">
        <f>G36*(1+Окружение!F5)</f>
        <v>2696.6400000000003</v>
      </c>
      <c r="I36" s="30">
        <f>H36*(1+Окружение!G5)</f>
        <v>2858.4384000000005</v>
      </c>
      <c r="J36" s="30">
        <f>I36*(1+Окружение!H5)</f>
        <v>3029.9447040000005</v>
      </c>
      <c r="K36" s="30">
        <f>J36*(1+Окружение!I5)</f>
        <v>3211.7413862400008</v>
      </c>
      <c r="L36" s="30">
        <f>K36*(1+Окружение!J5)</f>
        <v>3404.4458694144009</v>
      </c>
      <c r="M36" s="30">
        <f>L36*(1+Окружение!K5)</f>
        <v>3608.712621579265</v>
      </c>
      <c r="N36" s="30">
        <f>M36*(1+Окружение!L5)</f>
        <v>3825.2353788740211</v>
      </c>
      <c r="O36" s="30">
        <f>N36*(1+Окружение!M5)</f>
        <v>4054.7495016064627</v>
      </c>
    </row>
    <row r="37" spans="1:15" x14ac:dyDescent="0.2">
      <c r="D37" s="13"/>
      <c r="E37" s="13"/>
    </row>
    <row r="38" spans="1:15" x14ac:dyDescent="0.2">
      <c r="A38" s="22" t="s">
        <v>50</v>
      </c>
      <c r="D38" s="13" t="s">
        <v>51</v>
      </c>
      <c r="E38" s="13"/>
      <c r="F38" s="29">
        <f>F35+F33+F31+F29+F27+F25+F23+F21+F19+F17+F15+F13+F11+F9+F7+F5</f>
        <v>32</v>
      </c>
      <c r="G38" s="29">
        <f>F38</f>
        <v>32</v>
      </c>
      <c r="H38" s="29">
        <f t="shared" ref="H38:O38" si="5">G38</f>
        <v>32</v>
      </c>
      <c r="I38" s="29">
        <f t="shared" si="5"/>
        <v>32</v>
      </c>
      <c r="J38" s="29">
        <f t="shared" si="5"/>
        <v>32</v>
      </c>
      <c r="K38" s="29">
        <f t="shared" si="5"/>
        <v>32</v>
      </c>
      <c r="L38" s="29">
        <f t="shared" si="5"/>
        <v>32</v>
      </c>
      <c r="M38" s="29">
        <f t="shared" si="5"/>
        <v>32</v>
      </c>
      <c r="N38" s="29">
        <f t="shared" si="5"/>
        <v>32</v>
      </c>
      <c r="O38" s="29">
        <f t="shared" si="5"/>
        <v>32</v>
      </c>
    </row>
    <row r="39" spans="1:15" x14ac:dyDescent="0.2">
      <c r="A39" s="22" t="s">
        <v>447</v>
      </c>
      <c r="D39" s="13" t="s">
        <v>361</v>
      </c>
      <c r="E39" s="13"/>
      <c r="F39" s="29">
        <f>F36+F34+F32+F30+F28+F26+F22+F24+F20+F18+F16+F14+F12+F10+F8+F6</f>
        <v>142800</v>
      </c>
      <c r="G39" s="29">
        <f>F39*(1+Окружение!E5)</f>
        <v>151368</v>
      </c>
      <c r="H39" s="29">
        <f>G39*(1+Окружение!F5)</f>
        <v>160450.08000000002</v>
      </c>
      <c r="I39" s="29">
        <f>H39*(1+Окружение!G5)</f>
        <v>170077.08480000001</v>
      </c>
      <c r="J39" s="29">
        <f>I39*(1+Окружение!H5)</f>
        <v>180281.70988800001</v>
      </c>
      <c r="K39" s="29">
        <f>J39*(1+Окружение!I5)</f>
        <v>191098.61248128003</v>
      </c>
      <c r="L39" s="29">
        <f>K39*(1+Окружение!J5)</f>
        <v>202564.52923015683</v>
      </c>
      <c r="M39" s="29">
        <f>L39*(1+Окружение!K5)</f>
        <v>214718.40098396625</v>
      </c>
      <c r="N39" s="29">
        <f>M39*(1+Окружение!L5)</f>
        <v>227601.50504300423</v>
      </c>
      <c r="O39" s="29">
        <f>N39*(1+Окружение!M5)</f>
        <v>241257.5953455845</v>
      </c>
    </row>
    <row r="40" spans="1:15" x14ac:dyDescent="0.2">
      <c r="D40" s="13"/>
      <c r="E40" s="13"/>
      <c r="F40" s="66"/>
      <c r="G40" s="66"/>
      <c r="H40" s="66"/>
      <c r="I40" s="66"/>
      <c r="J40" s="66"/>
    </row>
    <row r="41" spans="1:15" x14ac:dyDescent="0.2">
      <c r="A41" s="22" t="s">
        <v>448</v>
      </c>
      <c r="D41" s="13" t="s">
        <v>361</v>
      </c>
      <c r="E41" s="13"/>
      <c r="F41" s="117">
        <f t="shared" ref="F41:O41" si="6">F39*1%</f>
        <v>1428</v>
      </c>
      <c r="G41" s="117">
        <f t="shared" si="6"/>
        <v>1513.68</v>
      </c>
      <c r="H41" s="117">
        <f t="shared" si="6"/>
        <v>1604.5008000000003</v>
      </c>
      <c r="I41" s="117">
        <f t="shared" si="6"/>
        <v>1700.7708480000001</v>
      </c>
      <c r="J41" s="117">
        <f t="shared" si="6"/>
        <v>1802.8170988800002</v>
      </c>
      <c r="K41" s="117">
        <f t="shared" si="6"/>
        <v>1910.9861248128002</v>
      </c>
      <c r="L41" s="117">
        <f t="shared" si="6"/>
        <v>2025.6452923015684</v>
      </c>
      <c r="M41" s="117">
        <f t="shared" si="6"/>
        <v>2147.1840098396624</v>
      </c>
      <c r="N41" s="117">
        <f t="shared" si="6"/>
        <v>2276.0150504300423</v>
      </c>
      <c r="O41" s="117">
        <f t="shared" si="6"/>
        <v>2412.5759534558451</v>
      </c>
    </row>
    <row r="42" spans="1:15" x14ac:dyDescent="0.2">
      <c r="B42" s="60"/>
      <c r="C42" s="60"/>
      <c r="D42" s="13"/>
      <c r="E42" s="13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x14ac:dyDescent="0.2">
      <c r="A43" s="22" t="s">
        <v>449</v>
      </c>
      <c r="D43" s="13" t="s">
        <v>361</v>
      </c>
      <c r="E43" s="13"/>
      <c r="F43" s="15">
        <f t="shared" ref="F43:O43" si="7">SUM(F39:F42)</f>
        <v>144228</v>
      </c>
      <c r="G43" s="15">
        <f t="shared" si="7"/>
        <v>152881.68</v>
      </c>
      <c r="H43" s="15">
        <f t="shared" si="7"/>
        <v>162054.58080000003</v>
      </c>
      <c r="I43" s="15">
        <f t="shared" si="7"/>
        <v>171777.85564800003</v>
      </c>
      <c r="J43" s="15">
        <f t="shared" si="7"/>
        <v>182084.52698688002</v>
      </c>
      <c r="K43" s="15">
        <f t="shared" si="7"/>
        <v>193009.59860609283</v>
      </c>
      <c r="L43" s="15">
        <f t="shared" si="7"/>
        <v>204590.1745224584</v>
      </c>
      <c r="M43" s="15">
        <f t="shared" si="7"/>
        <v>216865.58499380591</v>
      </c>
      <c r="N43" s="15">
        <f t="shared" si="7"/>
        <v>229877.52009343429</v>
      </c>
      <c r="O43" s="15">
        <f t="shared" si="7"/>
        <v>243670.17129904035</v>
      </c>
    </row>
    <row r="44" spans="1:15" x14ac:dyDescent="0.2">
      <c r="D44" s="13"/>
      <c r="E44" s="13"/>
    </row>
    <row r="45" spans="1:15" x14ac:dyDescent="0.2">
      <c r="D45" s="13"/>
      <c r="E45" s="13"/>
    </row>
    <row r="46" spans="1:15" x14ac:dyDescent="0.2">
      <c r="D46" s="13"/>
      <c r="E46" s="13"/>
    </row>
    <row r="47" spans="1:15" x14ac:dyDescent="0.2">
      <c r="D47" s="13"/>
      <c r="E47" s="13"/>
    </row>
    <row r="48" spans="1:15" x14ac:dyDescent="0.2">
      <c r="D48" s="13"/>
      <c r="E48" s="13"/>
    </row>
    <row r="49" spans="4:5" x14ac:dyDescent="0.2">
      <c r="D49" s="13"/>
      <c r="E49" s="13"/>
    </row>
    <row r="50" spans="4:5" x14ac:dyDescent="0.2">
      <c r="D50" s="13"/>
      <c r="E50" s="13"/>
    </row>
    <row r="51" spans="4:5" x14ac:dyDescent="0.2">
      <c r="D51" s="13"/>
      <c r="E51" s="13"/>
    </row>
    <row r="52" spans="4:5" x14ac:dyDescent="0.2">
      <c r="D52" s="13"/>
      <c r="E52" s="13"/>
    </row>
    <row r="53" spans="4:5" x14ac:dyDescent="0.2">
      <c r="D53" s="13"/>
      <c r="E53" s="13"/>
    </row>
    <row r="54" spans="4:5" x14ac:dyDescent="0.2">
      <c r="D54" s="13"/>
      <c r="E54" s="13"/>
    </row>
    <row r="55" spans="4:5" x14ac:dyDescent="0.2">
      <c r="D55" s="13"/>
      <c r="E55" s="13"/>
    </row>
    <row r="56" spans="4:5" x14ac:dyDescent="0.2">
      <c r="D56" s="13"/>
      <c r="E56" s="13"/>
    </row>
    <row r="57" spans="4:5" x14ac:dyDescent="0.2">
      <c r="D57" s="13"/>
      <c r="E57" s="13"/>
    </row>
    <row r="58" spans="4:5" x14ac:dyDescent="0.2">
      <c r="D58" s="13"/>
      <c r="E58" s="13"/>
    </row>
    <row r="59" spans="4:5" x14ac:dyDescent="0.2">
      <c r="D59" s="13"/>
      <c r="E59" s="13"/>
    </row>
    <row r="60" spans="4:5" x14ac:dyDescent="0.2">
      <c r="D60" s="13"/>
      <c r="E60" s="13"/>
    </row>
    <row r="61" spans="4:5" x14ac:dyDescent="0.2">
      <c r="D61" s="13"/>
      <c r="E61" s="13"/>
    </row>
    <row r="62" spans="4:5" x14ac:dyDescent="0.2">
      <c r="D62" s="13"/>
      <c r="E62" s="13"/>
    </row>
    <row r="63" spans="4:5" x14ac:dyDescent="0.2">
      <c r="D63" s="13"/>
      <c r="E63" s="13"/>
    </row>
    <row r="64" spans="4:5" x14ac:dyDescent="0.2">
      <c r="D64" s="13"/>
      <c r="E64" s="13"/>
    </row>
    <row r="65" spans="4:5" x14ac:dyDescent="0.2">
      <c r="D65" s="13"/>
      <c r="E65" s="13"/>
    </row>
    <row r="66" spans="4:5" x14ac:dyDescent="0.2">
      <c r="D66" s="13"/>
      <c r="E66" s="13"/>
    </row>
    <row r="67" spans="4:5" x14ac:dyDescent="0.2">
      <c r="D67" s="13"/>
      <c r="E67" s="13"/>
    </row>
    <row r="68" spans="4:5" x14ac:dyDescent="0.2">
      <c r="D68" s="13"/>
      <c r="E68" s="13"/>
    </row>
    <row r="69" spans="4:5" x14ac:dyDescent="0.2">
      <c r="D69" s="13"/>
      <c r="E69" s="13"/>
    </row>
    <row r="70" spans="4:5" x14ac:dyDescent="0.2">
      <c r="D70" s="13"/>
      <c r="E70" s="13"/>
    </row>
    <row r="71" spans="4:5" x14ac:dyDescent="0.2">
      <c r="D71" s="13"/>
      <c r="E71" s="13"/>
    </row>
  </sheetData>
  <mergeCells count="5">
    <mergeCell ref="N2:O2"/>
    <mergeCell ref="F2:G2"/>
    <mergeCell ref="H2:I2"/>
    <mergeCell ref="J2:K2"/>
    <mergeCell ref="L2:M2"/>
  </mergeCells>
  <phoneticPr fontId="0" type="noConversion"/>
  <hyperlinks>
    <hyperlink ref="C1" r:id="rId1"/>
  </hyperlinks>
  <pageMargins left="0.75" right="0.75" top="1" bottom="1" header="0.5" footer="0.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54"/>
  <sheetViews>
    <sheetView zoomScaleNormal="85" workbookViewId="0">
      <pane xSplit="4" ySplit="2" topLeftCell="E15" activePane="bottomRight" state="frozen"/>
      <selection pane="topRight" activeCell="E1" sqref="E1"/>
      <selection pane="bottomLeft" activeCell="A3" sqref="A3"/>
      <selection pane="bottomRight" activeCell="F34" sqref="F34"/>
    </sheetView>
  </sheetViews>
  <sheetFormatPr defaultRowHeight="12.75" x14ac:dyDescent="0.2"/>
  <cols>
    <col min="1" max="3" width="3.7109375" style="1" customWidth="1"/>
    <col min="4" max="4" width="40.28515625" style="1" customWidth="1"/>
    <col min="5" max="5" width="10.28515625" style="1" customWidth="1"/>
    <col min="6" max="6" width="11.28515625" style="1" bestFit="1" customWidth="1"/>
    <col min="7" max="7" width="11" style="1" bestFit="1" customWidth="1"/>
    <col min="8" max="9" width="12" style="1" bestFit="1" customWidth="1"/>
    <col min="10" max="10" width="12.5703125" style="1" bestFit="1" customWidth="1"/>
    <col min="11" max="13" width="12" style="1" bestFit="1" customWidth="1"/>
    <col min="14" max="14" width="9.28515625" style="1" bestFit="1" customWidth="1"/>
    <col min="15" max="15" width="9.5703125" style="1" bestFit="1" customWidth="1"/>
    <col min="16" max="16" width="11.7109375" style="1" bestFit="1" customWidth="1"/>
    <col min="17" max="16384" width="9.140625" style="1"/>
  </cols>
  <sheetData>
    <row r="1" spans="1:16" ht="18" x14ac:dyDescent="0.25">
      <c r="D1" s="242" t="s">
        <v>349</v>
      </c>
    </row>
    <row r="2" spans="1:16" s="2" customFormat="1" x14ac:dyDescent="0.2">
      <c r="A2" s="11" t="s">
        <v>52</v>
      </c>
      <c r="B2" s="11"/>
      <c r="C2" s="12"/>
      <c r="D2" s="12"/>
      <c r="E2" s="2" t="s">
        <v>453</v>
      </c>
      <c r="F2" s="349"/>
      <c r="G2" s="349"/>
      <c r="H2" s="349"/>
      <c r="I2" s="349"/>
      <c r="J2" s="350"/>
      <c r="K2" s="350"/>
      <c r="L2" s="342"/>
      <c r="M2" s="342"/>
      <c r="N2" s="351"/>
      <c r="O2" s="351"/>
    </row>
    <row r="3" spans="1:16" x14ac:dyDescent="0.2">
      <c r="F3" s="327" t="s">
        <v>353</v>
      </c>
      <c r="G3" s="327" t="s">
        <v>354</v>
      </c>
      <c r="H3" s="327" t="s">
        <v>355</v>
      </c>
      <c r="I3" s="327" t="s">
        <v>356</v>
      </c>
      <c r="J3" s="327" t="s">
        <v>357</v>
      </c>
      <c r="K3" s="327" t="s">
        <v>358</v>
      </c>
      <c r="L3" s="327" t="s">
        <v>359</v>
      </c>
      <c r="M3" s="327" t="s">
        <v>360</v>
      </c>
      <c r="N3" s="327" t="s">
        <v>405</v>
      </c>
      <c r="O3" s="327" t="s">
        <v>406</v>
      </c>
    </row>
    <row r="4" spans="1:16" s="33" customFormat="1" x14ac:dyDescent="0.2">
      <c r="A4" s="23" t="s">
        <v>54</v>
      </c>
      <c r="B4" s="32"/>
    </row>
    <row r="5" spans="1:16" s="33" customFormat="1" x14ac:dyDescent="0.2">
      <c r="B5" s="251"/>
      <c r="C5" s="239"/>
      <c r="D5" s="239"/>
    </row>
    <row r="6" spans="1:16" s="33" customFormat="1" x14ac:dyDescent="0.2">
      <c r="B6" s="251" t="s">
        <v>450</v>
      </c>
      <c r="D6" s="239"/>
    </row>
    <row r="7" spans="1:16" s="33" customFormat="1" x14ac:dyDescent="0.2">
      <c r="B7" s="251"/>
      <c r="C7" s="239"/>
      <c r="D7" s="33" t="s">
        <v>452</v>
      </c>
      <c r="E7" s="35">
        <v>3</v>
      </c>
      <c r="F7" s="35">
        <f>210*E7*'Пр-во и Продажи'!D7</f>
        <v>103950</v>
      </c>
      <c r="G7" s="35">
        <f>F7*(1+Окружение!E5)</f>
        <v>110187</v>
      </c>
      <c r="H7" s="319">
        <f>G7*(1+Окружение!F5)</f>
        <v>116798.22</v>
      </c>
      <c r="I7" s="319">
        <f>H7*(1+Окружение!G5)</f>
        <v>123806.11320000001</v>
      </c>
      <c r="J7" s="319">
        <f>I7*(1+Окружение!H5)</f>
        <v>131234.47999200001</v>
      </c>
      <c r="K7" s="319">
        <f>J7*(1+Окружение!I5)</f>
        <v>139108.54879152001</v>
      </c>
      <c r="L7" s="319">
        <f>K7*(1+Окружение!J5)</f>
        <v>147455.06171901122</v>
      </c>
      <c r="M7" s="319">
        <f>L7*(1+Окружение!K5)</f>
        <v>156302.3654221519</v>
      </c>
      <c r="N7" s="319">
        <f>M7*(1+Окружение!L5)</f>
        <v>165680.50734748101</v>
      </c>
      <c r="O7" s="319">
        <f>N7*(1+Окружение!M5)</f>
        <v>175621.33778832987</v>
      </c>
    </row>
    <row r="8" spans="1:16" s="33" customFormat="1" x14ac:dyDescent="0.2">
      <c r="B8" s="251"/>
      <c r="C8" s="239"/>
      <c r="D8" s="33" t="s">
        <v>451</v>
      </c>
      <c r="E8" s="35">
        <v>20</v>
      </c>
      <c r="F8" s="35">
        <f>E8*210</f>
        <v>4200</v>
      </c>
      <c r="G8" s="35">
        <f>F8*(1+Окружение!D5)</f>
        <v>4452</v>
      </c>
      <c r="H8" s="319">
        <f>G8*(1+Окружение!E5)</f>
        <v>4719.12</v>
      </c>
      <c r="I8" s="319">
        <f>H8*(1+Окружение!F5)</f>
        <v>5002.2672000000002</v>
      </c>
      <c r="J8" s="319">
        <f>I8*(1+Окружение!G5)</f>
        <v>5302.4032320000006</v>
      </c>
      <c r="K8" s="319">
        <f>J8*(1+Окружение!H5)</f>
        <v>5620.5474259200009</v>
      </c>
      <c r="L8" s="319">
        <f>K8*(1+Окружение!I5)</f>
        <v>5957.7802714752015</v>
      </c>
      <c r="M8" s="319">
        <f>L8*(1+Окружение!J5)</f>
        <v>6315.2470877637143</v>
      </c>
      <c r="N8" s="319">
        <f>M8*(1+Окружение!K5)</f>
        <v>6694.1619130295376</v>
      </c>
      <c r="O8" s="319">
        <f>N8*(1+Окружение!L5)</f>
        <v>7095.8116278113102</v>
      </c>
    </row>
    <row r="9" spans="1:16" s="33" customFormat="1" x14ac:dyDescent="0.2">
      <c r="B9" s="239"/>
      <c r="C9" s="239"/>
      <c r="D9" s="33" t="s">
        <v>454</v>
      </c>
      <c r="E9" s="36">
        <v>30</v>
      </c>
      <c r="F9" s="330">
        <f>E9*210</f>
        <v>6300</v>
      </c>
      <c r="G9" s="27">
        <f>F9</f>
        <v>6300</v>
      </c>
      <c r="H9" s="27">
        <f t="shared" ref="H9:O9" si="0">G9</f>
        <v>6300</v>
      </c>
      <c r="I9" s="27">
        <f t="shared" si="0"/>
        <v>6300</v>
      </c>
      <c r="J9" s="27">
        <f t="shared" si="0"/>
        <v>6300</v>
      </c>
      <c r="K9" s="27">
        <f t="shared" si="0"/>
        <v>6300</v>
      </c>
      <c r="L9" s="27">
        <f t="shared" si="0"/>
        <v>6300</v>
      </c>
      <c r="M9" s="27">
        <f t="shared" si="0"/>
        <v>6300</v>
      </c>
      <c r="N9" s="27">
        <f t="shared" si="0"/>
        <v>6300</v>
      </c>
      <c r="O9" s="27">
        <f t="shared" si="0"/>
        <v>6300</v>
      </c>
    </row>
    <row r="10" spans="1:16" s="33" customFormat="1" x14ac:dyDescent="0.2">
      <c r="B10" s="239"/>
      <c r="C10" s="239"/>
      <c r="D10" s="239"/>
      <c r="E10" s="72"/>
      <c r="F10" s="317"/>
      <c r="G10" s="318"/>
      <c r="H10" s="318"/>
      <c r="I10" s="318"/>
      <c r="J10" s="318"/>
      <c r="K10" s="318"/>
      <c r="L10" s="318"/>
      <c r="M10" s="318"/>
      <c r="N10" s="318"/>
      <c r="O10" s="318"/>
    </row>
    <row r="11" spans="1:16" s="33" customFormat="1" x14ac:dyDescent="0.2">
      <c r="B11" s="37" t="s">
        <v>397</v>
      </c>
      <c r="E11" s="72" t="s">
        <v>361</v>
      </c>
      <c r="F11" s="252">
        <f t="shared" ref="F11:O11" si="1">SUM(F7:F10)</f>
        <v>114450</v>
      </c>
      <c r="G11" s="252">
        <f t="shared" si="1"/>
        <v>120939</v>
      </c>
      <c r="H11" s="252">
        <f t="shared" si="1"/>
        <v>127817.34</v>
      </c>
      <c r="I11" s="252">
        <f t="shared" si="1"/>
        <v>135108.38040000002</v>
      </c>
      <c r="J11" s="252">
        <f t="shared" si="1"/>
        <v>142836.88322400002</v>
      </c>
      <c r="K11" s="252">
        <f t="shared" si="1"/>
        <v>151029.09621744</v>
      </c>
      <c r="L11" s="252">
        <f t="shared" si="1"/>
        <v>159712.84199048643</v>
      </c>
      <c r="M11" s="252">
        <f t="shared" si="1"/>
        <v>168917.61250991561</v>
      </c>
      <c r="N11" s="252">
        <f t="shared" si="1"/>
        <v>178674.66926051053</v>
      </c>
      <c r="O11" s="252">
        <f t="shared" si="1"/>
        <v>189017.14941614118</v>
      </c>
    </row>
    <row r="12" spans="1:16" s="33" customFormat="1" x14ac:dyDescent="0.2">
      <c r="B12" s="39" t="s">
        <v>53</v>
      </c>
      <c r="E12" s="72" t="s">
        <v>361</v>
      </c>
      <c r="F12" s="253">
        <f>F11*15%</f>
        <v>17167.5</v>
      </c>
      <c r="G12" s="253">
        <f>G11*15%</f>
        <v>18140.849999999999</v>
      </c>
      <c r="H12" s="253">
        <f>H11*15%</f>
        <v>19172.600999999999</v>
      </c>
      <c r="I12" s="253">
        <f>I11*15%</f>
        <v>20266.257060000004</v>
      </c>
      <c r="J12" s="253">
        <f t="shared" ref="J12:M12" si="2">J11*15%</f>
        <v>21425.532483600004</v>
      </c>
      <c r="K12" s="253">
        <f t="shared" si="2"/>
        <v>22654.364432615999</v>
      </c>
      <c r="L12" s="253">
        <f t="shared" si="2"/>
        <v>23956.926298572962</v>
      </c>
      <c r="M12" s="253">
        <f t="shared" si="2"/>
        <v>25337.641876487342</v>
      </c>
      <c r="N12" s="253">
        <f>N11*15%</f>
        <v>26801.200389076581</v>
      </c>
      <c r="O12" s="253">
        <f t="shared" ref="O12" si="3">O11*15%</f>
        <v>28352.572412421177</v>
      </c>
      <c r="P12" s="320"/>
    </row>
    <row r="13" spans="1:16" s="33" customFormat="1" x14ac:dyDescent="0.2">
      <c r="B13" s="39"/>
      <c r="C13" s="39"/>
      <c r="E13" s="72"/>
      <c r="F13" s="252"/>
      <c r="G13" s="252"/>
      <c r="H13" s="41"/>
      <c r="I13" s="41"/>
      <c r="J13" s="41"/>
      <c r="K13" s="41"/>
      <c r="L13" s="41"/>
      <c r="M13" s="41"/>
      <c r="N13" s="41"/>
      <c r="O13" s="41"/>
      <c r="P13" s="252"/>
    </row>
    <row r="14" spans="1:16" s="33" customFormat="1" x14ac:dyDescent="0.2">
      <c r="A14" s="75" t="s">
        <v>364</v>
      </c>
      <c r="B14" s="34"/>
      <c r="E14" s="72"/>
    </row>
    <row r="15" spans="1:16" s="33" customFormat="1" x14ac:dyDescent="0.2">
      <c r="B15" s="34" t="s">
        <v>455</v>
      </c>
      <c r="E15" s="72">
        <v>20</v>
      </c>
      <c r="F15" s="28">
        <f>E15*210</f>
        <v>4200</v>
      </c>
      <c r="G15" s="28">
        <f>F15*Окружение!E6</f>
        <v>4452</v>
      </c>
      <c r="H15" s="28">
        <f>F15*Окружение!F6</f>
        <v>4719.1200000000008</v>
      </c>
      <c r="I15" s="28">
        <f>F15*Окружение!G6</f>
        <v>5002.2672000000011</v>
      </c>
      <c r="J15" s="27">
        <f>I15*(1+Окружение!H5)</f>
        <v>5302.4032320000015</v>
      </c>
      <c r="K15" s="27">
        <f>J15*(1+Окружение!I5)</f>
        <v>5620.5474259200018</v>
      </c>
      <c r="L15" s="27">
        <f>K15*(1+Окружение!J5)</f>
        <v>5957.7802714752024</v>
      </c>
      <c r="M15" s="27">
        <f>L15*(1+Окружение!K5)</f>
        <v>6315.2470877637152</v>
      </c>
      <c r="N15" s="27">
        <f>M15*(1+Окружение!L5)</f>
        <v>6694.1619130295385</v>
      </c>
      <c r="O15" s="27">
        <f>N15*(1+Окружение!M5)</f>
        <v>7095.8116278113112</v>
      </c>
    </row>
    <row r="16" spans="1:16" s="33" customFormat="1" x14ac:dyDescent="0.2">
      <c r="B16" s="39" t="s">
        <v>53</v>
      </c>
      <c r="E16" s="72" t="s">
        <v>361</v>
      </c>
      <c r="F16" s="42">
        <f>F15*15%</f>
        <v>630</v>
      </c>
      <c r="G16" s="42">
        <f>F16*(1+Окружение!E5)</f>
        <v>667.80000000000007</v>
      </c>
      <c r="H16" s="42">
        <f>G16*(1+Окружение!F5)</f>
        <v>707.86800000000005</v>
      </c>
      <c r="I16" s="42">
        <f>H16*(1+Окружение!G5)</f>
        <v>750.34008000000006</v>
      </c>
      <c r="J16" s="42">
        <f>I16*(1+Окружение!H5)</f>
        <v>795.36048480000011</v>
      </c>
      <c r="K16" s="42">
        <f>J16*(1+Окружение!I5)</f>
        <v>843.08211388800021</v>
      </c>
      <c r="L16" s="42">
        <f>K16*(1+Окружение!J5)</f>
        <v>893.66704072128027</v>
      </c>
      <c r="M16" s="42">
        <f>L16*(1+Окружение!K5)</f>
        <v>947.28706316455714</v>
      </c>
      <c r="N16" s="42">
        <f>M16*(1+Окружение!L5)</f>
        <v>1004.1242869544307</v>
      </c>
      <c r="O16" s="42">
        <f>N16*(1+Окружение!M5)</f>
        <v>1064.3717441716965</v>
      </c>
    </row>
    <row r="17" spans="1:15" s="33" customFormat="1" x14ac:dyDescent="0.2">
      <c r="B17" s="34" t="s">
        <v>456</v>
      </c>
      <c r="E17" s="72">
        <v>10</v>
      </c>
      <c r="F17" s="28">
        <f>E17*210</f>
        <v>2100</v>
      </c>
      <c r="G17" s="28">
        <f>F17*(1+Окружение!E5)</f>
        <v>2226</v>
      </c>
      <c r="H17" s="28">
        <f>G17*(1+Окружение!F5)</f>
        <v>2359.56</v>
      </c>
      <c r="I17" s="28">
        <f>H17*(1+Окружение!G5)</f>
        <v>2501.1336000000001</v>
      </c>
      <c r="J17" s="28">
        <f>I17*(1+Окружение!H5)</f>
        <v>2651.2016160000003</v>
      </c>
      <c r="K17" s="28">
        <f>J17*(1+Окружение!I5)</f>
        <v>2810.2737129600005</v>
      </c>
      <c r="L17" s="28">
        <f>K17*(1+Окружение!J5)</f>
        <v>2978.8901357376008</v>
      </c>
      <c r="M17" s="28">
        <f>L17*(1+Окружение!K5)</f>
        <v>3157.6235438818571</v>
      </c>
      <c r="N17" s="28">
        <f>M17*(1+Окружение!L5)</f>
        <v>3347.0809565147688</v>
      </c>
      <c r="O17" s="28">
        <f>N17*(1+Окружение!M5)</f>
        <v>3547.9058139056551</v>
      </c>
    </row>
    <row r="18" spans="1:15" s="33" customFormat="1" x14ac:dyDescent="0.2">
      <c r="B18" s="39" t="s">
        <v>53</v>
      </c>
      <c r="E18" s="72" t="s">
        <v>361</v>
      </c>
      <c r="F18" s="42">
        <f>F17*15%</f>
        <v>315</v>
      </c>
      <c r="G18" s="42">
        <f>F18*(1+Окружение!E5)</f>
        <v>333.90000000000003</v>
      </c>
      <c r="H18" s="42">
        <f>H17-H17/(1+Окружение!F9)</f>
        <v>307.76869565217385</v>
      </c>
      <c r="I18" s="42">
        <f>I17-I17/(1+Окружение!G9)</f>
        <v>326.2348173913042</v>
      </c>
      <c r="J18" s="42">
        <f>J17-J17/(1+Окружение!H9)</f>
        <v>345.80890643478233</v>
      </c>
      <c r="K18" s="42">
        <f>K17-K17/(1+Окружение!I9)</f>
        <v>366.55744082086949</v>
      </c>
      <c r="L18" s="42">
        <f>L17-L17/(1+Окружение!J9)</f>
        <v>388.55088727012162</v>
      </c>
      <c r="M18" s="42">
        <f>M17-M17/(1+Окружение!K9)</f>
        <v>411.86394050632907</v>
      </c>
      <c r="N18" s="42">
        <f>N17-N17/(1+Окружение!L9)</f>
        <v>436.57577693670873</v>
      </c>
      <c r="O18" s="42">
        <f>O17-O17/(1+Окружение!M9)</f>
        <v>462.77032355291112</v>
      </c>
    </row>
    <row r="19" spans="1:15" s="33" customFormat="1" x14ac:dyDescent="0.2">
      <c r="B19" s="39" t="s">
        <v>457</v>
      </c>
      <c r="E19" s="36">
        <v>5</v>
      </c>
      <c r="F19" s="42">
        <f>E19*210</f>
        <v>1050</v>
      </c>
      <c r="G19" s="42">
        <f>F19*(1+Окружение!E5)</f>
        <v>1113</v>
      </c>
      <c r="H19" s="42">
        <f>G19*(1+Окружение!F5)</f>
        <v>1179.78</v>
      </c>
      <c r="I19" s="42">
        <f>H19*(1+Окружение!G5)</f>
        <v>1250.5668000000001</v>
      </c>
      <c r="J19" s="42">
        <f>I19*(1+Окружение!H5)</f>
        <v>1325.6008080000001</v>
      </c>
      <c r="K19" s="42">
        <f>J19*(1+Окружение!I5)</f>
        <v>1405.1368564800002</v>
      </c>
      <c r="L19" s="42">
        <f>K19*(1+Окружение!J5)</f>
        <v>1489.4450678688004</v>
      </c>
      <c r="M19" s="42">
        <f>L19*(1+Окружение!K5)</f>
        <v>1578.8117719409286</v>
      </c>
      <c r="N19" s="42">
        <f>M19*(1+Окружение!L5)</f>
        <v>1673.5404782573844</v>
      </c>
      <c r="O19" s="42">
        <f>N19*(1+Окружение!M5)</f>
        <v>1773.9529069528276</v>
      </c>
    </row>
    <row r="20" spans="1:15" s="33" customFormat="1" x14ac:dyDescent="0.2">
      <c r="B20" s="39" t="s">
        <v>53</v>
      </c>
      <c r="E20" s="36"/>
      <c r="F20" s="42">
        <f>F19*15%</f>
        <v>157.5</v>
      </c>
      <c r="G20" s="42">
        <f>F20*(1+Окружение!E5)</f>
        <v>166.95000000000002</v>
      </c>
      <c r="H20" s="42">
        <f>G20*(1+Окружение!F5)</f>
        <v>176.96700000000001</v>
      </c>
      <c r="I20" s="42">
        <f>H20*(1+Окружение!G5)</f>
        <v>187.58502000000001</v>
      </c>
      <c r="J20" s="42">
        <f>I20*(1+Окружение!H5)</f>
        <v>198.84012120000003</v>
      </c>
      <c r="K20" s="42">
        <f>J20*(1+Окружение!I5)</f>
        <v>210.77052847200005</v>
      </c>
      <c r="L20" s="42">
        <f>K20*(1+Окружение!J5)</f>
        <v>223.41676018032007</v>
      </c>
      <c r="M20" s="42">
        <f>L20*(1+Окружение!K5)</f>
        <v>236.82176579113928</v>
      </c>
      <c r="N20" s="42">
        <f>M20*(1+Окружение!L5)</f>
        <v>251.03107173860766</v>
      </c>
      <c r="O20" s="42">
        <f>N20*(1+Окружение!M5)</f>
        <v>266.09293604292412</v>
      </c>
    </row>
    <row r="21" spans="1:15" s="33" customFormat="1" x14ac:dyDescent="0.2">
      <c r="B21" s="39" t="s">
        <v>458</v>
      </c>
      <c r="E21" s="36">
        <v>5</v>
      </c>
      <c r="F21" s="42">
        <f>E21*210</f>
        <v>1050</v>
      </c>
      <c r="G21" s="42">
        <f>F21*(1+Окружение!E5)</f>
        <v>1113</v>
      </c>
      <c r="H21" s="42">
        <f>G21*(1+Окружение!F5)</f>
        <v>1179.78</v>
      </c>
      <c r="I21" s="42">
        <f>H21*(1+Окружение!G5)</f>
        <v>1250.5668000000001</v>
      </c>
      <c r="J21" s="42">
        <f>I21*(1+Окружение!H5)</f>
        <v>1325.6008080000001</v>
      </c>
      <c r="K21" s="42">
        <f>J21*(1+Окружение!I5)</f>
        <v>1405.1368564800002</v>
      </c>
      <c r="L21" s="42">
        <f>K21*(1+Окружение!J5)</f>
        <v>1489.4450678688004</v>
      </c>
      <c r="M21" s="42">
        <f>L21*(1+Окружение!K5)</f>
        <v>1578.8117719409286</v>
      </c>
      <c r="N21" s="42">
        <f>M21*(1+Окружение!L5)</f>
        <v>1673.5404782573844</v>
      </c>
      <c r="O21" s="42">
        <f>N21*(1+Окружение!M5)</f>
        <v>1773.9529069528276</v>
      </c>
    </row>
    <row r="22" spans="1:15" s="33" customFormat="1" x14ac:dyDescent="0.2">
      <c r="B22" s="39" t="s">
        <v>53</v>
      </c>
      <c r="E22" s="72"/>
      <c r="F22" s="42">
        <f>F21*15%</f>
        <v>157.5</v>
      </c>
      <c r="G22" s="42">
        <f>F22*(1+Окружение!E5)</f>
        <v>166.95000000000002</v>
      </c>
      <c r="H22" s="42">
        <f>G22*(1+Окружение!F5)</f>
        <v>176.96700000000001</v>
      </c>
      <c r="I22" s="42">
        <f>H22*(1+Окружение!G5)</f>
        <v>187.58502000000001</v>
      </c>
      <c r="J22" s="42">
        <f>I22*(1+Окружение!H5)</f>
        <v>198.84012120000003</v>
      </c>
      <c r="K22" s="42">
        <f>J22*(1+Окружение!I5)</f>
        <v>210.77052847200005</v>
      </c>
      <c r="L22" s="42">
        <f>K22*(1+Окружение!J5)</f>
        <v>223.41676018032007</v>
      </c>
      <c r="M22" s="42">
        <f>L22*(1+Окружение!K5)</f>
        <v>236.82176579113928</v>
      </c>
      <c r="N22" s="42">
        <f>M22*(1+Окружение!L5)</f>
        <v>251.03107173860766</v>
      </c>
      <c r="O22" s="42">
        <f>N22*(1+Окружение!M5)</f>
        <v>266.09293604292412</v>
      </c>
    </row>
    <row r="23" spans="1:15" s="33" customFormat="1" x14ac:dyDescent="0.2">
      <c r="B23" s="37" t="s">
        <v>481</v>
      </c>
      <c r="E23" s="72" t="s">
        <v>361</v>
      </c>
      <c r="F23" s="15">
        <f>F21+F19+F17+F15</f>
        <v>8400</v>
      </c>
      <c r="G23" s="15">
        <f>F23*(1+Окружение!E5)</f>
        <v>8904</v>
      </c>
      <c r="H23" s="15">
        <f>G23*(1+Окружение!F5)</f>
        <v>9438.24</v>
      </c>
      <c r="I23" s="15">
        <f>H23*(1+Окружение!G5)</f>
        <v>10004.5344</v>
      </c>
      <c r="J23" s="15">
        <f>I23*(1+Окружение!H5)</f>
        <v>10604.806464000001</v>
      </c>
      <c r="K23" s="15">
        <f>J23*(1+Окружение!I5)</f>
        <v>11241.094851840002</v>
      </c>
      <c r="L23" s="15">
        <f>K23*(1+Окружение!J5)</f>
        <v>11915.560542950403</v>
      </c>
      <c r="M23" s="15">
        <f>L23*(1+Окружение!K5)</f>
        <v>12630.494175527429</v>
      </c>
      <c r="N23" s="15">
        <f>M23*(1+Окружение!L5)</f>
        <v>13388.323826059075</v>
      </c>
      <c r="O23" s="15">
        <f>N23*(1+Окружение!M5)</f>
        <v>14191.62325562262</v>
      </c>
    </row>
    <row r="24" spans="1:15" s="33" customFormat="1" x14ac:dyDescent="0.2">
      <c r="B24" s="39" t="s">
        <v>53</v>
      </c>
      <c r="E24" s="72" t="s">
        <v>361</v>
      </c>
      <c r="F24" s="42">
        <f>F23*15%</f>
        <v>1260</v>
      </c>
      <c r="G24" s="42">
        <f>F24*(1+Окружение!E5)</f>
        <v>1335.6000000000001</v>
      </c>
      <c r="H24" s="42">
        <f>G24*(1+Окружение!F5)</f>
        <v>1415.7360000000001</v>
      </c>
      <c r="I24" s="42">
        <f>H24*(1+Окружение!G5)</f>
        <v>1500.6801600000001</v>
      </c>
      <c r="J24" s="42">
        <f>I24*(1+Окружение!H5)</f>
        <v>1590.7209696000002</v>
      </c>
      <c r="K24" s="42">
        <f>J24*(1+Окружение!I5)</f>
        <v>1686.1642277760004</v>
      </c>
      <c r="L24" s="42">
        <f>K24*(1+Окружение!J5)</f>
        <v>1787.3340814425605</v>
      </c>
      <c r="M24" s="42">
        <f>L24*(1+Окружение!K5)</f>
        <v>1894.5741263291143</v>
      </c>
      <c r="N24" s="42">
        <f>M24*(1+Окружение!L5)</f>
        <v>2008.2485739088613</v>
      </c>
      <c r="O24" s="42">
        <f>N24*(1+Окружение!M5)</f>
        <v>2128.743488343393</v>
      </c>
    </row>
    <row r="25" spans="1:15" s="33" customFormat="1" x14ac:dyDescent="0.2">
      <c r="B25" s="37"/>
      <c r="E25" s="72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s="33" customFormat="1" x14ac:dyDescent="0.2">
      <c r="A26" s="31"/>
      <c r="B26" s="37"/>
      <c r="E26" s="72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s="33" customFormat="1" x14ac:dyDescent="0.2">
      <c r="A27" s="23" t="s">
        <v>366</v>
      </c>
      <c r="E27" s="72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s="33" customFormat="1" x14ac:dyDescent="0.2">
      <c r="B28" s="34" t="s">
        <v>17</v>
      </c>
      <c r="E28" s="72" t="s">
        <v>361</v>
      </c>
      <c r="F28" s="28">
        <f>'Пр-во и Продажи'!D13*2%</f>
        <v>7260</v>
      </c>
      <c r="G28" s="27">
        <f>F28*(1+Окружение!E5)</f>
        <v>7695.6</v>
      </c>
      <c r="H28" s="27">
        <f>G28*(1+Окружение!F5)</f>
        <v>8157.3360000000011</v>
      </c>
      <c r="I28" s="27">
        <f>H28*(1+Окружение!G5)</f>
        <v>8646.7761600000013</v>
      </c>
      <c r="J28" s="27">
        <f>I28*(1+Окружение!H5)</f>
        <v>9165.5827296000025</v>
      </c>
      <c r="K28" s="27">
        <f>J28*(1+Окружение!I5)</f>
        <v>9715.5176933760031</v>
      </c>
      <c r="L28" s="27">
        <f>K28*(1+Окружение!J5)</f>
        <v>10298.448754978564</v>
      </c>
      <c r="M28" s="27">
        <f>L28*(1+Окружение!K5)</f>
        <v>10916.355680277278</v>
      </c>
      <c r="N28" s="27">
        <f>M28*(1+Окружение!L5)</f>
        <v>11571.337021093916</v>
      </c>
      <c r="O28" s="27">
        <f>N28*(1+Окружение!M5)</f>
        <v>12265.617242359551</v>
      </c>
    </row>
    <row r="29" spans="1:15" s="33" customFormat="1" x14ac:dyDescent="0.2">
      <c r="B29" s="39" t="s">
        <v>53</v>
      </c>
      <c r="E29" s="72" t="s">
        <v>361</v>
      </c>
      <c r="F29" s="42">
        <f>F28-F28/(1+Окружение!D9)</f>
        <v>946.95652173913004</v>
      </c>
      <c r="G29" s="42">
        <f>G28-G28/(1+Окружение!E9)</f>
        <v>1003.7739130434775</v>
      </c>
      <c r="H29" s="42">
        <f>H28-H28/(1+Окружение!F9)</f>
        <v>1064.0003478260869</v>
      </c>
      <c r="I29" s="42">
        <f>I28-I28/(1+Окружение!G9)</f>
        <v>1127.8403686956517</v>
      </c>
      <c r="J29" s="42">
        <f>J28-J28/(1+Окружение!H9)</f>
        <v>1195.5107908173914</v>
      </c>
      <c r="K29" s="42">
        <f>K28-K28/(1+Окружение!I9)</f>
        <v>1267.2414382664338</v>
      </c>
      <c r="L29" s="42">
        <f>L28-L28/(1+Окружение!J9)</f>
        <v>1343.2759245624202</v>
      </c>
      <c r="M29" s="42">
        <f>M28-M28/(1+Окружение!K9)</f>
        <v>1423.8724800361651</v>
      </c>
      <c r="N29" s="42">
        <f>N28-N28/(1+Окружение!L9)</f>
        <v>1509.3048288383361</v>
      </c>
      <c r="O29" s="42">
        <f>O28-O28/(1+Окружение!M9)</f>
        <v>1599.8631185686354</v>
      </c>
    </row>
    <row r="30" spans="1:15" s="33" customFormat="1" x14ac:dyDescent="0.2">
      <c r="B30" s="39"/>
      <c r="E30" s="7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s="33" customFormat="1" x14ac:dyDescent="0.2">
      <c r="A31" s="38"/>
      <c r="B31" s="37" t="s">
        <v>56</v>
      </c>
      <c r="E31" s="72" t="s">
        <v>361</v>
      </c>
      <c r="F31" s="15">
        <f>F28</f>
        <v>7260</v>
      </c>
      <c r="G31" s="15">
        <f>G28</f>
        <v>7695.6</v>
      </c>
      <c r="H31" s="15">
        <f t="shared" ref="H31:O31" si="4">H28</f>
        <v>8157.3360000000011</v>
      </c>
      <c r="I31" s="15">
        <f t="shared" si="4"/>
        <v>8646.7761600000013</v>
      </c>
      <c r="J31" s="15">
        <f t="shared" si="4"/>
        <v>9165.5827296000025</v>
      </c>
      <c r="K31" s="15">
        <f t="shared" si="4"/>
        <v>9715.5176933760031</v>
      </c>
      <c r="L31" s="15">
        <f t="shared" si="4"/>
        <v>10298.448754978564</v>
      </c>
      <c r="M31" s="15">
        <f t="shared" si="4"/>
        <v>10916.355680277278</v>
      </c>
      <c r="N31" s="15">
        <f t="shared" si="4"/>
        <v>11571.337021093916</v>
      </c>
      <c r="O31" s="15">
        <f t="shared" si="4"/>
        <v>12265.617242359551</v>
      </c>
    </row>
    <row r="32" spans="1:15" s="33" customFormat="1" x14ac:dyDescent="0.2">
      <c r="B32" s="39" t="s">
        <v>53</v>
      </c>
      <c r="E32" s="72" t="s">
        <v>361</v>
      </c>
      <c r="F32" s="42">
        <f>F29</f>
        <v>946.95652173913004</v>
      </c>
      <c r="G32" s="42">
        <f>G29</f>
        <v>1003.7739130434775</v>
      </c>
      <c r="H32" s="42">
        <f t="shared" ref="H32:O32" si="5">H29</f>
        <v>1064.0003478260869</v>
      </c>
      <c r="I32" s="42">
        <f t="shared" si="5"/>
        <v>1127.8403686956517</v>
      </c>
      <c r="J32" s="42">
        <f t="shared" si="5"/>
        <v>1195.5107908173914</v>
      </c>
      <c r="K32" s="42">
        <f t="shared" si="5"/>
        <v>1267.2414382664338</v>
      </c>
      <c r="L32" s="42">
        <f t="shared" si="5"/>
        <v>1343.2759245624202</v>
      </c>
      <c r="M32" s="42">
        <f t="shared" si="5"/>
        <v>1423.8724800361651</v>
      </c>
      <c r="N32" s="42">
        <f t="shared" si="5"/>
        <v>1509.3048288383361</v>
      </c>
      <c r="O32" s="42">
        <f t="shared" si="5"/>
        <v>1599.8631185686354</v>
      </c>
    </row>
    <row r="33" spans="1:29" s="33" customFormat="1" x14ac:dyDescent="0.2">
      <c r="B33" s="39"/>
      <c r="E33" s="72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29" x14ac:dyDescent="0.2">
      <c r="B34" s="256" t="s">
        <v>375</v>
      </c>
      <c r="C34" s="33"/>
      <c r="D34" s="33"/>
      <c r="E34" s="72"/>
      <c r="F34" s="40">
        <f t="shared" ref="F34:O34" si="6">F31+F23+F11</f>
        <v>130110</v>
      </c>
      <c r="G34" s="40">
        <f t="shared" si="6"/>
        <v>137538.6</v>
      </c>
      <c r="H34" s="40">
        <f t="shared" si="6"/>
        <v>145412.916</v>
      </c>
      <c r="I34" s="40">
        <f t="shared" si="6"/>
        <v>153759.69096000004</v>
      </c>
      <c r="J34" s="40">
        <f t="shared" si="6"/>
        <v>162607.27241760003</v>
      </c>
      <c r="K34" s="40">
        <f t="shared" si="6"/>
        <v>171985.70876265602</v>
      </c>
      <c r="L34" s="40">
        <f t="shared" si="6"/>
        <v>181926.8512884154</v>
      </c>
      <c r="M34" s="40">
        <f t="shared" si="6"/>
        <v>192464.4623657203</v>
      </c>
      <c r="N34" s="40">
        <f t="shared" si="6"/>
        <v>203634.33010766353</v>
      </c>
      <c r="O34" s="40">
        <f t="shared" si="6"/>
        <v>215474.38991412334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x14ac:dyDescent="0.2">
      <c r="B35" s="255" t="s">
        <v>53</v>
      </c>
      <c r="C35" s="33"/>
      <c r="D35" s="33"/>
      <c r="E35" s="72"/>
      <c r="F35" s="268">
        <f t="shared" ref="F35:O35" si="7">F32+F24+F12</f>
        <v>19374.456521739128</v>
      </c>
      <c r="G35" s="268">
        <f t="shared" si="7"/>
        <v>20480.223913043475</v>
      </c>
      <c r="H35" s="268">
        <f t="shared" si="7"/>
        <v>21652.337347826084</v>
      </c>
      <c r="I35" s="268">
        <f t="shared" si="7"/>
        <v>22894.777588695655</v>
      </c>
      <c r="J35" s="268">
        <f t="shared" si="7"/>
        <v>24211.764244017395</v>
      </c>
      <c r="K35" s="268">
        <f t="shared" si="7"/>
        <v>25607.770098658431</v>
      </c>
      <c r="L35" s="268">
        <f t="shared" si="7"/>
        <v>27087.536304577941</v>
      </c>
      <c r="M35" s="268">
        <f t="shared" si="7"/>
        <v>28656.088482852621</v>
      </c>
      <c r="N35" s="268">
        <f t="shared" si="7"/>
        <v>30318.753791823779</v>
      </c>
      <c r="O35" s="268">
        <f t="shared" si="7"/>
        <v>32081.179019333205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x14ac:dyDescent="0.2">
      <c r="A36" s="23" t="s">
        <v>482</v>
      </c>
      <c r="B36" s="33"/>
      <c r="C36" s="33"/>
      <c r="D36" s="33"/>
      <c r="E36" s="72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3"/>
      <c r="Q36" s="97"/>
      <c r="R36" s="88"/>
      <c r="S36" s="88"/>
      <c r="T36" s="88"/>
      <c r="U36" s="88"/>
      <c r="V36" s="33"/>
      <c r="W36" s="33"/>
      <c r="X36" s="33"/>
      <c r="Y36" s="33"/>
      <c r="Z36" s="33"/>
      <c r="AA36" s="33"/>
      <c r="AB36" s="33"/>
      <c r="AC36" s="33"/>
    </row>
    <row r="37" spans="1:29" x14ac:dyDescent="0.2">
      <c r="B37" s="34"/>
      <c r="C37" s="1" t="s">
        <v>274</v>
      </c>
      <c r="E37" s="72" t="s">
        <v>361</v>
      </c>
      <c r="F37" s="74">
        <f>Персонал!F43</f>
        <v>144228</v>
      </c>
      <c r="G37" s="74">
        <f>Персонал!G43</f>
        <v>152881.68</v>
      </c>
      <c r="H37" s="74">
        <f>Персонал!H43</f>
        <v>162054.58080000003</v>
      </c>
      <c r="I37" s="74">
        <f>Персонал!I43</f>
        <v>171777.85564800003</v>
      </c>
      <c r="J37" s="74">
        <f>Персонал!J43</f>
        <v>182084.52698688002</v>
      </c>
      <c r="K37" s="74">
        <f>Персонал!K43</f>
        <v>193009.59860609283</v>
      </c>
      <c r="L37" s="74">
        <f>Персонал!L43</f>
        <v>204590.1745224584</v>
      </c>
      <c r="M37" s="74">
        <f>Персонал!M43</f>
        <v>216865.58499380591</v>
      </c>
      <c r="N37" s="74">
        <f>Персонал!N43</f>
        <v>229877.52009343429</v>
      </c>
      <c r="O37" s="74">
        <f>Персонал!O43</f>
        <v>243670.17129904035</v>
      </c>
      <c r="Q37" s="113"/>
      <c r="R37" s="113"/>
      <c r="S37" s="113"/>
      <c r="T37" s="113"/>
      <c r="U37" s="113"/>
    </row>
    <row r="38" spans="1:29" x14ac:dyDescent="0.2">
      <c r="C38" s="1" t="s">
        <v>69</v>
      </c>
      <c r="E38" s="72" t="s">
        <v>361</v>
      </c>
      <c r="F38" s="74">
        <f t="shared" ref="F38:O38" si="8">F11-F12</f>
        <v>97282.5</v>
      </c>
      <c r="G38" s="74">
        <f t="shared" si="8"/>
        <v>102798.15</v>
      </c>
      <c r="H38" s="74">
        <f t="shared" si="8"/>
        <v>108644.739</v>
      </c>
      <c r="I38" s="74">
        <f t="shared" si="8"/>
        <v>114842.12334000002</v>
      </c>
      <c r="J38" s="74">
        <f t="shared" si="8"/>
        <v>121411.35074040001</v>
      </c>
      <c r="K38" s="74">
        <f t="shared" si="8"/>
        <v>128374.73178482401</v>
      </c>
      <c r="L38" s="74">
        <f t="shared" si="8"/>
        <v>135755.91569191345</v>
      </c>
      <c r="M38" s="74">
        <f t="shared" si="8"/>
        <v>143579.97063342825</v>
      </c>
      <c r="N38" s="74">
        <f t="shared" si="8"/>
        <v>151873.46887143396</v>
      </c>
      <c r="O38" s="74">
        <f t="shared" si="8"/>
        <v>160664.57700372001</v>
      </c>
      <c r="Q38" s="113"/>
      <c r="R38" s="113"/>
      <c r="S38" s="113"/>
      <c r="T38" s="113"/>
      <c r="U38" s="113"/>
    </row>
    <row r="39" spans="1:29" x14ac:dyDescent="0.2">
      <c r="C39" s="1" t="s">
        <v>70</v>
      </c>
      <c r="E39" s="72" t="s">
        <v>361</v>
      </c>
      <c r="F39" s="74">
        <f t="shared" ref="F39:O39" si="9">F23-F24</f>
        <v>7140</v>
      </c>
      <c r="G39" s="74">
        <f t="shared" si="9"/>
        <v>7568.4</v>
      </c>
      <c r="H39" s="74">
        <f t="shared" si="9"/>
        <v>8022.5039999999999</v>
      </c>
      <c r="I39" s="74">
        <f t="shared" si="9"/>
        <v>8503.8542400000006</v>
      </c>
      <c r="J39" s="74">
        <f t="shared" si="9"/>
        <v>9014.0854944000002</v>
      </c>
      <c r="K39" s="74">
        <f t="shared" si="9"/>
        <v>9554.9306240640017</v>
      </c>
      <c r="L39" s="74">
        <f t="shared" si="9"/>
        <v>10128.226461507842</v>
      </c>
      <c r="M39" s="74">
        <f t="shared" si="9"/>
        <v>10735.920049198314</v>
      </c>
      <c r="N39" s="74">
        <f t="shared" si="9"/>
        <v>11380.075252150215</v>
      </c>
      <c r="O39" s="74">
        <f t="shared" si="9"/>
        <v>12062.879767279228</v>
      </c>
      <c r="Q39" s="113"/>
      <c r="R39" s="113"/>
      <c r="S39" s="113"/>
      <c r="T39" s="113"/>
      <c r="U39" s="113"/>
    </row>
    <row r="40" spans="1:29" x14ac:dyDescent="0.2">
      <c r="C40" s="1" t="s">
        <v>71</v>
      </c>
      <c r="E40" s="72" t="s">
        <v>361</v>
      </c>
      <c r="F40" s="74">
        <f t="shared" ref="F40:O40" si="10">F31-F32</f>
        <v>6313.04347826087</v>
      </c>
      <c r="G40" s="74">
        <f t="shared" si="10"/>
        <v>6691.8260869565229</v>
      </c>
      <c r="H40" s="74">
        <f t="shared" si="10"/>
        <v>7093.3356521739142</v>
      </c>
      <c r="I40" s="74">
        <f t="shared" si="10"/>
        <v>7518.9357913043496</v>
      </c>
      <c r="J40" s="74">
        <f t="shared" si="10"/>
        <v>7970.0719387826111</v>
      </c>
      <c r="K40" s="74">
        <f t="shared" si="10"/>
        <v>8448.2762551095693</v>
      </c>
      <c r="L40" s="74">
        <f t="shared" si="10"/>
        <v>8955.1728304161443</v>
      </c>
      <c r="M40" s="74">
        <f t="shared" si="10"/>
        <v>9492.4832002411131</v>
      </c>
      <c r="N40" s="74">
        <f t="shared" si="10"/>
        <v>10062.03219225558</v>
      </c>
      <c r="O40" s="74">
        <f t="shared" si="10"/>
        <v>10665.754123790915</v>
      </c>
      <c r="Q40" s="113"/>
      <c r="R40" s="113"/>
      <c r="S40" s="113"/>
      <c r="T40" s="113"/>
      <c r="U40" s="113"/>
    </row>
    <row r="41" spans="1:29" x14ac:dyDescent="0.2">
      <c r="C41" s="1" t="s">
        <v>62</v>
      </c>
      <c r="E41" s="72" t="s">
        <v>361</v>
      </c>
      <c r="F41" s="74">
        <v>0</v>
      </c>
      <c r="G41" s="74">
        <v>0</v>
      </c>
      <c r="H41" s="74">
        <f>H54</f>
        <v>29000</v>
      </c>
      <c r="I41" s="74">
        <f>H41</f>
        <v>29000</v>
      </c>
      <c r="J41" s="74">
        <f t="shared" ref="J41:O41" si="11">I41</f>
        <v>29000</v>
      </c>
      <c r="K41" s="74">
        <f t="shared" si="11"/>
        <v>29000</v>
      </c>
      <c r="L41" s="74">
        <f t="shared" si="11"/>
        <v>29000</v>
      </c>
      <c r="M41" s="74">
        <f t="shared" si="11"/>
        <v>29000</v>
      </c>
      <c r="N41" s="74">
        <f t="shared" si="11"/>
        <v>29000</v>
      </c>
      <c r="O41" s="74">
        <f t="shared" si="11"/>
        <v>29000</v>
      </c>
      <c r="Q41" s="113"/>
      <c r="R41" s="113"/>
      <c r="S41" s="113"/>
      <c r="T41" s="113"/>
      <c r="U41" s="113"/>
    </row>
    <row r="42" spans="1:29" x14ac:dyDescent="0.2">
      <c r="C42" s="1" t="s">
        <v>79</v>
      </c>
      <c r="E42" s="72" t="s">
        <v>361</v>
      </c>
      <c r="F42" s="74">
        <f>F35</f>
        <v>19374.456521739128</v>
      </c>
      <c r="G42" s="74">
        <f>G35</f>
        <v>20480.223913043475</v>
      </c>
      <c r="H42" s="74">
        <f t="shared" ref="H42:O42" si="12">H35</f>
        <v>21652.337347826084</v>
      </c>
      <c r="I42" s="74">
        <f t="shared" si="12"/>
        <v>22894.777588695655</v>
      </c>
      <c r="J42" s="74">
        <f t="shared" si="12"/>
        <v>24211.764244017395</v>
      </c>
      <c r="K42" s="74">
        <f t="shared" si="12"/>
        <v>25607.770098658431</v>
      </c>
      <c r="L42" s="74">
        <f t="shared" si="12"/>
        <v>27087.536304577941</v>
      </c>
      <c r="M42" s="74">
        <f t="shared" si="12"/>
        <v>28656.088482852621</v>
      </c>
      <c r="N42" s="74">
        <f t="shared" si="12"/>
        <v>30318.753791823779</v>
      </c>
      <c r="O42" s="74">
        <f t="shared" si="12"/>
        <v>32081.179019333205</v>
      </c>
      <c r="Q42" s="113"/>
      <c r="R42" s="113"/>
      <c r="S42" s="113"/>
      <c r="T42" s="113"/>
      <c r="U42" s="113"/>
    </row>
    <row r="43" spans="1:29" x14ac:dyDescent="0.2">
      <c r="E43" s="72"/>
      <c r="F43" s="74"/>
      <c r="G43" s="74"/>
      <c r="H43" s="74"/>
      <c r="I43" s="74"/>
      <c r="J43" s="74"/>
      <c r="K43" s="74"/>
      <c r="L43" s="74"/>
      <c r="M43" s="74"/>
      <c r="N43" s="74"/>
      <c r="O43" s="74"/>
      <c r="Q43" s="113"/>
      <c r="R43" s="113"/>
      <c r="S43" s="113"/>
      <c r="T43" s="113"/>
      <c r="U43" s="113"/>
    </row>
    <row r="44" spans="1:29" s="25" customFormat="1" x14ac:dyDescent="0.2">
      <c r="C44" s="26" t="s">
        <v>400</v>
      </c>
      <c r="E44" s="72" t="s">
        <v>361</v>
      </c>
      <c r="F44" s="93">
        <f>SUM(F37:F42)</f>
        <v>274338</v>
      </c>
      <c r="G44" s="93">
        <f>SUM(G37:G43)</f>
        <v>290420.28000000003</v>
      </c>
      <c r="H44" s="93">
        <f>SUM(H37:H43)</f>
        <v>336467.49680000008</v>
      </c>
      <c r="I44" s="93">
        <f>SUM(I37:I43)</f>
        <v>354537.54660800006</v>
      </c>
      <c r="J44" s="93">
        <f>I44*(1+Окружение!H5)</f>
        <v>375809.79940448009</v>
      </c>
      <c r="K44" s="93">
        <f>J44*(1+Окружение!I5)</f>
        <v>398358.3873687489</v>
      </c>
      <c r="L44" s="93">
        <f>K44*(1+Окружение!J5)</f>
        <v>422259.89061087387</v>
      </c>
      <c r="M44" s="93">
        <f>L44*(1+Окружение!K5)</f>
        <v>447595.48404752632</v>
      </c>
      <c r="N44" s="93">
        <f>M44*(1+Окружение!L5)</f>
        <v>474451.21309037792</v>
      </c>
      <c r="O44" s="93">
        <f>N44*(1+Окружение!M5)</f>
        <v>502918.28587580059</v>
      </c>
      <c r="Q44" s="114"/>
      <c r="R44" s="114"/>
      <c r="S44" s="114"/>
      <c r="T44" s="114"/>
      <c r="U44" s="114"/>
    </row>
    <row r="45" spans="1:29" s="25" customFormat="1" x14ac:dyDescent="0.2">
      <c r="C45" s="26" t="s">
        <v>460</v>
      </c>
      <c r="E45" s="72"/>
      <c r="F45" s="254">
        <f>F44/'Пр-во и Продажи'!D7</f>
        <v>1662.6545454545455</v>
      </c>
      <c r="G45" s="254">
        <f>F45*(1+Окружение!E5)</f>
        <v>1762.4138181818184</v>
      </c>
      <c r="H45" s="254">
        <f>H44/'Пр-во и Продажи'!D7</f>
        <v>2039.1969503030307</v>
      </c>
      <c r="I45" s="254">
        <f>I44/'Пр-во и Продажи'!E7</f>
        <v>2148.7124036848491</v>
      </c>
      <c r="J45" s="254">
        <f>J44/'Пр-во и Продажи'!F7</f>
        <v>2277.6351479059399</v>
      </c>
      <c r="K45" s="254">
        <f>K44/'Пр-во и Продажи'!G7</f>
        <v>2414.2932567802964</v>
      </c>
      <c r="L45" s="254">
        <f>L44/'Пр-во и Продажи'!H7</f>
        <v>2559.1508521871142</v>
      </c>
      <c r="M45" s="254">
        <f>M44/'Пр-во и Продажи'!I7</f>
        <v>2712.6999033183415</v>
      </c>
      <c r="N45" s="254">
        <f>N44/'Пр-во и Продажи'!J7</f>
        <v>2875.4618975174421</v>
      </c>
      <c r="O45" s="254">
        <f>O44/'Пр-во и Продажи'!K7</f>
        <v>3047.9896113684886</v>
      </c>
      <c r="Q45" s="114"/>
      <c r="R45" s="114"/>
      <c r="S45" s="114"/>
      <c r="T45" s="114"/>
      <c r="U45" s="114"/>
    </row>
    <row r="46" spans="1:29" s="25" customFormat="1" x14ac:dyDescent="0.2">
      <c r="C46" s="26"/>
      <c r="E46" s="72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Q46" s="114"/>
      <c r="R46" s="114"/>
      <c r="S46" s="114"/>
      <c r="T46" s="114"/>
      <c r="U46" s="114"/>
    </row>
    <row r="47" spans="1:29" x14ac:dyDescent="0.2">
      <c r="D47" s="337" t="s">
        <v>470</v>
      </c>
      <c r="F47" s="280">
        <f>F11</f>
        <v>114450</v>
      </c>
      <c r="G47" s="280">
        <f>G11</f>
        <v>120939</v>
      </c>
      <c r="H47" s="280">
        <f t="shared" ref="H47:O47" si="13">H11</f>
        <v>127817.34</v>
      </c>
      <c r="I47" s="280">
        <f t="shared" si="13"/>
        <v>135108.38040000002</v>
      </c>
      <c r="J47" s="280">
        <f t="shared" si="13"/>
        <v>142836.88322400002</v>
      </c>
      <c r="K47" s="280">
        <f t="shared" si="13"/>
        <v>151029.09621744</v>
      </c>
      <c r="L47" s="280">
        <f t="shared" si="13"/>
        <v>159712.84199048643</v>
      </c>
      <c r="M47" s="280">
        <f t="shared" si="13"/>
        <v>168917.61250991561</v>
      </c>
      <c r="N47" s="280">
        <f t="shared" si="13"/>
        <v>178674.66926051053</v>
      </c>
      <c r="O47" s="280">
        <f t="shared" si="13"/>
        <v>189017.14941614118</v>
      </c>
    </row>
    <row r="48" spans="1:29" x14ac:dyDescent="0.2">
      <c r="D48" s="337" t="s">
        <v>468</v>
      </c>
      <c r="F48" s="51">
        <f>F34-F11</f>
        <v>15660</v>
      </c>
      <c r="G48" s="51">
        <f t="shared" ref="G48:O48" si="14">G34-G11</f>
        <v>16599.600000000006</v>
      </c>
      <c r="H48" s="51">
        <f t="shared" si="14"/>
        <v>17595.576000000001</v>
      </c>
      <c r="I48" s="51">
        <f t="shared" si="14"/>
        <v>18651.310560000013</v>
      </c>
      <c r="J48" s="51">
        <f t="shared" si="14"/>
        <v>19770.389193600015</v>
      </c>
      <c r="K48" s="51">
        <f t="shared" si="14"/>
        <v>20956.612545216019</v>
      </c>
      <c r="L48" s="51">
        <f t="shared" si="14"/>
        <v>22214.009297928977</v>
      </c>
      <c r="M48" s="51">
        <f t="shared" si="14"/>
        <v>23546.849855804699</v>
      </c>
      <c r="N48" s="51">
        <f t="shared" si="14"/>
        <v>24959.660847152991</v>
      </c>
      <c r="O48" s="51">
        <f t="shared" si="14"/>
        <v>26457.240497982159</v>
      </c>
    </row>
    <row r="49" spans="4:15" x14ac:dyDescent="0.2"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4:15" x14ac:dyDescent="0.2">
      <c r="D50" s="1" t="s">
        <v>367</v>
      </c>
    </row>
    <row r="52" spans="4:15" x14ac:dyDescent="0.2">
      <c r="D52" s="1" t="s">
        <v>368</v>
      </c>
      <c r="F52" s="51">
        <v>700000</v>
      </c>
      <c r="G52" s="309">
        <v>0.02</v>
      </c>
      <c r="H52" s="1">
        <f>F52*G52</f>
        <v>14000</v>
      </c>
    </row>
    <row r="53" spans="4:15" x14ac:dyDescent="0.2">
      <c r="D53" s="1" t="s">
        <v>461</v>
      </c>
      <c r="F53" s="51">
        <v>150000</v>
      </c>
      <c r="G53" s="309">
        <v>0.1</v>
      </c>
      <c r="H53" s="1">
        <f>F53*G53</f>
        <v>15000</v>
      </c>
    </row>
    <row r="54" spans="4:15" x14ac:dyDescent="0.2">
      <c r="F54" s="1" t="s">
        <v>399</v>
      </c>
      <c r="H54" s="1">
        <f>SUM(H52:H53)</f>
        <v>29000</v>
      </c>
    </row>
  </sheetData>
  <mergeCells count="5">
    <mergeCell ref="F2:G2"/>
    <mergeCell ref="H2:I2"/>
    <mergeCell ref="J2:K2"/>
    <mergeCell ref="L2:M2"/>
    <mergeCell ref="N2:O2"/>
  </mergeCells>
  <phoneticPr fontId="0" type="noConversion"/>
  <hyperlinks>
    <hyperlink ref="D1" r:id="rId1"/>
  </hyperlinks>
  <pageMargins left="0.75" right="0.75" top="1" bottom="1" header="0.5" footer="0.5"/>
  <pageSetup paperSize="9" orientation="portrait" horizontalDpi="300" verticalDpi="300" r:id="rId2"/>
  <headerFooter alignWithMargins="0"/>
  <ignoredErrors>
    <ignoredError sqref="G29:O29 J15:O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zoomScaleNormal="100" workbookViewId="0">
      <selection activeCell="D20" sqref="D20"/>
    </sheetView>
  </sheetViews>
  <sheetFormatPr defaultRowHeight="12.75" x14ac:dyDescent="0.2"/>
  <cols>
    <col min="1" max="1" width="2.7109375" style="1" customWidth="1"/>
    <col min="2" max="2" width="48.7109375" style="1" customWidth="1"/>
    <col min="3" max="3" width="9.42578125" style="1" customWidth="1"/>
    <col min="4" max="13" width="9.42578125" style="1" bestFit="1" customWidth="1"/>
    <col min="14" max="16384" width="9.140625" style="1"/>
  </cols>
  <sheetData>
    <row r="2" spans="1:14" ht="18" x14ac:dyDescent="0.25">
      <c r="B2" s="242" t="s">
        <v>349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4" s="2" customFormat="1" x14ac:dyDescent="0.2">
      <c r="A3" s="11" t="s">
        <v>90</v>
      </c>
      <c r="B3" s="11"/>
      <c r="C3" s="2" t="s">
        <v>39</v>
      </c>
      <c r="D3" s="3" t="s">
        <v>353</v>
      </c>
      <c r="E3" s="313" t="s">
        <v>354</v>
      </c>
      <c r="F3" s="313" t="s">
        <v>355</v>
      </c>
      <c r="G3" s="313" t="s">
        <v>356</v>
      </c>
      <c r="H3" s="313" t="s">
        <v>357</v>
      </c>
      <c r="I3" s="313" t="s">
        <v>358</v>
      </c>
      <c r="J3" s="313" t="s">
        <v>359</v>
      </c>
      <c r="K3" s="313" t="s">
        <v>360</v>
      </c>
      <c r="L3" s="313" t="s">
        <v>405</v>
      </c>
      <c r="M3" s="313" t="s">
        <v>406</v>
      </c>
      <c r="N3" s="8"/>
    </row>
    <row r="4" spans="1:14" s="33" customFormat="1" x14ac:dyDescent="0.2"/>
    <row r="5" spans="1:14" s="33" customFormat="1" x14ac:dyDescent="0.2">
      <c r="B5" s="33" t="s">
        <v>164</v>
      </c>
      <c r="C5" s="72" t="s">
        <v>361</v>
      </c>
      <c r="D5" s="14">
        <f>'НА и ОС'!F17+'НА и ОС'!F29</f>
        <v>1040000</v>
      </c>
      <c r="E5" s="14">
        <f>D5*(1+Окружение!E5)</f>
        <v>1102400</v>
      </c>
      <c r="F5" s="14">
        <f>E5*(1+Окружение!F5)</f>
        <v>1168544</v>
      </c>
      <c r="G5" s="14">
        <f>F5*(1+Окружение!G5)</f>
        <v>1238656.6400000001</v>
      </c>
      <c r="H5" s="14">
        <f>G5*(1+Окружение!H5)</f>
        <v>1312976.0384000002</v>
      </c>
      <c r="I5" s="14">
        <f>H5*(1+Окружение!I5)</f>
        <v>1391754.6007040003</v>
      </c>
      <c r="J5" s="14">
        <f>I5*(1+Окружение!J5)</f>
        <v>1475259.8767462405</v>
      </c>
      <c r="K5" s="14">
        <f>J5*(1+Окружение!K5)</f>
        <v>1563775.4693510151</v>
      </c>
      <c r="L5" s="14">
        <f>K5*(1+Окружение!L5)</f>
        <v>1657601.9975120761</v>
      </c>
      <c r="M5" s="14">
        <f>L5*(1+Окружение!M5)</f>
        <v>1757058.1173628008</v>
      </c>
    </row>
    <row r="6" spans="1:14" x14ac:dyDescent="0.2">
      <c r="B6" s="1" t="s">
        <v>136</v>
      </c>
      <c r="C6" s="72" t="s">
        <v>361</v>
      </c>
      <c r="D6" s="14">
        <f>D21</f>
        <v>17140</v>
      </c>
      <c r="E6" s="14">
        <f t="shared" ref="E6:M6" si="0">E21</f>
        <v>16568.400000000001</v>
      </c>
      <c r="F6" s="14">
        <f t="shared" si="0"/>
        <v>16022.504000000001</v>
      </c>
      <c r="G6" s="14">
        <f t="shared" si="0"/>
        <v>15503.854240000001</v>
      </c>
      <c r="H6" s="14">
        <f t="shared" si="0"/>
        <v>15014.0854944</v>
      </c>
      <c r="I6" s="14">
        <f t="shared" si="0"/>
        <v>14554.930624064</v>
      </c>
      <c r="J6" s="14">
        <f t="shared" si="0"/>
        <v>14128.22646150784</v>
      </c>
      <c r="K6" s="14">
        <f t="shared" si="0"/>
        <v>13735.920049198312</v>
      </c>
      <c r="L6" s="14">
        <f t="shared" si="0"/>
        <v>13380.075252150211</v>
      </c>
      <c r="M6" s="14">
        <f t="shared" si="0"/>
        <v>13062.879767279224</v>
      </c>
    </row>
    <row r="7" spans="1:14" x14ac:dyDescent="0.2">
      <c r="B7" s="1" t="s">
        <v>183</v>
      </c>
      <c r="C7" s="72" t="s">
        <v>361</v>
      </c>
      <c r="D7" s="14">
        <f>D5-D6</f>
        <v>1022860</v>
      </c>
      <c r="E7" s="14">
        <f t="shared" ref="E7:M7" si="1">E5-E6</f>
        <v>1085831.6000000001</v>
      </c>
      <c r="F7" s="14">
        <f t="shared" si="1"/>
        <v>1152521.496</v>
      </c>
      <c r="G7" s="14">
        <f t="shared" si="1"/>
        <v>1223152.7857600001</v>
      </c>
      <c r="H7" s="14">
        <f t="shared" si="1"/>
        <v>1297961.9529056002</v>
      </c>
      <c r="I7" s="14">
        <f t="shared" si="1"/>
        <v>1377199.6700799363</v>
      </c>
      <c r="J7" s="14">
        <f t="shared" si="1"/>
        <v>1461131.6502847327</v>
      </c>
      <c r="K7" s="14">
        <f t="shared" si="1"/>
        <v>1550039.5493018168</v>
      </c>
      <c r="L7" s="14">
        <f t="shared" si="1"/>
        <v>1644221.9222599259</v>
      </c>
      <c r="M7" s="14">
        <f t="shared" si="1"/>
        <v>1743995.2375955216</v>
      </c>
    </row>
    <row r="8" spans="1:14" x14ac:dyDescent="0.2">
      <c r="B8" s="1" t="s">
        <v>184</v>
      </c>
      <c r="C8" s="72" t="s">
        <v>361</v>
      </c>
      <c r="D8" s="14">
        <f>D7</f>
        <v>1022860</v>
      </c>
      <c r="E8" s="14">
        <f>E7-D7</f>
        <v>62971.600000000093</v>
      </c>
      <c r="F8" s="333">
        <f>F7-E8</f>
        <v>1089549.8959999999</v>
      </c>
      <c r="G8" s="14">
        <f>G7-F8</f>
        <v>133602.88976000017</v>
      </c>
      <c r="H8" s="14">
        <f t="shared" ref="H8:M8" si="2">H7-G7</f>
        <v>74809.167145600077</v>
      </c>
      <c r="I8" s="14">
        <f t="shared" si="2"/>
        <v>79237.717174336081</v>
      </c>
      <c r="J8" s="14">
        <f t="shared" si="2"/>
        <v>83931.980204796419</v>
      </c>
      <c r="K8" s="14">
        <f t="shared" si="2"/>
        <v>88907.899017084157</v>
      </c>
      <c r="L8" s="14">
        <f t="shared" si="2"/>
        <v>94182.372958109016</v>
      </c>
      <c r="M8" s="14">
        <f t="shared" si="2"/>
        <v>99773.315335595747</v>
      </c>
    </row>
    <row r="9" spans="1:14" x14ac:dyDescent="0.2">
      <c r="C9" s="72"/>
    </row>
    <row r="10" spans="1:14" x14ac:dyDescent="0.2">
      <c r="A10" s="23" t="s">
        <v>132</v>
      </c>
      <c r="C10" s="72"/>
    </row>
    <row r="11" spans="1:14" x14ac:dyDescent="0.2">
      <c r="B11" s="1" t="s">
        <v>133</v>
      </c>
      <c r="C11" s="72" t="s">
        <v>361</v>
      </c>
      <c r="D11" s="74">
        <f>-17:17</f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</row>
    <row r="12" spans="1:14" x14ac:dyDescent="0.2">
      <c r="B12" s="1" t="s">
        <v>178</v>
      </c>
      <c r="C12" s="72" t="s">
        <v>361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4" x14ac:dyDescent="0.2">
      <c r="B13" s="1" t="s">
        <v>177</v>
      </c>
      <c r="C13" s="72" t="s">
        <v>361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</row>
    <row r="14" spans="1:14" s="25" customFormat="1" x14ac:dyDescent="0.2">
      <c r="B14" s="26" t="s">
        <v>163</v>
      </c>
      <c r="C14" s="72" t="s">
        <v>361</v>
      </c>
      <c r="D14" s="93">
        <f t="shared" ref="D14:M14" si="3">SUM(D11:D13)</f>
        <v>0</v>
      </c>
      <c r="E14" s="93">
        <f t="shared" si="3"/>
        <v>0</v>
      </c>
      <c r="F14" s="93">
        <f t="shared" si="3"/>
        <v>0</v>
      </c>
      <c r="G14" s="93">
        <f t="shared" si="3"/>
        <v>0</v>
      </c>
      <c r="H14" s="93">
        <f t="shared" si="3"/>
        <v>0</v>
      </c>
      <c r="I14" s="93">
        <f t="shared" si="3"/>
        <v>0</v>
      </c>
      <c r="J14" s="93">
        <f t="shared" si="3"/>
        <v>0</v>
      </c>
      <c r="K14" s="93">
        <f t="shared" si="3"/>
        <v>0</v>
      </c>
      <c r="L14" s="93">
        <f t="shared" si="3"/>
        <v>0</v>
      </c>
      <c r="M14" s="93">
        <f t="shared" si="3"/>
        <v>0</v>
      </c>
    </row>
    <row r="15" spans="1:14" x14ac:dyDescent="0.2">
      <c r="C15" s="72"/>
    </row>
    <row r="16" spans="1:14" x14ac:dyDescent="0.2">
      <c r="A16" s="23" t="s">
        <v>134</v>
      </c>
      <c r="C16" s="72"/>
    </row>
    <row r="17" spans="2:14" x14ac:dyDescent="0.2">
      <c r="B17" s="1" t="s">
        <v>182</v>
      </c>
      <c r="C17" s="72" t="s">
        <v>361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2:14" x14ac:dyDescent="0.2">
      <c r="B18" s="1" t="s">
        <v>179</v>
      </c>
      <c r="C18" s="72" t="s">
        <v>361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94"/>
    </row>
    <row r="19" spans="2:14" x14ac:dyDescent="0.2">
      <c r="B19" s="1" t="s">
        <v>181</v>
      </c>
      <c r="C19" s="72" t="s">
        <v>361</v>
      </c>
      <c r="D19" s="74">
        <f>Персонал!F39*5%</f>
        <v>7140</v>
      </c>
      <c r="E19" s="74">
        <f>D19*(1+Окружение!E5)</f>
        <v>7568.4000000000005</v>
      </c>
      <c r="F19" s="74">
        <f>E19*(1+Окружение!F5)</f>
        <v>8022.5040000000008</v>
      </c>
      <c r="G19" s="74">
        <f>F19*(1+Окружение!G5)</f>
        <v>8503.8542400000006</v>
      </c>
      <c r="H19" s="74">
        <f>G19*(1+Окружение!H5)</f>
        <v>9014.0854944000002</v>
      </c>
      <c r="I19" s="74">
        <f>H19*(1+Окружение!I5)</f>
        <v>9554.9306240639999</v>
      </c>
      <c r="J19" s="74">
        <f>I19*(1+Окружение!J5)</f>
        <v>10128.22646150784</v>
      </c>
      <c r="K19" s="74">
        <f>J19*(1+Окружение!K5)</f>
        <v>10735.920049198312</v>
      </c>
      <c r="L19" s="74">
        <f>K19*(1+Окружение!L5)</f>
        <v>11380.075252150211</v>
      </c>
      <c r="M19" s="74">
        <f>L19*(1+Окружение!M5)</f>
        <v>12062.879767279224</v>
      </c>
      <c r="N19" s="94"/>
    </row>
    <row r="20" spans="2:14" x14ac:dyDescent="0.2">
      <c r="B20" s="1" t="s">
        <v>241</v>
      </c>
      <c r="C20" s="72" t="s">
        <v>361</v>
      </c>
      <c r="D20" s="74">
        <f>'Финан-е'!F18</f>
        <v>10000</v>
      </c>
      <c r="E20" s="74">
        <f>'Финан-е'!G18</f>
        <v>9000</v>
      </c>
      <c r="F20" s="74">
        <f>'Финан-е'!H18</f>
        <v>8000</v>
      </c>
      <c r="G20" s="74">
        <f>'Финан-е'!I18</f>
        <v>7000</v>
      </c>
      <c r="H20" s="74">
        <f>'Финан-е'!J18</f>
        <v>6000</v>
      </c>
      <c r="I20" s="74">
        <f>'Финан-е'!K18</f>
        <v>5000</v>
      </c>
      <c r="J20" s="74">
        <f>'Финан-е'!L18</f>
        <v>4000</v>
      </c>
      <c r="K20" s="74">
        <f>'Финан-е'!M18</f>
        <v>3000</v>
      </c>
      <c r="L20" s="74">
        <f>'Финан-е'!N18</f>
        <v>2000</v>
      </c>
      <c r="M20" s="74">
        <f>'Финан-е'!O18</f>
        <v>1000</v>
      </c>
      <c r="N20" s="33"/>
    </row>
    <row r="21" spans="2:14" s="25" customFormat="1" x14ac:dyDescent="0.2">
      <c r="B21" s="26" t="s">
        <v>135</v>
      </c>
      <c r="C21" s="72" t="s">
        <v>361</v>
      </c>
      <c r="D21" s="93">
        <f>SUM(D17:D20)</f>
        <v>17140</v>
      </c>
      <c r="E21" s="93">
        <f t="shared" ref="E21:M21" si="4">SUM(E17:E20)</f>
        <v>16568.400000000001</v>
      </c>
      <c r="F21" s="93">
        <f t="shared" si="4"/>
        <v>16022.504000000001</v>
      </c>
      <c r="G21" s="93">
        <f t="shared" si="4"/>
        <v>15503.854240000001</v>
      </c>
      <c r="H21" s="93">
        <f t="shared" si="4"/>
        <v>15014.0854944</v>
      </c>
      <c r="I21" s="93">
        <f t="shared" si="4"/>
        <v>14554.930624064</v>
      </c>
      <c r="J21" s="93">
        <f t="shared" si="4"/>
        <v>14128.22646150784</v>
      </c>
      <c r="K21" s="93">
        <f t="shared" si="4"/>
        <v>13735.920049198312</v>
      </c>
      <c r="L21" s="93">
        <f t="shared" si="4"/>
        <v>13380.075252150211</v>
      </c>
      <c r="M21" s="93">
        <f t="shared" si="4"/>
        <v>13062.879767279224</v>
      </c>
    </row>
    <row r="22" spans="2:14" x14ac:dyDescent="0.2">
      <c r="C22" s="72"/>
    </row>
  </sheetData>
  <mergeCells count="5">
    <mergeCell ref="D2:E2"/>
    <mergeCell ref="F2:G2"/>
    <mergeCell ref="J2:K2"/>
    <mergeCell ref="H2:I2"/>
    <mergeCell ref="L2:M2"/>
  </mergeCells>
  <phoneticPr fontId="0" type="noConversion"/>
  <hyperlinks>
    <hyperlink ref="B2" r:id="rId1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1"/>
  <sheetViews>
    <sheetView zoomScale="85" zoomScaleNormal="85" workbookViewId="0">
      <pane xSplit="4" ySplit="2" topLeftCell="E27" activePane="bottomRight" state="frozen"/>
      <selection pane="topRight" activeCell="E1" sqref="E1"/>
      <selection pane="bottomLeft" activeCell="A3" sqref="A3"/>
      <selection pane="bottomRight" activeCell="F43" sqref="F43"/>
    </sheetView>
  </sheetViews>
  <sheetFormatPr defaultRowHeight="12.75" x14ac:dyDescent="0.2"/>
  <cols>
    <col min="1" max="1" width="3.7109375" style="1" customWidth="1"/>
    <col min="2" max="2" width="5.42578125" style="1" customWidth="1"/>
    <col min="3" max="3" width="3.7109375" style="1" customWidth="1"/>
    <col min="4" max="4" width="27.85546875" style="1" customWidth="1"/>
    <col min="5" max="5" width="5.42578125" style="1" customWidth="1"/>
    <col min="6" max="6" width="11.28515625" style="1" customWidth="1"/>
    <col min="7" max="7" width="10" style="1" customWidth="1"/>
    <col min="8" max="17" width="11.42578125" style="1" bestFit="1" customWidth="1"/>
    <col min="18" max="18" width="9.140625" style="79" customWidth="1"/>
    <col min="19" max="16384" width="9.140625" style="1"/>
  </cols>
  <sheetData>
    <row r="1" spans="1:18" ht="18" x14ac:dyDescent="0.25">
      <c r="D1" s="242" t="s">
        <v>349</v>
      </c>
      <c r="E1" s="242"/>
    </row>
    <row r="2" spans="1:18" s="2" customFormat="1" x14ac:dyDescent="0.2">
      <c r="A2" s="11" t="s">
        <v>176</v>
      </c>
      <c r="B2" s="11"/>
      <c r="C2" s="12"/>
      <c r="D2" s="12"/>
      <c r="E2" s="2" t="s">
        <v>39</v>
      </c>
      <c r="F2" s="2" t="s">
        <v>58</v>
      </c>
      <c r="G2" s="323"/>
      <c r="H2" s="355"/>
      <c r="I2" s="355"/>
      <c r="J2" s="353"/>
      <c r="K2" s="353"/>
      <c r="L2" s="353"/>
      <c r="M2" s="353"/>
      <c r="N2" s="354"/>
      <c r="O2" s="354"/>
      <c r="P2" s="354"/>
      <c r="Q2" s="354"/>
      <c r="R2" s="80"/>
    </row>
    <row r="3" spans="1:18" x14ac:dyDescent="0.2">
      <c r="G3" s="1" t="s">
        <v>401</v>
      </c>
      <c r="H3" s="259" t="s">
        <v>353</v>
      </c>
      <c r="I3" s="314" t="s">
        <v>354</v>
      </c>
      <c r="J3" s="314" t="s">
        <v>355</v>
      </c>
      <c r="K3" s="314" t="s">
        <v>356</v>
      </c>
      <c r="L3" s="314" t="s">
        <v>357</v>
      </c>
      <c r="M3" s="314" t="s">
        <v>358</v>
      </c>
      <c r="N3" s="314" t="s">
        <v>359</v>
      </c>
      <c r="O3" s="314" t="s">
        <v>360</v>
      </c>
      <c r="P3" s="314" t="s">
        <v>405</v>
      </c>
      <c r="Q3" s="314" t="s">
        <v>406</v>
      </c>
    </row>
    <row r="4" spans="1:18" s="33" customFormat="1" x14ac:dyDescent="0.2">
      <c r="A4" s="38" t="s">
        <v>175</v>
      </c>
      <c r="B4" s="34"/>
      <c r="E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88"/>
    </row>
    <row r="5" spans="1:18" s="33" customFormat="1" x14ac:dyDescent="0.2">
      <c r="B5" s="24"/>
      <c r="E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88"/>
    </row>
    <row r="6" spans="1:18" x14ac:dyDescent="0.2">
      <c r="B6" s="34"/>
      <c r="D6" s="33"/>
      <c r="E6" s="72"/>
      <c r="F6" s="33"/>
      <c r="G6" s="33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8" x14ac:dyDescent="0.2">
      <c r="B7" s="34"/>
      <c r="C7" s="1" t="s">
        <v>248</v>
      </c>
      <c r="D7" s="33"/>
      <c r="E7" s="72" t="s">
        <v>361</v>
      </c>
      <c r="F7" s="44">
        <f>F8+F9+F10+F11</f>
        <v>160000</v>
      </c>
      <c r="G7" s="307">
        <f>F7</f>
        <v>160000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</row>
    <row r="8" spans="1:18" s="33" customFormat="1" x14ac:dyDescent="0.2">
      <c r="C8" s="33" t="s">
        <v>398</v>
      </c>
      <c r="E8" s="72" t="s">
        <v>361</v>
      </c>
      <c r="F8" s="28">
        <v>60000</v>
      </c>
      <c r="G8" s="36"/>
      <c r="I8" s="35"/>
      <c r="J8" s="35"/>
      <c r="K8" s="35"/>
      <c r="L8" s="35"/>
      <c r="M8" s="35"/>
      <c r="N8" s="35"/>
      <c r="O8" s="35"/>
      <c r="P8" s="35"/>
      <c r="Q8" s="35"/>
      <c r="R8" s="88"/>
    </row>
    <row r="9" spans="1:18" x14ac:dyDescent="0.2">
      <c r="C9" s="1" t="s">
        <v>462</v>
      </c>
      <c r="D9" s="33"/>
      <c r="E9" s="72"/>
      <c r="F9" s="44">
        <v>50000</v>
      </c>
      <c r="G9" s="307"/>
      <c r="I9" s="35"/>
      <c r="J9" s="35"/>
      <c r="K9" s="35"/>
      <c r="L9" s="35"/>
      <c r="M9" s="35"/>
      <c r="N9" s="35"/>
      <c r="O9" s="35"/>
      <c r="P9" s="35"/>
      <c r="Q9" s="35"/>
    </row>
    <row r="10" spans="1:18" x14ac:dyDescent="0.2">
      <c r="C10" s="1" t="s">
        <v>418</v>
      </c>
      <c r="E10" s="72"/>
      <c r="F10" s="63">
        <v>40000</v>
      </c>
      <c r="G10" s="51"/>
    </row>
    <row r="11" spans="1:18" x14ac:dyDescent="0.2">
      <c r="C11" s="1" t="s">
        <v>419</v>
      </c>
      <c r="E11" s="72"/>
      <c r="F11" s="63">
        <v>10000</v>
      </c>
      <c r="G11" s="51"/>
    </row>
    <row r="12" spans="1:18" x14ac:dyDescent="0.2">
      <c r="B12" s="25" t="s">
        <v>38</v>
      </c>
      <c r="C12" s="33"/>
      <c r="D12" s="33"/>
      <c r="E12" s="7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8" x14ac:dyDescent="0.2">
      <c r="C13" s="25" t="s">
        <v>248</v>
      </c>
      <c r="E13" s="72" t="s">
        <v>361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8" x14ac:dyDescent="0.2">
      <c r="E14" s="72"/>
      <c r="F14" s="51"/>
    </row>
    <row r="15" spans="1:18" x14ac:dyDescent="0.2">
      <c r="A15" s="38" t="s">
        <v>57</v>
      </c>
      <c r="E15" s="72"/>
    </row>
    <row r="16" spans="1:18" x14ac:dyDescent="0.2">
      <c r="B16" s="83" t="s">
        <v>463</v>
      </c>
      <c r="C16" s="33"/>
      <c r="D16" s="33"/>
      <c r="E16" s="72"/>
      <c r="F16" s="33"/>
      <c r="G16" s="33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8" x14ac:dyDescent="0.2">
      <c r="B17" s="33"/>
      <c r="C17" s="33" t="s">
        <v>59</v>
      </c>
      <c r="D17" s="33"/>
      <c r="E17" s="72" t="s">
        <v>361</v>
      </c>
      <c r="F17" s="28">
        <v>140000</v>
      </c>
      <c r="G17" s="36"/>
      <c r="H17" s="44"/>
      <c r="I17" s="35"/>
      <c r="J17" s="35"/>
      <c r="K17" s="35"/>
      <c r="L17" s="35"/>
      <c r="M17" s="35"/>
      <c r="N17" s="35"/>
      <c r="O17" s="35"/>
      <c r="P17" s="35"/>
      <c r="Q17" s="35"/>
    </row>
    <row r="18" spans="1:18" x14ac:dyDescent="0.2">
      <c r="B18" s="33"/>
      <c r="C18" s="33" t="s">
        <v>60</v>
      </c>
      <c r="D18" s="33"/>
      <c r="E18" s="72"/>
      <c r="F18" s="33"/>
      <c r="G18" s="33"/>
      <c r="H18" s="260"/>
      <c r="I18" s="260"/>
      <c r="J18" s="260"/>
      <c r="K18" s="260"/>
      <c r="L18" s="260"/>
      <c r="M18" s="260"/>
      <c r="N18" s="260"/>
      <c r="O18" s="260"/>
      <c r="P18" s="260"/>
      <c r="Q18" s="260"/>
    </row>
    <row r="19" spans="1:18" x14ac:dyDescent="0.2">
      <c r="B19" s="33"/>
      <c r="C19" s="1" t="s">
        <v>420</v>
      </c>
      <c r="D19" s="33"/>
      <c r="E19" s="72" t="s">
        <v>44</v>
      </c>
      <c r="F19" s="43">
        <v>0.1</v>
      </c>
      <c r="G19" s="32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8" x14ac:dyDescent="0.2">
      <c r="D20" s="33"/>
      <c r="E20" s="72"/>
      <c r="F20" s="33"/>
      <c r="G20" s="33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8" x14ac:dyDescent="0.2">
      <c r="C21" s="1" t="s">
        <v>61</v>
      </c>
      <c r="D21" s="33"/>
      <c r="E21" s="72" t="s">
        <v>361</v>
      </c>
      <c r="F21" s="33"/>
      <c r="G21" s="33"/>
      <c r="H21" s="74">
        <f t="shared" ref="H21:Q21" si="0">H22*H18</f>
        <v>0</v>
      </c>
      <c r="I21" s="74">
        <f t="shared" si="0"/>
        <v>0</v>
      </c>
      <c r="J21" s="74">
        <f t="shared" si="0"/>
        <v>0</v>
      </c>
      <c r="K21" s="74">
        <f t="shared" si="0"/>
        <v>0</v>
      </c>
      <c r="L21" s="74">
        <f t="shared" si="0"/>
        <v>0</v>
      </c>
      <c r="M21" s="74">
        <f t="shared" si="0"/>
        <v>0</v>
      </c>
      <c r="N21" s="74">
        <f t="shared" si="0"/>
        <v>0</v>
      </c>
      <c r="O21" s="74">
        <f t="shared" si="0"/>
        <v>0</v>
      </c>
      <c r="P21" s="74">
        <f t="shared" si="0"/>
        <v>0</v>
      </c>
      <c r="Q21" s="74">
        <f t="shared" si="0"/>
        <v>0</v>
      </c>
    </row>
    <row r="22" spans="1:18" x14ac:dyDescent="0.2">
      <c r="C22" s="1" t="s">
        <v>126</v>
      </c>
      <c r="D22" s="33"/>
      <c r="E22" s="72" t="s">
        <v>361</v>
      </c>
      <c r="F22" s="33"/>
      <c r="G22" s="33"/>
      <c r="H22" s="74">
        <f>F17</f>
        <v>140000</v>
      </c>
      <c r="I22" s="74">
        <f>H22</f>
        <v>140000</v>
      </c>
      <c r="J22" s="74">
        <f t="shared" ref="J22:Q22" si="1">I22</f>
        <v>140000</v>
      </c>
      <c r="K22" s="74">
        <f t="shared" si="1"/>
        <v>140000</v>
      </c>
      <c r="L22" s="74">
        <f t="shared" si="1"/>
        <v>140000</v>
      </c>
      <c r="M22" s="74">
        <f t="shared" si="1"/>
        <v>140000</v>
      </c>
      <c r="N22" s="74">
        <f t="shared" si="1"/>
        <v>140000</v>
      </c>
      <c r="O22" s="74">
        <f t="shared" si="1"/>
        <v>140000</v>
      </c>
      <c r="P22" s="74">
        <f t="shared" si="1"/>
        <v>140000</v>
      </c>
      <c r="Q22" s="74">
        <f t="shared" si="1"/>
        <v>140000</v>
      </c>
    </row>
    <row r="23" spans="1:18" hidden="1" x14ac:dyDescent="0.2">
      <c r="B23" s="59"/>
      <c r="C23" s="79" t="s">
        <v>213</v>
      </c>
      <c r="D23" s="33"/>
      <c r="E23" s="72" t="s">
        <v>41</v>
      </c>
      <c r="F23" s="33"/>
      <c r="G23" s="33"/>
      <c r="H23" s="81">
        <f t="shared" ref="H23:Q23" si="2">H22*$F$19/4</f>
        <v>3500</v>
      </c>
      <c r="I23" s="81">
        <f t="shared" si="2"/>
        <v>3500</v>
      </c>
      <c r="J23" s="81">
        <f t="shared" si="2"/>
        <v>3500</v>
      </c>
      <c r="K23" s="81">
        <f t="shared" si="2"/>
        <v>3500</v>
      </c>
      <c r="L23" s="81">
        <f t="shared" si="2"/>
        <v>3500</v>
      </c>
      <c r="M23" s="81">
        <f t="shared" si="2"/>
        <v>3500</v>
      </c>
      <c r="N23" s="81">
        <f t="shared" si="2"/>
        <v>3500</v>
      </c>
      <c r="O23" s="81">
        <f t="shared" si="2"/>
        <v>3500</v>
      </c>
      <c r="P23" s="81">
        <f t="shared" si="2"/>
        <v>3500</v>
      </c>
      <c r="Q23" s="81">
        <f t="shared" si="2"/>
        <v>3500</v>
      </c>
    </row>
    <row r="24" spans="1:18" x14ac:dyDescent="0.2">
      <c r="C24" s="1" t="s">
        <v>62</v>
      </c>
      <c r="D24" s="33"/>
      <c r="E24" s="72" t="s">
        <v>361</v>
      </c>
      <c r="F24" s="33"/>
      <c r="G24" s="33"/>
      <c r="H24" s="74">
        <v>0</v>
      </c>
      <c r="I24" s="74">
        <f>F17*F19</f>
        <v>14000</v>
      </c>
      <c r="J24" s="74">
        <f t="shared" ref="J24:Q24" si="3">I24</f>
        <v>14000</v>
      </c>
      <c r="K24" s="74">
        <f t="shared" si="3"/>
        <v>14000</v>
      </c>
      <c r="L24" s="74">
        <f t="shared" si="3"/>
        <v>14000</v>
      </c>
      <c r="M24" s="74">
        <f t="shared" si="3"/>
        <v>14000</v>
      </c>
      <c r="N24" s="74">
        <f t="shared" si="3"/>
        <v>14000</v>
      </c>
      <c r="O24" s="74">
        <f t="shared" si="3"/>
        <v>14000</v>
      </c>
      <c r="P24" s="74">
        <f t="shared" si="3"/>
        <v>14000</v>
      </c>
      <c r="Q24" s="74">
        <f t="shared" si="3"/>
        <v>14000</v>
      </c>
    </row>
    <row r="25" spans="1:18" x14ac:dyDescent="0.2">
      <c r="C25" s="1" t="s">
        <v>64</v>
      </c>
      <c r="D25" s="33"/>
      <c r="E25" s="72" t="s">
        <v>361</v>
      </c>
      <c r="F25" s="33"/>
      <c r="G25" s="33"/>
      <c r="H25" s="74">
        <f>H24</f>
        <v>0</v>
      </c>
      <c r="I25" s="74">
        <f t="shared" ref="I25:Q25" si="4">H25+I24-I21</f>
        <v>14000</v>
      </c>
      <c r="J25" s="74">
        <f t="shared" si="4"/>
        <v>28000</v>
      </c>
      <c r="K25" s="74">
        <f t="shared" si="4"/>
        <v>42000</v>
      </c>
      <c r="L25" s="74">
        <f t="shared" si="4"/>
        <v>56000</v>
      </c>
      <c r="M25" s="74">
        <f t="shared" si="4"/>
        <v>70000</v>
      </c>
      <c r="N25" s="74">
        <f t="shared" si="4"/>
        <v>84000</v>
      </c>
      <c r="O25" s="74">
        <f t="shared" si="4"/>
        <v>98000</v>
      </c>
      <c r="P25" s="74">
        <f t="shared" si="4"/>
        <v>112000</v>
      </c>
      <c r="Q25" s="74">
        <f t="shared" si="4"/>
        <v>126000</v>
      </c>
    </row>
    <row r="26" spans="1:18" x14ac:dyDescent="0.2">
      <c r="C26" s="59" t="s">
        <v>127</v>
      </c>
      <c r="D26" s="33"/>
      <c r="E26" s="72" t="s">
        <v>361</v>
      </c>
      <c r="F26" s="33"/>
      <c r="G26" s="33"/>
      <c r="H26" s="82">
        <f t="shared" ref="H26:Q26" si="5">H22-H25</f>
        <v>140000</v>
      </c>
      <c r="I26" s="82">
        <f t="shared" si="5"/>
        <v>126000</v>
      </c>
      <c r="J26" s="82">
        <f t="shared" si="5"/>
        <v>112000</v>
      </c>
      <c r="K26" s="82">
        <f t="shared" si="5"/>
        <v>98000</v>
      </c>
      <c r="L26" s="82">
        <f t="shared" si="5"/>
        <v>84000</v>
      </c>
      <c r="M26" s="82">
        <f t="shared" si="5"/>
        <v>70000</v>
      </c>
      <c r="N26" s="82">
        <f t="shared" si="5"/>
        <v>56000</v>
      </c>
      <c r="O26" s="82">
        <f t="shared" si="5"/>
        <v>42000</v>
      </c>
      <c r="P26" s="82">
        <f t="shared" si="5"/>
        <v>28000</v>
      </c>
      <c r="Q26" s="82">
        <f t="shared" si="5"/>
        <v>14000</v>
      </c>
    </row>
    <row r="27" spans="1:18" x14ac:dyDescent="0.2">
      <c r="E27" s="72"/>
    </row>
    <row r="28" spans="1:18" x14ac:dyDescent="0.2">
      <c r="A28" s="84"/>
      <c r="B28" s="83" t="s">
        <v>371</v>
      </c>
      <c r="E28" s="72"/>
    </row>
    <row r="29" spans="1:18" s="33" customFormat="1" x14ac:dyDescent="0.2">
      <c r="C29" s="33" t="s">
        <v>59</v>
      </c>
      <c r="E29" s="72" t="s">
        <v>361</v>
      </c>
      <c r="F29" s="28">
        <v>900000</v>
      </c>
      <c r="G29" s="36"/>
      <c r="H29" s="44">
        <v>9230000</v>
      </c>
      <c r="I29" s="35"/>
      <c r="J29" s="35"/>
      <c r="K29" s="35"/>
      <c r="L29" s="35"/>
      <c r="M29" s="35"/>
      <c r="N29" s="35"/>
      <c r="O29" s="35"/>
      <c r="P29" s="35"/>
      <c r="Q29" s="35"/>
      <c r="R29" s="88"/>
    </row>
    <row r="30" spans="1:18" s="33" customFormat="1" x14ac:dyDescent="0.2">
      <c r="C30" s="39" t="s">
        <v>53</v>
      </c>
      <c r="E30" s="72" t="s">
        <v>361</v>
      </c>
      <c r="F30" s="27"/>
      <c r="G30" s="21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88"/>
    </row>
    <row r="31" spans="1:18" s="33" customFormat="1" x14ac:dyDescent="0.2">
      <c r="C31" s="33" t="s">
        <v>60</v>
      </c>
      <c r="E31" s="72"/>
      <c r="G31" s="307">
        <f>F29</f>
        <v>900000</v>
      </c>
      <c r="H31" s="264">
        <v>2.9999999999999997E-4</v>
      </c>
      <c r="I31" s="264">
        <f t="shared" ref="I31:Q31" si="6">H31</f>
        <v>2.9999999999999997E-4</v>
      </c>
      <c r="J31" s="264">
        <v>4.0000000000000002E-4</v>
      </c>
      <c r="K31" s="264">
        <v>4.0000000000000002E-4</v>
      </c>
      <c r="L31" s="264">
        <v>5.0000000000000001E-4</v>
      </c>
      <c r="M31" s="264">
        <f t="shared" si="6"/>
        <v>5.0000000000000001E-4</v>
      </c>
      <c r="N31" s="264">
        <v>5.9999999999999995E-4</v>
      </c>
      <c r="O31" s="264">
        <f t="shared" si="6"/>
        <v>5.9999999999999995E-4</v>
      </c>
      <c r="P31" s="264">
        <v>6.9999999999999999E-4</v>
      </c>
      <c r="Q31" s="264">
        <f t="shared" si="6"/>
        <v>6.9999999999999999E-4</v>
      </c>
      <c r="R31" s="88"/>
    </row>
    <row r="32" spans="1:18" s="33" customFormat="1" x14ac:dyDescent="0.2">
      <c r="C32" s="1" t="s">
        <v>420</v>
      </c>
      <c r="E32" s="72" t="s">
        <v>44</v>
      </c>
      <c r="F32" s="43">
        <v>0.02</v>
      </c>
      <c r="G32" s="32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88"/>
    </row>
    <row r="33" spans="2:18" s="33" customFormat="1" x14ac:dyDescent="0.2">
      <c r="C33" s="1"/>
      <c r="E33" s="72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88"/>
    </row>
    <row r="34" spans="2:18" s="33" customFormat="1" x14ac:dyDescent="0.2">
      <c r="C34" s="39" t="s">
        <v>372</v>
      </c>
      <c r="E34" s="72" t="s">
        <v>361</v>
      </c>
      <c r="H34" s="74">
        <v>0</v>
      </c>
      <c r="I34" s="74">
        <f>H34</f>
        <v>0</v>
      </c>
      <c r="J34" s="74">
        <f t="shared" ref="J34:P34" si="7">I34</f>
        <v>0</v>
      </c>
      <c r="K34" s="74">
        <f t="shared" si="7"/>
        <v>0</v>
      </c>
      <c r="L34" s="74">
        <f t="shared" si="7"/>
        <v>0</v>
      </c>
      <c r="M34" s="74">
        <f t="shared" si="7"/>
        <v>0</v>
      </c>
      <c r="N34" s="74">
        <f t="shared" si="7"/>
        <v>0</v>
      </c>
      <c r="O34" s="74">
        <f t="shared" si="7"/>
        <v>0</v>
      </c>
      <c r="P34" s="74">
        <f t="shared" si="7"/>
        <v>0</v>
      </c>
      <c r="Q34" s="74"/>
      <c r="R34" s="88"/>
    </row>
    <row r="35" spans="2:18" s="33" customFormat="1" x14ac:dyDescent="0.2">
      <c r="C35" s="1" t="s">
        <v>126</v>
      </c>
      <c r="E35" s="72" t="s">
        <v>361</v>
      </c>
      <c r="H35" s="74">
        <f>G31</f>
        <v>900000</v>
      </c>
      <c r="I35" s="74">
        <f t="shared" ref="I35:Q35" si="8">H35</f>
        <v>900000</v>
      </c>
      <c r="J35" s="74">
        <f t="shared" si="8"/>
        <v>900000</v>
      </c>
      <c r="K35" s="74">
        <f t="shared" si="8"/>
        <v>900000</v>
      </c>
      <c r="L35" s="74">
        <f t="shared" si="8"/>
        <v>900000</v>
      </c>
      <c r="M35" s="74">
        <f t="shared" si="8"/>
        <v>900000</v>
      </c>
      <c r="N35" s="74">
        <f t="shared" si="8"/>
        <v>900000</v>
      </c>
      <c r="O35" s="74">
        <f t="shared" si="8"/>
        <v>900000</v>
      </c>
      <c r="P35" s="74">
        <f t="shared" si="8"/>
        <v>900000</v>
      </c>
      <c r="Q35" s="74">
        <f t="shared" si="8"/>
        <v>900000</v>
      </c>
      <c r="R35" s="88"/>
    </row>
    <row r="36" spans="2:18" s="33" customFormat="1" hidden="1" x14ac:dyDescent="0.2">
      <c r="C36" s="79" t="s">
        <v>213</v>
      </c>
      <c r="E36" s="72" t="s">
        <v>41</v>
      </c>
      <c r="H36" s="81">
        <f t="shared" ref="H36:Q36" si="9">H35*$F$32/4</f>
        <v>4500</v>
      </c>
      <c r="I36" s="81">
        <f t="shared" si="9"/>
        <v>4500</v>
      </c>
      <c r="J36" s="81">
        <f t="shared" si="9"/>
        <v>4500</v>
      </c>
      <c r="K36" s="81">
        <f t="shared" si="9"/>
        <v>4500</v>
      </c>
      <c r="L36" s="81">
        <f t="shared" si="9"/>
        <v>4500</v>
      </c>
      <c r="M36" s="81">
        <f t="shared" si="9"/>
        <v>4500</v>
      </c>
      <c r="N36" s="81">
        <f t="shared" si="9"/>
        <v>4500</v>
      </c>
      <c r="O36" s="81">
        <f t="shared" si="9"/>
        <v>4500</v>
      </c>
      <c r="P36" s="81">
        <f t="shared" si="9"/>
        <v>4500</v>
      </c>
      <c r="Q36" s="81">
        <f t="shared" si="9"/>
        <v>4500</v>
      </c>
      <c r="R36" s="88"/>
    </row>
    <row r="37" spans="2:18" s="33" customFormat="1" x14ac:dyDescent="0.2">
      <c r="C37" s="1" t="s">
        <v>62</v>
      </c>
      <c r="E37" s="72" t="s">
        <v>361</v>
      </c>
      <c r="H37" s="74">
        <v>0</v>
      </c>
      <c r="I37" s="74">
        <f>F29*F32</f>
        <v>18000</v>
      </c>
      <c r="J37" s="74">
        <f t="shared" ref="J37:Q37" si="10">I37</f>
        <v>18000</v>
      </c>
      <c r="K37" s="74">
        <f t="shared" si="10"/>
        <v>18000</v>
      </c>
      <c r="L37" s="74">
        <f t="shared" si="10"/>
        <v>18000</v>
      </c>
      <c r="M37" s="74">
        <f t="shared" si="10"/>
        <v>18000</v>
      </c>
      <c r="N37" s="74">
        <f t="shared" si="10"/>
        <v>18000</v>
      </c>
      <c r="O37" s="74">
        <f t="shared" si="10"/>
        <v>18000</v>
      </c>
      <c r="P37" s="74">
        <f>O37</f>
        <v>18000</v>
      </c>
      <c r="Q37" s="74">
        <f t="shared" si="10"/>
        <v>18000</v>
      </c>
      <c r="R37" s="88"/>
    </row>
    <row r="38" spans="2:18" s="33" customFormat="1" x14ac:dyDescent="0.2">
      <c r="C38" s="1" t="s">
        <v>64</v>
      </c>
      <c r="E38" s="72" t="s">
        <v>361</v>
      </c>
      <c r="H38" s="74">
        <f>H37</f>
        <v>0</v>
      </c>
      <c r="I38" s="74">
        <f t="shared" ref="I38:Q38" si="11">H38+I37-I34</f>
        <v>18000</v>
      </c>
      <c r="J38" s="74">
        <f t="shared" si="11"/>
        <v>36000</v>
      </c>
      <c r="K38" s="74">
        <f t="shared" si="11"/>
        <v>54000</v>
      </c>
      <c r="L38" s="74">
        <f t="shared" si="11"/>
        <v>72000</v>
      </c>
      <c r="M38" s="74">
        <f t="shared" si="11"/>
        <v>90000</v>
      </c>
      <c r="N38" s="74">
        <f t="shared" si="11"/>
        <v>108000</v>
      </c>
      <c r="O38" s="74">
        <f t="shared" si="11"/>
        <v>126000</v>
      </c>
      <c r="P38" s="74">
        <f t="shared" si="11"/>
        <v>144000</v>
      </c>
      <c r="Q38" s="74">
        <f t="shared" si="11"/>
        <v>162000</v>
      </c>
      <c r="R38" s="88"/>
    </row>
    <row r="39" spans="2:18" s="33" customFormat="1" x14ac:dyDescent="0.2">
      <c r="C39" s="59" t="s">
        <v>127</v>
      </c>
      <c r="E39" s="72" t="s">
        <v>361</v>
      </c>
      <c r="H39" s="82">
        <f t="shared" ref="H39:Q39" si="12">H35-H38</f>
        <v>900000</v>
      </c>
      <c r="I39" s="82">
        <f t="shared" si="12"/>
        <v>882000</v>
      </c>
      <c r="J39" s="82">
        <f t="shared" si="12"/>
        <v>864000</v>
      </c>
      <c r="K39" s="82">
        <f t="shared" si="12"/>
        <v>846000</v>
      </c>
      <c r="L39" s="82">
        <f t="shared" si="12"/>
        <v>828000</v>
      </c>
      <c r="M39" s="82">
        <f t="shared" si="12"/>
        <v>810000</v>
      </c>
      <c r="N39" s="82">
        <f t="shared" si="12"/>
        <v>792000</v>
      </c>
      <c r="O39" s="82">
        <f t="shared" si="12"/>
        <v>774000</v>
      </c>
      <c r="P39" s="82">
        <f t="shared" si="12"/>
        <v>756000</v>
      </c>
      <c r="Q39" s="82">
        <f t="shared" si="12"/>
        <v>738000</v>
      </c>
      <c r="R39" s="88"/>
    </row>
    <row r="40" spans="2:18" x14ac:dyDescent="0.2">
      <c r="E40" s="72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2:18" x14ac:dyDescent="0.2">
      <c r="B41" s="83"/>
      <c r="E41" s="7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86"/>
    </row>
    <row r="42" spans="2:18" s="33" customFormat="1" x14ac:dyDescent="0.2">
      <c r="B42" s="25" t="s">
        <v>38</v>
      </c>
      <c r="E42" s="72"/>
      <c r="R42" s="88"/>
    </row>
    <row r="43" spans="2:18" x14ac:dyDescent="0.2">
      <c r="C43" s="25" t="s">
        <v>377</v>
      </c>
      <c r="E43" s="72" t="s">
        <v>361</v>
      </c>
      <c r="F43" s="51">
        <f>F29+F17</f>
        <v>1040000</v>
      </c>
      <c r="H43" s="14">
        <f>F43</f>
        <v>1040000</v>
      </c>
      <c r="I43" s="14">
        <f>H43</f>
        <v>1040000</v>
      </c>
      <c r="J43" s="14">
        <f t="shared" ref="J43:Q44" si="13">H43</f>
        <v>1040000</v>
      </c>
      <c r="K43" s="14">
        <f t="shared" si="13"/>
        <v>1040000</v>
      </c>
      <c r="L43" s="14">
        <f t="shared" si="13"/>
        <v>1040000</v>
      </c>
      <c r="M43" s="14">
        <f t="shared" si="13"/>
        <v>1040000</v>
      </c>
      <c r="N43" s="14">
        <f t="shared" si="13"/>
        <v>1040000</v>
      </c>
      <c r="O43" s="14">
        <f t="shared" si="13"/>
        <v>1040000</v>
      </c>
      <c r="P43" s="14">
        <f t="shared" si="13"/>
        <v>1040000</v>
      </c>
      <c r="Q43" s="14">
        <f t="shared" si="13"/>
        <v>1040000</v>
      </c>
    </row>
    <row r="44" spans="2:18" x14ac:dyDescent="0.2">
      <c r="C44" s="1" t="s">
        <v>53</v>
      </c>
      <c r="E44" s="72" t="s">
        <v>361</v>
      </c>
      <c r="F44" s="51">
        <f>F30</f>
        <v>0</v>
      </c>
      <c r="H44" s="14">
        <f>F44</f>
        <v>0</v>
      </c>
      <c r="I44" s="14">
        <f>H44</f>
        <v>0</v>
      </c>
      <c r="J44" s="14">
        <f t="shared" si="13"/>
        <v>0</v>
      </c>
      <c r="K44" s="14">
        <f t="shared" si="13"/>
        <v>0</v>
      </c>
      <c r="L44" s="14">
        <f t="shared" si="13"/>
        <v>0</v>
      </c>
      <c r="M44" s="14">
        <f t="shared" si="13"/>
        <v>0</v>
      </c>
      <c r="N44" s="14">
        <f t="shared" si="13"/>
        <v>0</v>
      </c>
      <c r="O44" s="14">
        <f t="shared" si="13"/>
        <v>0</v>
      </c>
      <c r="P44" s="14">
        <f t="shared" si="13"/>
        <v>0</v>
      </c>
      <c r="Q44" s="14">
        <f t="shared" si="13"/>
        <v>0</v>
      </c>
    </row>
    <row r="45" spans="2:18" x14ac:dyDescent="0.2">
      <c r="C45" s="25" t="s">
        <v>126</v>
      </c>
      <c r="E45" s="72" t="s">
        <v>361</v>
      </c>
      <c r="H45" s="14">
        <f>H22+H35</f>
        <v>1040000</v>
      </c>
      <c r="I45" s="14">
        <f>I22+I35</f>
        <v>1040000</v>
      </c>
      <c r="J45" s="14">
        <f t="shared" ref="J45:Q45" si="14">J22+J35</f>
        <v>1040000</v>
      </c>
      <c r="K45" s="14">
        <f t="shared" si="14"/>
        <v>1040000</v>
      </c>
      <c r="L45" s="14">
        <f t="shared" si="14"/>
        <v>1040000</v>
      </c>
      <c r="M45" s="14">
        <f t="shared" si="14"/>
        <v>1040000</v>
      </c>
      <c r="N45" s="14">
        <f t="shared" si="14"/>
        <v>1040000</v>
      </c>
      <c r="O45" s="14">
        <f t="shared" si="14"/>
        <v>1040000</v>
      </c>
      <c r="P45" s="14">
        <f t="shared" si="14"/>
        <v>1040000</v>
      </c>
      <c r="Q45" s="14">
        <f t="shared" si="14"/>
        <v>1040000</v>
      </c>
    </row>
    <row r="46" spans="2:18" x14ac:dyDescent="0.2">
      <c r="C46" s="25" t="s">
        <v>62</v>
      </c>
      <c r="E46" s="72" t="s">
        <v>361</v>
      </c>
      <c r="H46" s="14">
        <v>0</v>
      </c>
      <c r="I46" s="14">
        <f>I24+I37</f>
        <v>32000</v>
      </c>
      <c r="J46" s="14">
        <f t="shared" ref="J46:Q46" si="15">J24+J37</f>
        <v>32000</v>
      </c>
      <c r="K46" s="14">
        <f t="shared" si="15"/>
        <v>32000</v>
      </c>
      <c r="L46" s="14">
        <f t="shared" si="15"/>
        <v>32000</v>
      </c>
      <c r="M46" s="14">
        <f t="shared" si="15"/>
        <v>32000</v>
      </c>
      <c r="N46" s="14">
        <f t="shared" si="15"/>
        <v>32000</v>
      </c>
      <c r="O46" s="14">
        <f t="shared" si="15"/>
        <v>32000</v>
      </c>
      <c r="P46" s="14">
        <f t="shared" si="15"/>
        <v>32000</v>
      </c>
      <c r="Q46" s="14">
        <f t="shared" si="15"/>
        <v>32000</v>
      </c>
    </row>
    <row r="47" spans="2:18" x14ac:dyDescent="0.2">
      <c r="C47" s="25" t="s">
        <v>64</v>
      </c>
      <c r="E47" s="72" t="s">
        <v>361</v>
      </c>
      <c r="H47" s="14">
        <v>0</v>
      </c>
      <c r="I47" s="14">
        <f>I25+I38</f>
        <v>32000</v>
      </c>
      <c r="J47" s="14">
        <f t="shared" ref="J47:Q47" si="16">J25+J38</f>
        <v>64000</v>
      </c>
      <c r="K47" s="14">
        <f t="shared" si="16"/>
        <v>96000</v>
      </c>
      <c r="L47" s="14">
        <f t="shared" si="16"/>
        <v>128000</v>
      </c>
      <c r="M47" s="14">
        <f t="shared" si="16"/>
        <v>160000</v>
      </c>
      <c r="N47" s="14">
        <f t="shared" si="16"/>
        <v>192000</v>
      </c>
      <c r="O47" s="14">
        <f t="shared" si="16"/>
        <v>224000</v>
      </c>
      <c r="P47" s="14">
        <f t="shared" si="16"/>
        <v>256000</v>
      </c>
      <c r="Q47" s="14">
        <f t="shared" si="16"/>
        <v>288000</v>
      </c>
    </row>
    <row r="48" spans="2:18" x14ac:dyDescent="0.2">
      <c r="C48" s="25" t="s">
        <v>63</v>
      </c>
      <c r="E48" s="72" t="s">
        <v>361</v>
      </c>
      <c r="H48" s="14">
        <f t="shared" ref="H48:Q48" si="17">H45-H47</f>
        <v>1040000</v>
      </c>
      <c r="I48" s="14">
        <f t="shared" si="17"/>
        <v>1008000</v>
      </c>
      <c r="J48" s="14">
        <f t="shared" si="17"/>
        <v>976000</v>
      </c>
      <c r="K48" s="14">
        <f t="shared" si="17"/>
        <v>944000</v>
      </c>
      <c r="L48" s="14">
        <f t="shared" si="17"/>
        <v>912000</v>
      </c>
      <c r="M48" s="14">
        <f t="shared" si="17"/>
        <v>880000</v>
      </c>
      <c r="N48" s="14">
        <f t="shared" si="17"/>
        <v>848000</v>
      </c>
      <c r="O48" s="14">
        <f t="shared" si="17"/>
        <v>816000</v>
      </c>
      <c r="P48" s="14">
        <f t="shared" si="17"/>
        <v>784000</v>
      </c>
      <c r="Q48" s="14">
        <f t="shared" si="17"/>
        <v>752000</v>
      </c>
    </row>
    <row r="49" spans="3:17" x14ac:dyDescent="0.2">
      <c r="C49" s="1" t="s">
        <v>12</v>
      </c>
      <c r="E49" s="72" t="s">
        <v>361</v>
      </c>
      <c r="H49" s="74">
        <f>H48</f>
        <v>1040000</v>
      </c>
      <c r="I49" s="74">
        <f>(H48+I48)/2</f>
        <v>1024000</v>
      </c>
      <c r="J49" s="74">
        <f>(I48+J48)/2</f>
        <v>992000</v>
      </c>
      <c r="K49" s="74">
        <f>(J48+K48)/2</f>
        <v>960000</v>
      </c>
      <c r="L49" s="74">
        <f t="shared" ref="L49:Q49" si="18">(K48+L48)/2</f>
        <v>928000</v>
      </c>
      <c r="M49" s="74">
        <f t="shared" si="18"/>
        <v>896000</v>
      </c>
      <c r="N49" s="74">
        <f t="shared" si="18"/>
        <v>864000</v>
      </c>
      <c r="O49" s="74">
        <f t="shared" si="18"/>
        <v>832000</v>
      </c>
      <c r="P49" s="74">
        <f t="shared" si="18"/>
        <v>800000</v>
      </c>
      <c r="Q49" s="74">
        <f t="shared" si="18"/>
        <v>768000</v>
      </c>
    </row>
    <row r="50" spans="3:17" x14ac:dyDescent="0.2">
      <c r="E50" s="7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3:17" x14ac:dyDescent="0.2">
      <c r="C51" s="1" t="s">
        <v>214</v>
      </c>
      <c r="E51" s="72" t="s">
        <v>361</v>
      </c>
      <c r="H51" s="74">
        <f>H49*Окружение!J11</f>
        <v>0</v>
      </c>
      <c r="I51" s="74">
        <f>I49*Окружение!K11</f>
        <v>0</v>
      </c>
      <c r="J51" s="74">
        <f>J49*Окружение!L11</f>
        <v>0</v>
      </c>
      <c r="K51" s="74">
        <f>K49*Окружение!M11</f>
        <v>0</v>
      </c>
      <c r="L51" s="74">
        <f>L49*Окружение!N11</f>
        <v>0</v>
      </c>
      <c r="M51" s="74">
        <f>M49*Окружение!O11</f>
        <v>0</v>
      </c>
      <c r="N51" s="74">
        <f>N49*Окружение!P11</f>
        <v>0</v>
      </c>
      <c r="O51" s="74">
        <f>O49*Окружение!Q11</f>
        <v>0</v>
      </c>
      <c r="P51" s="74">
        <f>P49*Окружение!R11</f>
        <v>0</v>
      </c>
      <c r="Q51" s="74">
        <f>Q49*Окружение!S11</f>
        <v>0</v>
      </c>
    </row>
  </sheetData>
  <mergeCells count="5">
    <mergeCell ref="L2:M2"/>
    <mergeCell ref="N2:O2"/>
    <mergeCell ref="P2:Q2"/>
    <mergeCell ref="H2:I2"/>
    <mergeCell ref="J2:K2"/>
  </mergeCells>
  <phoneticPr fontId="0" type="noConversion"/>
  <hyperlinks>
    <hyperlink ref="D1" r:id="rId1"/>
  </hyperlinks>
  <pageMargins left="0.75" right="0.75" top="1" bottom="1" header="0.5" footer="0.5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9"/>
  <sheetViews>
    <sheetView tabSelected="1" topLeftCell="A4" workbookViewId="0">
      <selection activeCell="H11" sqref="H11"/>
    </sheetView>
  </sheetViews>
  <sheetFormatPr defaultRowHeight="12.75" x14ac:dyDescent="0.2"/>
  <cols>
    <col min="1" max="2" width="3.7109375" style="1" customWidth="1"/>
    <col min="3" max="3" width="54.85546875" style="1" customWidth="1"/>
    <col min="4" max="4" width="9.140625" style="1"/>
    <col min="5" max="5" width="10.85546875" style="1" bestFit="1" customWidth="1"/>
    <col min="6" max="7" width="10.7109375" style="1" customWidth="1"/>
    <col min="8" max="8" width="11.7109375" style="1" customWidth="1"/>
    <col min="9" max="9" width="12.28515625" style="1" customWidth="1"/>
    <col min="10" max="10" width="10.7109375" style="1" customWidth="1"/>
    <col min="11" max="13" width="11" style="1" customWidth="1"/>
    <col min="14" max="14" width="11.85546875" style="1" customWidth="1"/>
    <col min="15" max="15" width="11" style="1" customWidth="1"/>
    <col min="16" max="16384" width="9.140625" style="1"/>
  </cols>
  <sheetData>
    <row r="1" spans="1:23" ht="18" x14ac:dyDescent="0.25">
      <c r="C1" s="242" t="s">
        <v>349</v>
      </c>
    </row>
    <row r="2" spans="1:23" ht="18" x14ac:dyDescent="0.25">
      <c r="C2" s="242"/>
    </row>
    <row r="3" spans="1:23" s="2" customFormat="1" x14ac:dyDescent="0.2">
      <c r="A3" s="11" t="s">
        <v>92</v>
      </c>
      <c r="B3" s="11"/>
      <c r="C3" s="12"/>
      <c r="D3" s="2" t="s">
        <v>39</v>
      </c>
      <c r="E3" s="331" t="s">
        <v>459</v>
      </c>
      <c r="F3" s="329"/>
      <c r="G3" s="332">
        <v>1400000</v>
      </c>
      <c r="H3" s="357"/>
      <c r="I3" s="357"/>
      <c r="J3" s="355"/>
      <c r="K3" s="355"/>
      <c r="L3" s="355"/>
      <c r="M3" s="355"/>
      <c r="N3" s="353"/>
      <c r="O3" s="353"/>
      <c r="P3" s="354"/>
      <c r="Q3" s="354"/>
      <c r="R3" s="354"/>
      <c r="S3" s="354"/>
      <c r="T3" s="356"/>
      <c r="U3" s="356"/>
      <c r="V3" s="356"/>
      <c r="W3" s="356"/>
    </row>
    <row r="4" spans="1:23" s="33" customFormat="1" x14ac:dyDescent="0.2">
      <c r="F4" s="33" t="s">
        <v>407</v>
      </c>
      <c r="G4" s="33" t="s">
        <v>378</v>
      </c>
      <c r="H4" s="33" t="s">
        <v>404</v>
      </c>
      <c r="I4" s="33" t="s">
        <v>408</v>
      </c>
      <c r="J4" s="33" t="s">
        <v>409</v>
      </c>
      <c r="K4" s="33" t="s">
        <v>410</v>
      </c>
      <c r="L4" s="33" t="s">
        <v>411</v>
      </c>
      <c r="M4" s="33" t="s">
        <v>412</v>
      </c>
      <c r="N4" s="33" t="s">
        <v>413</v>
      </c>
      <c r="O4" s="33" t="s">
        <v>414</v>
      </c>
    </row>
    <row r="5" spans="1:23" x14ac:dyDescent="0.2">
      <c r="A5" s="23" t="s">
        <v>93</v>
      </c>
    </row>
    <row r="6" spans="1:23" x14ac:dyDescent="0.2">
      <c r="A6" s="23"/>
      <c r="B6" s="1" t="s">
        <v>122</v>
      </c>
      <c r="D6" s="72"/>
      <c r="E6" s="72"/>
      <c r="F6" s="27">
        <f>E9</f>
        <v>500000</v>
      </c>
      <c r="G6" s="27">
        <f>F6</f>
        <v>500000</v>
      </c>
      <c r="H6" s="27">
        <f t="shared" ref="H6:N6" si="0">G6</f>
        <v>500000</v>
      </c>
      <c r="I6" s="27">
        <f t="shared" si="0"/>
        <v>500000</v>
      </c>
      <c r="J6" s="27">
        <f t="shared" si="0"/>
        <v>500000</v>
      </c>
      <c r="K6" s="27">
        <f t="shared" si="0"/>
        <v>500000</v>
      </c>
      <c r="L6" s="27">
        <f t="shared" si="0"/>
        <v>500000</v>
      </c>
      <c r="M6" s="27">
        <f t="shared" si="0"/>
        <v>500000</v>
      </c>
      <c r="N6" s="27">
        <f t="shared" si="0"/>
        <v>500000</v>
      </c>
      <c r="O6" s="27">
        <f>N6</f>
        <v>500000</v>
      </c>
      <c r="P6" s="27"/>
      <c r="Q6" s="27"/>
      <c r="R6" s="27"/>
      <c r="S6" s="27"/>
      <c r="T6" s="27"/>
      <c r="U6" s="27"/>
      <c r="V6" s="27"/>
      <c r="W6" s="27"/>
    </row>
    <row r="7" spans="1:23" x14ac:dyDescent="0.2">
      <c r="A7" s="23"/>
      <c r="C7" s="1" t="s">
        <v>483</v>
      </c>
      <c r="D7" s="72" t="s">
        <v>361</v>
      </c>
      <c r="E7" s="36">
        <v>400000</v>
      </c>
      <c r="F7" s="28"/>
      <c r="G7" s="233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</row>
    <row r="8" spans="1:23" x14ac:dyDescent="0.2">
      <c r="A8" s="23"/>
      <c r="C8" s="1" t="s">
        <v>480</v>
      </c>
      <c r="D8" s="72"/>
      <c r="E8" s="36">
        <v>100000</v>
      </c>
      <c r="F8" s="28"/>
      <c r="G8" s="233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</row>
    <row r="9" spans="1:23" x14ac:dyDescent="0.2">
      <c r="B9" s="26" t="s">
        <v>124</v>
      </c>
      <c r="D9" s="72" t="s">
        <v>361</v>
      </c>
      <c r="E9" s="36">
        <f>SUM(E7:E8)</f>
        <v>500000</v>
      </c>
      <c r="F9" s="27"/>
      <c r="G9" s="27">
        <v>0</v>
      </c>
      <c r="H9" s="27">
        <f t="shared" ref="H9:O9" si="1">G9</f>
        <v>0</v>
      </c>
      <c r="I9" s="27">
        <f t="shared" si="1"/>
        <v>0</v>
      </c>
      <c r="J9" s="27">
        <f t="shared" si="1"/>
        <v>0</v>
      </c>
      <c r="K9" s="27">
        <f t="shared" si="1"/>
        <v>0</v>
      </c>
      <c r="L9" s="27">
        <f t="shared" si="1"/>
        <v>0</v>
      </c>
      <c r="M9" s="27">
        <f t="shared" si="1"/>
        <v>0</v>
      </c>
      <c r="N9" s="27">
        <f t="shared" si="1"/>
        <v>0</v>
      </c>
      <c r="O9" s="27">
        <f t="shared" si="1"/>
        <v>0</v>
      </c>
      <c r="P9" s="27"/>
      <c r="Q9" s="27"/>
      <c r="R9" s="27"/>
      <c r="S9" s="27"/>
      <c r="T9" s="27"/>
      <c r="U9" s="27"/>
      <c r="V9" s="27"/>
      <c r="W9" s="27"/>
    </row>
    <row r="10" spans="1:23" x14ac:dyDescent="0.2">
      <c r="B10" s="26"/>
      <c r="D10" s="72"/>
      <c r="E10" s="36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</row>
    <row r="11" spans="1:23" x14ac:dyDescent="0.2">
      <c r="D11" s="72"/>
      <c r="E11" s="3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x14ac:dyDescent="0.2">
      <c r="A12" s="23" t="s">
        <v>185</v>
      </c>
      <c r="D12" s="72"/>
      <c r="E12" s="36"/>
      <c r="F12" s="44"/>
      <c r="G12" s="44" t="s">
        <v>28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x14ac:dyDescent="0.2">
      <c r="A13" s="23"/>
      <c r="B13" s="76" t="s">
        <v>123</v>
      </c>
      <c r="D13" s="72"/>
      <c r="E13" s="36">
        <v>1000000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x14ac:dyDescent="0.2">
      <c r="A14" s="23"/>
      <c r="C14" s="1" t="s">
        <v>94</v>
      </c>
      <c r="D14" s="72" t="s">
        <v>44</v>
      </c>
      <c r="E14" s="36"/>
      <c r="F14" s="71">
        <v>0.01</v>
      </c>
      <c r="G14" s="77">
        <f>F14</f>
        <v>0.01</v>
      </c>
      <c r="H14" s="77">
        <f>G14</f>
        <v>0.01</v>
      </c>
      <c r="I14" s="77">
        <f>H14</f>
        <v>0.01</v>
      </c>
      <c r="J14" s="77">
        <f t="shared" ref="J14:O14" si="2">I14</f>
        <v>0.01</v>
      </c>
      <c r="K14" s="77">
        <f t="shared" si="2"/>
        <v>0.01</v>
      </c>
      <c r="L14" s="77">
        <f t="shared" si="2"/>
        <v>0.01</v>
      </c>
      <c r="M14" s="77">
        <f t="shared" si="2"/>
        <v>0.01</v>
      </c>
      <c r="N14" s="77">
        <f t="shared" si="2"/>
        <v>0.01</v>
      </c>
      <c r="O14" s="77">
        <f t="shared" si="2"/>
        <v>0.01</v>
      </c>
      <c r="P14" s="77"/>
      <c r="Q14" s="77"/>
      <c r="R14" s="77"/>
      <c r="S14" s="77"/>
      <c r="T14" s="77"/>
      <c r="U14" s="77"/>
      <c r="V14" s="77"/>
      <c r="W14" s="77"/>
    </row>
    <row r="15" spans="1:23" x14ac:dyDescent="0.2">
      <c r="C15" s="1" t="s">
        <v>95</v>
      </c>
      <c r="D15" s="72" t="s">
        <v>361</v>
      </c>
      <c r="E15" s="36"/>
      <c r="F15" s="28">
        <f>E13</f>
        <v>1000000</v>
      </c>
      <c r="G15" s="28"/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/>
      <c r="Q15" s="28"/>
      <c r="R15" s="28"/>
      <c r="S15" s="28"/>
      <c r="T15" s="28"/>
      <c r="U15" s="28"/>
      <c r="V15" s="28"/>
      <c r="W15" s="28"/>
    </row>
    <row r="16" spans="1:23" x14ac:dyDescent="0.2">
      <c r="C16" s="1" t="s">
        <v>187</v>
      </c>
      <c r="D16" s="72" t="s">
        <v>361</v>
      </c>
      <c r="E16" s="36"/>
      <c r="F16" s="28">
        <v>0</v>
      </c>
      <c r="G16" s="28">
        <f>F15/10</f>
        <v>100000</v>
      </c>
      <c r="H16" s="28">
        <f>G16</f>
        <v>100000</v>
      </c>
      <c r="I16" s="28">
        <f t="shared" ref="I16:O16" si="3">H16</f>
        <v>100000</v>
      </c>
      <c r="J16" s="28">
        <f t="shared" si="3"/>
        <v>100000</v>
      </c>
      <c r="K16" s="28">
        <f t="shared" si="3"/>
        <v>100000</v>
      </c>
      <c r="L16" s="28">
        <f t="shared" si="3"/>
        <v>100000</v>
      </c>
      <c r="M16" s="28">
        <f>L16</f>
        <v>100000</v>
      </c>
      <c r="N16" s="28">
        <f t="shared" si="3"/>
        <v>100000</v>
      </c>
      <c r="O16" s="28">
        <f t="shared" si="3"/>
        <v>100000</v>
      </c>
      <c r="P16" s="28"/>
      <c r="Q16" s="28"/>
      <c r="R16" s="28"/>
      <c r="S16" s="28"/>
      <c r="T16" s="28"/>
      <c r="U16" s="28"/>
      <c r="V16" s="28"/>
      <c r="W16" s="28"/>
    </row>
    <row r="17" spans="1:23" s="79" customFormat="1" x14ac:dyDescent="0.2">
      <c r="C17" s="79" t="s">
        <v>370</v>
      </c>
      <c r="D17" s="109" t="s">
        <v>361</v>
      </c>
      <c r="E17" s="308"/>
      <c r="F17" s="110">
        <f>F15-F16</f>
        <v>1000000</v>
      </c>
      <c r="G17" s="110">
        <f>F15-G16</f>
        <v>900000</v>
      </c>
      <c r="H17" s="110">
        <f t="shared" ref="H17:O17" si="4">G17-H16</f>
        <v>800000</v>
      </c>
      <c r="I17" s="110">
        <f t="shared" si="4"/>
        <v>700000</v>
      </c>
      <c r="J17" s="110">
        <f t="shared" si="4"/>
        <v>600000</v>
      </c>
      <c r="K17" s="110">
        <f t="shared" si="4"/>
        <v>500000</v>
      </c>
      <c r="L17" s="110">
        <f t="shared" si="4"/>
        <v>400000</v>
      </c>
      <c r="M17" s="110">
        <f t="shared" si="4"/>
        <v>300000</v>
      </c>
      <c r="N17" s="110">
        <f t="shared" si="4"/>
        <v>200000</v>
      </c>
      <c r="O17" s="110">
        <f t="shared" si="4"/>
        <v>100000</v>
      </c>
      <c r="P17" s="110"/>
      <c r="Q17" s="110"/>
      <c r="R17" s="110"/>
      <c r="S17" s="110"/>
      <c r="T17" s="110"/>
      <c r="U17" s="110"/>
      <c r="V17" s="110"/>
      <c r="W17" s="110"/>
    </row>
    <row r="18" spans="1:23" x14ac:dyDescent="0.2">
      <c r="C18" s="1" t="s">
        <v>188</v>
      </c>
      <c r="D18" s="72" t="s">
        <v>361</v>
      </c>
      <c r="E18" s="36"/>
      <c r="F18" s="74">
        <f>F15*F14</f>
        <v>10000</v>
      </c>
      <c r="G18" s="74">
        <f>G17*G14</f>
        <v>9000</v>
      </c>
      <c r="H18" s="74">
        <f t="shared" ref="H18:O18" si="5">H17*H14</f>
        <v>8000</v>
      </c>
      <c r="I18" s="74">
        <f t="shared" si="5"/>
        <v>7000</v>
      </c>
      <c r="J18" s="74">
        <f t="shared" si="5"/>
        <v>6000</v>
      </c>
      <c r="K18" s="74">
        <f t="shared" si="5"/>
        <v>5000</v>
      </c>
      <c r="L18" s="74">
        <f t="shared" si="5"/>
        <v>4000</v>
      </c>
      <c r="M18" s="74">
        <f t="shared" si="5"/>
        <v>3000</v>
      </c>
      <c r="N18" s="74">
        <f t="shared" si="5"/>
        <v>2000</v>
      </c>
      <c r="O18" s="74">
        <f t="shared" si="5"/>
        <v>1000</v>
      </c>
      <c r="P18" s="69"/>
      <c r="Q18" s="69"/>
      <c r="R18" s="69"/>
      <c r="S18" s="69"/>
      <c r="T18" s="69"/>
      <c r="U18" s="69"/>
      <c r="V18" s="69"/>
      <c r="W18" s="69"/>
    </row>
    <row r="19" spans="1:23" x14ac:dyDescent="0.2">
      <c r="C19" s="1" t="s">
        <v>189</v>
      </c>
      <c r="D19" s="72" t="s">
        <v>361</v>
      </c>
      <c r="E19" s="36"/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7778.2</v>
      </c>
      <c r="N19" s="241">
        <v>0</v>
      </c>
      <c r="O19" s="241">
        <v>0</v>
      </c>
      <c r="P19" s="241"/>
      <c r="Q19" s="241"/>
      <c r="R19" s="241"/>
      <c r="S19" s="241"/>
      <c r="T19" s="241"/>
      <c r="U19" s="241"/>
      <c r="V19" s="241"/>
      <c r="W19" s="241"/>
    </row>
    <row r="20" spans="1:23" x14ac:dyDescent="0.2">
      <c r="D20" s="72"/>
      <c r="E20" s="36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</row>
    <row r="21" spans="1:23" x14ac:dyDescent="0.2">
      <c r="C21" s="1" t="s">
        <v>417</v>
      </c>
      <c r="D21" s="72"/>
      <c r="E21" s="36">
        <f>E13+E9</f>
        <v>1500000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x14ac:dyDescent="0.2">
      <c r="D22" s="72"/>
      <c r="E22" s="36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x14ac:dyDescent="0.2">
      <c r="A23" s="52" t="s">
        <v>96</v>
      </c>
      <c r="D23" s="72" t="s">
        <v>361</v>
      </c>
      <c r="E23" s="36"/>
      <c r="F23" s="14">
        <f>CF!G28</f>
        <v>1101522</v>
      </c>
      <c r="G23" s="14">
        <f>CF!H28</f>
        <v>1348339.6400000001</v>
      </c>
      <c r="H23" s="14">
        <f>CF!I28</f>
        <v>2628684.3383999998</v>
      </c>
      <c r="I23" s="14">
        <f>CF!J28</f>
        <v>2960387.7187040001</v>
      </c>
      <c r="J23" s="14">
        <f>CF!K28</f>
        <v>3240981.4058262403</v>
      </c>
      <c r="K23" s="14">
        <f>CF!L28</f>
        <v>3534088.7141758148</v>
      </c>
      <c r="L23" s="14">
        <f>CF!M28</f>
        <v>3840400.461026364</v>
      </c>
      <c r="M23" s="14">
        <f>CF!N28</f>
        <v>4160648.9126879461</v>
      </c>
      <c r="N23" s="14">
        <f>CF!O28</f>
        <v>4495610.2714492232</v>
      </c>
      <c r="O23" s="14">
        <f>CF!P28</f>
        <v>4878776.7976796087</v>
      </c>
      <c r="P23" s="14"/>
      <c r="Q23" s="14"/>
      <c r="R23" s="14"/>
      <c r="S23" s="14"/>
      <c r="T23" s="14"/>
      <c r="U23" s="14"/>
      <c r="V23" s="14"/>
      <c r="W23" s="14"/>
    </row>
    <row r="24" spans="1:23" x14ac:dyDescent="0.2">
      <c r="D24" s="72"/>
      <c r="E24" s="36"/>
    </row>
    <row r="25" spans="1:23" x14ac:dyDescent="0.2">
      <c r="A25" s="23" t="s">
        <v>125</v>
      </c>
      <c r="D25" s="72"/>
      <c r="E25" s="36"/>
    </row>
    <row r="26" spans="1:23" x14ac:dyDescent="0.2">
      <c r="B26" s="1" t="s">
        <v>138</v>
      </c>
      <c r="D26" s="72" t="s">
        <v>361</v>
      </c>
      <c r="E26" s="36"/>
      <c r="F26" s="14">
        <f>E9</f>
        <v>500000</v>
      </c>
      <c r="G26" s="14">
        <f>F26</f>
        <v>500000</v>
      </c>
      <c r="H26" s="14">
        <f t="shared" ref="H26:O26" si="6">G26</f>
        <v>500000</v>
      </c>
      <c r="I26" s="14">
        <f t="shared" si="6"/>
        <v>500000</v>
      </c>
      <c r="J26" s="14">
        <f t="shared" si="6"/>
        <v>500000</v>
      </c>
      <c r="K26" s="14">
        <f t="shared" si="6"/>
        <v>500000</v>
      </c>
      <c r="L26" s="14">
        <f t="shared" si="6"/>
        <v>500000</v>
      </c>
      <c r="M26" s="14">
        <f t="shared" si="6"/>
        <v>500000</v>
      </c>
      <c r="N26" s="14">
        <f t="shared" si="6"/>
        <v>500000</v>
      </c>
      <c r="O26" s="14">
        <f t="shared" si="6"/>
        <v>500000</v>
      </c>
      <c r="P26" s="14"/>
      <c r="Q26" s="14"/>
      <c r="R26" s="14"/>
      <c r="S26" s="14"/>
      <c r="T26" s="14"/>
      <c r="U26" s="14"/>
      <c r="V26" s="14"/>
      <c r="W26" s="14"/>
    </row>
    <row r="27" spans="1:23" x14ac:dyDescent="0.2">
      <c r="B27" s="1" t="s">
        <v>139</v>
      </c>
      <c r="D27" s="72" t="s">
        <v>361</v>
      </c>
      <c r="E27" s="36"/>
      <c r="F27" s="14">
        <f>F17</f>
        <v>1000000</v>
      </c>
      <c r="G27" s="14">
        <f t="shared" ref="G27:O27" si="7">G17</f>
        <v>900000</v>
      </c>
      <c r="H27" s="14">
        <f t="shared" si="7"/>
        <v>800000</v>
      </c>
      <c r="I27" s="14">
        <f t="shared" si="7"/>
        <v>700000</v>
      </c>
      <c r="J27" s="14">
        <f t="shared" si="7"/>
        <v>600000</v>
      </c>
      <c r="K27" s="14">
        <f t="shared" si="7"/>
        <v>500000</v>
      </c>
      <c r="L27" s="14">
        <f t="shared" si="7"/>
        <v>400000</v>
      </c>
      <c r="M27" s="14">
        <f t="shared" si="7"/>
        <v>300000</v>
      </c>
      <c r="N27" s="14">
        <f t="shared" si="7"/>
        <v>200000</v>
      </c>
      <c r="O27" s="14">
        <f t="shared" si="7"/>
        <v>100000</v>
      </c>
      <c r="P27" s="14"/>
      <c r="Q27" s="14"/>
      <c r="R27" s="14"/>
      <c r="S27" s="14"/>
      <c r="T27" s="14"/>
      <c r="U27" s="14"/>
      <c r="V27" s="14"/>
      <c r="W27" s="14"/>
    </row>
    <row r="28" spans="1:23" x14ac:dyDescent="0.2">
      <c r="B28" s="26" t="s">
        <v>38</v>
      </c>
      <c r="D28" s="72" t="s">
        <v>361</v>
      </c>
      <c r="E28" s="36"/>
      <c r="F28" s="14">
        <f>SUM(F26:F27)</f>
        <v>1500000</v>
      </c>
      <c r="G28" s="14">
        <f t="shared" ref="G28:O28" si="8">SUM(G26:G27)</f>
        <v>1400000</v>
      </c>
      <c r="H28" s="14">
        <f t="shared" si="8"/>
        <v>1300000</v>
      </c>
      <c r="I28" s="14">
        <f t="shared" si="8"/>
        <v>1200000</v>
      </c>
      <c r="J28" s="14">
        <f t="shared" si="8"/>
        <v>1100000</v>
      </c>
      <c r="K28" s="14">
        <f t="shared" si="8"/>
        <v>1000000</v>
      </c>
      <c r="L28" s="14">
        <f>SUM(L26:L27)</f>
        <v>900000</v>
      </c>
      <c r="M28" s="14">
        <f t="shared" si="8"/>
        <v>800000</v>
      </c>
      <c r="N28" s="14">
        <f t="shared" si="8"/>
        <v>700000</v>
      </c>
      <c r="O28" s="14">
        <f t="shared" si="8"/>
        <v>600000</v>
      </c>
      <c r="P28" s="14"/>
      <c r="Q28" s="14"/>
      <c r="R28" s="14"/>
      <c r="S28" s="14"/>
      <c r="T28" s="14"/>
      <c r="U28" s="14"/>
      <c r="V28" s="14"/>
      <c r="W28" s="14"/>
    </row>
    <row r="29" spans="1:23" x14ac:dyDescent="0.2">
      <c r="B29" s="1" t="s">
        <v>144</v>
      </c>
      <c r="D29" s="72" t="s">
        <v>44</v>
      </c>
      <c r="E29" s="36"/>
      <c r="F29" s="91">
        <f>IF(F28&gt;0,F26/F28,0)</f>
        <v>0.33333333333333331</v>
      </c>
      <c r="G29" s="91">
        <f t="shared" ref="G29:O29" si="9">IF(G28&gt;0,G26/G28,0)</f>
        <v>0.35714285714285715</v>
      </c>
      <c r="H29" s="91">
        <f>IF(H28&gt;0,H26/H28,0)</f>
        <v>0.38461538461538464</v>
      </c>
      <c r="I29" s="91">
        <f t="shared" si="9"/>
        <v>0.41666666666666669</v>
      </c>
      <c r="J29" s="91">
        <f t="shared" si="9"/>
        <v>0.45454545454545453</v>
      </c>
      <c r="K29" s="91">
        <f t="shared" si="9"/>
        <v>0.5</v>
      </c>
      <c r="L29" s="91">
        <f>L26/L28</f>
        <v>0.55555555555555558</v>
      </c>
      <c r="M29" s="91">
        <f t="shared" si="9"/>
        <v>0.625</v>
      </c>
      <c r="N29" s="91">
        <f t="shared" si="9"/>
        <v>0.7142857142857143</v>
      </c>
      <c r="O29" s="91">
        <f t="shared" si="9"/>
        <v>0.83333333333333337</v>
      </c>
      <c r="P29" s="91"/>
      <c r="Q29" s="91"/>
      <c r="R29" s="91"/>
      <c r="S29" s="91"/>
      <c r="T29" s="91"/>
      <c r="U29" s="91"/>
      <c r="V29" s="91"/>
      <c r="W29" s="91"/>
    </row>
    <row r="30" spans="1:23" x14ac:dyDescent="0.2">
      <c r="B30" s="1" t="s">
        <v>140</v>
      </c>
      <c r="D30" s="72" t="s">
        <v>44</v>
      </c>
      <c r="E30" s="36"/>
      <c r="F30" s="91">
        <f t="shared" ref="F30:O30" si="10">IF(F28&gt;0,1-F29,0)</f>
        <v>0.66666666666666674</v>
      </c>
      <c r="G30" s="91">
        <f t="shared" si="10"/>
        <v>0.64285714285714279</v>
      </c>
      <c r="H30" s="91">
        <f>IF(H28&gt;0,1-H29,0)</f>
        <v>0.61538461538461542</v>
      </c>
      <c r="I30" s="91">
        <f t="shared" si="10"/>
        <v>0.58333333333333326</v>
      </c>
      <c r="J30" s="91">
        <f t="shared" si="10"/>
        <v>0.54545454545454541</v>
      </c>
      <c r="K30" s="91">
        <f t="shared" si="10"/>
        <v>0.5</v>
      </c>
      <c r="L30" s="91">
        <f t="shared" si="10"/>
        <v>0.44444444444444442</v>
      </c>
      <c r="M30" s="91">
        <f t="shared" si="10"/>
        <v>0.375</v>
      </c>
      <c r="N30" s="91">
        <f t="shared" si="10"/>
        <v>0.2857142857142857</v>
      </c>
      <c r="O30" s="91">
        <f t="shared" si="10"/>
        <v>0.16666666666666663</v>
      </c>
      <c r="P30" s="91"/>
      <c r="Q30" s="91"/>
      <c r="R30" s="91"/>
      <c r="S30" s="91"/>
      <c r="T30" s="91"/>
      <c r="U30" s="91"/>
      <c r="V30" s="91"/>
      <c r="W30" s="91"/>
    </row>
    <row r="31" spans="1:23" x14ac:dyDescent="0.2">
      <c r="B31" s="1" t="s">
        <v>142</v>
      </c>
      <c r="D31" s="72" t="s">
        <v>44</v>
      </c>
      <c r="E31" s="36"/>
      <c r="F31" s="91">
        <f>Окружение!D15</f>
        <v>0.4</v>
      </c>
      <c r="G31" s="91">
        <f>Окружение!E15</f>
        <v>0.4</v>
      </c>
      <c r="H31" s="91">
        <f>Окружение!F15</f>
        <v>0.4</v>
      </c>
      <c r="I31" s="91">
        <f>Окружение!G15</f>
        <v>0.4</v>
      </c>
      <c r="J31" s="91">
        <f>Окружение!H15</f>
        <v>0.4</v>
      </c>
      <c r="K31" s="91">
        <f>Окружение!I15</f>
        <v>0.4</v>
      </c>
      <c r="L31" s="91">
        <f>Окружение!J15</f>
        <v>0.4</v>
      </c>
      <c r="M31" s="91">
        <f>Окружение!K15</f>
        <v>0.4</v>
      </c>
      <c r="N31" s="91">
        <f>Окружение!L15</f>
        <v>0.4</v>
      </c>
      <c r="O31" s="91">
        <f>Окружение!M15</f>
        <v>0.4</v>
      </c>
      <c r="P31" s="91"/>
      <c r="Q31" s="91"/>
      <c r="R31" s="91"/>
      <c r="S31" s="91"/>
      <c r="T31" s="91"/>
      <c r="U31" s="91"/>
      <c r="V31" s="91"/>
      <c r="W31" s="91"/>
    </row>
    <row r="32" spans="1:23" x14ac:dyDescent="0.2">
      <c r="B32" s="1" t="s">
        <v>141</v>
      </c>
      <c r="D32" s="72" t="s">
        <v>44</v>
      </c>
      <c r="E32" s="36"/>
      <c r="F32" s="91">
        <f>E9/E21*100%</f>
        <v>0.33333333333333331</v>
      </c>
      <c r="G32" s="91">
        <f>F32</f>
        <v>0.33333333333333331</v>
      </c>
      <c r="H32" s="91">
        <f t="shared" ref="H32:O32" si="11">G32</f>
        <v>0.33333333333333331</v>
      </c>
      <c r="I32" s="91">
        <f t="shared" si="11"/>
        <v>0.33333333333333331</v>
      </c>
      <c r="J32" s="91">
        <f t="shared" si="11"/>
        <v>0.33333333333333331</v>
      </c>
      <c r="K32" s="91">
        <f t="shared" si="11"/>
        <v>0.33333333333333331</v>
      </c>
      <c r="L32" s="91">
        <f>K32</f>
        <v>0.33333333333333331</v>
      </c>
      <c r="M32" s="91">
        <f t="shared" si="11"/>
        <v>0.33333333333333331</v>
      </c>
      <c r="N32" s="91">
        <f t="shared" si="11"/>
        <v>0.33333333333333331</v>
      </c>
      <c r="O32" s="91">
        <f t="shared" si="11"/>
        <v>0.33333333333333331</v>
      </c>
      <c r="P32" s="91"/>
      <c r="Q32" s="91"/>
      <c r="R32" s="91"/>
      <c r="S32" s="91"/>
      <c r="T32" s="91"/>
      <c r="U32" s="91"/>
      <c r="V32" s="91"/>
      <c r="W32" s="91"/>
    </row>
    <row r="33" spans="2:23" s="26" customFormat="1" x14ac:dyDescent="0.2">
      <c r="B33" s="26" t="s">
        <v>143</v>
      </c>
      <c r="D33" s="72" t="s">
        <v>44</v>
      </c>
      <c r="E33" s="36"/>
      <c r="F33" s="92">
        <f>F29*F26/(F26+F27)+F30*(1-0)*F27/(F26+F27)</f>
        <v>0.55555555555555558</v>
      </c>
      <c r="G33" s="92">
        <f t="shared" ref="G33:O33" si="12">G29*G26/(G26+G27)+G30*(1-0)*G27/(G26+G27)</f>
        <v>0.54081632653061218</v>
      </c>
      <c r="H33" s="92">
        <f t="shared" si="12"/>
        <v>0.52662721893491127</v>
      </c>
      <c r="I33" s="92">
        <f t="shared" si="12"/>
        <v>0.51388888888888884</v>
      </c>
      <c r="J33" s="92">
        <f t="shared" si="12"/>
        <v>0.50413223140495866</v>
      </c>
      <c r="K33" s="92">
        <f t="shared" si="12"/>
        <v>0.5</v>
      </c>
      <c r="L33" s="92">
        <f t="shared" si="12"/>
        <v>0.50617283950617287</v>
      </c>
      <c r="M33" s="92">
        <f t="shared" si="12"/>
        <v>0.53125</v>
      </c>
      <c r="N33" s="92">
        <f t="shared" si="12"/>
        <v>0.59183673469387754</v>
      </c>
      <c r="O33" s="92">
        <f t="shared" si="12"/>
        <v>0.72222222222222232</v>
      </c>
      <c r="P33" s="92"/>
      <c r="Q33" s="92"/>
      <c r="R33" s="92"/>
      <c r="S33" s="92"/>
      <c r="T33" s="92"/>
      <c r="U33" s="92"/>
      <c r="V33" s="92"/>
      <c r="W33" s="92"/>
    </row>
    <row r="34" spans="2:23" x14ac:dyDescent="0.2">
      <c r="D34" s="72"/>
      <c r="E34" s="72"/>
    </row>
    <row r="35" spans="2:23" ht="10.5" customHeight="1" x14ac:dyDescent="0.2">
      <c r="D35" s="72"/>
      <c r="E35" s="72"/>
      <c r="F35" s="226"/>
      <c r="G35" s="227">
        <f>F35+1</f>
        <v>1</v>
      </c>
      <c r="H35" s="228">
        <f>G35+1</f>
        <v>2</v>
      </c>
      <c r="I35" s="229">
        <f>H35+1</f>
        <v>3</v>
      </c>
      <c r="J35" s="230">
        <f>I35+1</f>
        <v>4</v>
      </c>
    </row>
    <row r="36" spans="2:23" x14ac:dyDescent="0.2">
      <c r="B36" s="79" t="s">
        <v>285</v>
      </c>
      <c r="C36" s="79"/>
      <c r="D36" s="79"/>
      <c r="E36" s="79"/>
      <c r="F36" s="225">
        <f>F33</f>
        <v>0.55555555555555558</v>
      </c>
      <c r="G36" s="225">
        <f>G33</f>
        <v>0.54081632653061218</v>
      </c>
      <c r="H36" s="225">
        <f t="shared" ref="H36:O36" si="13">H33</f>
        <v>0.52662721893491127</v>
      </c>
      <c r="I36" s="225">
        <f t="shared" si="13"/>
        <v>0.51388888888888884</v>
      </c>
      <c r="J36" s="225">
        <f t="shared" si="13"/>
        <v>0.50413223140495866</v>
      </c>
      <c r="K36" s="225">
        <f t="shared" si="13"/>
        <v>0.5</v>
      </c>
      <c r="L36" s="225">
        <f t="shared" si="13"/>
        <v>0.50617283950617287</v>
      </c>
      <c r="M36" s="225">
        <f t="shared" si="13"/>
        <v>0.53125</v>
      </c>
      <c r="N36" s="225">
        <f t="shared" si="13"/>
        <v>0.59183673469387754</v>
      </c>
      <c r="O36" s="225">
        <f t="shared" si="13"/>
        <v>0.72222222222222232</v>
      </c>
    </row>
    <row r="37" spans="2:23" s="79" customFormat="1" ht="11.25" customHeight="1" x14ac:dyDescent="0.2">
      <c r="B37" s="79" t="s">
        <v>314</v>
      </c>
      <c r="E37" s="231">
        <f>E21</f>
        <v>1500000</v>
      </c>
      <c r="F37" s="231"/>
      <c r="G37" s="231" t="e">
        <f>G7+#REF!+G15</f>
        <v>#REF!</v>
      </c>
      <c r="H37" s="231" t="e">
        <f>H7+#REF!+H15</f>
        <v>#REF!</v>
      </c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</row>
    <row r="38" spans="2:23" ht="13.5" customHeight="1" x14ac:dyDescent="0.2">
      <c r="B38" s="79" t="s">
        <v>150</v>
      </c>
      <c r="C38" s="79"/>
      <c r="D38" s="79"/>
      <c r="E38" s="79"/>
      <c r="F38" s="232">
        <f>(1+F33)</f>
        <v>1.5555555555555556</v>
      </c>
      <c r="G38" s="232">
        <f t="shared" ref="G38:O38" si="14">F38*1/(1+G33)</f>
        <v>1.0095658572479764</v>
      </c>
      <c r="H38" s="232">
        <f t="shared" si="14"/>
        <v>0.66130476695700779</v>
      </c>
      <c r="I38" s="232">
        <f t="shared" si="14"/>
        <v>0.43682516716426206</v>
      </c>
      <c r="J38" s="232">
        <f t="shared" si="14"/>
        <v>0.29041673201580065</v>
      </c>
      <c r="K38" s="232">
        <f t="shared" si="14"/>
        <v>0.19361115467720044</v>
      </c>
      <c r="L38" s="232">
        <f t="shared" si="14"/>
        <v>0.12854511089223963</v>
      </c>
      <c r="M38" s="232">
        <f t="shared" si="14"/>
        <v>8.3947827521462612E-2</v>
      </c>
      <c r="N38" s="232">
        <f t="shared" si="14"/>
        <v>5.2736455750662409E-2</v>
      </c>
      <c r="O38" s="232">
        <f t="shared" si="14"/>
        <v>3.0621167855223331E-2</v>
      </c>
      <c r="P38" s="232"/>
      <c r="Q38" s="232"/>
      <c r="R38" s="232"/>
      <c r="S38" s="232"/>
      <c r="T38" s="232"/>
      <c r="U38" s="232"/>
      <c r="V38" s="232"/>
      <c r="W38" s="232"/>
    </row>
    <row r="39" spans="2:23" ht="15.75" customHeight="1" x14ac:dyDescent="0.2"/>
  </sheetData>
  <mergeCells count="8">
    <mergeCell ref="P3:Q3"/>
    <mergeCell ref="R3:S3"/>
    <mergeCell ref="T3:U3"/>
    <mergeCell ref="V3:W3"/>
    <mergeCell ref="H3:I3"/>
    <mergeCell ref="J3:K3"/>
    <mergeCell ref="L3:M3"/>
    <mergeCell ref="N3:O3"/>
  </mergeCells>
  <phoneticPr fontId="0" type="noConversion"/>
  <hyperlinks>
    <hyperlink ref="C1" r:id="rId1"/>
  </hyperlinks>
  <pageMargins left="0.75" right="0.75" top="1" bottom="1" header="0.5" footer="0.5"/>
  <pageSetup paperSize="9" orientation="portrait" horizont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"/>
  <sheetViews>
    <sheetView topLeftCell="A10" zoomScale="85" zoomScaleNormal="85" workbookViewId="0">
      <selection activeCell="B29" sqref="B29"/>
    </sheetView>
  </sheetViews>
  <sheetFormatPr defaultRowHeight="12.75" x14ac:dyDescent="0.2"/>
  <cols>
    <col min="1" max="1" width="2.85546875" style="118" customWidth="1"/>
    <col min="2" max="2" width="39" style="118" customWidth="1"/>
    <col min="3" max="3" width="30.7109375" style="118" customWidth="1"/>
    <col min="4" max="4" width="33.42578125" style="118" customWidth="1"/>
    <col min="5" max="5" width="41.140625" style="118" customWidth="1"/>
    <col min="6" max="6" width="22.85546875" style="118" customWidth="1"/>
    <col min="7" max="7" width="17" style="118" customWidth="1"/>
    <col min="8" max="16384" width="9.140625" style="118"/>
  </cols>
  <sheetData>
    <row r="1" spans="1:7" ht="18" x14ac:dyDescent="0.25">
      <c r="B1" s="242" t="s">
        <v>349</v>
      </c>
    </row>
    <row r="2" spans="1:7" x14ac:dyDescent="0.2">
      <c r="A2" s="11" t="s">
        <v>301</v>
      </c>
      <c r="B2" s="11"/>
      <c r="C2" s="11"/>
      <c r="D2" s="11"/>
      <c r="E2" s="11"/>
      <c r="F2" s="11"/>
      <c r="G2" s="11"/>
    </row>
    <row r="4" spans="1:7" x14ac:dyDescent="0.2">
      <c r="B4" s="218" t="s">
        <v>302</v>
      </c>
      <c r="C4" s="218"/>
      <c r="D4" s="358" t="s">
        <v>303</v>
      </c>
      <c r="E4" s="358" t="s">
        <v>304</v>
      </c>
    </row>
    <row r="5" spans="1:7" x14ac:dyDescent="0.2">
      <c r="B5" s="205" t="s">
        <v>305</v>
      </c>
      <c r="C5" s="205" t="s">
        <v>306</v>
      </c>
      <c r="D5" s="359"/>
      <c r="E5" s="359"/>
    </row>
    <row r="6" spans="1:7" x14ac:dyDescent="0.2">
      <c r="B6" s="201" t="s">
        <v>307</v>
      </c>
      <c r="C6" s="240" t="s">
        <v>168</v>
      </c>
      <c r="D6" s="240"/>
      <c r="E6" s="240"/>
    </row>
    <row r="7" spans="1:7" ht="38.25" x14ac:dyDescent="0.2">
      <c r="B7" s="201" t="s">
        <v>227</v>
      </c>
      <c r="C7" s="240" t="s">
        <v>18</v>
      </c>
      <c r="D7" s="208" t="s">
        <v>381</v>
      </c>
      <c r="E7" s="240" t="s">
        <v>19</v>
      </c>
    </row>
    <row r="8" spans="1:7" ht="25.5" x14ac:dyDescent="0.2">
      <c r="B8" s="201" t="s">
        <v>308</v>
      </c>
      <c r="C8" s="240" t="s">
        <v>0</v>
      </c>
      <c r="D8" s="240" t="s">
        <v>5</v>
      </c>
      <c r="E8" s="240" t="s">
        <v>6</v>
      </c>
    </row>
    <row r="9" spans="1:7" ht="38.25" x14ac:dyDescent="0.2">
      <c r="B9" s="201" t="s">
        <v>309</v>
      </c>
      <c r="C9" s="240" t="s">
        <v>20</v>
      </c>
      <c r="D9" s="208" t="s">
        <v>382</v>
      </c>
      <c r="E9" s="240" t="s">
        <v>21</v>
      </c>
    </row>
    <row r="10" spans="1:7" x14ac:dyDescent="0.2">
      <c r="B10" s="201" t="s">
        <v>228</v>
      </c>
      <c r="C10" s="240" t="s">
        <v>22</v>
      </c>
      <c r="D10" s="240" t="s">
        <v>2</v>
      </c>
      <c r="E10" s="240" t="s">
        <v>23</v>
      </c>
    </row>
    <row r="11" spans="1:7" ht="51" x14ac:dyDescent="0.2">
      <c r="B11" s="201" t="s">
        <v>229</v>
      </c>
      <c r="C11" s="240" t="s">
        <v>24</v>
      </c>
      <c r="D11" s="240" t="s">
        <v>3</v>
      </c>
      <c r="E11" s="208" t="s">
        <v>383</v>
      </c>
    </row>
    <row r="12" spans="1:7" ht="25.5" x14ac:dyDescent="0.2">
      <c r="B12" s="201" t="s">
        <v>310</v>
      </c>
      <c r="C12" s="240" t="s">
        <v>25</v>
      </c>
      <c r="D12" s="240" t="s">
        <v>4</v>
      </c>
      <c r="E12" s="240" t="s">
        <v>26</v>
      </c>
    </row>
    <row r="13" spans="1:7" ht="25.5" x14ac:dyDescent="0.2">
      <c r="B13" s="201" t="s">
        <v>230</v>
      </c>
      <c r="C13" s="208" t="s">
        <v>384</v>
      </c>
      <c r="D13" s="208" t="s">
        <v>385</v>
      </c>
      <c r="E13" s="208" t="s">
        <v>386</v>
      </c>
    </row>
    <row r="14" spans="1:7" ht="51" x14ac:dyDescent="0.2">
      <c r="B14" s="201" t="s">
        <v>311</v>
      </c>
      <c r="C14" s="240" t="s">
        <v>1</v>
      </c>
      <c r="D14" s="240" t="s">
        <v>5</v>
      </c>
      <c r="E14" s="240" t="s">
        <v>7</v>
      </c>
    </row>
    <row r="15" spans="1:7" ht="38.25" x14ac:dyDescent="0.2">
      <c r="B15" s="201" t="s">
        <v>312</v>
      </c>
      <c r="C15" s="208" t="s">
        <v>387</v>
      </c>
      <c r="D15" s="208" t="s">
        <v>388</v>
      </c>
      <c r="E15" s="240" t="s">
        <v>8</v>
      </c>
    </row>
    <row r="16" spans="1:7" x14ac:dyDescent="0.2">
      <c r="B16" s="122"/>
      <c r="C16" s="122"/>
      <c r="D16" s="122"/>
      <c r="E16" s="122"/>
    </row>
    <row r="17" spans="1:7" x14ac:dyDescent="0.2">
      <c r="B17" s="122"/>
      <c r="C17" s="122"/>
      <c r="D17" s="122"/>
      <c r="E17" s="122"/>
    </row>
    <row r="18" spans="1:7" x14ac:dyDescent="0.2">
      <c r="B18" s="122"/>
      <c r="C18" s="122"/>
      <c r="D18" s="122"/>
      <c r="E18" s="122"/>
    </row>
    <row r="19" spans="1:7" x14ac:dyDescent="0.2">
      <c r="A19" s="11" t="s">
        <v>313</v>
      </c>
      <c r="B19" s="11"/>
      <c r="C19" s="11"/>
      <c r="D19" s="11"/>
      <c r="E19" s="11"/>
      <c r="F19" s="11"/>
      <c r="G19" s="11"/>
    </row>
    <row r="21" spans="1:7" x14ac:dyDescent="0.2">
      <c r="B21" s="118" t="s">
        <v>220</v>
      </c>
      <c r="C21" s="203">
        <v>382286.31671761244</v>
      </c>
      <c r="D21" s="204" t="s">
        <v>41</v>
      </c>
    </row>
    <row r="23" spans="1:7" x14ac:dyDescent="0.2">
      <c r="B23" s="205" t="s">
        <v>221</v>
      </c>
      <c r="C23" s="205" t="s">
        <v>222</v>
      </c>
      <c r="D23" s="205" t="s">
        <v>464</v>
      </c>
      <c r="E23" s="205" t="s">
        <v>223</v>
      </c>
      <c r="F23" s="205" t="s">
        <v>226</v>
      </c>
      <c r="G23" s="205" t="s">
        <v>224</v>
      </c>
    </row>
    <row r="24" spans="1:7" x14ac:dyDescent="0.2">
      <c r="B24" s="202">
        <v>1</v>
      </c>
      <c r="C24" s="202">
        <v>2</v>
      </c>
      <c r="D24" s="202">
        <v>3</v>
      </c>
      <c r="E24" s="202">
        <v>4</v>
      </c>
      <c r="F24" s="202" t="s">
        <v>225</v>
      </c>
      <c r="G24" s="202">
        <v>6</v>
      </c>
    </row>
    <row r="25" spans="1:7" x14ac:dyDescent="0.2">
      <c r="B25" s="208" t="s">
        <v>465</v>
      </c>
      <c r="C25" s="221">
        <v>0.1</v>
      </c>
      <c r="D25" s="220">
        <v>318624</v>
      </c>
      <c r="E25" s="206">
        <f>IF($C$21=0,0,(D25-$C$21)/$C$21)</f>
        <v>-0.16653046142019928</v>
      </c>
      <c r="F25" s="207">
        <f>IF(C25=0,0,E25/C25)</f>
        <v>-1.6653046142019927</v>
      </c>
      <c r="G25" s="220">
        <v>1</v>
      </c>
    </row>
    <row r="26" spans="1:7" x14ac:dyDescent="0.2">
      <c r="B26" s="118" t="s">
        <v>465</v>
      </c>
      <c r="C26" s="221">
        <v>0.1</v>
      </c>
      <c r="D26" s="220">
        <v>331220</v>
      </c>
      <c r="E26" s="206">
        <f>IF($C$21=0,0,(D26-$C$21)/$C$21)</f>
        <v>-0.1335813354662499</v>
      </c>
      <c r="F26" s="207">
        <f>IF(C26=0,0,E26/C26)</f>
        <v>-1.3358133546624988</v>
      </c>
      <c r="G26" s="220">
        <v>3</v>
      </c>
    </row>
    <row r="27" spans="1:7" x14ac:dyDescent="0.2">
      <c r="B27" s="208" t="s">
        <v>40</v>
      </c>
      <c r="C27" s="221">
        <v>0.1</v>
      </c>
      <c r="D27" s="220">
        <v>328117</v>
      </c>
      <c r="E27" s="206">
        <f>IF($C$21=0,0,(D27-$C$21)/$C$21)</f>
        <v>-0.14169828829533093</v>
      </c>
      <c r="F27" s="207">
        <f>IF(C27=0,0,E27/C27)</f>
        <v>-1.4169828829533093</v>
      </c>
      <c r="G27" s="220">
        <v>2</v>
      </c>
    </row>
    <row r="28" spans="1:7" x14ac:dyDescent="0.2">
      <c r="B28" s="208" t="s">
        <v>27</v>
      </c>
      <c r="C28" s="221">
        <v>0.1</v>
      </c>
      <c r="D28" s="220">
        <v>372567</v>
      </c>
      <c r="E28" s="206">
        <f>IF($C$21=0,0,(D28-$C$21)/$C$21)</f>
        <v>-2.5424181542945241E-2</v>
      </c>
      <c r="F28" s="207">
        <f>IF(C28=0,0,E28/C28)</f>
        <v>-0.2542418154294524</v>
      </c>
      <c r="G28" s="220">
        <v>5</v>
      </c>
    </row>
    <row r="29" spans="1:7" x14ac:dyDescent="0.2">
      <c r="B29" s="208" t="s">
        <v>466</v>
      </c>
      <c r="C29" s="221">
        <v>0.1</v>
      </c>
      <c r="D29" s="220">
        <v>359819</v>
      </c>
      <c r="E29" s="206">
        <f>IF($C$21=0,0,(D29-$C$21)/$C$21)</f>
        <v>-5.8770915241019774E-2</v>
      </c>
      <c r="F29" s="207">
        <f>IF(C29=0,0,E29/C29)</f>
        <v>-0.58770915241019772</v>
      </c>
      <c r="G29" s="220">
        <v>4</v>
      </c>
    </row>
  </sheetData>
  <mergeCells count="2">
    <mergeCell ref="D4:D5"/>
    <mergeCell ref="E4:E5"/>
  </mergeCells>
  <hyperlinks>
    <hyperlink ref="B1" r:id="rId1"/>
  </hyperlinks>
  <pageMargins left="0.70866141732283472" right="0.70866141732283472" top="0.33" bottom="0.33" header="0.31496062992125984" footer="0.31496062992125984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0" zoomScale="85" zoomScaleNormal="85" workbookViewId="0">
      <selection activeCell="F21" sqref="F21:O21"/>
    </sheetView>
  </sheetViews>
  <sheetFormatPr defaultRowHeight="12.75" x14ac:dyDescent="0.2"/>
  <cols>
    <col min="1" max="1" width="2.7109375" style="1" customWidth="1"/>
    <col min="2" max="2" width="4" style="1" customWidth="1"/>
    <col min="3" max="3" width="9.140625" style="1" customWidth="1"/>
    <col min="4" max="4" width="27.85546875" style="1" customWidth="1"/>
    <col min="5" max="5" width="9" style="1" customWidth="1"/>
    <col min="6" max="6" width="12.42578125" style="1" customWidth="1"/>
    <col min="7" max="7" width="10.7109375" style="1" customWidth="1"/>
    <col min="8" max="8" width="11" style="1" customWidth="1"/>
    <col min="9" max="10" width="12.140625" style="1" customWidth="1"/>
    <col min="11" max="11" width="11.7109375" style="1" customWidth="1"/>
    <col min="12" max="12" width="11.85546875" style="1" customWidth="1"/>
    <col min="13" max="13" width="12.28515625" style="1" customWidth="1"/>
    <col min="14" max="14" width="11.85546875" style="1" customWidth="1"/>
    <col min="15" max="15" width="11.42578125" style="1" customWidth="1"/>
    <col min="16" max="16384" width="9.140625" style="1"/>
  </cols>
  <sheetData>
    <row r="1" spans="1:16" x14ac:dyDescent="0.2">
      <c r="A1" s="273"/>
      <c r="B1" s="273"/>
      <c r="C1" s="273"/>
      <c r="D1" s="273"/>
      <c r="E1" s="271"/>
      <c r="F1" s="269"/>
      <c r="G1" s="269"/>
      <c r="H1" s="269"/>
      <c r="I1" s="269"/>
      <c r="J1" s="270"/>
      <c r="K1" s="270"/>
      <c r="L1" s="270"/>
      <c r="M1" s="270"/>
      <c r="N1" s="272"/>
      <c r="O1" s="272"/>
    </row>
    <row r="2" spans="1:16" x14ac:dyDescent="0.2">
      <c r="A2" s="360" t="s">
        <v>373</v>
      </c>
      <c r="B2" s="360"/>
      <c r="C2" s="360"/>
      <c r="D2" s="360"/>
      <c r="E2" s="2" t="s">
        <v>39</v>
      </c>
      <c r="F2" s="357"/>
      <c r="G2" s="357"/>
      <c r="H2" s="357"/>
      <c r="I2" s="357"/>
      <c r="J2" s="352"/>
      <c r="K2" s="352"/>
      <c r="L2" s="355"/>
      <c r="M2" s="355"/>
      <c r="N2" s="353"/>
      <c r="O2" s="353"/>
    </row>
    <row r="3" spans="1:16" x14ac:dyDescent="0.2">
      <c r="F3" s="1" t="s">
        <v>353</v>
      </c>
      <c r="G3" s="1" t="s">
        <v>354</v>
      </c>
      <c r="H3" s="1" t="s">
        <v>355</v>
      </c>
      <c r="I3" s="1" t="s">
        <v>356</v>
      </c>
      <c r="J3" s="1" t="s">
        <v>357</v>
      </c>
      <c r="K3" s="1" t="s">
        <v>358</v>
      </c>
      <c r="L3" s="1" t="s">
        <v>359</v>
      </c>
      <c r="M3" s="1" t="s">
        <v>360</v>
      </c>
      <c r="N3" s="1" t="s">
        <v>405</v>
      </c>
      <c r="O3" s="1" t="s">
        <v>406</v>
      </c>
    </row>
    <row r="4" spans="1:16" x14ac:dyDescent="0.2">
      <c r="E4" s="2"/>
    </row>
    <row r="5" spans="1:16" x14ac:dyDescent="0.2">
      <c r="A5" s="57"/>
      <c r="B5" s="101" t="s">
        <v>107</v>
      </c>
      <c r="C5" s="57"/>
      <c r="D5" s="57"/>
      <c r="E5" s="58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6" x14ac:dyDescent="0.2">
      <c r="B6" s="102" t="s">
        <v>108</v>
      </c>
    </row>
    <row r="7" spans="1:16" x14ac:dyDescent="0.2">
      <c r="C7" s="103" t="s">
        <v>109</v>
      </c>
      <c r="E7" s="72" t="s">
        <v>361</v>
      </c>
      <c r="F7" s="14">
        <f>'НА и ОС'!H49</f>
        <v>1040000</v>
      </c>
      <c r="G7" s="14">
        <f>F7</f>
        <v>1040000</v>
      </c>
      <c r="H7" s="14">
        <f t="shared" ref="H7:O7" si="0">G7</f>
        <v>1040000</v>
      </c>
      <c r="I7" s="14">
        <f t="shared" si="0"/>
        <v>1040000</v>
      </c>
      <c r="J7" s="14">
        <f t="shared" si="0"/>
        <v>1040000</v>
      </c>
      <c r="K7" s="14">
        <f t="shared" si="0"/>
        <v>1040000</v>
      </c>
      <c r="L7" s="14">
        <f t="shared" si="0"/>
        <v>1040000</v>
      </c>
      <c r="M7" s="14">
        <f t="shared" si="0"/>
        <v>1040000</v>
      </c>
      <c r="N7" s="14">
        <f t="shared" si="0"/>
        <v>1040000</v>
      </c>
      <c r="O7" s="14">
        <f t="shared" si="0"/>
        <v>1040000</v>
      </c>
    </row>
    <row r="8" spans="1:16" x14ac:dyDescent="0.2">
      <c r="C8" s="103" t="s">
        <v>110</v>
      </c>
      <c r="E8" s="72" t="s">
        <v>361</v>
      </c>
      <c r="F8" s="14">
        <f>'НА и ОС'!H47</f>
        <v>0</v>
      </c>
      <c r="G8" s="14">
        <f>'НА и ОС'!I47</f>
        <v>32000</v>
      </c>
      <c r="H8" s="14">
        <f>'НА и ОС'!J47</f>
        <v>64000</v>
      </c>
      <c r="I8" s="14">
        <f>'НА и ОС'!K47</f>
        <v>96000</v>
      </c>
      <c r="J8" s="14">
        <f>'НА и ОС'!L47</f>
        <v>128000</v>
      </c>
      <c r="K8" s="14">
        <f>'НА и ОС'!M47</f>
        <v>160000</v>
      </c>
      <c r="L8" s="14">
        <f>'НА и ОС'!N47</f>
        <v>192000</v>
      </c>
      <c r="M8" s="14">
        <f>'НА и ОС'!O47</f>
        <v>224000</v>
      </c>
      <c r="N8" s="14">
        <f>'НА и ОС'!P47</f>
        <v>256000</v>
      </c>
      <c r="O8" s="14">
        <f>'НА и ОС'!Q47</f>
        <v>288000</v>
      </c>
    </row>
    <row r="9" spans="1:16" x14ac:dyDescent="0.2">
      <c r="C9" s="103" t="s">
        <v>111</v>
      </c>
      <c r="E9" s="72" t="s">
        <v>361</v>
      </c>
      <c r="F9" s="14">
        <f>F7-F8</f>
        <v>1040000</v>
      </c>
      <c r="G9" s="14">
        <f t="shared" ref="G9:O9" si="1">G7-G8</f>
        <v>1008000</v>
      </c>
      <c r="H9" s="14">
        <f t="shared" si="1"/>
        <v>976000</v>
      </c>
      <c r="I9" s="14">
        <f t="shared" si="1"/>
        <v>944000</v>
      </c>
      <c r="J9" s="14">
        <f t="shared" si="1"/>
        <v>912000</v>
      </c>
      <c r="K9" s="14">
        <f t="shared" si="1"/>
        <v>880000</v>
      </c>
      <c r="L9" s="14">
        <f t="shared" si="1"/>
        <v>848000</v>
      </c>
      <c r="M9" s="14">
        <f t="shared" si="1"/>
        <v>816000</v>
      </c>
      <c r="N9" s="14">
        <f t="shared" si="1"/>
        <v>784000</v>
      </c>
      <c r="O9" s="14">
        <f t="shared" si="1"/>
        <v>752000</v>
      </c>
      <c r="P9" s="51"/>
    </row>
    <row r="10" spans="1:16" x14ac:dyDescent="0.2">
      <c r="B10" s="105"/>
      <c r="F10" s="2"/>
      <c r="G10" s="2"/>
      <c r="H10" s="2"/>
      <c r="I10" s="2"/>
      <c r="J10" s="2"/>
      <c r="K10" s="2"/>
      <c r="L10" s="2"/>
      <c r="M10" s="2"/>
      <c r="N10" s="2"/>
      <c r="O10" s="2"/>
      <c r="P10" s="51"/>
    </row>
    <row r="11" spans="1:16" x14ac:dyDescent="0.2">
      <c r="B11" s="102" t="s">
        <v>113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51"/>
    </row>
    <row r="12" spans="1:16" x14ac:dyDescent="0.2">
      <c r="C12" s="104" t="s">
        <v>121</v>
      </c>
      <c r="E12" s="72" t="s">
        <v>361</v>
      </c>
      <c r="F12" s="14">
        <f>'Оборот. К.'!D5</f>
        <v>1040000</v>
      </c>
      <c r="G12" s="14">
        <f>'Оборот. К.'!E5</f>
        <v>1102400</v>
      </c>
      <c r="H12" s="14">
        <f>'Оборот. К.'!F5</f>
        <v>1168544</v>
      </c>
      <c r="I12" s="14">
        <f>'Оборот. К.'!G5</f>
        <v>1238656.6400000001</v>
      </c>
      <c r="J12" s="14">
        <f>'Оборот. К.'!H5</f>
        <v>1312976.0384000002</v>
      </c>
      <c r="K12" s="14">
        <f>'Оборот. К.'!I5</f>
        <v>1391754.6007040003</v>
      </c>
      <c r="L12" s="14">
        <f>'Оборот. К.'!J5</f>
        <v>1475259.8767462405</v>
      </c>
      <c r="M12" s="14">
        <f>'Оборот. К.'!K5</f>
        <v>1563775.4693510151</v>
      </c>
      <c r="N12" s="14">
        <f>'Оборот. К.'!L5</f>
        <v>1657601.9975120761</v>
      </c>
      <c r="O12" s="14">
        <f>'Оборот. К.'!M5</f>
        <v>1757058.1173628008</v>
      </c>
      <c r="P12" s="51"/>
    </row>
    <row r="13" spans="1:16" x14ac:dyDescent="0.2">
      <c r="C13" s="104" t="s">
        <v>165</v>
      </c>
      <c r="E13" s="72" t="s">
        <v>361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51"/>
    </row>
    <row r="14" spans="1:16" x14ac:dyDescent="0.2">
      <c r="C14" s="104" t="s">
        <v>114</v>
      </c>
      <c r="E14" s="72" t="s">
        <v>361</v>
      </c>
      <c r="F14" s="14">
        <f>CF!G28</f>
        <v>1101522</v>
      </c>
      <c r="G14" s="14">
        <f>CF!H28</f>
        <v>1348339.6400000001</v>
      </c>
      <c r="H14" s="14">
        <f>CF!I28</f>
        <v>2628684.3383999998</v>
      </c>
      <c r="I14" s="14">
        <f>CF!J28</f>
        <v>2960387.7187040001</v>
      </c>
      <c r="J14" s="14">
        <f>CF!K28</f>
        <v>3240981.4058262403</v>
      </c>
      <c r="K14" s="14">
        <f>CF!L28</f>
        <v>3534088.7141758148</v>
      </c>
      <c r="L14" s="14">
        <f>CF!M28</f>
        <v>3840400.461026364</v>
      </c>
      <c r="M14" s="14">
        <f>CF!N28</f>
        <v>4160648.9126879461</v>
      </c>
      <c r="N14" s="14">
        <f>CF!O28</f>
        <v>4495610.2714492232</v>
      </c>
      <c r="O14" s="14">
        <f>CF!P28</f>
        <v>4878776.7976796087</v>
      </c>
      <c r="P14" s="51"/>
    </row>
    <row r="15" spans="1:16" x14ac:dyDescent="0.2">
      <c r="B15" s="104" t="s">
        <v>253</v>
      </c>
      <c r="E15" s="72" t="s">
        <v>361</v>
      </c>
      <c r="F15" s="14">
        <f>F12+F13+F14</f>
        <v>2141522</v>
      </c>
      <c r="G15" s="14">
        <f t="shared" ref="G15:O15" si="2">G12+G13+G14</f>
        <v>2450739.64</v>
      </c>
      <c r="H15" s="14">
        <f t="shared" si="2"/>
        <v>3797228.3383999998</v>
      </c>
      <c r="I15" s="14">
        <f t="shared" si="2"/>
        <v>4199044.3587040007</v>
      </c>
      <c r="J15" s="14">
        <f t="shared" si="2"/>
        <v>4553957.4442262407</v>
      </c>
      <c r="K15" s="14">
        <f t="shared" si="2"/>
        <v>4925843.3148798151</v>
      </c>
      <c r="L15" s="14">
        <f t="shared" si="2"/>
        <v>5315660.3377726041</v>
      </c>
      <c r="M15" s="14">
        <f t="shared" si="2"/>
        <v>5724424.3820389612</v>
      </c>
      <c r="N15" s="14">
        <f t="shared" si="2"/>
        <v>6153212.2689612992</v>
      </c>
      <c r="O15" s="14">
        <f t="shared" si="2"/>
        <v>6635834.9150424097</v>
      </c>
      <c r="P15" s="51"/>
    </row>
    <row r="16" spans="1:16" x14ac:dyDescent="0.2">
      <c r="B16" s="105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6" s="25" customFormat="1" x14ac:dyDescent="0.2">
      <c r="B17" s="102" t="s">
        <v>147</v>
      </c>
      <c r="E17" s="72" t="s">
        <v>361</v>
      </c>
      <c r="F17" s="15">
        <f>F9+15</f>
        <v>1040015</v>
      </c>
      <c r="G17" s="15">
        <f t="shared" ref="G17:O17" si="3">G9+G15</f>
        <v>3458739.64</v>
      </c>
      <c r="H17" s="15">
        <f t="shared" si="3"/>
        <v>4773228.3383999998</v>
      </c>
      <c r="I17" s="15">
        <f t="shared" si="3"/>
        <v>5143044.3587040007</v>
      </c>
      <c r="J17" s="15">
        <f t="shared" si="3"/>
        <v>5465957.4442262407</v>
      </c>
      <c r="K17" s="15">
        <f t="shared" si="3"/>
        <v>5805843.3148798151</v>
      </c>
      <c r="L17" s="15">
        <f t="shared" si="3"/>
        <v>6163660.3377726041</v>
      </c>
      <c r="M17" s="15">
        <f t="shared" si="3"/>
        <v>6540424.3820389612</v>
      </c>
      <c r="N17" s="15">
        <f t="shared" si="3"/>
        <v>6937212.2689612992</v>
      </c>
      <c r="O17" s="15">
        <f t="shared" si="3"/>
        <v>7387834.9150424097</v>
      </c>
      <c r="P17" s="51"/>
    </row>
    <row r="18" spans="1:16" x14ac:dyDescent="0.2">
      <c r="B18" s="10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x14ac:dyDescent="0.2">
      <c r="A19" s="57"/>
      <c r="B19" s="101" t="s">
        <v>115</v>
      </c>
      <c r="C19" s="57"/>
      <c r="D19" s="57"/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</row>
    <row r="20" spans="1:16" s="25" customFormat="1" x14ac:dyDescent="0.2">
      <c r="B20" s="102" t="s">
        <v>116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6" s="25" customFormat="1" x14ac:dyDescent="0.2">
      <c r="B21" s="104" t="s">
        <v>29</v>
      </c>
      <c r="E21" s="72" t="s">
        <v>361</v>
      </c>
      <c r="F21" s="14">
        <f>F22+F23</f>
        <v>486403.04347826086</v>
      </c>
      <c r="G21" s="14">
        <f t="shared" ref="G21:O21" si="4">G22+G23</f>
        <v>160313.7395652174</v>
      </c>
      <c r="H21" s="14">
        <f t="shared" si="4"/>
        <v>208633.77741739136</v>
      </c>
      <c r="I21" s="14">
        <f t="shared" si="4"/>
        <v>263687.71754069574</v>
      </c>
      <c r="J21" s="14">
        <f t="shared" si="4"/>
        <v>325819.59407139843</v>
      </c>
      <c r="K21" s="14">
        <f t="shared" si="4"/>
        <v>395394.08319394331</v>
      </c>
      <c r="L21" s="14">
        <f t="shared" si="4"/>
        <v>472797.74166384089</v>
      </c>
      <c r="M21" s="14">
        <f t="shared" si="4"/>
        <v>558440.31964193238</v>
      </c>
      <c r="N21" s="14">
        <f t="shared" si="4"/>
        <v>652756.15229870938</v>
      </c>
      <c r="O21" s="14">
        <f t="shared" si="4"/>
        <v>756205.63491489284</v>
      </c>
    </row>
    <row r="22" spans="1:16" s="25" customFormat="1" x14ac:dyDescent="0.2">
      <c r="B22" s="106"/>
      <c r="C22" s="107" t="s">
        <v>30</v>
      </c>
      <c r="E22" s="72" t="s">
        <v>361</v>
      </c>
      <c r="F22" s="49">
        <v>400000</v>
      </c>
      <c r="G22" s="49">
        <f>SUM('Финан-е'!$F7:G7)</f>
        <v>0</v>
      </c>
      <c r="H22" s="49">
        <f>SUM('Финан-е'!$F7:H7)</f>
        <v>0</v>
      </c>
      <c r="I22" s="49">
        <f>SUM('Финан-е'!$F7:I7)</f>
        <v>0</v>
      </c>
      <c r="J22" s="49">
        <f>SUM('Финан-е'!$F7:J7)</f>
        <v>0</v>
      </c>
      <c r="K22" s="49">
        <f>SUM('Финан-е'!$F7:K7)</f>
        <v>0</v>
      </c>
      <c r="L22" s="49">
        <f>SUM('Финан-е'!$F7:L7)</f>
        <v>0</v>
      </c>
      <c r="M22" s="49">
        <f>SUM('Финан-е'!$F7:M7)</f>
        <v>0</v>
      </c>
      <c r="N22" s="49">
        <f>SUM('Финан-е'!$F7:N7)</f>
        <v>0</v>
      </c>
      <c r="O22" s="49">
        <f>SUM('Финан-е'!$F7:O7)</f>
        <v>0</v>
      </c>
    </row>
    <row r="23" spans="1:16" x14ac:dyDescent="0.2">
      <c r="B23" s="104" t="s">
        <v>31</v>
      </c>
      <c r="E23" s="72" t="s">
        <v>361</v>
      </c>
      <c r="F23" s="14">
        <f>'Форма 2'!F27</f>
        <v>86403.043478260865</v>
      </c>
      <c r="G23" s="14">
        <f>'Форма 2'!G27</f>
        <v>160313.7395652174</v>
      </c>
      <c r="H23" s="14">
        <f>'Форма 2'!H27</f>
        <v>208633.77741739136</v>
      </c>
      <c r="I23" s="14">
        <f>'Форма 2'!I27</f>
        <v>263687.71754069574</v>
      </c>
      <c r="J23" s="14">
        <f>'Форма 2'!J27</f>
        <v>325819.59407139843</v>
      </c>
      <c r="K23" s="14">
        <f>'Форма 2'!K27</f>
        <v>395394.08319394331</v>
      </c>
      <c r="L23" s="14">
        <f>'Форма 2'!L27</f>
        <v>472797.74166384089</v>
      </c>
      <c r="M23" s="14">
        <f>'Форма 2'!M27</f>
        <v>558440.31964193238</v>
      </c>
      <c r="N23" s="14">
        <f>'Форма 2'!N27</f>
        <v>652756.15229870938</v>
      </c>
      <c r="O23" s="14">
        <f>'Форма 2'!O27</f>
        <v>756205.63491489284</v>
      </c>
    </row>
    <row r="24" spans="1:16" x14ac:dyDescent="0.2">
      <c r="B24" s="10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6" x14ac:dyDescent="0.2">
      <c r="B25" s="104" t="s">
        <v>166</v>
      </c>
      <c r="E25" s="72" t="s">
        <v>361</v>
      </c>
      <c r="F25" s="14">
        <f t="shared" ref="F25:O25" si="5">F21+F23</f>
        <v>572806.08695652173</v>
      </c>
      <c r="G25" s="14">
        <f t="shared" si="5"/>
        <v>320627.4791304348</v>
      </c>
      <c r="H25" s="14">
        <f t="shared" si="5"/>
        <v>417267.55483478273</v>
      </c>
      <c r="I25" s="14">
        <f t="shared" si="5"/>
        <v>527375.43508139148</v>
      </c>
      <c r="J25" s="14">
        <f t="shared" si="5"/>
        <v>651639.18814279686</v>
      </c>
      <c r="K25" s="14">
        <f t="shared" si="5"/>
        <v>790788.16638788662</v>
      </c>
      <c r="L25" s="14">
        <f t="shared" si="5"/>
        <v>945595.48332768178</v>
      </c>
      <c r="M25" s="14">
        <f t="shared" si="5"/>
        <v>1116880.6392838648</v>
      </c>
      <c r="N25" s="14">
        <f t="shared" si="5"/>
        <v>1305512.3045974188</v>
      </c>
      <c r="O25" s="14">
        <f t="shared" si="5"/>
        <v>1512411.2698297857</v>
      </c>
      <c r="P25" s="51"/>
    </row>
    <row r="26" spans="1:16" x14ac:dyDescent="0.2">
      <c r="B26" s="104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6" s="25" customFormat="1" x14ac:dyDescent="0.2">
      <c r="B27" s="102" t="s">
        <v>117</v>
      </c>
      <c r="E27" s="72" t="s">
        <v>361</v>
      </c>
      <c r="F27" s="274">
        <f>'Финан-е'!F15</f>
        <v>1000000</v>
      </c>
      <c r="G27" s="14">
        <f>'Финан-е'!G17</f>
        <v>900000</v>
      </c>
      <c r="H27" s="14">
        <f>'Финан-е'!H17</f>
        <v>800000</v>
      </c>
      <c r="I27" s="14">
        <f>'Финан-е'!I17</f>
        <v>700000</v>
      </c>
      <c r="J27" s="14">
        <f>'Финан-е'!J17</f>
        <v>600000</v>
      </c>
      <c r="K27" s="14">
        <f>'Финан-е'!K17</f>
        <v>500000</v>
      </c>
      <c r="L27" s="14">
        <f>'Финан-е'!L17</f>
        <v>400000</v>
      </c>
      <c r="M27" s="14">
        <f>'Финан-е'!M17</f>
        <v>300000</v>
      </c>
      <c r="N27" s="14">
        <f>'Финан-е'!N17</f>
        <v>200000</v>
      </c>
      <c r="O27" s="14">
        <f>'Финан-е'!O17</f>
        <v>100000</v>
      </c>
      <c r="P27" s="51"/>
    </row>
    <row r="28" spans="1:16" x14ac:dyDescent="0.2">
      <c r="B28" s="104"/>
      <c r="F28" s="2"/>
      <c r="G28" s="2"/>
      <c r="H28" s="2"/>
      <c r="I28" s="2"/>
      <c r="J28" s="2"/>
      <c r="K28" s="14"/>
      <c r="L28" s="2"/>
      <c r="M28" s="2"/>
      <c r="N28" s="2"/>
      <c r="O28" s="2"/>
    </row>
    <row r="29" spans="1:16" s="25" customFormat="1" x14ac:dyDescent="0.2">
      <c r="B29" s="108" t="s">
        <v>118</v>
      </c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6" s="25" customFormat="1" x14ac:dyDescent="0.2">
      <c r="B30" s="108"/>
      <c r="C30" s="111" t="s">
        <v>216</v>
      </c>
      <c r="E30" s="72" t="s">
        <v>361</v>
      </c>
      <c r="F30" s="14">
        <v>0</v>
      </c>
      <c r="G30" s="14">
        <f>F30</f>
        <v>0</v>
      </c>
      <c r="H30" s="14">
        <f t="shared" ref="H30:O30" si="6">G30</f>
        <v>0</v>
      </c>
      <c r="I30" s="14">
        <f t="shared" si="6"/>
        <v>0</v>
      </c>
      <c r="J30" s="14">
        <f t="shared" si="6"/>
        <v>0</v>
      </c>
      <c r="K30" s="14">
        <f t="shared" si="6"/>
        <v>0</v>
      </c>
      <c r="L30" s="14">
        <f t="shared" si="6"/>
        <v>0</v>
      </c>
      <c r="M30" s="14">
        <f t="shared" si="6"/>
        <v>0</v>
      </c>
      <c r="N30" s="14">
        <f t="shared" si="6"/>
        <v>0</v>
      </c>
      <c r="O30" s="14">
        <f t="shared" si="6"/>
        <v>0</v>
      </c>
    </row>
    <row r="31" spans="1:16" x14ac:dyDescent="0.2">
      <c r="C31" s="104" t="s">
        <v>33</v>
      </c>
      <c r="E31" s="72" t="s">
        <v>361</v>
      </c>
      <c r="F31" s="14">
        <f>'Оборот. К.'!D6</f>
        <v>17140</v>
      </c>
      <c r="G31" s="14">
        <f>'Оборот. К.'!E6</f>
        <v>16568.400000000001</v>
      </c>
      <c r="H31" s="14">
        <f>'Оборот. К.'!F6</f>
        <v>16022.504000000001</v>
      </c>
      <c r="I31" s="14">
        <f>'Оборот. К.'!G6</f>
        <v>15503.854240000001</v>
      </c>
      <c r="J31" s="14">
        <f>'Оборот. К.'!H6</f>
        <v>15014.0854944</v>
      </c>
      <c r="K31" s="14">
        <f>'Оборот. К.'!I6</f>
        <v>14554.930624064</v>
      </c>
      <c r="L31" s="14">
        <f>'Оборот. К.'!J6</f>
        <v>14128.22646150784</v>
      </c>
      <c r="M31" s="14">
        <f>'Оборот. К.'!K6</f>
        <v>13735.920049198312</v>
      </c>
      <c r="N31" s="14">
        <f>'Оборот. К.'!L6</f>
        <v>13380.075252150211</v>
      </c>
      <c r="O31" s="14">
        <f>'Оборот. К.'!M6</f>
        <v>13062.879767279224</v>
      </c>
    </row>
    <row r="32" spans="1:16" x14ac:dyDescent="0.2">
      <c r="B32" s="104" t="s">
        <v>119</v>
      </c>
      <c r="E32" s="72" t="s">
        <v>361</v>
      </c>
      <c r="F32" s="14">
        <f>SUM(F30:F31)</f>
        <v>17140</v>
      </c>
      <c r="G32" s="14">
        <f t="shared" ref="G32:O32" si="7">SUM(G30:G31)</f>
        <v>16568.400000000001</v>
      </c>
      <c r="H32" s="14">
        <f t="shared" si="7"/>
        <v>16022.504000000001</v>
      </c>
      <c r="I32" s="14">
        <f t="shared" si="7"/>
        <v>15503.854240000001</v>
      </c>
      <c r="J32" s="14">
        <f t="shared" si="7"/>
        <v>15014.0854944</v>
      </c>
      <c r="K32" s="14">
        <f t="shared" si="7"/>
        <v>14554.930624064</v>
      </c>
      <c r="L32" s="14">
        <f t="shared" si="7"/>
        <v>14128.22646150784</v>
      </c>
      <c r="M32" s="14">
        <f t="shared" si="7"/>
        <v>13735.920049198312</v>
      </c>
      <c r="N32" s="14">
        <f t="shared" si="7"/>
        <v>13380.075252150211</v>
      </c>
      <c r="O32" s="14">
        <f t="shared" si="7"/>
        <v>13062.879767279224</v>
      </c>
      <c r="P32" s="51"/>
    </row>
    <row r="33" spans="2:16" x14ac:dyDescent="0.2">
      <c r="B33" s="104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6" s="25" customFormat="1" x14ac:dyDescent="0.2">
      <c r="B34" s="102" t="s">
        <v>120</v>
      </c>
      <c r="E34" s="72" t="s">
        <v>361</v>
      </c>
      <c r="F34" s="15">
        <f>F25+K28+F32</f>
        <v>589946.08695652173</v>
      </c>
      <c r="G34" s="15">
        <f t="shared" ref="G34:O34" si="8">G25+G27+G32</f>
        <v>1237195.8791304347</v>
      </c>
      <c r="H34" s="15">
        <f t="shared" si="8"/>
        <v>1233290.0588347826</v>
      </c>
      <c r="I34" s="15">
        <f t="shared" si="8"/>
        <v>1242879.2893213916</v>
      </c>
      <c r="J34" s="15">
        <f t="shared" si="8"/>
        <v>1266653.273637197</v>
      </c>
      <c r="K34" s="15">
        <f t="shared" si="8"/>
        <v>1305343.0970119508</v>
      </c>
      <c r="L34" s="15">
        <f t="shared" si="8"/>
        <v>1359723.7097891895</v>
      </c>
      <c r="M34" s="15">
        <f t="shared" si="8"/>
        <v>1430616.559333063</v>
      </c>
      <c r="N34" s="15">
        <f t="shared" si="8"/>
        <v>1518892.3798495689</v>
      </c>
      <c r="O34" s="15">
        <f t="shared" si="8"/>
        <v>1625474.1495970648</v>
      </c>
      <c r="P34" s="51"/>
    </row>
    <row r="35" spans="2:16" x14ac:dyDescent="0.2"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6" x14ac:dyDescent="0.2">
      <c r="B36" s="112" t="s">
        <v>34</v>
      </c>
      <c r="F36" s="123">
        <f t="shared" ref="F36:O36" si="9">F17-F34</f>
        <v>450068.91304347827</v>
      </c>
      <c r="G36" s="123">
        <f t="shared" si="9"/>
        <v>2221543.7608695654</v>
      </c>
      <c r="H36" s="123">
        <f t="shared" si="9"/>
        <v>3539938.279565217</v>
      </c>
      <c r="I36" s="123">
        <f t="shared" si="9"/>
        <v>3900165.0693826089</v>
      </c>
      <c r="J36" s="123">
        <f t="shared" si="9"/>
        <v>4199304.1705890438</v>
      </c>
      <c r="K36" s="123">
        <f t="shared" si="9"/>
        <v>4500500.2178678643</v>
      </c>
      <c r="L36" s="123">
        <f t="shared" si="9"/>
        <v>4803936.6279834146</v>
      </c>
      <c r="M36" s="123">
        <f t="shared" si="9"/>
        <v>5109807.8227058984</v>
      </c>
      <c r="N36" s="123">
        <f t="shared" si="9"/>
        <v>5418319.8891117303</v>
      </c>
      <c r="O36" s="123">
        <f t="shared" si="9"/>
        <v>5762360.7654453451</v>
      </c>
    </row>
    <row r="37" spans="2:16" x14ac:dyDescent="0.2">
      <c r="H37" s="51"/>
    </row>
  </sheetData>
  <mergeCells count="6">
    <mergeCell ref="N2:O2"/>
    <mergeCell ref="A2:D2"/>
    <mergeCell ref="F2:G2"/>
    <mergeCell ref="H2:I2"/>
    <mergeCell ref="J2:K2"/>
    <mergeCell ref="L2:M2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Окружение</vt:lpstr>
      <vt:lpstr>Пр-во и Продажи</vt:lpstr>
      <vt:lpstr>Персонал</vt:lpstr>
      <vt:lpstr>Затраты</vt:lpstr>
      <vt:lpstr>Оборот. К.</vt:lpstr>
      <vt:lpstr>НА и ОС</vt:lpstr>
      <vt:lpstr>Финан-е</vt:lpstr>
      <vt:lpstr>Анализ рисков</vt:lpstr>
      <vt:lpstr>Форма 1</vt:lpstr>
      <vt:lpstr>Форма 2</vt:lpstr>
      <vt:lpstr>CF</vt:lpstr>
      <vt:lpstr>Анализ проекта</vt:lpstr>
      <vt:lpstr>Прогнозные отчеты</vt:lpstr>
      <vt:lpstr>Общий анализ</vt:lpstr>
      <vt:lpstr>Горизонт. анализ</vt:lpstr>
      <vt:lpstr>Вертикальный анализ</vt:lpstr>
      <vt:lpstr>Анализ рентабельности</vt:lpstr>
      <vt:lpstr>Анализ ликвидности</vt:lpstr>
      <vt:lpstr>Анализ платежеспособности</vt:lpstr>
      <vt:lpstr>Анализ оборачиваемости</vt:lpstr>
      <vt:lpstr>Анализ долг. и налог. нагрузки</vt:lpstr>
    </vt:vector>
  </TitlesOfParts>
  <Company>http://mxplus.ru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Моделька для студенчегов</dc:title>
  <dc:creator>Наномаркеровщики</dc:creator>
  <dc:description>Live Fast Die Funny!</dc:description>
  <cp:lastModifiedBy>Пользователь</cp:lastModifiedBy>
  <dcterms:created xsi:type="dcterms:W3CDTF">2007-01-28T14:02:49Z</dcterms:created>
  <dcterms:modified xsi:type="dcterms:W3CDTF">2022-11-06T11:09:20Z</dcterms:modified>
</cp:coreProperties>
</file>