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-460" windowWidth="27320" windowHeight="15360" tabRatio="942" activeTab="9"/>
  </bookViews>
  <sheets>
    <sheet name="Старт проекта" sheetId="22" r:id="rId1"/>
    <sheet name="План продаж в кол-ве" sheetId="1" r:id="rId2"/>
    <sheet name="Капвложения_ОС" sheetId="10" r:id="rId3"/>
    <sheet name="Общие расходы" sheetId="5" r:id="rId4"/>
    <sheet name="Амортизация" sheetId="7" r:id="rId5"/>
    <sheet name="Доходы" sheetId="2" r:id="rId6"/>
    <sheet name="Прибыль" sheetId="6" r:id="rId7"/>
    <sheet name="СОК" sheetId="12" r:id="rId8"/>
    <sheet name="ОПУ" sheetId="15" r:id="rId9"/>
    <sheet name="CF и NPV" sheetId="19" r:id="rId10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7" l="1"/>
  <c r="F33" i="7"/>
  <c r="E33" i="7"/>
  <c r="D33" i="7"/>
  <c r="C33" i="7"/>
  <c r="E32" i="7"/>
  <c r="D32" i="7"/>
  <c r="C32" i="7"/>
  <c r="B33" i="7"/>
  <c r="B32" i="7"/>
  <c r="B29" i="19"/>
  <c r="B27" i="19"/>
  <c r="C27" i="19"/>
  <c r="B26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AI24" i="19"/>
  <c r="AJ24" i="19"/>
  <c r="AK24" i="19"/>
  <c r="AL24" i="19"/>
  <c r="AM24" i="19"/>
  <c r="AN24" i="19"/>
  <c r="AO24" i="19"/>
  <c r="AO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AH23" i="19"/>
  <c r="AI23" i="19"/>
  <c r="AJ23" i="19"/>
  <c r="AK23" i="19"/>
  <c r="AL23" i="19"/>
  <c r="AM23" i="19"/>
  <c r="AN23" i="19"/>
  <c r="B23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AL22" i="19"/>
  <c r="AM22" i="19"/>
  <c r="AN22" i="19"/>
  <c r="AO22" i="19"/>
  <c r="N23" i="19"/>
  <c r="N24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I21" i="19"/>
  <c r="AJ21" i="19"/>
  <c r="AK21" i="19"/>
  <c r="AL21" i="19"/>
  <c r="AM21" i="19"/>
  <c r="AN21" i="19"/>
  <c r="AO21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B21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G19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AI18" i="19"/>
  <c r="AJ18" i="19"/>
  <c r="AK18" i="19"/>
  <c r="AL18" i="19"/>
  <c r="AM18" i="19"/>
  <c r="AN18" i="19"/>
  <c r="AO18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AL12" i="19"/>
  <c r="AM12" i="19"/>
  <c r="AN12" i="19"/>
  <c r="AO12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AL13" i="19"/>
  <c r="AM13" i="19"/>
  <c r="AN13" i="19"/>
  <c r="AO13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AL14" i="19"/>
  <c r="AM14" i="19"/>
  <c r="AN14" i="19"/>
  <c r="AO14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AL15" i="19"/>
  <c r="AM15" i="19"/>
  <c r="AN15" i="19"/>
  <c r="AO15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AI10" i="19"/>
  <c r="AJ10" i="19"/>
  <c r="AK10" i="19"/>
  <c r="AL10" i="19"/>
  <c r="AM10" i="19"/>
  <c r="AN10" i="19"/>
  <c r="AO10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AL11" i="19"/>
  <c r="AM11" i="19"/>
  <c r="AN11" i="19"/>
  <c r="AO11" i="19"/>
  <c r="O6" i="19"/>
  <c r="P6" i="19"/>
  <c r="Q6" i="19"/>
  <c r="R6" i="19"/>
  <c r="S6" i="19"/>
  <c r="T6" i="19"/>
  <c r="U6" i="19"/>
  <c r="V6" i="19"/>
  <c r="W6" i="19"/>
  <c r="X6" i="19"/>
  <c r="Y6" i="19"/>
  <c r="Z6" i="19"/>
  <c r="AA6" i="19"/>
  <c r="AB6" i="19"/>
  <c r="AC6" i="19"/>
  <c r="AD6" i="19"/>
  <c r="AE6" i="19"/>
  <c r="AF6" i="19"/>
  <c r="AG6" i="19"/>
  <c r="AH6" i="19"/>
  <c r="AI6" i="19"/>
  <c r="AJ6" i="19"/>
  <c r="AK6" i="19"/>
  <c r="AL6" i="19"/>
  <c r="AM6" i="19"/>
  <c r="AN6" i="19"/>
  <c r="AO6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AL7" i="19"/>
  <c r="AM7" i="19"/>
  <c r="AN7" i="19"/>
  <c r="AO7" i="19"/>
  <c r="B7" i="19"/>
  <c r="P5" i="19"/>
  <c r="Q5" i="19"/>
  <c r="R5" i="19"/>
  <c r="S5" i="19"/>
  <c r="T5" i="19"/>
  <c r="U5" i="19"/>
  <c r="V5" i="19"/>
  <c r="W5" i="19"/>
  <c r="X5" i="19"/>
  <c r="Y5" i="19"/>
  <c r="Z5" i="19"/>
  <c r="AA5" i="19"/>
  <c r="AB5" i="19"/>
  <c r="AC5" i="19"/>
  <c r="AD5" i="19"/>
  <c r="AE5" i="19"/>
  <c r="AF5" i="19"/>
  <c r="AG5" i="19"/>
  <c r="AH5" i="19"/>
  <c r="AI5" i="19"/>
  <c r="AJ5" i="19"/>
  <c r="AK5" i="19"/>
  <c r="AL5" i="19"/>
  <c r="AM5" i="19"/>
  <c r="AN5" i="19"/>
  <c r="AO5" i="19"/>
  <c r="O3" i="19"/>
  <c r="P3" i="19"/>
  <c r="Q3" i="19"/>
  <c r="R3" i="19"/>
  <c r="S3" i="19"/>
  <c r="T3" i="19"/>
  <c r="U3" i="19"/>
  <c r="V3" i="19"/>
  <c r="W3" i="19"/>
  <c r="X3" i="19"/>
  <c r="Y3" i="19"/>
  <c r="Z3" i="19"/>
  <c r="AA3" i="19"/>
  <c r="AB3" i="19"/>
  <c r="AC3" i="19"/>
  <c r="AD3" i="19"/>
  <c r="AE3" i="19"/>
  <c r="AF3" i="19"/>
  <c r="AG3" i="19"/>
  <c r="AH3" i="19"/>
  <c r="AI3" i="19"/>
  <c r="AJ3" i="19"/>
  <c r="AK3" i="19"/>
  <c r="AL3" i="19"/>
  <c r="AM3" i="19"/>
  <c r="AN3" i="19"/>
  <c r="AO3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AJ4" i="19"/>
  <c r="AK4" i="19"/>
  <c r="AL4" i="19"/>
  <c r="AM4" i="19"/>
  <c r="AN4" i="19"/>
  <c r="AO4" i="19"/>
  <c r="AO1" i="19"/>
  <c r="AO2" i="19"/>
  <c r="AK1" i="19"/>
  <c r="AL1" i="19"/>
  <c r="AM1" i="19"/>
  <c r="AN1" i="19"/>
  <c r="AK2" i="19"/>
  <c r="AL2" i="19"/>
  <c r="AM2" i="19"/>
  <c r="AN2" i="19"/>
  <c r="O1" i="19"/>
  <c r="P1" i="19"/>
  <c r="Q1" i="19"/>
  <c r="R1" i="19"/>
  <c r="S1" i="19"/>
  <c r="T1" i="19"/>
  <c r="U1" i="19"/>
  <c r="V1" i="19"/>
  <c r="W1" i="19"/>
  <c r="X1" i="19"/>
  <c r="Y1" i="19"/>
  <c r="Z1" i="19"/>
  <c r="AA1" i="19"/>
  <c r="AB1" i="19"/>
  <c r="AC1" i="19"/>
  <c r="AD1" i="19"/>
  <c r="AE1" i="19"/>
  <c r="AF1" i="19"/>
  <c r="AG1" i="19"/>
  <c r="AH1" i="19"/>
  <c r="AI1" i="19"/>
  <c r="AJ1" i="19"/>
  <c r="O2" i="19"/>
  <c r="P2" i="19"/>
  <c r="Q2" i="19"/>
  <c r="R2" i="19"/>
  <c r="S2" i="19"/>
  <c r="T2" i="19"/>
  <c r="U2" i="19"/>
  <c r="V2" i="19"/>
  <c r="W2" i="19"/>
  <c r="X2" i="19"/>
  <c r="Y2" i="19"/>
  <c r="Z2" i="19"/>
  <c r="AA2" i="19"/>
  <c r="AB2" i="19"/>
  <c r="AC2" i="19"/>
  <c r="AD2" i="19"/>
  <c r="AE2" i="19"/>
  <c r="AF2" i="19"/>
  <c r="AG2" i="19"/>
  <c r="AH2" i="19"/>
  <c r="AI2" i="19"/>
  <c r="AJ2" i="19"/>
  <c r="C4" i="19"/>
  <c r="D4" i="19"/>
  <c r="E4" i="19"/>
  <c r="F4" i="19"/>
  <c r="G4" i="19"/>
  <c r="H4" i="19"/>
  <c r="I4" i="19"/>
  <c r="J4" i="19"/>
  <c r="K4" i="19"/>
  <c r="L4" i="19"/>
  <c r="M4" i="19"/>
  <c r="N4" i="19"/>
  <c r="B4" i="19"/>
  <c r="AG4" i="2"/>
  <c r="AF4" i="2"/>
  <c r="AE4" i="2"/>
  <c r="AD4" i="2"/>
  <c r="AC4" i="2"/>
  <c r="AE3" i="2"/>
  <c r="AD3" i="2"/>
  <c r="AC3" i="2"/>
  <c r="U4" i="2"/>
  <c r="T4" i="2"/>
  <c r="S4" i="2"/>
  <c r="R4" i="2"/>
  <c r="S3" i="2"/>
  <c r="R3" i="2"/>
  <c r="AP3" i="2"/>
  <c r="AP26" i="6"/>
  <c r="AP4" i="2"/>
  <c r="AP27" i="6"/>
  <c r="AP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6" i="6"/>
  <c r="R27" i="6"/>
  <c r="R28" i="6"/>
  <c r="S26" i="6"/>
  <c r="S27" i="6"/>
  <c r="S28" i="6"/>
  <c r="T27" i="6"/>
  <c r="T28" i="6"/>
  <c r="U27" i="6"/>
  <c r="U28" i="6"/>
  <c r="V28" i="6"/>
  <c r="W28" i="6"/>
  <c r="X28" i="6"/>
  <c r="Y28" i="6"/>
  <c r="Z28" i="6"/>
  <c r="AA28" i="6"/>
  <c r="AB28" i="6"/>
  <c r="AC26" i="6"/>
  <c r="AC27" i="6"/>
  <c r="AC28" i="6"/>
  <c r="AD26" i="6"/>
  <c r="AD27" i="6"/>
  <c r="AD28" i="6"/>
  <c r="AE26" i="6"/>
  <c r="AE27" i="6"/>
  <c r="AE28" i="6"/>
  <c r="AF27" i="6"/>
  <c r="AF28" i="6"/>
  <c r="AG27" i="6"/>
  <c r="AG28" i="6"/>
  <c r="AH28" i="6"/>
  <c r="AI28" i="6"/>
  <c r="AJ28" i="6"/>
  <c r="AK28" i="6"/>
  <c r="AL28" i="6"/>
  <c r="AM28" i="6"/>
  <c r="AN28" i="6"/>
  <c r="AO28" i="6"/>
  <c r="G4" i="2"/>
  <c r="F4" i="2"/>
  <c r="G3" i="2"/>
  <c r="H3" i="2"/>
  <c r="I3" i="2"/>
  <c r="J3" i="2"/>
  <c r="AO4" i="1"/>
  <c r="AN4" i="1"/>
  <c r="AF4" i="1"/>
  <c r="AO3" i="1"/>
  <c r="AN3" i="1"/>
  <c r="AE3" i="1"/>
  <c r="AD3" i="1"/>
  <c r="AC3" i="1"/>
  <c r="AB3" i="1"/>
  <c r="P3" i="1"/>
  <c r="AG4" i="1"/>
  <c r="AE4" i="1"/>
  <c r="AD4" i="1"/>
  <c r="AC4" i="1"/>
  <c r="AB4" i="1"/>
  <c r="U4" i="1"/>
  <c r="T4" i="1"/>
  <c r="S4" i="1"/>
  <c r="R4" i="1"/>
  <c r="Q4" i="1"/>
  <c r="P4" i="1"/>
  <c r="G4" i="1"/>
  <c r="F4" i="1"/>
  <c r="E4" i="1"/>
  <c r="D4" i="1"/>
  <c r="S3" i="1"/>
  <c r="G20" i="1"/>
  <c r="D3" i="1"/>
  <c r="G21" i="1"/>
  <c r="F19" i="1"/>
  <c r="R3" i="1"/>
  <c r="Q3" i="1"/>
  <c r="AD14" i="5"/>
  <c r="AE14" i="5"/>
  <c r="AF14" i="5"/>
  <c r="AG14" i="5"/>
  <c r="C18" i="5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5"/>
  <c r="AP18" i="6"/>
  <c r="B18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5"/>
  <c r="AP14" i="6"/>
  <c r="B14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5"/>
  <c r="AP19" i="6"/>
  <c r="B19" i="6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B19" i="15"/>
  <c r="AC19" i="15"/>
  <c r="AD19" i="15"/>
  <c r="AE19" i="15"/>
  <c r="AF19" i="15"/>
  <c r="AG19" i="15"/>
  <c r="AH19" i="15"/>
  <c r="AI19" i="15"/>
  <c r="AJ19" i="15"/>
  <c r="AK19" i="15"/>
  <c r="AL19" i="15"/>
  <c r="AM19" i="15"/>
  <c r="AN19" i="15"/>
  <c r="AO19" i="15"/>
  <c r="O15" i="6"/>
  <c r="O22" i="6"/>
  <c r="O24" i="6"/>
  <c r="O31" i="6"/>
  <c r="O32" i="6"/>
  <c r="O8" i="15"/>
  <c r="O30" i="6"/>
  <c r="O9" i="15"/>
  <c r="O10" i="15"/>
  <c r="O20" i="15"/>
  <c r="P15" i="6"/>
  <c r="P22" i="6"/>
  <c r="P24" i="6"/>
  <c r="P31" i="6"/>
  <c r="P32" i="6"/>
  <c r="P8" i="15"/>
  <c r="P30" i="6"/>
  <c r="P9" i="15"/>
  <c r="P10" i="15"/>
  <c r="P20" i="15"/>
  <c r="Q15" i="6"/>
  <c r="Q22" i="6"/>
  <c r="Q24" i="6"/>
  <c r="Q31" i="6"/>
  <c r="Q32" i="6"/>
  <c r="Q8" i="15"/>
  <c r="Q30" i="6"/>
  <c r="Q9" i="15"/>
  <c r="Q10" i="15"/>
  <c r="Q20" i="15"/>
  <c r="R15" i="6"/>
  <c r="R22" i="6"/>
  <c r="R24" i="6"/>
  <c r="R31" i="6"/>
  <c r="R32" i="6"/>
  <c r="R8" i="15"/>
  <c r="R30" i="6"/>
  <c r="R9" i="15"/>
  <c r="R10" i="15"/>
  <c r="R20" i="15"/>
  <c r="S15" i="6"/>
  <c r="S22" i="6"/>
  <c r="S24" i="6"/>
  <c r="S31" i="6"/>
  <c r="S32" i="6"/>
  <c r="S8" i="15"/>
  <c r="S30" i="6"/>
  <c r="S9" i="15"/>
  <c r="S10" i="15"/>
  <c r="S20" i="15"/>
  <c r="T15" i="6"/>
  <c r="T22" i="6"/>
  <c r="T24" i="6"/>
  <c r="T31" i="6"/>
  <c r="T32" i="6"/>
  <c r="T8" i="15"/>
  <c r="T30" i="6"/>
  <c r="T9" i="15"/>
  <c r="T10" i="15"/>
  <c r="T20" i="15"/>
  <c r="U15" i="6"/>
  <c r="U22" i="6"/>
  <c r="U24" i="6"/>
  <c r="U31" i="6"/>
  <c r="U32" i="6"/>
  <c r="U8" i="15"/>
  <c r="U30" i="6"/>
  <c r="U9" i="15"/>
  <c r="U10" i="15"/>
  <c r="U20" i="15"/>
  <c r="V15" i="6"/>
  <c r="V22" i="6"/>
  <c r="V24" i="6"/>
  <c r="V31" i="6"/>
  <c r="V32" i="6"/>
  <c r="V8" i="15"/>
  <c r="V30" i="6"/>
  <c r="V9" i="15"/>
  <c r="V10" i="15"/>
  <c r="V20" i="15"/>
  <c r="W15" i="6"/>
  <c r="W22" i="6"/>
  <c r="W24" i="6"/>
  <c r="W31" i="6"/>
  <c r="W32" i="6"/>
  <c r="W8" i="15"/>
  <c r="W30" i="6"/>
  <c r="W9" i="15"/>
  <c r="W10" i="15"/>
  <c r="W20" i="15"/>
  <c r="X15" i="6"/>
  <c r="X22" i="6"/>
  <c r="X24" i="6"/>
  <c r="X31" i="6"/>
  <c r="X32" i="6"/>
  <c r="X8" i="15"/>
  <c r="X30" i="6"/>
  <c r="X9" i="15"/>
  <c r="X10" i="15"/>
  <c r="X20" i="15"/>
  <c r="Y15" i="6"/>
  <c r="Y22" i="6"/>
  <c r="Y24" i="6"/>
  <c r="Y31" i="6"/>
  <c r="Y32" i="6"/>
  <c r="Y8" i="15"/>
  <c r="Y30" i="6"/>
  <c r="Y9" i="15"/>
  <c r="Y10" i="15"/>
  <c r="Y20" i="15"/>
  <c r="Z15" i="6"/>
  <c r="Z22" i="6"/>
  <c r="Z24" i="6"/>
  <c r="Z31" i="6"/>
  <c r="Z32" i="6"/>
  <c r="Z8" i="15"/>
  <c r="Z30" i="6"/>
  <c r="Z9" i="15"/>
  <c r="Z10" i="15"/>
  <c r="Z20" i="15"/>
  <c r="AA15" i="6"/>
  <c r="AA22" i="6"/>
  <c r="AA24" i="6"/>
  <c r="AA31" i="6"/>
  <c r="AA32" i="6"/>
  <c r="AA8" i="15"/>
  <c r="AA30" i="6"/>
  <c r="AA9" i="15"/>
  <c r="AA10" i="15"/>
  <c r="AA20" i="15"/>
  <c r="AB15" i="6"/>
  <c r="AB22" i="6"/>
  <c r="AB24" i="6"/>
  <c r="AB31" i="6"/>
  <c r="AB32" i="6"/>
  <c r="AB8" i="15"/>
  <c r="AB30" i="6"/>
  <c r="AB9" i="15"/>
  <c r="AB10" i="15"/>
  <c r="AB20" i="15"/>
  <c r="AC15" i="6"/>
  <c r="AC22" i="6"/>
  <c r="AC24" i="6"/>
  <c r="AC31" i="6"/>
  <c r="AC32" i="6"/>
  <c r="AC8" i="15"/>
  <c r="AC30" i="6"/>
  <c r="AC9" i="15"/>
  <c r="AC10" i="15"/>
  <c r="AC20" i="15"/>
  <c r="AD15" i="6"/>
  <c r="AD22" i="6"/>
  <c r="AD24" i="6"/>
  <c r="AD31" i="6"/>
  <c r="AD32" i="6"/>
  <c r="AD8" i="15"/>
  <c r="AD30" i="6"/>
  <c r="AD9" i="15"/>
  <c r="AD10" i="15"/>
  <c r="AD20" i="15"/>
  <c r="AE15" i="6"/>
  <c r="AE22" i="6"/>
  <c r="AE24" i="6"/>
  <c r="AE31" i="6"/>
  <c r="AE32" i="6"/>
  <c r="AE8" i="15"/>
  <c r="AE30" i="6"/>
  <c r="AE9" i="15"/>
  <c r="AE10" i="15"/>
  <c r="AE20" i="15"/>
  <c r="AF15" i="6"/>
  <c r="AF22" i="6"/>
  <c r="AF24" i="6"/>
  <c r="AF31" i="6"/>
  <c r="AF32" i="6"/>
  <c r="AF8" i="15"/>
  <c r="AF30" i="6"/>
  <c r="AF9" i="15"/>
  <c r="AF10" i="15"/>
  <c r="AF20" i="15"/>
  <c r="AG15" i="6"/>
  <c r="AG22" i="6"/>
  <c r="AG24" i="6"/>
  <c r="AG31" i="6"/>
  <c r="AG32" i="6"/>
  <c r="AG8" i="15"/>
  <c r="AG30" i="6"/>
  <c r="AG9" i="15"/>
  <c r="AG10" i="15"/>
  <c r="AG20" i="15"/>
  <c r="AH15" i="6"/>
  <c r="AH22" i="6"/>
  <c r="AH24" i="6"/>
  <c r="AH31" i="6"/>
  <c r="AH32" i="6"/>
  <c r="AH8" i="15"/>
  <c r="AH30" i="6"/>
  <c r="AH9" i="15"/>
  <c r="AH10" i="15"/>
  <c r="AH20" i="15"/>
  <c r="AI15" i="6"/>
  <c r="AI22" i="6"/>
  <c r="AI24" i="6"/>
  <c r="AI31" i="6"/>
  <c r="AI32" i="6"/>
  <c r="AI8" i="15"/>
  <c r="AI30" i="6"/>
  <c r="AI9" i="15"/>
  <c r="AI10" i="15"/>
  <c r="AI20" i="15"/>
  <c r="AJ15" i="6"/>
  <c r="AJ22" i="6"/>
  <c r="AJ24" i="6"/>
  <c r="AJ31" i="6"/>
  <c r="AJ32" i="6"/>
  <c r="AJ8" i="15"/>
  <c r="AJ30" i="6"/>
  <c r="AJ9" i="15"/>
  <c r="AJ10" i="15"/>
  <c r="AJ20" i="15"/>
  <c r="AK15" i="6"/>
  <c r="AK22" i="6"/>
  <c r="AK24" i="6"/>
  <c r="AK31" i="6"/>
  <c r="AK32" i="6"/>
  <c r="AK8" i="15"/>
  <c r="AK30" i="6"/>
  <c r="AK9" i="15"/>
  <c r="AK10" i="15"/>
  <c r="AK20" i="15"/>
  <c r="AL15" i="6"/>
  <c r="AL22" i="6"/>
  <c r="AL24" i="6"/>
  <c r="AL31" i="6"/>
  <c r="AL32" i="6"/>
  <c r="AL8" i="15"/>
  <c r="AL30" i="6"/>
  <c r="AL9" i="15"/>
  <c r="AL10" i="15"/>
  <c r="AL20" i="15"/>
  <c r="AM15" i="6"/>
  <c r="AM22" i="6"/>
  <c r="AM24" i="6"/>
  <c r="AM31" i="6"/>
  <c r="AM32" i="6"/>
  <c r="AM8" i="15"/>
  <c r="AM30" i="6"/>
  <c r="AM9" i="15"/>
  <c r="AM10" i="15"/>
  <c r="AM20" i="15"/>
  <c r="AN15" i="6"/>
  <c r="AN22" i="6"/>
  <c r="AN24" i="6"/>
  <c r="AN31" i="6"/>
  <c r="AN32" i="6"/>
  <c r="AN8" i="15"/>
  <c r="AN30" i="6"/>
  <c r="AN9" i="15"/>
  <c r="AN10" i="15"/>
  <c r="AN20" i="15"/>
  <c r="AO15" i="6"/>
  <c r="AO22" i="6"/>
  <c r="AO24" i="6"/>
  <c r="AO31" i="6"/>
  <c r="AO32" i="6"/>
  <c r="AO8" i="15"/>
  <c r="AO30" i="6"/>
  <c r="AO9" i="15"/>
  <c r="AO10" i="15"/>
  <c r="AO20" i="15"/>
  <c r="O29" i="6"/>
  <c r="O13" i="15"/>
  <c r="O21" i="15"/>
  <c r="P29" i="6"/>
  <c r="P13" i="15"/>
  <c r="P21" i="15"/>
  <c r="Q29" i="6"/>
  <c r="Q13" i="15"/>
  <c r="Q21" i="15"/>
  <c r="R29" i="6"/>
  <c r="R13" i="15"/>
  <c r="R21" i="15"/>
  <c r="S29" i="6"/>
  <c r="S13" i="15"/>
  <c r="S21" i="15"/>
  <c r="T29" i="6"/>
  <c r="T13" i="15"/>
  <c r="T21" i="15"/>
  <c r="U29" i="6"/>
  <c r="U13" i="15"/>
  <c r="U21" i="15"/>
  <c r="V29" i="6"/>
  <c r="V13" i="15"/>
  <c r="V21" i="15"/>
  <c r="W29" i="6"/>
  <c r="W13" i="15"/>
  <c r="W21" i="15"/>
  <c r="X29" i="6"/>
  <c r="X13" i="15"/>
  <c r="X21" i="15"/>
  <c r="Y29" i="6"/>
  <c r="Y13" i="15"/>
  <c r="Y21" i="15"/>
  <c r="Z29" i="6"/>
  <c r="Z13" i="15"/>
  <c r="Z21" i="15"/>
  <c r="AA29" i="6"/>
  <c r="AA13" i="15"/>
  <c r="AA21" i="15"/>
  <c r="AB29" i="6"/>
  <c r="AB13" i="15"/>
  <c r="AB21" i="15"/>
  <c r="AC29" i="6"/>
  <c r="AC13" i="15"/>
  <c r="AC21" i="15"/>
  <c r="AD29" i="6"/>
  <c r="AD13" i="15"/>
  <c r="AD21" i="15"/>
  <c r="AE29" i="6"/>
  <c r="AE13" i="15"/>
  <c r="AE21" i="15"/>
  <c r="AF29" i="6"/>
  <c r="AF13" i="15"/>
  <c r="AF21" i="15"/>
  <c r="AG29" i="6"/>
  <c r="AG13" i="15"/>
  <c r="AG21" i="15"/>
  <c r="AH29" i="6"/>
  <c r="AH13" i="15"/>
  <c r="AH21" i="15"/>
  <c r="AI29" i="6"/>
  <c r="AI13" i="15"/>
  <c r="AI21" i="15"/>
  <c r="AJ29" i="6"/>
  <c r="AJ13" i="15"/>
  <c r="AJ21" i="15"/>
  <c r="AK29" i="6"/>
  <c r="AK13" i="15"/>
  <c r="AK21" i="15"/>
  <c r="AL29" i="6"/>
  <c r="AL13" i="15"/>
  <c r="AL21" i="15"/>
  <c r="AM29" i="6"/>
  <c r="AM13" i="15"/>
  <c r="AM21" i="15"/>
  <c r="AN29" i="6"/>
  <c r="AN13" i="15"/>
  <c r="AN21" i="15"/>
  <c r="AO29" i="6"/>
  <c r="AO13" i="15"/>
  <c r="AO21" i="15"/>
  <c r="O15" i="15"/>
  <c r="O22" i="15"/>
  <c r="P15" i="15"/>
  <c r="P22" i="15"/>
  <c r="Q15" i="15"/>
  <c r="Q22" i="15"/>
  <c r="R15" i="15"/>
  <c r="R22" i="15"/>
  <c r="S15" i="15"/>
  <c r="S22" i="15"/>
  <c r="T15" i="15"/>
  <c r="T22" i="15"/>
  <c r="U15" i="15"/>
  <c r="U22" i="15"/>
  <c r="V15" i="15"/>
  <c r="V22" i="15"/>
  <c r="W15" i="15"/>
  <c r="W22" i="15"/>
  <c r="X15" i="15"/>
  <c r="X22" i="15"/>
  <c r="Y15" i="15"/>
  <c r="Y22" i="15"/>
  <c r="Z15" i="15"/>
  <c r="Z22" i="15"/>
  <c r="AA15" i="15"/>
  <c r="AA22" i="15"/>
  <c r="AB15" i="15"/>
  <c r="AB22" i="15"/>
  <c r="AC15" i="15"/>
  <c r="AC22" i="15"/>
  <c r="AD15" i="15"/>
  <c r="AD22" i="15"/>
  <c r="AE15" i="15"/>
  <c r="AE22" i="15"/>
  <c r="AF15" i="15"/>
  <c r="AF22" i="15"/>
  <c r="AG15" i="15"/>
  <c r="AG22" i="15"/>
  <c r="AH15" i="15"/>
  <c r="AH22" i="15"/>
  <c r="AI15" i="15"/>
  <c r="AI22" i="15"/>
  <c r="AJ15" i="15"/>
  <c r="AJ22" i="15"/>
  <c r="AK15" i="15"/>
  <c r="AK22" i="15"/>
  <c r="AL15" i="15"/>
  <c r="AL22" i="15"/>
  <c r="AM15" i="15"/>
  <c r="AM22" i="15"/>
  <c r="AN15" i="15"/>
  <c r="AN22" i="15"/>
  <c r="AO15" i="15"/>
  <c r="AO22" i="15"/>
  <c r="C15" i="6"/>
  <c r="C22" i="6"/>
  <c r="C24" i="6"/>
  <c r="C31" i="6"/>
  <c r="C32" i="6"/>
  <c r="C8" i="15"/>
  <c r="C15" i="15"/>
  <c r="C16" i="15"/>
  <c r="D15" i="6"/>
  <c r="D22" i="6"/>
  <c r="D24" i="6"/>
  <c r="D31" i="6"/>
  <c r="D32" i="6"/>
  <c r="D8" i="15"/>
  <c r="D15" i="15"/>
  <c r="D3" i="2"/>
  <c r="D4" i="2"/>
  <c r="D5" i="2"/>
  <c r="D3" i="15"/>
  <c r="D16" i="15"/>
  <c r="E15" i="6"/>
  <c r="E22" i="6"/>
  <c r="E24" i="6"/>
  <c r="E31" i="6"/>
  <c r="E32" i="6"/>
  <c r="E8" i="15"/>
  <c r="E15" i="15"/>
  <c r="E3" i="1"/>
  <c r="E3" i="2"/>
  <c r="E4" i="2"/>
  <c r="E5" i="2"/>
  <c r="E3" i="15"/>
  <c r="E16" i="15"/>
  <c r="F15" i="6"/>
  <c r="F22" i="6"/>
  <c r="F24" i="6"/>
  <c r="F31" i="6"/>
  <c r="F32" i="6"/>
  <c r="F8" i="15"/>
  <c r="F15" i="15"/>
  <c r="F5" i="2"/>
  <c r="F3" i="15"/>
  <c r="F16" i="15"/>
  <c r="G15" i="6"/>
  <c r="G22" i="6"/>
  <c r="G24" i="6"/>
  <c r="G31" i="6"/>
  <c r="G32" i="6"/>
  <c r="G8" i="15"/>
  <c r="G15" i="15"/>
  <c r="G5" i="2"/>
  <c r="G3" i="15"/>
  <c r="G16" i="15"/>
  <c r="H15" i="6"/>
  <c r="H22" i="6"/>
  <c r="H24" i="6"/>
  <c r="H31" i="6"/>
  <c r="H32" i="6"/>
  <c r="H8" i="15"/>
  <c r="H15" i="15"/>
  <c r="H5" i="2"/>
  <c r="H3" i="15"/>
  <c r="H16" i="15"/>
  <c r="I15" i="6"/>
  <c r="I22" i="6"/>
  <c r="I24" i="6"/>
  <c r="I31" i="6"/>
  <c r="I32" i="6"/>
  <c r="I8" i="15"/>
  <c r="I15" i="15"/>
  <c r="I5" i="2"/>
  <c r="I3" i="15"/>
  <c r="I16" i="15"/>
  <c r="J15" i="6"/>
  <c r="J22" i="6"/>
  <c r="J24" i="6"/>
  <c r="J31" i="6"/>
  <c r="J32" i="6"/>
  <c r="J8" i="15"/>
  <c r="J15" i="15"/>
  <c r="J5" i="2"/>
  <c r="J3" i="15"/>
  <c r="J16" i="15"/>
  <c r="K15" i="6"/>
  <c r="K22" i="6"/>
  <c r="K24" i="6"/>
  <c r="K31" i="6"/>
  <c r="K32" i="6"/>
  <c r="K8" i="15"/>
  <c r="K15" i="15"/>
  <c r="K16" i="15"/>
  <c r="L15" i="6"/>
  <c r="L22" i="6"/>
  <c r="L24" i="6"/>
  <c r="L31" i="6"/>
  <c r="L32" i="6"/>
  <c r="L8" i="15"/>
  <c r="L15" i="15"/>
  <c r="L16" i="15"/>
  <c r="M15" i="6"/>
  <c r="M22" i="6"/>
  <c r="M24" i="6"/>
  <c r="M31" i="6"/>
  <c r="M32" i="6"/>
  <c r="M8" i="15"/>
  <c r="M15" i="15"/>
  <c r="M16" i="15"/>
  <c r="N15" i="6"/>
  <c r="N22" i="6"/>
  <c r="N24" i="6"/>
  <c r="N31" i="6"/>
  <c r="N32" i="6"/>
  <c r="N8" i="15"/>
  <c r="N15" i="15"/>
  <c r="N16" i="15"/>
  <c r="O16" i="15"/>
  <c r="P3" i="2"/>
  <c r="P4" i="2"/>
  <c r="P5" i="2"/>
  <c r="P3" i="15"/>
  <c r="P16" i="15"/>
  <c r="Q3" i="2"/>
  <c r="Q4" i="2"/>
  <c r="Q5" i="2"/>
  <c r="Q3" i="15"/>
  <c r="Q16" i="15"/>
  <c r="R5" i="2"/>
  <c r="R3" i="15"/>
  <c r="R16" i="15"/>
  <c r="S5" i="2"/>
  <c r="S3" i="15"/>
  <c r="S16" i="15"/>
  <c r="T5" i="2"/>
  <c r="T3" i="15"/>
  <c r="T16" i="15"/>
  <c r="U5" i="2"/>
  <c r="U3" i="15"/>
  <c r="U16" i="15"/>
  <c r="V16" i="15"/>
  <c r="W16" i="15"/>
  <c r="X16" i="15"/>
  <c r="Y16" i="15"/>
  <c r="Z16" i="15"/>
  <c r="AA16" i="15"/>
  <c r="AB3" i="2"/>
  <c r="AB4" i="2"/>
  <c r="AB5" i="2"/>
  <c r="AB3" i="15"/>
  <c r="AB16" i="15"/>
  <c r="AC5" i="2"/>
  <c r="AC3" i="15"/>
  <c r="AC16" i="15"/>
  <c r="AD5" i="2"/>
  <c r="AD3" i="15"/>
  <c r="AD16" i="15"/>
  <c r="AE5" i="2"/>
  <c r="AE3" i="15"/>
  <c r="AE16" i="15"/>
  <c r="AF5" i="2"/>
  <c r="AF3" i="15"/>
  <c r="AF16" i="15"/>
  <c r="AG5" i="2"/>
  <c r="AG3" i="15"/>
  <c r="AG16" i="15"/>
  <c r="AH16" i="15"/>
  <c r="AI16" i="15"/>
  <c r="AJ16" i="15"/>
  <c r="AK16" i="15"/>
  <c r="AL16" i="15"/>
  <c r="AM16" i="15"/>
  <c r="AN3" i="2"/>
  <c r="AN4" i="2"/>
  <c r="AN5" i="2"/>
  <c r="AN3" i="15"/>
  <c r="AN16" i="15"/>
  <c r="AO3" i="2"/>
  <c r="AO4" i="2"/>
  <c r="AO5" i="2"/>
  <c r="AO3" i="15"/>
  <c r="AO16" i="15"/>
  <c r="AP15" i="6"/>
  <c r="AP22" i="6"/>
  <c r="AP24" i="6"/>
  <c r="AP31" i="6"/>
  <c r="AP32" i="6"/>
  <c r="AP8" i="15"/>
  <c r="AP15" i="15"/>
  <c r="AP5" i="2"/>
  <c r="AP3" i="15"/>
  <c r="AP16" i="15"/>
  <c r="B15" i="6"/>
  <c r="B22" i="6"/>
  <c r="B24" i="6"/>
  <c r="B31" i="6"/>
  <c r="B32" i="6"/>
  <c r="B8" i="15"/>
  <c r="B15" i="15"/>
  <c r="B16" i="15"/>
  <c r="C29" i="6"/>
  <c r="C13" i="15"/>
  <c r="C14" i="15"/>
  <c r="D29" i="6"/>
  <c r="D13" i="15"/>
  <c r="D14" i="15"/>
  <c r="E29" i="6"/>
  <c r="E13" i="15"/>
  <c r="E14" i="15"/>
  <c r="F29" i="6"/>
  <c r="F13" i="15"/>
  <c r="F14" i="15"/>
  <c r="G29" i="6"/>
  <c r="G13" i="15"/>
  <c r="G14" i="15"/>
  <c r="H29" i="6"/>
  <c r="H13" i="15"/>
  <c r="H14" i="15"/>
  <c r="I29" i="6"/>
  <c r="I13" i="15"/>
  <c r="I14" i="15"/>
  <c r="J29" i="6"/>
  <c r="J13" i="15"/>
  <c r="J14" i="15"/>
  <c r="K29" i="6"/>
  <c r="K13" i="15"/>
  <c r="K14" i="15"/>
  <c r="L29" i="6"/>
  <c r="L13" i="15"/>
  <c r="L14" i="15"/>
  <c r="M29" i="6"/>
  <c r="M13" i="15"/>
  <c r="M14" i="15"/>
  <c r="N29" i="6"/>
  <c r="N13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AF14" i="15"/>
  <c r="AG14" i="15"/>
  <c r="AH14" i="15"/>
  <c r="AI14" i="15"/>
  <c r="AJ14" i="15"/>
  <c r="AK14" i="15"/>
  <c r="AL14" i="15"/>
  <c r="AM14" i="15"/>
  <c r="AN14" i="15"/>
  <c r="AO14" i="15"/>
  <c r="AP29" i="6"/>
  <c r="AP13" i="15"/>
  <c r="AP14" i="15"/>
  <c r="B29" i="6"/>
  <c r="B13" i="15"/>
  <c r="B14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AH12" i="15"/>
  <c r="AI12" i="15"/>
  <c r="AJ12" i="15"/>
  <c r="AK12" i="15"/>
  <c r="AL12" i="15"/>
  <c r="AM12" i="15"/>
  <c r="AN12" i="15"/>
  <c r="AO12" i="15"/>
  <c r="AP12" i="15"/>
  <c r="B12" i="15"/>
  <c r="C30" i="6"/>
  <c r="C9" i="15"/>
  <c r="C10" i="15"/>
  <c r="C11" i="15"/>
  <c r="D30" i="6"/>
  <c r="D9" i="15"/>
  <c r="D10" i="15"/>
  <c r="D11" i="15"/>
  <c r="E30" i="6"/>
  <c r="E9" i="15"/>
  <c r="E10" i="15"/>
  <c r="E11" i="15"/>
  <c r="F30" i="6"/>
  <c r="F9" i="15"/>
  <c r="F10" i="15"/>
  <c r="F11" i="15"/>
  <c r="G30" i="6"/>
  <c r="G9" i="15"/>
  <c r="G10" i="15"/>
  <c r="G11" i="15"/>
  <c r="H30" i="6"/>
  <c r="H9" i="15"/>
  <c r="H10" i="15"/>
  <c r="H11" i="15"/>
  <c r="I30" i="6"/>
  <c r="I9" i="15"/>
  <c r="I10" i="15"/>
  <c r="I11" i="15"/>
  <c r="J30" i="6"/>
  <c r="J9" i="15"/>
  <c r="J10" i="15"/>
  <c r="J11" i="15"/>
  <c r="K30" i="6"/>
  <c r="K9" i="15"/>
  <c r="K10" i="15"/>
  <c r="K11" i="15"/>
  <c r="L30" i="6"/>
  <c r="L9" i="15"/>
  <c r="L10" i="15"/>
  <c r="L11" i="15"/>
  <c r="M30" i="6"/>
  <c r="M9" i="15"/>
  <c r="M10" i="15"/>
  <c r="M11" i="15"/>
  <c r="N30" i="6"/>
  <c r="N9" i="15"/>
  <c r="N10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AF11" i="15"/>
  <c r="AG11" i="15"/>
  <c r="AH11" i="15"/>
  <c r="AI11" i="15"/>
  <c r="AJ11" i="15"/>
  <c r="AK11" i="15"/>
  <c r="AL11" i="15"/>
  <c r="AM11" i="15"/>
  <c r="AN11" i="15"/>
  <c r="AO11" i="15"/>
  <c r="AP30" i="6"/>
  <c r="AP9" i="15"/>
  <c r="AP10" i="15"/>
  <c r="AP11" i="15"/>
  <c r="B10" i="15"/>
  <c r="B11" i="15"/>
  <c r="B9" i="15"/>
  <c r="E4" i="15"/>
  <c r="E5" i="15"/>
  <c r="E6" i="15"/>
  <c r="E7" i="15"/>
  <c r="F15" i="5"/>
  <c r="F22" i="5"/>
  <c r="F24" i="5"/>
  <c r="F4" i="15"/>
  <c r="F5" i="15"/>
  <c r="F6" i="15"/>
  <c r="F7" i="15"/>
  <c r="G15" i="5"/>
  <c r="G22" i="5"/>
  <c r="G24" i="5"/>
  <c r="G4" i="15"/>
  <c r="G5" i="15"/>
  <c r="G6" i="15"/>
  <c r="G7" i="15"/>
  <c r="H15" i="5"/>
  <c r="H22" i="5"/>
  <c r="H24" i="5"/>
  <c r="H4" i="15"/>
  <c r="H5" i="15"/>
  <c r="H6" i="15"/>
  <c r="H7" i="15"/>
  <c r="I15" i="5"/>
  <c r="I22" i="5"/>
  <c r="I24" i="5"/>
  <c r="I4" i="15"/>
  <c r="I5" i="15"/>
  <c r="I6" i="15"/>
  <c r="I7" i="15"/>
  <c r="J22" i="5"/>
  <c r="J24" i="5"/>
  <c r="J4" i="15"/>
  <c r="J5" i="15"/>
  <c r="J6" i="15"/>
  <c r="J7" i="15"/>
  <c r="K3" i="15"/>
  <c r="K4" i="15"/>
  <c r="K5" i="15"/>
  <c r="K6" i="15"/>
  <c r="K7" i="15"/>
  <c r="L3" i="15"/>
  <c r="L4" i="15"/>
  <c r="L5" i="15"/>
  <c r="L6" i="15"/>
  <c r="L7" i="15"/>
  <c r="M3" i="15"/>
  <c r="M4" i="15"/>
  <c r="M5" i="15"/>
  <c r="M6" i="15"/>
  <c r="M7" i="15"/>
  <c r="N3" i="15"/>
  <c r="N4" i="15"/>
  <c r="N5" i="15"/>
  <c r="N6" i="15"/>
  <c r="N7" i="15"/>
  <c r="O3" i="15"/>
  <c r="O22" i="5"/>
  <c r="O24" i="5"/>
  <c r="O4" i="15"/>
  <c r="O5" i="15"/>
  <c r="O6" i="15"/>
  <c r="O7" i="15"/>
  <c r="P4" i="15"/>
  <c r="P5" i="15"/>
  <c r="P6" i="15"/>
  <c r="P7" i="15"/>
  <c r="Q4" i="15"/>
  <c r="Q5" i="15"/>
  <c r="Q6" i="15"/>
  <c r="Q7" i="15"/>
  <c r="R15" i="5"/>
  <c r="R22" i="5"/>
  <c r="R24" i="5"/>
  <c r="R4" i="15"/>
  <c r="R5" i="15"/>
  <c r="R6" i="15"/>
  <c r="R7" i="15"/>
  <c r="S15" i="5"/>
  <c r="S22" i="5"/>
  <c r="S24" i="5"/>
  <c r="S4" i="15"/>
  <c r="S5" i="15"/>
  <c r="S6" i="15"/>
  <c r="S7" i="15"/>
  <c r="T15" i="5"/>
  <c r="T22" i="5"/>
  <c r="T24" i="5"/>
  <c r="T4" i="15"/>
  <c r="T5" i="15"/>
  <c r="T6" i="15"/>
  <c r="T7" i="15"/>
  <c r="U15" i="5"/>
  <c r="U22" i="5"/>
  <c r="U24" i="5"/>
  <c r="U4" i="15"/>
  <c r="U5" i="15"/>
  <c r="U6" i="15"/>
  <c r="U7" i="15"/>
  <c r="V3" i="15"/>
  <c r="V22" i="5"/>
  <c r="V24" i="5"/>
  <c r="V4" i="15"/>
  <c r="V5" i="15"/>
  <c r="V6" i="15"/>
  <c r="V7" i="15"/>
  <c r="W3" i="15"/>
  <c r="W4" i="15"/>
  <c r="W5" i="15"/>
  <c r="W6" i="15"/>
  <c r="W7" i="15"/>
  <c r="X3" i="15"/>
  <c r="X4" i="15"/>
  <c r="X5" i="15"/>
  <c r="X6" i="15"/>
  <c r="X7" i="15"/>
  <c r="Y3" i="15"/>
  <c r="Y4" i="15"/>
  <c r="Y5" i="15"/>
  <c r="Y6" i="15"/>
  <c r="Y7" i="15"/>
  <c r="Z3" i="15"/>
  <c r="Z4" i="15"/>
  <c r="Z5" i="15"/>
  <c r="Z6" i="15"/>
  <c r="Z7" i="15"/>
  <c r="AA3" i="15"/>
  <c r="AA22" i="5"/>
  <c r="AA24" i="5"/>
  <c r="AA4" i="15"/>
  <c r="AA5" i="15"/>
  <c r="AA6" i="15"/>
  <c r="AA7" i="15"/>
  <c r="AB4" i="15"/>
  <c r="AB5" i="15"/>
  <c r="AB6" i="15"/>
  <c r="AB7" i="15"/>
  <c r="AC4" i="15"/>
  <c r="AC5" i="15"/>
  <c r="AC6" i="15"/>
  <c r="AC7" i="15"/>
  <c r="AD15" i="5"/>
  <c r="AD22" i="5"/>
  <c r="AD24" i="5"/>
  <c r="AD4" i="15"/>
  <c r="AD5" i="15"/>
  <c r="AD6" i="15"/>
  <c r="AD7" i="15"/>
  <c r="AE15" i="5"/>
  <c r="AE22" i="5"/>
  <c r="AE24" i="5"/>
  <c r="AE4" i="15"/>
  <c r="AE5" i="15"/>
  <c r="AE6" i="15"/>
  <c r="AE7" i="15"/>
  <c r="AF15" i="5"/>
  <c r="AF22" i="5"/>
  <c r="AF24" i="5"/>
  <c r="AF4" i="15"/>
  <c r="AF5" i="15"/>
  <c r="AF6" i="15"/>
  <c r="AF7" i="15"/>
  <c r="AG15" i="5"/>
  <c r="AG22" i="5"/>
  <c r="AG24" i="5"/>
  <c r="AG4" i="15"/>
  <c r="AG5" i="15"/>
  <c r="AG6" i="15"/>
  <c r="AG7" i="15"/>
  <c r="AH3" i="15"/>
  <c r="AH22" i="5"/>
  <c r="AH24" i="5"/>
  <c r="AH4" i="15"/>
  <c r="AH5" i="15"/>
  <c r="AH6" i="15"/>
  <c r="AH7" i="15"/>
  <c r="AI3" i="15"/>
  <c r="AI4" i="15"/>
  <c r="AI5" i="15"/>
  <c r="AI6" i="15"/>
  <c r="AI7" i="15"/>
  <c r="AJ3" i="15"/>
  <c r="AJ4" i="15"/>
  <c r="AJ5" i="15"/>
  <c r="AJ6" i="15"/>
  <c r="AJ7" i="15"/>
  <c r="AK3" i="15"/>
  <c r="AK4" i="15"/>
  <c r="AK5" i="15"/>
  <c r="AK6" i="15"/>
  <c r="AK7" i="15"/>
  <c r="AL3" i="15"/>
  <c r="AL4" i="15"/>
  <c r="AL5" i="15"/>
  <c r="AL6" i="15"/>
  <c r="AL7" i="15"/>
  <c r="AM3" i="15"/>
  <c r="AM22" i="5"/>
  <c r="AM24" i="5"/>
  <c r="AM4" i="15"/>
  <c r="AM5" i="15"/>
  <c r="AM6" i="15"/>
  <c r="AM7" i="15"/>
  <c r="AN4" i="15"/>
  <c r="AN5" i="15"/>
  <c r="AN6" i="15"/>
  <c r="AN7" i="15"/>
  <c r="AO4" i="15"/>
  <c r="AO5" i="15"/>
  <c r="AO6" i="15"/>
  <c r="AO7" i="15"/>
  <c r="AP15" i="5"/>
  <c r="AP22" i="5"/>
  <c r="AP24" i="5"/>
  <c r="AP4" i="15"/>
  <c r="AP5" i="15"/>
  <c r="AP6" i="15"/>
  <c r="AP7" i="15"/>
  <c r="C3" i="15"/>
  <c r="C22" i="5"/>
  <c r="C24" i="5"/>
  <c r="C4" i="15"/>
  <c r="C5" i="15"/>
  <c r="C6" i="15"/>
  <c r="C7" i="15"/>
  <c r="D4" i="15"/>
  <c r="D5" i="15"/>
  <c r="D6" i="15"/>
  <c r="D7" i="15"/>
  <c r="B3" i="15"/>
  <c r="B4" i="15"/>
  <c r="B5" i="15"/>
  <c r="B6" i="15"/>
  <c r="B7" i="15"/>
  <c r="AM1" i="15"/>
  <c r="AN1" i="15"/>
  <c r="AO1" i="15"/>
  <c r="AP1" i="15"/>
  <c r="AM2" i="15"/>
  <c r="AN2" i="15"/>
  <c r="AO2" i="15"/>
  <c r="AC1" i="15"/>
  <c r="AD1" i="15"/>
  <c r="AE1" i="15"/>
  <c r="AF1" i="15"/>
  <c r="AG1" i="15"/>
  <c r="AH1" i="15"/>
  <c r="AI1" i="15"/>
  <c r="AJ1" i="15"/>
  <c r="AK1" i="15"/>
  <c r="AL1" i="15"/>
  <c r="AC2" i="15"/>
  <c r="AD2" i="15"/>
  <c r="AE2" i="15"/>
  <c r="AF2" i="15"/>
  <c r="AG2" i="15"/>
  <c r="AH2" i="15"/>
  <c r="AI2" i="15"/>
  <c r="AJ2" i="15"/>
  <c r="AK2" i="15"/>
  <c r="AL2" i="15"/>
  <c r="O1" i="15"/>
  <c r="P1" i="15"/>
  <c r="Q1" i="15"/>
  <c r="R1" i="15"/>
  <c r="S1" i="15"/>
  <c r="T1" i="15"/>
  <c r="U1" i="15"/>
  <c r="V1" i="15"/>
  <c r="W1" i="15"/>
  <c r="X1" i="15"/>
  <c r="Y1" i="15"/>
  <c r="Z1" i="15"/>
  <c r="AA1" i="15"/>
  <c r="AB1" i="15"/>
  <c r="O2" i="15"/>
  <c r="P2" i="15"/>
  <c r="Q2" i="15"/>
  <c r="R2" i="15"/>
  <c r="S2" i="15"/>
  <c r="T2" i="15"/>
  <c r="U2" i="15"/>
  <c r="V2" i="15"/>
  <c r="W2" i="15"/>
  <c r="X2" i="15"/>
  <c r="Y2" i="15"/>
  <c r="Z2" i="15"/>
  <c r="AA2" i="15"/>
  <c r="AB2" i="15"/>
  <c r="AN6" i="12"/>
  <c r="AN7" i="12"/>
  <c r="AM6" i="12"/>
  <c r="AM7" i="12"/>
  <c r="AN8" i="12"/>
  <c r="Q6" i="12"/>
  <c r="Q7" i="12"/>
  <c r="P6" i="12"/>
  <c r="P7" i="12"/>
  <c r="Q8" i="12"/>
  <c r="R6" i="12"/>
  <c r="R7" i="12"/>
  <c r="R8" i="12"/>
  <c r="S6" i="12"/>
  <c r="S7" i="12"/>
  <c r="S8" i="12"/>
  <c r="T6" i="12"/>
  <c r="T7" i="12"/>
  <c r="T8" i="12"/>
  <c r="U6" i="12"/>
  <c r="U7" i="12"/>
  <c r="U8" i="12"/>
  <c r="V6" i="12"/>
  <c r="V7" i="12"/>
  <c r="V8" i="12"/>
  <c r="W6" i="12"/>
  <c r="W7" i="12"/>
  <c r="W8" i="12"/>
  <c r="X6" i="12"/>
  <c r="X7" i="12"/>
  <c r="X8" i="12"/>
  <c r="Y6" i="12"/>
  <c r="Y7" i="12"/>
  <c r="Y8" i="12"/>
  <c r="Z6" i="12"/>
  <c r="Z7" i="12"/>
  <c r="Z8" i="12"/>
  <c r="AA6" i="12"/>
  <c r="AA7" i="12"/>
  <c r="AA8" i="12"/>
  <c r="AB6" i="12"/>
  <c r="AB7" i="12"/>
  <c r="AB8" i="12"/>
  <c r="AC6" i="12"/>
  <c r="AC7" i="12"/>
  <c r="AC8" i="12"/>
  <c r="AD6" i="12"/>
  <c r="AD7" i="12"/>
  <c r="AD8" i="12"/>
  <c r="AE6" i="12"/>
  <c r="AE7" i="12"/>
  <c r="AE8" i="12"/>
  <c r="AF6" i="12"/>
  <c r="AF7" i="12"/>
  <c r="AF8" i="12"/>
  <c r="AG6" i="12"/>
  <c r="AG7" i="12"/>
  <c r="AG8" i="12"/>
  <c r="AH6" i="12"/>
  <c r="AH7" i="12"/>
  <c r="AH8" i="12"/>
  <c r="AI6" i="12"/>
  <c r="AI7" i="12"/>
  <c r="AI8" i="12"/>
  <c r="AJ6" i="12"/>
  <c r="AJ7" i="12"/>
  <c r="AJ8" i="12"/>
  <c r="AK6" i="12"/>
  <c r="AK7" i="12"/>
  <c r="AK8" i="12"/>
  <c r="AL6" i="12"/>
  <c r="AL7" i="12"/>
  <c r="AL8" i="12"/>
  <c r="AM8" i="12"/>
  <c r="AO6" i="12"/>
  <c r="AO7" i="12"/>
  <c r="AO8" i="12"/>
  <c r="L6" i="12"/>
  <c r="L7" i="12"/>
  <c r="K6" i="12"/>
  <c r="K7" i="12"/>
  <c r="L8" i="12"/>
  <c r="M6" i="12"/>
  <c r="M7" i="12"/>
  <c r="M8" i="12"/>
  <c r="O6" i="12"/>
  <c r="O5" i="12"/>
  <c r="O7" i="12"/>
  <c r="P8" i="12"/>
  <c r="N6" i="12"/>
  <c r="N7" i="12"/>
  <c r="N8" i="12"/>
  <c r="O8" i="12"/>
  <c r="C6" i="12"/>
  <c r="D6" i="12"/>
  <c r="E6" i="12"/>
  <c r="F6" i="12"/>
  <c r="G6" i="12"/>
  <c r="H6" i="12"/>
  <c r="I6" i="12"/>
  <c r="J6" i="12"/>
  <c r="B6" i="12"/>
  <c r="AM1" i="12"/>
  <c r="AN1" i="12"/>
  <c r="AO1" i="12"/>
  <c r="AM2" i="12"/>
  <c r="AN2" i="12"/>
  <c r="AO2" i="12"/>
  <c r="AM3" i="12"/>
  <c r="AN3" i="12"/>
  <c r="AI1" i="12"/>
  <c r="AJ1" i="12"/>
  <c r="AK1" i="12"/>
  <c r="AL1" i="12"/>
  <c r="AI2" i="12"/>
  <c r="AJ2" i="12"/>
  <c r="AK2" i="12"/>
  <c r="AL2" i="12"/>
  <c r="AI3" i="12"/>
  <c r="AJ3" i="12"/>
  <c r="AK3" i="12"/>
  <c r="AL3" i="12"/>
  <c r="N1" i="12"/>
  <c r="O1" i="12"/>
  <c r="P1" i="12"/>
  <c r="Q1" i="12"/>
  <c r="R1" i="12"/>
  <c r="S1" i="12"/>
  <c r="T1" i="12"/>
  <c r="U1" i="12"/>
  <c r="V1" i="12"/>
  <c r="W1" i="12"/>
  <c r="X1" i="12"/>
  <c r="Y1" i="12"/>
  <c r="Z1" i="12"/>
  <c r="AA1" i="12"/>
  <c r="AB1" i="12"/>
  <c r="AC1" i="12"/>
  <c r="AD1" i="12"/>
  <c r="AE1" i="12"/>
  <c r="AF1" i="12"/>
  <c r="AG1" i="12"/>
  <c r="AH1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N3" i="12"/>
  <c r="O3" i="12"/>
  <c r="P3" i="12"/>
  <c r="Q3" i="12"/>
  <c r="R3" i="12"/>
  <c r="S3" i="12"/>
  <c r="T3" i="12"/>
  <c r="U3" i="12"/>
  <c r="V3" i="12"/>
  <c r="W3" i="12"/>
  <c r="X3" i="12"/>
  <c r="Y3" i="12"/>
  <c r="Z3" i="12"/>
  <c r="AA3" i="12"/>
  <c r="AB3" i="12"/>
  <c r="AC3" i="12"/>
  <c r="AD3" i="12"/>
  <c r="AE3" i="12"/>
  <c r="AF3" i="12"/>
  <c r="AG3" i="12"/>
  <c r="AH3" i="12"/>
  <c r="F39" i="6"/>
  <c r="F40" i="6"/>
  <c r="F41" i="6"/>
  <c r="F42" i="6"/>
  <c r="F43" i="6"/>
  <c r="F44" i="6"/>
  <c r="F45" i="6"/>
  <c r="F46" i="6"/>
  <c r="F47" i="6"/>
  <c r="F48" i="6"/>
  <c r="F49" i="6"/>
  <c r="B50" i="6"/>
  <c r="C50" i="6"/>
  <c r="D50" i="6"/>
  <c r="E50" i="6"/>
  <c r="F50" i="6"/>
  <c r="B51" i="6"/>
  <c r="C51" i="6"/>
  <c r="D51" i="6"/>
  <c r="E51" i="6"/>
  <c r="F51" i="6"/>
  <c r="F52" i="6"/>
  <c r="F53" i="6"/>
  <c r="B54" i="6"/>
  <c r="C54" i="6"/>
  <c r="D54" i="6"/>
  <c r="E54" i="6"/>
  <c r="F54" i="6"/>
  <c r="B55" i="6"/>
  <c r="C55" i="6"/>
  <c r="D55" i="6"/>
  <c r="E55" i="6"/>
  <c r="F55" i="6"/>
  <c r="F56" i="6"/>
  <c r="F57" i="6"/>
  <c r="B58" i="6"/>
  <c r="C58" i="6"/>
  <c r="D58" i="6"/>
  <c r="E58" i="6"/>
  <c r="F58" i="6"/>
  <c r="F59" i="6"/>
  <c r="B60" i="6"/>
  <c r="C60" i="6"/>
  <c r="D60" i="6"/>
  <c r="E60" i="6"/>
  <c r="F60" i="6"/>
  <c r="F61" i="6"/>
  <c r="P26" i="6"/>
  <c r="Q26" i="6"/>
  <c r="G26" i="6"/>
  <c r="H26" i="6"/>
  <c r="I26" i="6"/>
  <c r="J26" i="6"/>
  <c r="C62" i="6"/>
  <c r="AB26" i="6"/>
  <c r="D62" i="6"/>
  <c r="D26" i="6"/>
  <c r="E26" i="6"/>
  <c r="F26" i="6"/>
  <c r="B62" i="6"/>
  <c r="AN26" i="6"/>
  <c r="AO26" i="6"/>
  <c r="E62" i="6"/>
  <c r="F62" i="6"/>
  <c r="P27" i="6"/>
  <c r="Q27" i="6"/>
  <c r="G27" i="6"/>
  <c r="C63" i="6"/>
  <c r="AB27" i="6"/>
  <c r="D63" i="6"/>
  <c r="D27" i="6"/>
  <c r="E27" i="6"/>
  <c r="F27" i="6"/>
  <c r="B63" i="6"/>
  <c r="AN27" i="6"/>
  <c r="AO27" i="6"/>
  <c r="E63" i="6"/>
  <c r="F63" i="6"/>
  <c r="B64" i="6"/>
  <c r="C64" i="6"/>
  <c r="D64" i="6"/>
  <c r="E64" i="6"/>
  <c r="F64" i="6"/>
  <c r="B65" i="6"/>
  <c r="C65" i="6"/>
  <c r="D65" i="6"/>
  <c r="E65" i="6"/>
  <c r="F65" i="6"/>
  <c r="B66" i="6"/>
  <c r="C66" i="6"/>
  <c r="D66" i="6"/>
  <c r="E66" i="6"/>
  <c r="F66" i="6"/>
  <c r="B67" i="6"/>
  <c r="C67" i="6"/>
  <c r="D67" i="6"/>
  <c r="E67" i="6"/>
  <c r="F67" i="6"/>
  <c r="B68" i="6"/>
  <c r="C68" i="6"/>
  <c r="D68" i="6"/>
  <c r="E68" i="6"/>
  <c r="F68" i="6"/>
  <c r="B33" i="6"/>
  <c r="C33" i="6"/>
  <c r="D33" i="6"/>
  <c r="E33" i="6"/>
  <c r="F33" i="6"/>
  <c r="B69" i="6"/>
  <c r="G33" i="6"/>
  <c r="H33" i="6"/>
  <c r="I33" i="6"/>
  <c r="J33" i="6"/>
  <c r="K33" i="6"/>
  <c r="L33" i="6"/>
  <c r="M33" i="6"/>
  <c r="N33" i="6"/>
  <c r="O33" i="6"/>
  <c r="P33" i="6"/>
  <c r="Q33" i="6"/>
  <c r="R33" i="6"/>
  <c r="C69" i="6"/>
  <c r="S33" i="6"/>
  <c r="T33" i="6"/>
  <c r="U33" i="6"/>
  <c r="V33" i="6"/>
  <c r="W33" i="6"/>
  <c r="X33" i="6"/>
  <c r="Y33" i="6"/>
  <c r="Z33" i="6"/>
  <c r="AA33" i="6"/>
  <c r="AB33" i="6"/>
  <c r="AC33" i="6"/>
  <c r="AD33" i="6"/>
  <c r="D69" i="6"/>
  <c r="AE33" i="6"/>
  <c r="AF33" i="6"/>
  <c r="AG33" i="6"/>
  <c r="AH33" i="6"/>
  <c r="AI33" i="6"/>
  <c r="AJ33" i="6"/>
  <c r="AK33" i="6"/>
  <c r="AL33" i="6"/>
  <c r="AM33" i="6"/>
  <c r="AN33" i="6"/>
  <c r="AO33" i="6"/>
  <c r="E69" i="6"/>
  <c r="F69" i="6"/>
  <c r="E40" i="6"/>
  <c r="E41" i="6"/>
  <c r="E42" i="6"/>
  <c r="E43" i="6"/>
  <c r="E44" i="6"/>
  <c r="E45" i="6"/>
  <c r="E46" i="6"/>
  <c r="E47" i="6"/>
  <c r="E48" i="6"/>
  <c r="E49" i="6"/>
  <c r="E52" i="6"/>
  <c r="E53" i="6"/>
  <c r="E56" i="6"/>
  <c r="E57" i="6"/>
  <c r="E59" i="6"/>
  <c r="E61" i="6"/>
  <c r="E39" i="6"/>
  <c r="D40" i="6"/>
  <c r="D41" i="6"/>
  <c r="D42" i="6"/>
  <c r="D43" i="6"/>
  <c r="D44" i="6"/>
  <c r="D45" i="6"/>
  <c r="D46" i="6"/>
  <c r="D47" i="6"/>
  <c r="D48" i="6"/>
  <c r="D49" i="6"/>
  <c r="D52" i="6"/>
  <c r="D53" i="6"/>
  <c r="D56" i="6"/>
  <c r="D57" i="6"/>
  <c r="D59" i="6"/>
  <c r="D61" i="6"/>
  <c r="D39" i="6"/>
  <c r="C40" i="6"/>
  <c r="C41" i="6"/>
  <c r="C42" i="6"/>
  <c r="C43" i="6"/>
  <c r="C44" i="6"/>
  <c r="C45" i="6"/>
  <c r="C46" i="6"/>
  <c r="C47" i="6"/>
  <c r="C48" i="6"/>
  <c r="C49" i="6"/>
  <c r="C52" i="6"/>
  <c r="C53" i="6"/>
  <c r="C56" i="6"/>
  <c r="C57" i="6"/>
  <c r="C59" i="6"/>
  <c r="C61" i="6"/>
  <c r="C39" i="6"/>
  <c r="B40" i="6"/>
  <c r="B41" i="6"/>
  <c r="B42" i="6"/>
  <c r="B43" i="6"/>
  <c r="B44" i="6"/>
  <c r="B45" i="6"/>
  <c r="B46" i="6"/>
  <c r="B47" i="6"/>
  <c r="B48" i="6"/>
  <c r="B49" i="6"/>
  <c r="B52" i="6"/>
  <c r="B53" i="6"/>
  <c r="B56" i="6"/>
  <c r="B57" i="6"/>
  <c r="B59" i="6"/>
  <c r="B61" i="6"/>
  <c r="B39" i="6"/>
  <c r="E37" i="6"/>
  <c r="D37" i="6"/>
  <c r="C37" i="6"/>
  <c r="B37" i="6"/>
  <c r="AP33" i="6"/>
  <c r="B30" i="6"/>
  <c r="C12" i="2"/>
  <c r="D12" i="2"/>
  <c r="B12" i="2"/>
  <c r="E12" i="2"/>
  <c r="F12" i="2"/>
  <c r="C13" i="2"/>
  <c r="D13" i="2"/>
  <c r="B13" i="2"/>
  <c r="E13" i="2"/>
  <c r="F13" i="2"/>
  <c r="C14" i="2"/>
  <c r="D14" i="2"/>
  <c r="E14" i="2"/>
  <c r="F14" i="2"/>
  <c r="B14" i="2"/>
  <c r="E10" i="2"/>
  <c r="D10" i="2"/>
  <c r="C10" i="2"/>
  <c r="B10" i="2"/>
  <c r="C26" i="6"/>
  <c r="K26" i="6"/>
  <c r="L26" i="6"/>
  <c r="M26" i="6"/>
  <c r="N26" i="6"/>
  <c r="O26" i="6"/>
  <c r="T26" i="6"/>
  <c r="U26" i="6"/>
  <c r="V26" i="6"/>
  <c r="W26" i="6"/>
  <c r="X26" i="6"/>
  <c r="Y26" i="6"/>
  <c r="Z26" i="6"/>
  <c r="AA26" i="6"/>
  <c r="AF26" i="6"/>
  <c r="AG26" i="6"/>
  <c r="AH26" i="6"/>
  <c r="AI26" i="6"/>
  <c r="AJ26" i="6"/>
  <c r="AK26" i="6"/>
  <c r="AL26" i="6"/>
  <c r="AM26" i="6"/>
  <c r="C27" i="6"/>
  <c r="H27" i="6"/>
  <c r="I27" i="6"/>
  <c r="J27" i="6"/>
  <c r="K27" i="6"/>
  <c r="L27" i="6"/>
  <c r="M27" i="6"/>
  <c r="N27" i="6"/>
  <c r="O27" i="6"/>
  <c r="V27" i="6"/>
  <c r="W27" i="6"/>
  <c r="X27" i="6"/>
  <c r="Y27" i="6"/>
  <c r="Z27" i="6"/>
  <c r="AA27" i="6"/>
  <c r="AH27" i="6"/>
  <c r="AI27" i="6"/>
  <c r="AJ27" i="6"/>
  <c r="AK27" i="6"/>
  <c r="AL27" i="6"/>
  <c r="AM27" i="6"/>
  <c r="B28" i="6"/>
  <c r="B27" i="6"/>
  <c r="B26" i="6"/>
  <c r="AM20" i="6"/>
  <c r="AI20" i="6"/>
  <c r="AH20" i="6"/>
  <c r="AA20" i="6"/>
  <c r="W20" i="6"/>
  <c r="V20" i="6"/>
  <c r="O20" i="6"/>
  <c r="K20" i="6"/>
  <c r="J20" i="6"/>
  <c r="J20" i="5"/>
  <c r="AP16" i="6"/>
  <c r="AP17" i="6"/>
  <c r="AP20" i="6"/>
  <c r="C21" i="6"/>
  <c r="J21" i="6"/>
  <c r="K21" i="6"/>
  <c r="L21" i="6"/>
  <c r="M21" i="6"/>
  <c r="N21" i="6"/>
  <c r="O21" i="6"/>
  <c r="V21" i="6"/>
  <c r="W21" i="6"/>
  <c r="X21" i="6"/>
  <c r="Y21" i="6"/>
  <c r="Z21" i="6"/>
  <c r="AA21" i="6"/>
  <c r="AH21" i="6"/>
  <c r="AI21" i="6"/>
  <c r="AJ21" i="6"/>
  <c r="AK21" i="6"/>
  <c r="AL21" i="6"/>
  <c r="AM21" i="6"/>
  <c r="AP21" i="6"/>
  <c r="B13" i="6"/>
  <c r="C13" i="6"/>
  <c r="J13" i="6"/>
  <c r="AP1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P12" i="6"/>
  <c r="AP11" i="6"/>
  <c r="AP10" i="6"/>
  <c r="AP9" i="6"/>
  <c r="AP8" i="6"/>
  <c r="AP7" i="6"/>
  <c r="AP6" i="6"/>
  <c r="AP5" i="6"/>
  <c r="AP4" i="6"/>
  <c r="AP3" i="6"/>
  <c r="AM2" i="6"/>
  <c r="AM1" i="6"/>
  <c r="AN2" i="6"/>
  <c r="AN1" i="6"/>
  <c r="AO2" i="6"/>
  <c r="AO1" i="6"/>
  <c r="O2" i="6"/>
  <c r="O1" i="6"/>
  <c r="P2" i="6"/>
  <c r="P1" i="6"/>
  <c r="Q2" i="6"/>
  <c r="Q1" i="6"/>
  <c r="R2" i="6"/>
  <c r="R1" i="6"/>
  <c r="S2" i="6"/>
  <c r="S1" i="6"/>
  <c r="T2" i="6"/>
  <c r="T1" i="6"/>
  <c r="U2" i="6"/>
  <c r="U1" i="6"/>
  <c r="V2" i="6"/>
  <c r="V1" i="6"/>
  <c r="W2" i="6"/>
  <c r="W1" i="6"/>
  <c r="X2" i="6"/>
  <c r="X1" i="6"/>
  <c r="Y2" i="6"/>
  <c r="Y1" i="6"/>
  <c r="Z2" i="6"/>
  <c r="Z1" i="6"/>
  <c r="AA2" i="6"/>
  <c r="AA1" i="6"/>
  <c r="AB2" i="6"/>
  <c r="AB1" i="6"/>
  <c r="AC2" i="6"/>
  <c r="AC1" i="6"/>
  <c r="AD2" i="6"/>
  <c r="AD1" i="6"/>
  <c r="AE2" i="6"/>
  <c r="AE1" i="6"/>
  <c r="AF2" i="6"/>
  <c r="AF1" i="6"/>
  <c r="AG2" i="6"/>
  <c r="AG1" i="6"/>
  <c r="AH2" i="6"/>
  <c r="AH1" i="6"/>
  <c r="AI2" i="6"/>
  <c r="AI1" i="6"/>
  <c r="AJ2" i="6"/>
  <c r="AJ1" i="6"/>
  <c r="AK2" i="6"/>
  <c r="AK1" i="6"/>
  <c r="AL2" i="6"/>
  <c r="AL1" i="6"/>
  <c r="F68" i="5"/>
  <c r="F69" i="5"/>
  <c r="F70" i="5"/>
  <c r="F71" i="5"/>
  <c r="F72" i="5"/>
  <c r="F73" i="5"/>
  <c r="F74" i="5"/>
  <c r="F75" i="5"/>
  <c r="F76" i="5"/>
  <c r="F77" i="5"/>
  <c r="F78" i="5"/>
  <c r="B79" i="5"/>
  <c r="C79" i="5"/>
  <c r="D79" i="5"/>
  <c r="E79" i="5"/>
  <c r="F79" i="5"/>
  <c r="B80" i="5"/>
  <c r="C80" i="5"/>
  <c r="D80" i="5"/>
  <c r="E80" i="5"/>
  <c r="F80" i="5"/>
  <c r="F81" i="5"/>
  <c r="F82" i="5"/>
  <c r="B83" i="5"/>
  <c r="C83" i="5"/>
  <c r="D83" i="5"/>
  <c r="E83" i="5"/>
  <c r="F83" i="5"/>
  <c r="C84" i="5"/>
  <c r="D84" i="5"/>
  <c r="E84" i="5"/>
  <c r="F84" i="5"/>
  <c r="F85" i="5"/>
  <c r="F86" i="5"/>
  <c r="C87" i="5"/>
  <c r="D87" i="5"/>
  <c r="E87" i="5"/>
  <c r="B87" i="5"/>
  <c r="F87" i="5"/>
  <c r="F88" i="5"/>
  <c r="C89" i="5"/>
  <c r="D89" i="5"/>
  <c r="E89" i="5"/>
  <c r="B89" i="5"/>
  <c r="F89" i="5"/>
  <c r="E69" i="5"/>
  <c r="E70" i="5"/>
  <c r="E71" i="5"/>
  <c r="E72" i="5"/>
  <c r="E73" i="5"/>
  <c r="E74" i="5"/>
  <c r="E75" i="5"/>
  <c r="E76" i="5"/>
  <c r="E77" i="5"/>
  <c r="E78" i="5"/>
  <c r="E81" i="5"/>
  <c r="E82" i="5"/>
  <c r="E85" i="5"/>
  <c r="E86" i="5"/>
  <c r="E88" i="5"/>
  <c r="E68" i="5"/>
  <c r="D69" i="5"/>
  <c r="D70" i="5"/>
  <c r="D71" i="5"/>
  <c r="D72" i="5"/>
  <c r="D73" i="5"/>
  <c r="D74" i="5"/>
  <c r="D75" i="5"/>
  <c r="D76" i="5"/>
  <c r="D77" i="5"/>
  <c r="D78" i="5"/>
  <c r="D81" i="5"/>
  <c r="D82" i="5"/>
  <c r="D85" i="5"/>
  <c r="D86" i="5"/>
  <c r="D88" i="5"/>
  <c r="D68" i="5"/>
  <c r="C69" i="5"/>
  <c r="C70" i="5"/>
  <c r="C71" i="5"/>
  <c r="C72" i="5"/>
  <c r="C73" i="5"/>
  <c r="C74" i="5"/>
  <c r="C75" i="5"/>
  <c r="C76" i="5"/>
  <c r="C77" i="5"/>
  <c r="C78" i="5"/>
  <c r="C81" i="5"/>
  <c r="C82" i="5"/>
  <c r="C85" i="5"/>
  <c r="C86" i="5"/>
  <c r="C88" i="5"/>
  <c r="C68" i="5"/>
  <c r="B69" i="5"/>
  <c r="B70" i="5"/>
  <c r="B71" i="5"/>
  <c r="B72" i="5"/>
  <c r="B73" i="5"/>
  <c r="B74" i="5"/>
  <c r="B75" i="5"/>
  <c r="B76" i="5"/>
  <c r="B77" i="5"/>
  <c r="B78" i="5"/>
  <c r="B81" i="5"/>
  <c r="B82" i="5"/>
  <c r="B84" i="5"/>
  <c r="B85" i="5"/>
  <c r="B86" i="5"/>
  <c r="B88" i="5"/>
  <c r="B68" i="5"/>
  <c r="E66" i="5"/>
  <c r="D66" i="5"/>
  <c r="C66" i="5"/>
  <c r="B66" i="5"/>
  <c r="AP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B23" i="5"/>
  <c r="AP16" i="7"/>
  <c r="AP17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AM22" i="7"/>
  <c r="AN22" i="7"/>
  <c r="AO22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AO23" i="7"/>
  <c r="K22" i="7"/>
  <c r="J22" i="7"/>
  <c r="G1" i="7"/>
  <c r="C22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AH17" i="7"/>
  <c r="AI17" i="7"/>
  <c r="AJ17" i="7"/>
  <c r="AK17" i="7"/>
  <c r="AL17" i="7"/>
  <c r="AM17" i="7"/>
  <c r="AN17" i="7"/>
  <c r="AO17" i="7"/>
  <c r="J16" i="7"/>
  <c r="F1" i="7"/>
  <c r="B16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L8" i="7"/>
  <c r="AL7" i="7"/>
  <c r="AM8" i="7"/>
  <c r="AM7" i="7"/>
  <c r="AN8" i="7"/>
  <c r="AN7" i="7"/>
  <c r="AO8" i="7"/>
  <c r="AO7" i="7"/>
  <c r="O8" i="7"/>
  <c r="O7" i="7"/>
  <c r="P8" i="7"/>
  <c r="P7" i="7"/>
  <c r="Q8" i="7"/>
  <c r="Q7" i="7"/>
  <c r="R8" i="7"/>
  <c r="R7" i="7"/>
  <c r="S8" i="7"/>
  <c r="S7" i="7"/>
  <c r="T8" i="7"/>
  <c r="T7" i="7"/>
  <c r="U8" i="7"/>
  <c r="U7" i="7"/>
  <c r="V8" i="7"/>
  <c r="V7" i="7"/>
  <c r="W8" i="7"/>
  <c r="W7" i="7"/>
  <c r="X8" i="7"/>
  <c r="X7" i="7"/>
  <c r="Y8" i="7"/>
  <c r="Y7" i="7"/>
  <c r="Z8" i="7"/>
  <c r="Z7" i="7"/>
  <c r="AA8" i="7"/>
  <c r="AA7" i="7"/>
  <c r="AB8" i="7"/>
  <c r="AB7" i="7"/>
  <c r="AC8" i="7"/>
  <c r="AC7" i="7"/>
  <c r="AD8" i="7"/>
  <c r="AD7" i="7"/>
  <c r="AE8" i="7"/>
  <c r="AE7" i="7"/>
  <c r="AF8" i="7"/>
  <c r="AF7" i="7"/>
  <c r="AG8" i="7"/>
  <c r="AG7" i="7"/>
  <c r="AH8" i="7"/>
  <c r="AH7" i="7"/>
  <c r="AI8" i="7"/>
  <c r="AI7" i="7"/>
  <c r="AJ8" i="7"/>
  <c r="AJ7" i="7"/>
  <c r="AK8" i="7"/>
  <c r="AK7" i="7"/>
  <c r="K10" i="7"/>
  <c r="L10" i="7"/>
  <c r="M10" i="7"/>
  <c r="N10" i="7"/>
  <c r="J10" i="7"/>
  <c r="K5" i="2"/>
  <c r="L5" i="2"/>
  <c r="M5" i="2"/>
  <c r="N5" i="2"/>
  <c r="O5" i="2"/>
  <c r="V5" i="2"/>
  <c r="W5" i="2"/>
  <c r="X5" i="2"/>
  <c r="Y5" i="2"/>
  <c r="Z5" i="2"/>
  <c r="AA5" i="2"/>
  <c r="AH5" i="2"/>
  <c r="AI5" i="2"/>
  <c r="AJ5" i="2"/>
  <c r="AK5" i="2"/>
  <c r="AL5" i="2"/>
  <c r="AM5" i="2"/>
  <c r="C3" i="2"/>
  <c r="K3" i="2"/>
  <c r="L3" i="2"/>
  <c r="M3" i="2"/>
  <c r="N3" i="2"/>
  <c r="O3" i="2"/>
  <c r="T3" i="2"/>
  <c r="U3" i="2"/>
  <c r="V3" i="2"/>
  <c r="W3" i="2"/>
  <c r="X3" i="2"/>
  <c r="Y3" i="2"/>
  <c r="Z3" i="2"/>
  <c r="AA3" i="2"/>
  <c r="AF3" i="2"/>
  <c r="AG3" i="2"/>
  <c r="AH3" i="2"/>
  <c r="AI3" i="2"/>
  <c r="AJ3" i="2"/>
  <c r="AK3" i="2"/>
  <c r="AL3" i="2"/>
  <c r="AM3" i="2"/>
  <c r="C4" i="2"/>
  <c r="H4" i="2"/>
  <c r="I4" i="2"/>
  <c r="J4" i="2"/>
  <c r="K4" i="2"/>
  <c r="L4" i="2"/>
  <c r="M4" i="2"/>
  <c r="N4" i="2"/>
  <c r="O4" i="2"/>
  <c r="V4" i="2"/>
  <c r="W4" i="2"/>
  <c r="X4" i="2"/>
  <c r="Y4" i="2"/>
  <c r="Z4" i="2"/>
  <c r="AA4" i="2"/>
  <c r="AH4" i="2"/>
  <c r="AI4" i="2"/>
  <c r="AJ4" i="2"/>
  <c r="AK4" i="2"/>
  <c r="AL4" i="2"/>
  <c r="AM4" i="2"/>
  <c r="B4" i="2"/>
  <c r="B3" i="2"/>
  <c r="AN2" i="2"/>
  <c r="AN1" i="2"/>
  <c r="AO2" i="2"/>
  <c r="AO1" i="2"/>
  <c r="O2" i="2"/>
  <c r="O1" i="2"/>
  <c r="P2" i="2"/>
  <c r="P1" i="2"/>
  <c r="Q2" i="2"/>
  <c r="Q1" i="2"/>
  <c r="R2" i="2"/>
  <c r="R1" i="2"/>
  <c r="S2" i="2"/>
  <c r="S1" i="2"/>
  <c r="T2" i="2"/>
  <c r="T1" i="2"/>
  <c r="U2" i="2"/>
  <c r="U1" i="2"/>
  <c r="V2" i="2"/>
  <c r="V1" i="2"/>
  <c r="W2" i="2"/>
  <c r="W1" i="2"/>
  <c r="X2" i="2"/>
  <c r="X1" i="2"/>
  <c r="Y2" i="2"/>
  <c r="Y1" i="2"/>
  <c r="Z2" i="2"/>
  <c r="Z1" i="2"/>
  <c r="AA2" i="2"/>
  <c r="AA1" i="2"/>
  <c r="AB2" i="2"/>
  <c r="AB1" i="2"/>
  <c r="AC2" i="2"/>
  <c r="AC1" i="2"/>
  <c r="AD2" i="2"/>
  <c r="AD1" i="2"/>
  <c r="AE2" i="2"/>
  <c r="AE1" i="2"/>
  <c r="AF2" i="2"/>
  <c r="AF1" i="2"/>
  <c r="AG2" i="2"/>
  <c r="AG1" i="2"/>
  <c r="AH2" i="2"/>
  <c r="AH1" i="2"/>
  <c r="AI2" i="2"/>
  <c r="AI1" i="2"/>
  <c r="AJ2" i="2"/>
  <c r="AJ1" i="2"/>
  <c r="AK2" i="2"/>
  <c r="AK1" i="2"/>
  <c r="AL2" i="2"/>
  <c r="AL1" i="2"/>
  <c r="AM2" i="2"/>
  <c r="AM1" i="2"/>
  <c r="AP4" i="5"/>
  <c r="AP5" i="5"/>
  <c r="AP6" i="5"/>
  <c r="AP7" i="5"/>
  <c r="AP8" i="5"/>
  <c r="AP9" i="5"/>
  <c r="AP10" i="5"/>
  <c r="AP11" i="5"/>
  <c r="AP12" i="5"/>
  <c r="AP13" i="5"/>
  <c r="AP3" i="5"/>
  <c r="D24" i="5"/>
  <c r="E24" i="5"/>
  <c r="K24" i="5"/>
  <c r="L24" i="5"/>
  <c r="M24" i="5"/>
  <c r="N24" i="5"/>
  <c r="P24" i="5"/>
  <c r="Q24" i="5"/>
  <c r="W24" i="5"/>
  <c r="X24" i="5"/>
  <c r="Y24" i="5"/>
  <c r="Z24" i="5"/>
  <c r="AB24" i="5"/>
  <c r="AC24" i="5"/>
  <c r="AI24" i="5"/>
  <c r="AJ24" i="5"/>
  <c r="AK24" i="5"/>
  <c r="AL24" i="5"/>
  <c r="AN24" i="5"/>
  <c r="AO24" i="5"/>
  <c r="B24" i="5"/>
  <c r="AP17" i="5"/>
  <c r="AP20" i="5"/>
  <c r="AP21" i="5"/>
  <c r="AP16" i="5"/>
  <c r="AL21" i="5"/>
  <c r="AK21" i="5"/>
  <c r="AJ21" i="5"/>
  <c r="AI21" i="5"/>
  <c r="AH21" i="5"/>
  <c r="Z21" i="5"/>
  <c r="Y21" i="5"/>
  <c r="X21" i="5"/>
  <c r="AA21" i="5"/>
  <c r="W21" i="5"/>
  <c r="V21" i="5"/>
  <c r="N21" i="5"/>
  <c r="M21" i="5"/>
  <c r="L21" i="5"/>
  <c r="K21" i="5"/>
  <c r="J21" i="5"/>
  <c r="AM21" i="5"/>
  <c r="O21" i="5"/>
  <c r="C21" i="5"/>
  <c r="AM20" i="5"/>
  <c r="AA20" i="5"/>
  <c r="O20" i="5"/>
  <c r="K20" i="5"/>
  <c r="AI20" i="5"/>
  <c r="W20" i="5"/>
  <c r="AH20" i="5"/>
  <c r="V20" i="5"/>
  <c r="D22" i="5"/>
  <c r="E22" i="5"/>
  <c r="K22" i="5"/>
  <c r="L22" i="5"/>
  <c r="M22" i="5"/>
  <c r="N22" i="5"/>
  <c r="P22" i="5"/>
  <c r="Q22" i="5"/>
  <c r="W22" i="5"/>
  <c r="X22" i="5"/>
  <c r="Y22" i="5"/>
  <c r="Z22" i="5"/>
  <c r="AB22" i="5"/>
  <c r="AC22" i="5"/>
  <c r="AI22" i="5"/>
  <c r="AJ22" i="5"/>
  <c r="AK22" i="5"/>
  <c r="AL22" i="5"/>
  <c r="AN22" i="5"/>
  <c r="AO22" i="5"/>
  <c r="B22" i="5"/>
  <c r="AI14" i="5"/>
  <c r="AJ14" i="5"/>
  <c r="AK14" i="5"/>
  <c r="AL14" i="5"/>
  <c r="AM14" i="5"/>
  <c r="AN14" i="5"/>
  <c r="AO14" i="5"/>
  <c r="AH14" i="5"/>
  <c r="V14" i="5"/>
  <c r="W14" i="5"/>
  <c r="X14" i="5"/>
  <c r="Y14" i="5"/>
  <c r="Z14" i="5"/>
  <c r="AA14" i="5"/>
  <c r="AB14" i="5"/>
  <c r="AC14" i="5"/>
  <c r="C15" i="5"/>
  <c r="D15" i="5"/>
  <c r="E15" i="5"/>
  <c r="J15" i="5"/>
  <c r="K15" i="5"/>
  <c r="L15" i="5"/>
  <c r="M15" i="5"/>
  <c r="N15" i="5"/>
  <c r="O15" i="5"/>
  <c r="P15" i="5"/>
  <c r="Q15" i="5"/>
  <c r="V15" i="5"/>
  <c r="W15" i="5"/>
  <c r="X15" i="5"/>
  <c r="Y15" i="5"/>
  <c r="Z15" i="5"/>
  <c r="AA15" i="5"/>
  <c r="AB15" i="5"/>
  <c r="AC15" i="5"/>
  <c r="AH15" i="5"/>
  <c r="AI15" i="5"/>
  <c r="AJ15" i="5"/>
  <c r="AK15" i="5"/>
  <c r="AL15" i="5"/>
  <c r="AM15" i="5"/>
  <c r="AN15" i="5"/>
  <c r="AO15" i="5"/>
  <c r="B15" i="5"/>
  <c r="B13" i="5"/>
  <c r="C13" i="5"/>
  <c r="J13" i="5"/>
  <c r="B2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O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B27" i="10"/>
  <c r="N3" i="10"/>
  <c r="N4" i="10"/>
  <c r="N5" i="10"/>
  <c r="N6" i="10"/>
  <c r="N7" i="10"/>
  <c r="N8" i="10"/>
  <c r="N9" i="10"/>
  <c r="N10" i="10"/>
  <c r="N11" i="10"/>
  <c r="N12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B13" i="10"/>
  <c r="G8" i="1"/>
  <c r="AP4" i="1"/>
  <c r="G9" i="1"/>
  <c r="I9" i="1"/>
  <c r="AP3" i="1"/>
  <c r="H9" i="1"/>
  <c r="I8" i="1"/>
  <c r="H8" i="1"/>
  <c r="E20" i="1"/>
  <c r="AM5" i="1"/>
  <c r="AN5" i="1"/>
  <c r="AO5" i="1"/>
  <c r="AP5" i="1"/>
  <c r="AM2" i="1"/>
  <c r="AM1" i="1"/>
  <c r="AN2" i="1"/>
  <c r="AN1" i="1"/>
  <c r="AO2" i="1"/>
  <c r="AO1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D5" i="1"/>
  <c r="F21" i="1"/>
  <c r="E21" i="1"/>
  <c r="F20" i="1"/>
  <c r="F9" i="1"/>
  <c r="E9" i="1"/>
  <c r="C27" i="1"/>
  <c r="B5" i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O1" i="1"/>
  <c r="P2" i="1"/>
  <c r="P1" i="1"/>
  <c r="Q2" i="1"/>
  <c r="Q1" i="1"/>
  <c r="R2" i="1"/>
  <c r="R1" i="1"/>
  <c r="S2" i="1"/>
  <c r="S1" i="1"/>
  <c r="T2" i="1"/>
  <c r="T1" i="1"/>
  <c r="U2" i="1"/>
  <c r="U1" i="1"/>
  <c r="V2" i="1"/>
  <c r="V1" i="1"/>
  <c r="W2" i="1"/>
  <c r="W1" i="1"/>
  <c r="X2" i="1"/>
  <c r="X1" i="1"/>
  <c r="Y2" i="1"/>
  <c r="Y1" i="1"/>
  <c r="Z2" i="1"/>
  <c r="Z1" i="1"/>
  <c r="AA2" i="1"/>
  <c r="AA1" i="1"/>
  <c r="AB2" i="1"/>
  <c r="AB1" i="1"/>
  <c r="AC2" i="1"/>
  <c r="AC1" i="1"/>
  <c r="AD2" i="1"/>
  <c r="AD1" i="1"/>
  <c r="AE2" i="1"/>
  <c r="AE1" i="1"/>
  <c r="AF2" i="1"/>
  <c r="AF1" i="1"/>
  <c r="AG2" i="1"/>
  <c r="AG1" i="1"/>
  <c r="AH2" i="1"/>
  <c r="AH1" i="1"/>
  <c r="AI2" i="1"/>
  <c r="AI1" i="1"/>
  <c r="AJ2" i="1"/>
  <c r="AJ1" i="1"/>
  <c r="AK2" i="1"/>
  <c r="AK1" i="1"/>
  <c r="AL2" i="1"/>
  <c r="AL1" i="1"/>
  <c r="C16" i="7"/>
  <c r="D16" i="7"/>
  <c r="D22" i="7"/>
  <c r="E16" i="7"/>
  <c r="E22" i="7"/>
  <c r="E23" i="7"/>
  <c r="F16" i="7"/>
  <c r="F22" i="7"/>
  <c r="F23" i="7"/>
  <c r="G16" i="7"/>
  <c r="G22" i="7"/>
  <c r="G23" i="7"/>
  <c r="H16" i="7"/>
  <c r="H22" i="7"/>
  <c r="H23" i="7"/>
  <c r="I16" i="7"/>
  <c r="I22" i="7"/>
  <c r="I23" i="7"/>
  <c r="J23" i="7"/>
  <c r="K23" i="7"/>
  <c r="L22" i="7"/>
  <c r="L23" i="7"/>
  <c r="M22" i="7"/>
  <c r="M23" i="7"/>
  <c r="N22" i="7"/>
  <c r="N23" i="7"/>
  <c r="B17" i="7"/>
  <c r="C17" i="7"/>
  <c r="D17" i="7"/>
  <c r="E17" i="7"/>
  <c r="F17" i="7"/>
  <c r="G17" i="7"/>
  <c r="H17" i="7"/>
  <c r="I17" i="7"/>
  <c r="J17" i="7"/>
  <c r="C23" i="7"/>
  <c r="D23" i="7"/>
  <c r="B2" i="6"/>
  <c r="C2" i="6"/>
  <c r="C2" i="15"/>
  <c r="D2" i="6"/>
  <c r="D2" i="15"/>
  <c r="E2" i="6"/>
  <c r="E2" i="15"/>
  <c r="F2" i="6"/>
  <c r="F2" i="15"/>
  <c r="G2" i="6"/>
  <c r="G2" i="15"/>
  <c r="H2" i="6"/>
  <c r="H2" i="15"/>
  <c r="I2" i="6"/>
  <c r="I2" i="15"/>
  <c r="J2" i="6"/>
  <c r="J2" i="15"/>
  <c r="K2" i="6"/>
  <c r="K2" i="15"/>
  <c r="L2" i="6"/>
  <c r="L2" i="15"/>
  <c r="M2" i="6"/>
  <c r="M2" i="15"/>
  <c r="N2" i="6"/>
  <c r="N2" i="15"/>
  <c r="B2" i="15"/>
  <c r="C2" i="12"/>
  <c r="B2" i="12"/>
  <c r="B3" i="12"/>
  <c r="B7" i="12"/>
  <c r="B8" i="12"/>
  <c r="B5" i="19"/>
  <c r="B6" i="19"/>
  <c r="B3" i="19"/>
  <c r="B16" i="19"/>
  <c r="B19" i="19"/>
  <c r="C7" i="12"/>
  <c r="C8" i="12"/>
  <c r="C5" i="19"/>
  <c r="C6" i="19"/>
  <c r="C3" i="19"/>
  <c r="C7" i="19"/>
  <c r="C16" i="19"/>
  <c r="C19" i="19"/>
  <c r="D7" i="12"/>
  <c r="D8" i="12"/>
  <c r="D5" i="19"/>
  <c r="D6" i="19"/>
  <c r="D3" i="19"/>
  <c r="D7" i="19"/>
  <c r="D16" i="19"/>
  <c r="D19" i="19"/>
  <c r="E7" i="12"/>
  <c r="E8" i="12"/>
  <c r="E5" i="19"/>
  <c r="E3" i="19"/>
  <c r="E6" i="19"/>
  <c r="E7" i="19"/>
  <c r="E16" i="19"/>
  <c r="E19" i="19"/>
  <c r="F7" i="12"/>
  <c r="F8" i="12"/>
  <c r="F5" i="19"/>
  <c r="F3" i="19"/>
  <c r="F6" i="19"/>
  <c r="F7" i="19"/>
  <c r="F16" i="19"/>
  <c r="F19" i="19"/>
  <c r="G7" i="12"/>
  <c r="G8" i="12"/>
  <c r="G5" i="19"/>
  <c r="G3" i="19"/>
  <c r="G6" i="19"/>
  <c r="G7" i="19"/>
  <c r="G16" i="19"/>
  <c r="I2" i="12"/>
  <c r="H2" i="12"/>
  <c r="H3" i="12"/>
  <c r="H5" i="12"/>
  <c r="H7" i="12"/>
  <c r="H8" i="12"/>
  <c r="H5" i="19"/>
  <c r="H3" i="19"/>
  <c r="H7" i="19"/>
  <c r="H16" i="19"/>
  <c r="H19" i="19"/>
  <c r="I5" i="19"/>
  <c r="I3" i="19"/>
  <c r="I7" i="19"/>
  <c r="I16" i="19"/>
  <c r="I19" i="19"/>
  <c r="K2" i="12"/>
  <c r="J2" i="12"/>
  <c r="J3" i="12"/>
  <c r="J5" i="12"/>
  <c r="J7" i="12"/>
  <c r="I3" i="12"/>
  <c r="I5" i="12"/>
  <c r="I7" i="12"/>
  <c r="J8" i="12"/>
  <c r="J5" i="19"/>
  <c r="J3" i="19"/>
  <c r="J7" i="19"/>
  <c r="J16" i="19"/>
  <c r="J19" i="19"/>
  <c r="L2" i="12"/>
  <c r="K3" i="12"/>
  <c r="K5" i="12"/>
  <c r="K8" i="12"/>
  <c r="K5" i="19"/>
  <c r="K3" i="19"/>
  <c r="K7" i="19"/>
  <c r="K16" i="19"/>
  <c r="K19" i="19"/>
  <c r="M2" i="12"/>
  <c r="L3" i="12"/>
  <c r="L5" i="12"/>
  <c r="L5" i="19"/>
  <c r="L3" i="19"/>
  <c r="L7" i="19"/>
  <c r="L16" i="19"/>
  <c r="L19" i="19"/>
  <c r="M3" i="12"/>
  <c r="M5" i="12"/>
  <c r="M5" i="19"/>
  <c r="M3" i="19"/>
  <c r="M7" i="19"/>
  <c r="M16" i="19"/>
  <c r="M19" i="19"/>
  <c r="N5" i="12"/>
  <c r="N5" i="19"/>
  <c r="N3" i="19"/>
  <c r="N7" i="19"/>
  <c r="N16" i="19"/>
  <c r="N19" i="19"/>
  <c r="B28" i="19"/>
  <c r="B22" i="19"/>
  <c r="C22" i="19"/>
  <c r="C23" i="19"/>
  <c r="C24" i="19"/>
  <c r="D22" i="19"/>
  <c r="D23" i="19"/>
  <c r="D24" i="19"/>
  <c r="E22" i="19"/>
  <c r="E23" i="19"/>
  <c r="E24" i="19"/>
  <c r="F22" i="19"/>
  <c r="F23" i="19"/>
  <c r="F24" i="19"/>
  <c r="G22" i="19"/>
  <c r="G23" i="19"/>
  <c r="G24" i="19"/>
  <c r="H22" i="19"/>
  <c r="H23" i="19"/>
  <c r="H24" i="19"/>
  <c r="I22" i="19"/>
  <c r="I23" i="19"/>
  <c r="I24" i="19"/>
  <c r="J22" i="19"/>
  <c r="J23" i="19"/>
  <c r="J24" i="19"/>
  <c r="K22" i="19"/>
  <c r="K23" i="19"/>
  <c r="K24" i="19"/>
  <c r="L22" i="19"/>
  <c r="L23" i="19"/>
  <c r="L24" i="19"/>
  <c r="M22" i="19"/>
  <c r="M23" i="19"/>
  <c r="M24" i="19"/>
  <c r="N22" i="19"/>
  <c r="C2" i="19"/>
  <c r="C11" i="19"/>
  <c r="C18" i="19"/>
  <c r="D2" i="12"/>
  <c r="D2" i="19"/>
  <c r="D11" i="19"/>
  <c r="D18" i="19"/>
  <c r="E2" i="12"/>
  <c r="E2" i="19"/>
  <c r="E11" i="19"/>
  <c r="E18" i="19"/>
  <c r="F2" i="12"/>
  <c r="F2" i="19"/>
  <c r="F11" i="19"/>
  <c r="F18" i="19"/>
  <c r="G2" i="12"/>
  <c r="G2" i="19"/>
  <c r="G11" i="19"/>
  <c r="G18" i="19"/>
  <c r="H2" i="19"/>
  <c r="H11" i="19"/>
  <c r="H18" i="19"/>
  <c r="I2" i="19"/>
  <c r="I11" i="19"/>
  <c r="I18" i="19"/>
  <c r="J2" i="19"/>
  <c r="J11" i="19"/>
  <c r="J18" i="19"/>
  <c r="K2" i="19"/>
  <c r="K11" i="19"/>
  <c r="K18" i="19"/>
  <c r="L2" i="19"/>
  <c r="L11" i="19"/>
  <c r="L18" i="19"/>
  <c r="M2" i="19"/>
  <c r="M11" i="19"/>
  <c r="M18" i="19"/>
  <c r="N2" i="19"/>
  <c r="N11" i="19"/>
  <c r="N18" i="19"/>
  <c r="B2" i="19"/>
  <c r="B11" i="19"/>
  <c r="B18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O5" i="19"/>
  <c r="O14" i="19"/>
  <c r="C15" i="19"/>
  <c r="D15" i="19"/>
  <c r="E15" i="19"/>
  <c r="F15" i="19"/>
  <c r="G15" i="19"/>
  <c r="H6" i="19"/>
  <c r="H15" i="19"/>
  <c r="I6" i="19"/>
  <c r="I15" i="19"/>
  <c r="J6" i="19"/>
  <c r="J15" i="19"/>
  <c r="K6" i="19"/>
  <c r="K15" i="19"/>
  <c r="L6" i="19"/>
  <c r="L15" i="19"/>
  <c r="M6" i="19"/>
  <c r="M15" i="19"/>
  <c r="N6" i="19"/>
  <c r="N15" i="19"/>
  <c r="O15" i="19"/>
  <c r="O16" i="19"/>
  <c r="B15" i="19"/>
  <c r="B14" i="19"/>
  <c r="B13" i="19"/>
  <c r="B12" i="19"/>
  <c r="C1" i="1"/>
  <c r="C1" i="12"/>
  <c r="C1" i="19"/>
  <c r="C10" i="19"/>
  <c r="D1" i="1"/>
  <c r="D1" i="12"/>
  <c r="D1" i="19"/>
  <c r="D10" i="19"/>
  <c r="E1" i="1"/>
  <c r="E1" i="12"/>
  <c r="E1" i="19"/>
  <c r="E10" i="19"/>
  <c r="F1" i="1"/>
  <c r="F1" i="12"/>
  <c r="F1" i="19"/>
  <c r="F10" i="19"/>
  <c r="G1" i="1"/>
  <c r="G1" i="12"/>
  <c r="G1" i="19"/>
  <c r="G10" i="19"/>
  <c r="H1" i="1"/>
  <c r="H1" i="12"/>
  <c r="H1" i="19"/>
  <c r="H10" i="19"/>
  <c r="I1" i="1"/>
  <c r="I1" i="12"/>
  <c r="I1" i="19"/>
  <c r="I10" i="19"/>
  <c r="J1" i="1"/>
  <c r="J1" i="12"/>
  <c r="J1" i="19"/>
  <c r="J10" i="19"/>
  <c r="K1" i="1"/>
  <c r="K1" i="12"/>
  <c r="K1" i="19"/>
  <c r="K10" i="19"/>
  <c r="L1" i="1"/>
  <c r="L1" i="12"/>
  <c r="L1" i="19"/>
  <c r="L10" i="19"/>
  <c r="M1" i="1"/>
  <c r="M1" i="12"/>
  <c r="M1" i="19"/>
  <c r="M10" i="19"/>
  <c r="N1" i="1"/>
  <c r="N1" i="19"/>
  <c r="N10" i="19"/>
  <c r="B1" i="1"/>
  <c r="B1" i="12"/>
  <c r="B1" i="19"/>
  <c r="B10" i="19"/>
  <c r="C20" i="15"/>
  <c r="D20" i="15"/>
  <c r="E20" i="15"/>
  <c r="F20" i="15"/>
  <c r="G20" i="15"/>
  <c r="H20" i="15"/>
  <c r="I20" i="15"/>
  <c r="J20" i="15"/>
  <c r="K20" i="15"/>
  <c r="L20" i="15"/>
  <c r="M20" i="15"/>
  <c r="N20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2" i="15"/>
  <c r="B21" i="15"/>
  <c r="B20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19" i="15"/>
  <c r="B5" i="2"/>
  <c r="C5" i="2"/>
  <c r="N1" i="6"/>
  <c r="N1" i="15"/>
  <c r="C1" i="6"/>
  <c r="C1" i="15"/>
  <c r="D1" i="6"/>
  <c r="D1" i="15"/>
  <c r="E1" i="6"/>
  <c r="E1" i="15"/>
  <c r="F1" i="6"/>
  <c r="F1" i="15"/>
  <c r="G1" i="6"/>
  <c r="G1" i="15"/>
  <c r="H1" i="6"/>
  <c r="H1" i="15"/>
  <c r="I1" i="6"/>
  <c r="I1" i="15"/>
  <c r="J1" i="6"/>
  <c r="J1" i="15"/>
  <c r="K1" i="6"/>
  <c r="K1" i="15"/>
  <c r="L1" i="6"/>
  <c r="L1" i="15"/>
  <c r="M1" i="6"/>
  <c r="M1" i="15"/>
  <c r="B1" i="6"/>
  <c r="B1" i="15"/>
  <c r="C1" i="10"/>
  <c r="D1" i="10"/>
  <c r="E1" i="10"/>
  <c r="F1" i="10"/>
  <c r="G1" i="10"/>
  <c r="H1" i="10"/>
  <c r="I1" i="10"/>
  <c r="J1" i="10"/>
  <c r="K1" i="10"/>
  <c r="L1" i="10"/>
  <c r="M1" i="10"/>
  <c r="C2" i="10"/>
  <c r="D2" i="10"/>
  <c r="E2" i="10"/>
  <c r="F2" i="10"/>
  <c r="G2" i="10"/>
  <c r="H2" i="10"/>
  <c r="I2" i="10"/>
  <c r="J2" i="10"/>
  <c r="K2" i="10"/>
  <c r="L2" i="10"/>
  <c r="M2" i="10"/>
  <c r="B1" i="10"/>
  <c r="B2" i="10"/>
  <c r="I8" i="12"/>
  <c r="C3" i="12"/>
  <c r="D3" i="12"/>
  <c r="E3" i="12"/>
  <c r="F3" i="12"/>
  <c r="G3" i="12"/>
  <c r="B8" i="7"/>
  <c r="C8" i="7"/>
  <c r="C7" i="7"/>
  <c r="C19" i="7"/>
  <c r="D8" i="7"/>
  <c r="D7" i="7"/>
  <c r="D19" i="7"/>
  <c r="E8" i="7"/>
  <c r="E7" i="7"/>
  <c r="E19" i="7"/>
  <c r="F8" i="7"/>
  <c r="F7" i="7"/>
  <c r="F19" i="7"/>
  <c r="G8" i="7"/>
  <c r="G7" i="7"/>
  <c r="G19" i="7"/>
  <c r="H8" i="7"/>
  <c r="H7" i="7"/>
  <c r="H19" i="7"/>
  <c r="I8" i="7"/>
  <c r="I7" i="7"/>
  <c r="I19" i="7"/>
  <c r="J8" i="7"/>
  <c r="J7" i="7"/>
  <c r="J19" i="7"/>
  <c r="K8" i="7"/>
  <c r="K7" i="7"/>
  <c r="K19" i="7"/>
  <c r="L8" i="7"/>
  <c r="L7" i="7"/>
  <c r="L19" i="7"/>
  <c r="M8" i="7"/>
  <c r="M7" i="7"/>
  <c r="M19" i="7"/>
  <c r="N8" i="7"/>
  <c r="N7" i="7"/>
  <c r="N19" i="7"/>
  <c r="C14" i="7"/>
  <c r="C20" i="7"/>
  <c r="D14" i="7"/>
  <c r="D20" i="7"/>
  <c r="E14" i="7"/>
  <c r="E20" i="7"/>
  <c r="F14" i="7"/>
  <c r="F20" i="7"/>
  <c r="G14" i="7"/>
  <c r="G20" i="7"/>
  <c r="H14" i="7"/>
  <c r="H20" i="7"/>
  <c r="I14" i="7"/>
  <c r="I20" i="7"/>
  <c r="J14" i="7"/>
  <c r="J20" i="7"/>
  <c r="K14" i="7"/>
  <c r="K20" i="7"/>
  <c r="L14" i="7"/>
  <c r="L20" i="7"/>
  <c r="M14" i="7"/>
  <c r="M20" i="7"/>
  <c r="N14" i="7"/>
  <c r="N20" i="7"/>
  <c r="B7" i="7"/>
  <c r="B19" i="7"/>
  <c r="B14" i="7"/>
  <c r="B20" i="7"/>
  <c r="C13" i="7"/>
  <c r="D13" i="7"/>
  <c r="E13" i="7"/>
  <c r="F13" i="7"/>
  <c r="G13" i="7"/>
  <c r="H13" i="7"/>
  <c r="I13" i="7"/>
  <c r="J13" i="7"/>
  <c r="K13" i="7"/>
  <c r="L13" i="7"/>
  <c r="M13" i="7"/>
  <c r="N13" i="7"/>
  <c r="B13" i="7"/>
  <c r="B2" i="2"/>
  <c r="C2" i="2"/>
  <c r="C1" i="2"/>
  <c r="D2" i="2"/>
  <c r="D1" i="2"/>
  <c r="E2" i="2"/>
  <c r="E1" i="2"/>
  <c r="F2" i="2"/>
  <c r="F1" i="2"/>
  <c r="G2" i="2"/>
  <c r="G1" i="2"/>
  <c r="H2" i="2"/>
  <c r="H1" i="2"/>
  <c r="I2" i="2"/>
  <c r="I1" i="2"/>
  <c r="J2" i="2"/>
  <c r="J1" i="2"/>
  <c r="K2" i="2"/>
  <c r="K1" i="2"/>
  <c r="L2" i="2"/>
  <c r="L1" i="2"/>
  <c r="M2" i="2"/>
  <c r="M1" i="2"/>
  <c r="N2" i="2"/>
  <c r="N1" i="2"/>
  <c r="B1" i="2"/>
  <c r="C1" i="5"/>
  <c r="D1" i="5"/>
  <c r="E1" i="5"/>
  <c r="F1" i="5"/>
  <c r="G1" i="5"/>
  <c r="H1" i="5"/>
  <c r="I1" i="5"/>
  <c r="J1" i="5"/>
  <c r="K1" i="5"/>
  <c r="L1" i="5"/>
  <c r="M1" i="5"/>
  <c r="N1" i="5"/>
  <c r="B1" i="5"/>
  <c r="C5" i="1"/>
  <c r="B24" i="19"/>
  <c r="F11" i="7"/>
  <c r="G11" i="7"/>
  <c r="H11" i="7"/>
  <c r="I11" i="7"/>
  <c r="J11" i="7"/>
  <c r="K11" i="7"/>
  <c r="L11" i="7"/>
  <c r="M11" i="7"/>
  <c r="N11" i="7"/>
</calcChain>
</file>

<file path=xl/sharedStrings.xml><?xml version="1.0" encoding="utf-8"?>
<sst xmlns="http://schemas.openxmlformats.org/spreadsheetml/2006/main" count="323" uniqueCount="157">
  <si>
    <t>Статья</t>
  </si>
  <si>
    <t>Месяц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</si>
  <si>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</si>
  <si>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</si>
  <si>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</si>
  <si>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</si>
  <si>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</si>
  <si>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</si>
  <si>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</si>
  <si>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октябрь</t>
  </si>
  <si>
    <t>ноябрь</t>
  </si>
  <si>
    <t>декабрь</t>
  </si>
  <si>
    <t>май</t>
  </si>
  <si>
    <t>сентбярь</t>
  </si>
  <si>
    <t>ко-во дней</t>
  </si>
  <si>
    <t>Разработка и создание сайта</t>
  </si>
  <si>
    <t>Итог</t>
  </si>
  <si>
    <t>ФОТ</t>
  </si>
  <si>
    <t>ИТОГ ДОХОДА</t>
  </si>
  <si>
    <t>Земля</t>
  </si>
  <si>
    <t>Оборудование</t>
  </si>
  <si>
    <t>Итого</t>
  </si>
  <si>
    <t>Первоначальная стоимость, руб.</t>
  </si>
  <si>
    <t xml:space="preserve">Амортизационные отчисления, руб. </t>
  </si>
  <si>
    <t>Остаточная стоимость имущества(на конец периода) руб.</t>
  </si>
  <si>
    <t>Значение</t>
  </si>
  <si>
    <t>Срок полезного использования, мес</t>
  </si>
  <si>
    <t>Выручка</t>
  </si>
  <si>
    <t>Ставка дисконтирования</t>
  </si>
  <si>
    <t>Налог на прибыль</t>
  </si>
  <si>
    <t>EBITDA</t>
  </si>
  <si>
    <t>НДФЛ</t>
  </si>
  <si>
    <t>Чистая прибыль</t>
  </si>
  <si>
    <t>Номер периода</t>
  </si>
  <si>
    <t>Дебиторская задолженность</t>
  </si>
  <si>
    <t>Кредиторская задолженнность</t>
  </si>
  <si>
    <t>Потребность в СОК</t>
  </si>
  <si>
    <t>Изменение СОК</t>
  </si>
  <si>
    <t>Амортизация</t>
  </si>
  <si>
    <t>Себестоимость</t>
  </si>
  <si>
    <t>Валовая прибыль</t>
  </si>
  <si>
    <t>Прибыль от продаж</t>
  </si>
  <si>
    <t>прибыль от продаж / выручка, %</t>
  </si>
  <si>
    <t>Прибыль до налогооблажения</t>
  </si>
  <si>
    <t>Текущий налог на прибыль</t>
  </si>
  <si>
    <t>Чистая прибыль / выручка, %</t>
  </si>
  <si>
    <t>EBITDA / выручка, %</t>
  </si>
  <si>
    <t>EBIT</t>
  </si>
  <si>
    <t>EBIT / выручка, %</t>
  </si>
  <si>
    <t>Капитальные вложения</t>
  </si>
  <si>
    <t>Показатель</t>
  </si>
  <si>
    <t>Расчётный денежный поток</t>
  </si>
  <si>
    <t>FCFF</t>
  </si>
  <si>
    <t>Фактор текущей стоимости</t>
  </si>
  <si>
    <t>Накопленный фактор текущей стоимости</t>
  </si>
  <si>
    <t>DFCF</t>
  </si>
  <si>
    <t>DFCF накопленный</t>
  </si>
  <si>
    <t>npv</t>
  </si>
  <si>
    <t>IRR</t>
  </si>
  <si>
    <t>PI</t>
  </si>
  <si>
    <t>ARR</t>
  </si>
  <si>
    <t>DPP</t>
  </si>
  <si>
    <t>PP</t>
  </si>
  <si>
    <t>Начало проекта</t>
  </si>
  <si>
    <t>Год</t>
  </si>
  <si>
    <t>ИТОГ</t>
  </si>
  <si>
    <t>Количество дней</t>
  </si>
  <si>
    <t>Норматив СОК (дней)</t>
  </si>
  <si>
    <t>Кредиторская задолженность</t>
  </si>
  <si>
    <t>ГОД</t>
  </si>
  <si>
    <t>МЕСЯЦ</t>
  </si>
  <si>
    <t xml:space="preserve">Общитй итог </t>
  </si>
  <si>
    <t>с 1 га</t>
  </si>
  <si>
    <t>свежих семечек, кг</t>
  </si>
  <si>
    <t>масла, кг</t>
  </si>
  <si>
    <t>Жмых, кг</t>
  </si>
  <si>
    <t>Продукт</t>
  </si>
  <si>
    <t>Тыквенное масло</t>
  </si>
  <si>
    <t>Жмых тыквенных семечек</t>
  </si>
  <si>
    <t>Опт, рублей за 1 т</t>
  </si>
  <si>
    <t>Площадь поля</t>
  </si>
  <si>
    <t>га</t>
  </si>
  <si>
    <t>1кг</t>
  </si>
  <si>
    <t>1т</t>
  </si>
  <si>
    <t>100 т</t>
  </si>
  <si>
    <t>Закупка дополнительной тыквы, руб</t>
  </si>
  <si>
    <t>объём тыквы</t>
  </si>
  <si>
    <t>Стоимость посева</t>
  </si>
  <si>
    <t>1 га</t>
  </si>
  <si>
    <t>100га</t>
  </si>
  <si>
    <t>с 100 га</t>
  </si>
  <si>
    <t>Объём масла</t>
  </si>
  <si>
    <t>Тыквенное масло ОПТ, тонн</t>
  </si>
  <si>
    <t>Жмых тыквенных семечек ОПТ, тонн</t>
  </si>
  <si>
    <t>Объём жмыха, тонн</t>
  </si>
  <si>
    <t>Вес семечек тыквы, т</t>
  </si>
  <si>
    <t>Жмых, тонн</t>
  </si>
  <si>
    <t>Масла, тонн</t>
  </si>
  <si>
    <t>Мощность, Квт</t>
  </si>
  <si>
    <t xml:space="preserve">Трубный шнековый транспортёр </t>
  </si>
  <si>
    <t>Бункер для дневного запаса сырья</t>
  </si>
  <si>
    <t>Шнек дозатор для пресса с подогревом</t>
  </si>
  <si>
    <t>Маслопресс Р4.2.1.</t>
  </si>
  <si>
    <t>Лотковый шнековый транспортёр из нержавеющей стали</t>
  </si>
  <si>
    <t>Фильтр пресс KFP80</t>
  </si>
  <si>
    <t xml:space="preserve">Электрокомпоненты и автоматизированная система управления </t>
  </si>
  <si>
    <t>Тактор МТ3</t>
  </si>
  <si>
    <t>Комбайн</t>
  </si>
  <si>
    <t>Общий итог</t>
  </si>
  <si>
    <t>ИТОГ РАЗОВЫХ ЗАТРАТ</t>
  </si>
  <si>
    <t>Социальные отчисления</t>
  </si>
  <si>
    <t>Аренда помещения</t>
  </si>
  <si>
    <t>Аренда земли</t>
  </si>
  <si>
    <t>Закупка дополнительных семян</t>
  </si>
  <si>
    <t>Расходы на обработку поля</t>
  </si>
  <si>
    <t>КУ</t>
  </si>
  <si>
    <t>ИТОГ ЕЖЕМЕСЯЧНЫХ ЗАТРАТ</t>
  </si>
  <si>
    <t>Технологическая операция.</t>
  </si>
  <si>
    <t>Описание затратной части (прямые затраты) в рублях на один гектар.</t>
  </si>
  <si>
    <t>Всего затрат в рублях на один гектар.</t>
  </si>
  <si>
    <t>Осенняя вспашка (Минимум 17 см.).</t>
  </si>
  <si>
    <t>Расход ДТ (трактора МТЗ/ЮМЗ)</t>
  </si>
  <si>
    <t>Весеннее боронование</t>
  </si>
  <si>
    <t>Культивация.</t>
  </si>
  <si>
    <t>5-7 см глубины. Расход ДТ (трактора МТЗ/ЮМЗ)</t>
  </si>
  <si>
    <t>Посев.</t>
  </si>
  <si>
    <t>Боронование поперек посева.</t>
  </si>
  <si>
    <t>После запуска семян.</t>
  </si>
  <si>
    <t>Культивация междурядий.</t>
  </si>
  <si>
    <t>Просапка рядков.</t>
  </si>
  <si>
    <t xml:space="preserve">5 Га за рабочую смену </t>
  </si>
  <si>
    <t>На один Га приходится порядка 4000</t>
  </si>
  <si>
    <t>Скатывание тыквы в валки.</t>
  </si>
  <si>
    <t xml:space="preserve">Уборка комбайнами для уборки тыквы V-VD.001 (либо модификаций V-VD.002; V-VD.003; V-VD.004) </t>
  </si>
  <si>
    <t>Затраты при производительности уборки:</t>
  </si>
  <si>
    <t>Модификации комбайна V-VD.002; 003;004 – 7 Га. около 150 рублей за Га.</t>
  </si>
  <si>
    <t>Итого:</t>
  </si>
  <si>
    <t>·       17 литров на Га – 680 рублей,</t>
  </si>
  <si>
    <t>·       Зарплата трактористу -220 рублей</t>
  </si>
  <si>
    <t>·       3 л на Га – 120 рублей,</t>
  </si>
  <si>
    <t>·       Зарплата трактористу -110 рублей</t>
  </si>
  <si>
    <t>·       5 л на Га – 200 рублей,</t>
  </si>
  <si>
    <t>·       Зарплата трактористу -140 рублей</t>
  </si>
  <si>
    <t>·       7 литров на Га – 280 рублей,</t>
  </si>
  <si>
    <t>·       Зарплата трактористу -140 рублей,</t>
  </si>
  <si>
    <t>·       Высев сертифицированных семян до 5 кг на Га по цене посевного материала 210 рублей за 1 кг – 1050 рублей.</t>
  </si>
  <si>
    <t>·       Внесение удобрений вместе с посевом (суперфосфат) из расчета 40 кг на Га по цене 14 рублей за кг., и того – 560 рублей на Га.</t>
  </si>
  <si>
    <t>·       Зарплата трактористу -120 рублей</t>
  </si>
  <si>
    <t>·       7 литров на Га – 240 рублей,</t>
  </si>
  <si>
    <t>·       Зарплата трактористу -120 рублей,</t>
  </si>
  <si>
    <t>·       Зарплата операторам (минимум три чел. (модификации комбайна V-VD.002; 003;004;) за день до 350 рублей на человека.</t>
  </si>
  <si>
    <t>Закупка семян для посева</t>
  </si>
  <si>
    <t>ОБЩИЕ РАСХОДЫ</t>
  </si>
  <si>
    <t>Доходы</t>
  </si>
  <si>
    <t>Налог ОСНО</t>
  </si>
  <si>
    <t>Закупка дополнительных семян масла</t>
  </si>
  <si>
    <t>НЕОБХОДИМЫЙ ОБЪЁМ ИНВЕСТИЦИЙ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</si>
</sst>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#,##0_ ;\-#,##0\ "/>
    <numFmt numFmtId="165" formatCode="#,##0.00_ ;\-#,##0.00\ "/>
    <numFmt numFmtId="166" formatCode="0.000"/>
    <numFmt numFmtId="167" formatCode="#,##0.0_ ;\-#,##0.0\ "/>
    <numFmt numFmtId="168" formatCode="#,##0.000000_ ;\-#,##0.000000\ "/>
  </numFmts>
  <fonts count="14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rgb="FF000000"/>
      <name val="Calibri"/>
      <scheme val="minor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Cambria"/>
      <scheme val="major"/>
    </font>
    <font>
      <sz val="12"/>
      <color rgb="FF000000"/>
      <name val="Cambria"/>
      <scheme val="major"/>
    </font>
    <font>
      <b/>
      <sz val="12"/>
      <color theme="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71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0" fillId="0" borderId="1" xfId="0" applyFont="1" applyBorder="1" applyAlignment="1">
      <alignment horizontal="center"/>
    </xf>
    <xf numFmtId="164" fontId="0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0" borderId="0" xfId="1" applyNumberFormat="1" applyFont="1"/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9" fontId="0" fillId="0" borderId="1" xfId="86" applyFont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7" borderId="1" xfId="1" applyNumberFormat="1" applyFont="1" applyFill="1" applyBorder="1" applyAlignment="1">
      <alignment horizontal="center" vertical="center"/>
    </xf>
    <xf numFmtId="44" fontId="0" fillId="0" borderId="0" xfId="1" applyFont="1"/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8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64" fontId="0" fillId="3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9" fontId="0" fillId="0" borderId="1" xfId="86" applyFont="1" applyBorder="1" applyAlignment="1">
      <alignment horizontal="center"/>
    </xf>
    <xf numFmtId="8" fontId="0" fillId="0" borderId="0" xfId="0" applyNumberFormat="1"/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0" fillId="0" borderId="1" xfId="1" applyNumberFormat="1" applyFon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 wrapText="1"/>
    </xf>
    <xf numFmtId="168" fontId="0" fillId="0" borderId="1" xfId="1" applyNumberFormat="1" applyFont="1" applyBorder="1" applyAlignment="1">
      <alignment horizontal="center" vertical="center" wrapText="1"/>
    </xf>
    <xf numFmtId="168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0" fillId="3" borderId="1" xfId="1" applyNumberFormat="1" applyFont="1" applyFill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44" fontId="10" fillId="0" borderId="0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1" xfId="1" applyNumberFormat="1" applyFont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0" fontId="0" fillId="6" borderId="1" xfId="0" applyFill="1" applyBorder="1"/>
    <xf numFmtId="0" fontId="7" fillId="5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/>
    <xf numFmtId="0" fontId="3" fillId="10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4" fontId="3" fillId="10" borderId="1" xfId="1" applyNumberFormat="1" applyFont="1" applyFill="1" applyBorder="1" applyAlignment="1">
      <alignment horizontal="center" vertical="center"/>
    </xf>
    <xf numFmtId="164" fontId="3" fillId="9" borderId="1" xfId="1" applyNumberFormat="1" applyFont="1" applyFill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8" fontId="0" fillId="0" borderId="1" xfId="1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571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Денежный" xfId="1" builtinId="4"/>
    <cellStyle name="Обычный" xfId="0" builtinId="0"/>
    <cellStyle name="Просмотренная гиперссылка" xfId="3" builtinId="9" hidden="1"/>
    <cellStyle name="Просмотренная гиперссылка" xfId="5" builtinId="9" hidden="1"/>
    <cellStyle name="Просмотренная гиперссылка" xfId="7" builtinId="9" hidden="1"/>
    <cellStyle name="Просмотренная гиперссылка" xfId="9" builtinId="9" hidden="1"/>
    <cellStyle name="Просмотренная гиперссылка" xfId="11" builtinId="9" hidden="1"/>
    <cellStyle name="Просмотренная гиперссылка" xfId="13" builtinId="9" hidden="1"/>
    <cellStyle name="Просмотренная гиперссылка" xfId="15" builtinId="9" hidden="1"/>
    <cellStyle name="Просмотренная гиперссылка" xfId="17" builtinId="9" hidden="1"/>
    <cellStyle name="Просмотренная гиперссылка" xfId="19" builtinId="9" hidden="1"/>
    <cellStyle name="Просмотренная гиперссылка" xfId="21" builtinId="9" hidden="1"/>
    <cellStyle name="Просмотренная гиперссылка" xfId="23" builtinId="9" hidden="1"/>
    <cellStyle name="Просмотренная гиперссылка" xfId="25" builtinId="9" hidden="1"/>
    <cellStyle name="Просмотренная гиперссылка" xfId="27" builtinId="9" hidden="1"/>
    <cellStyle name="Просмотренная гиперссылка" xfId="29" builtinId="9" hidden="1"/>
    <cellStyle name="Просмотренная гиперссылка" xfId="31" builtinId="9" hidden="1"/>
    <cellStyle name="Просмотренная гиперссылка" xfId="33" builtinId="9" hidden="1"/>
    <cellStyle name="Просмотренная гиперссылка" xfId="35" builtinId="9" hidden="1"/>
    <cellStyle name="Просмотренная гиперссылка" xfId="37" builtinId="9" hidden="1"/>
    <cellStyle name="Просмотренная гиперссылка" xfId="39" builtinId="9" hidden="1"/>
    <cellStyle name="Просмотренная гиперссылка" xfId="41" builtinId="9" hidden="1"/>
    <cellStyle name="Просмотренная гиперссылка" xfId="43" builtinId="9" hidden="1"/>
    <cellStyle name="Просмотренная гиперссылка" xfId="45" builtinId="9" hidden="1"/>
    <cellStyle name="Просмотренная гиперссылка" xfId="47" builtinId="9" hidden="1"/>
    <cellStyle name="Просмотренная гиперссылка" xfId="49" builtinId="9" hidden="1"/>
    <cellStyle name="Просмотренная гиперссылка" xfId="51" builtinId="9" hidden="1"/>
    <cellStyle name="Просмотренная гиперссылка" xfId="53" builtinId="9" hidden="1"/>
    <cellStyle name="Просмотренная гиперссылка" xfId="55" builtinId="9" hidden="1"/>
    <cellStyle name="Просмотренная гиперссылка" xfId="57" builtinId="9" hidden="1"/>
    <cellStyle name="Просмотренная гиперссылка" xfId="59" builtinId="9" hidden="1"/>
    <cellStyle name="Просмотренная гиперссылка" xfId="61" builtinId="9" hidden="1"/>
    <cellStyle name="Просмотренная гиперссылка" xfId="63" builtinId="9" hidden="1"/>
    <cellStyle name="Просмотренная гиперссылка" xfId="65" builtinId="9" hidden="1"/>
    <cellStyle name="Просмотренная гиперссылка" xfId="67" builtinId="9" hidden="1"/>
    <cellStyle name="Просмотренная гиперссылка" xfId="69" builtinId="9" hidden="1"/>
    <cellStyle name="Просмотренная гиперссылка" xfId="71" builtinId="9" hidden="1"/>
    <cellStyle name="Просмотренная гиперссылка" xfId="73" builtinId="9" hidden="1"/>
    <cellStyle name="Просмотренная гиперссылка" xfId="75" builtinId="9" hidden="1"/>
    <cellStyle name="Просмотренная гиперссылка" xfId="77" builtinId="9" hidden="1"/>
    <cellStyle name="Просмотренная гиперссылка" xfId="79" builtinId="9" hidden="1"/>
    <cellStyle name="Просмотренная гиперссылка" xfId="81" builtinId="9" hidden="1"/>
    <cellStyle name="Просмотренная гиперссылка" xfId="83" builtinId="9" hidden="1"/>
    <cellStyle name="Просмотренная гиперссылка" xfId="85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  <cellStyle name="Просмотренная гиперссылка" xfId="266" builtinId="9" hidden="1"/>
    <cellStyle name="Просмотренная гиперссылка" xfId="268" builtinId="9" hidden="1"/>
    <cellStyle name="Просмотренная гиперссылка" xfId="270" builtinId="9" hidden="1"/>
    <cellStyle name="Просмотренная гиперссылка" xfId="272" builtinId="9" hidden="1"/>
    <cellStyle name="Просмотренная гиперссылка" xfId="274" builtinId="9" hidden="1"/>
    <cellStyle name="Просмотренная гиперссылка" xfId="276" builtinId="9" hidden="1"/>
    <cellStyle name="Просмотренная гиперссылка" xfId="278" builtinId="9" hidden="1"/>
    <cellStyle name="Просмотренная гиперссылка" xfId="280" builtinId="9" hidden="1"/>
    <cellStyle name="Просмотренная гиперссылка" xfId="282" builtinId="9" hidden="1"/>
    <cellStyle name="Просмотренная гиперссылка" xfId="284" builtinId="9" hidden="1"/>
    <cellStyle name="Просмотренная гиперссылка" xfId="286" builtinId="9" hidden="1"/>
    <cellStyle name="Просмотренная гиперссылка" xfId="288" builtinId="9" hidden="1"/>
    <cellStyle name="Просмотренная гиперссылка" xfId="290" builtinId="9" hidden="1"/>
    <cellStyle name="Просмотренная гиперссылка" xfId="292" builtinId="9" hidden="1"/>
    <cellStyle name="Просмотренная гиперссылка" xfId="294" builtinId="9" hidden="1"/>
    <cellStyle name="Просмотренная гиперссылка" xfId="296" builtinId="9" hidden="1"/>
    <cellStyle name="Просмотренная гиперссылка" xfId="298" builtinId="9" hidden="1"/>
    <cellStyle name="Просмотренная гиперссылка" xfId="300" builtinId="9" hidden="1"/>
    <cellStyle name="Просмотренная гиперссылка" xfId="302" builtinId="9" hidden="1"/>
    <cellStyle name="Просмотренная гиперссылка" xfId="304" builtinId="9" hidden="1"/>
    <cellStyle name="Просмотренная гиперссылка" xfId="306" builtinId="9" hidden="1"/>
    <cellStyle name="Просмотренная гиперссылка" xfId="308" builtinId="9" hidden="1"/>
    <cellStyle name="Просмотренная гиперссылка" xfId="310" builtinId="9" hidden="1"/>
    <cellStyle name="Просмотренная гиперссылка" xfId="312" builtinId="9" hidden="1"/>
    <cellStyle name="Просмотренная гиперссылка" xfId="314" builtinId="9" hidden="1"/>
    <cellStyle name="Просмотренная гиперссылка" xfId="316" builtinId="9" hidden="1"/>
    <cellStyle name="Просмотренная гиперссылка" xfId="318" builtinId="9" hidden="1"/>
    <cellStyle name="Просмотренная гиперссылка" xfId="320" builtinId="9" hidden="1"/>
    <cellStyle name="Просмотренная гиперссылка" xfId="322" builtinId="9" hidden="1"/>
    <cellStyle name="Просмотренная гиперссылка" xfId="324" builtinId="9" hidden="1"/>
    <cellStyle name="Просмотренная гиперссылка" xfId="326" builtinId="9" hidden="1"/>
    <cellStyle name="Просмотренная гиперссылка" xfId="328" builtinId="9" hidden="1"/>
    <cellStyle name="Просмотренная гиперссылка" xfId="330" builtinId="9" hidden="1"/>
    <cellStyle name="Просмотренная гиперссылка" xfId="332" builtinId="9" hidden="1"/>
    <cellStyle name="Просмотренная гиперссылка" xfId="334" builtinId="9" hidden="1"/>
    <cellStyle name="Просмотренная гиперссылка" xfId="336" builtinId="9" hidden="1"/>
    <cellStyle name="Просмотренная гиперссылка" xfId="338" builtinId="9" hidden="1"/>
    <cellStyle name="Просмотренная гиперссылка" xfId="340" builtinId="9" hidden="1"/>
    <cellStyle name="Просмотренная гиперссылка" xfId="342" builtinId="9" hidden="1"/>
    <cellStyle name="Просмотренная гиперссылка" xfId="344" builtinId="9" hidden="1"/>
    <cellStyle name="Просмотренная гиперссылка" xfId="346" builtinId="9" hidden="1"/>
    <cellStyle name="Просмотренная гиперссылка" xfId="348" builtinId="9" hidden="1"/>
    <cellStyle name="Просмотренная гиперссылка" xfId="350" builtinId="9" hidden="1"/>
    <cellStyle name="Просмотренная гиперссылка" xfId="352" builtinId="9" hidden="1"/>
    <cellStyle name="Просмотренная гиперссылка" xfId="354" builtinId="9" hidden="1"/>
    <cellStyle name="Просмотренная гиперссылка" xfId="356" builtinId="9" hidden="1"/>
    <cellStyle name="Просмотренная гиперссылка" xfId="358" builtinId="9" hidden="1"/>
    <cellStyle name="Просмотренная гиперссылка" xfId="360" builtinId="9" hidden="1"/>
    <cellStyle name="Просмотренная гиперссылка" xfId="362" builtinId="9" hidden="1"/>
    <cellStyle name="Просмотренная гиперссылка" xfId="364" builtinId="9" hidden="1"/>
    <cellStyle name="Просмотренная гиперссылка" xfId="366" builtinId="9" hidden="1"/>
    <cellStyle name="Просмотренная гиперссылка" xfId="368" builtinId="9" hidden="1"/>
    <cellStyle name="Просмотренная гиперссылка" xfId="370" builtinId="9" hidden="1"/>
    <cellStyle name="Просмотренная гиперссылка" xfId="372" builtinId="9" hidden="1"/>
    <cellStyle name="Просмотренная гиперссылка" xfId="374" builtinId="9" hidden="1"/>
    <cellStyle name="Просмотренная гиперссылка" xfId="376" builtinId="9" hidden="1"/>
    <cellStyle name="Просмотренная гиперссылка" xfId="378" builtinId="9" hidden="1"/>
    <cellStyle name="Просмотренная гиперссылка" xfId="380" builtinId="9" hidden="1"/>
    <cellStyle name="Просмотренная гиперссылка" xfId="382" builtinId="9" hidden="1"/>
    <cellStyle name="Просмотренная гиперссылка" xfId="384" builtinId="9" hidden="1"/>
    <cellStyle name="Просмотренная гиперссылка" xfId="386" builtinId="9" hidden="1"/>
    <cellStyle name="Просмотренная гиперссылка" xfId="388" builtinId="9" hidden="1"/>
    <cellStyle name="Просмотренная гиперссылка" xfId="390" builtinId="9" hidden="1"/>
    <cellStyle name="Просмотренная гиперссылка" xfId="392" builtinId="9" hidden="1"/>
    <cellStyle name="Просмотренная гиперссылка" xfId="394" builtinId="9" hidden="1"/>
    <cellStyle name="Просмотренная гиперссылка" xfId="396" builtinId="9" hidden="1"/>
    <cellStyle name="Просмотренная гиперссылка" xfId="398" builtinId="9" hidden="1"/>
    <cellStyle name="Просмотренная гиперссылка" xfId="400" builtinId="9" hidden="1"/>
    <cellStyle name="Просмотренная гиперссылка" xfId="402" builtinId="9" hidden="1"/>
    <cellStyle name="Просмотренная гиперссылка" xfId="404" builtinId="9" hidden="1"/>
    <cellStyle name="Просмотренная гиперссылка" xfId="406" builtinId="9" hidden="1"/>
    <cellStyle name="Просмотренная гиперссылка" xfId="408" builtinId="9" hidden="1"/>
    <cellStyle name="Просмотренная гиперссылка" xfId="410" builtinId="9" hidden="1"/>
    <cellStyle name="Просмотренная гиперссылка" xfId="412" builtinId="9" hidden="1"/>
    <cellStyle name="Просмотренная гиперссылка" xfId="414" builtinId="9" hidden="1"/>
    <cellStyle name="Просмотренная гиперссылка" xfId="416" builtinId="9" hidden="1"/>
    <cellStyle name="Просмотренная гиперссылка" xfId="418" builtinId="9" hidden="1"/>
    <cellStyle name="Просмотренная гиперссылка" xfId="420" builtinId="9" hidden="1"/>
    <cellStyle name="Просмотренная гиперссылка" xfId="422" builtinId="9" hidden="1"/>
    <cellStyle name="Просмотренная гиперссылка" xfId="424" builtinId="9" hidden="1"/>
    <cellStyle name="Просмотренная гиперссылка" xfId="426" builtinId="9" hidden="1"/>
    <cellStyle name="Просмотренная гиперссылка" xfId="428" builtinId="9" hidden="1"/>
    <cellStyle name="Просмотренная гиперссылка" xfId="430" builtinId="9" hidden="1"/>
    <cellStyle name="Просмотренная гиперссылка" xfId="432" builtinId="9" hidden="1"/>
    <cellStyle name="Просмотренная гиперссылка" xfId="434" builtinId="9" hidden="1"/>
    <cellStyle name="Просмотренная гиперссылка" xfId="436" builtinId="9" hidden="1"/>
    <cellStyle name="Просмотренная гиперссылка" xfId="438" builtinId="9" hidden="1"/>
    <cellStyle name="Просмотренная гиперссылка" xfId="440" builtinId="9" hidden="1"/>
    <cellStyle name="Просмотренная гиперссылка" xfId="442" builtinId="9" hidden="1"/>
    <cellStyle name="Просмотренная гиперссылка" xfId="444" builtinId="9" hidden="1"/>
    <cellStyle name="Просмотренная гиперссылка" xfId="446" builtinId="9" hidden="1"/>
    <cellStyle name="Просмотренная гиперссылка" xfId="448" builtinId="9" hidden="1"/>
    <cellStyle name="Просмотренная гиперссылка" xfId="450" builtinId="9" hidden="1"/>
    <cellStyle name="Просмотренная гиперссылка" xfId="452" builtinId="9" hidden="1"/>
    <cellStyle name="Просмотренная гиперссылка" xfId="454" builtinId="9" hidden="1"/>
    <cellStyle name="Просмотренная гиперссылка" xfId="456" builtinId="9" hidden="1"/>
    <cellStyle name="Просмотренная гиперссылка" xfId="458" builtinId="9" hidden="1"/>
    <cellStyle name="Просмотренная гиперссылка" xfId="460" builtinId="9" hidden="1"/>
    <cellStyle name="Просмотренная гиперссылка" xfId="462" builtinId="9" hidden="1"/>
    <cellStyle name="Просмотренная гиперссылка" xfId="464" builtinId="9" hidden="1"/>
    <cellStyle name="Просмотренная гиперссылка" xfId="466" builtinId="9" hidden="1"/>
    <cellStyle name="Просмотренная гиперссылка" xfId="468" builtinId="9" hidden="1"/>
    <cellStyle name="Просмотренная гиперссылка" xfId="470" builtinId="9" hidden="1"/>
    <cellStyle name="Просмотренная гиперссылка" xfId="472" builtinId="9" hidden="1"/>
    <cellStyle name="Просмотренная гиперссылка" xfId="474" builtinId="9" hidden="1"/>
    <cellStyle name="Просмотренная гиперссылка" xfId="476" builtinId="9" hidden="1"/>
    <cellStyle name="Просмотренная гиперссылка" xfId="478" builtinId="9" hidden="1"/>
    <cellStyle name="Просмотренная гиперссылка" xfId="480" builtinId="9" hidden="1"/>
    <cellStyle name="Просмотренная гиперссылка" xfId="482" builtinId="9" hidden="1"/>
    <cellStyle name="Просмотренная гиперссылка" xfId="484" builtinId="9" hidden="1"/>
    <cellStyle name="Просмотренная гиперссылка" xfId="486" builtinId="9" hidden="1"/>
    <cellStyle name="Просмотренная гиперссылка" xfId="488" builtinId="9" hidden="1"/>
    <cellStyle name="Просмотренная гиперссылка" xfId="490" builtinId="9" hidden="1"/>
    <cellStyle name="Просмотренная гиперссылка" xfId="492" builtinId="9" hidden="1"/>
    <cellStyle name="Просмотренная гиперссылка" xfId="494" builtinId="9" hidden="1"/>
    <cellStyle name="Просмотренная гиперссылка" xfId="496" builtinId="9" hidden="1"/>
    <cellStyle name="Просмотренная гиперссылка" xfId="498" builtinId="9" hidden="1"/>
    <cellStyle name="Просмотренная гиперссылка" xfId="500" builtinId="9" hidden="1"/>
    <cellStyle name="Просмотренная гиперссылка" xfId="502" builtinId="9" hidden="1"/>
    <cellStyle name="Просмотренная гиперссылка" xfId="504" builtinId="9" hidden="1"/>
    <cellStyle name="Просмотренная гиперссылка" xfId="506" builtinId="9" hidden="1"/>
    <cellStyle name="Просмотренная гиперссылка" xfId="508" builtinId="9" hidden="1"/>
    <cellStyle name="Просмотренная гиперссылка" xfId="510" builtinId="9" hidden="1"/>
    <cellStyle name="Просмотренная гиперссылка" xfId="512" builtinId="9" hidden="1"/>
    <cellStyle name="Просмотренная гиперссылка" xfId="514" builtinId="9" hidden="1"/>
    <cellStyle name="Просмотренная гиперссылка" xfId="516" builtinId="9" hidden="1"/>
    <cellStyle name="Просмотренная гиперссылка" xfId="518" builtinId="9" hidden="1"/>
    <cellStyle name="Просмотренная гиперссылка" xfId="520" builtinId="9" hidden="1"/>
    <cellStyle name="Просмотренная гиперссылка" xfId="522" builtinId="9" hidden="1"/>
    <cellStyle name="Просмотренная гиперссылка" xfId="524" builtinId="9" hidden="1"/>
    <cellStyle name="Просмотренная гиперссылка" xfId="526" builtinId="9" hidden="1"/>
    <cellStyle name="Просмотренная гиперссылка" xfId="528" builtinId="9" hidden="1"/>
    <cellStyle name="Просмотренная гиперссылка" xfId="530" builtinId="9" hidden="1"/>
    <cellStyle name="Просмотренная гиперссылка" xfId="532" builtinId="9" hidden="1"/>
    <cellStyle name="Просмотренная гиперссылка" xfId="534" builtinId="9" hidden="1"/>
    <cellStyle name="Просмотренная гиперссылка" xfId="536" builtinId="9" hidden="1"/>
    <cellStyle name="Просмотренная гиперссылка" xfId="538" builtinId="9" hidden="1"/>
    <cellStyle name="Просмотренная гиперссылка" xfId="540" builtinId="9" hidden="1"/>
    <cellStyle name="Просмотренная гиперссылка" xfId="542" builtinId="9" hidden="1"/>
    <cellStyle name="Просмотренная гиперссылка" xfId="544" builtinId="9" hidden="1"/>
    <cellStyle name="Просмотренная гиперссылка" xfId="546" builtinId="9" hidden="1"/>
    <cellStyle name="Просмотренная гиперссылка" xfId="548" builtinId="9" hidden="1"/>
    <cellStyle name="Просмотренная гиперссылка" xfId="550" builtinId="9" hidden="1"/>
    <cellStyle name="Просмотренная гиперссылка" xfId="552" builtinId="9" hidden="1"/>
    <cellStyle name="Просмотренная гиперссылка" xfId="554" builtinId="9" hidden="1"/>
    <cellStyle name="Просмотренная гиперссылка" xfId="556" builtinId="9" hidden="1"/>
    <cellStyle name="Просмотренная гиперссылка" xfId="558" builtinId="9" hidden="1"/>
    <cellStyle name="Просмотренная гиперссылка" xfId="560" builtinId="9" hidden="1"/>
    <cellStyle name="Просмотренная гиперссылка" xfId="562" builtinId="9" hidden="1"/>
    <cellStyle name="Просмотренная гиперссылка" xfId="564" builtinId="9" hidden="1"/>
    <cellStyle name="Просмотренная гиперссылка" xfId="566" builtinId="9" hidden="1"/>
    <cellStyle name="Просмотренная гиперссылка" xfId="568" builtinId="9" hidden="1"/>
    <cellStyle name="Просмотренная гиперссылка" xfId="570" builtinId="9" hidden="1"/>
    <cellStyle name="Процентный" xfId="86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Доходы!$A$3</c:f>
              <c:strCache>
                <c:ptCount val="1"/>
                <c:pt idx="0">
                  <c:v>Тыквенное масло ОПТ, тонн</c:v>
                </c:pt>
              </c:strCache>
            </c:strRef>
          </c:tx>
          <c:marker>
            <c:symbol val="none"/>
          </c:marker>
          <c:cat>
            <c:numRef>
              <c:f>Доходы!$B$2:$AO$2</c:f>
              <c:numCache>
                <c:formatCode>m/d/yy</c:formatCode>
                <c:ptCount val="40"/>
                <c:pt idx="0">
                  <c:v>43678.0</c:v>
                </c:pt>
                <c:pt idx="1">
                  <c:v>43709.0</c:v>
                </c:pt>
                <c:pt idx="2">
                  <c:v>43739.0</c:v>
                </c:pt>
                <c:pt idx="3">
                  <c:v>43770.0</c:v>
                </c:pt>
                <c:pt idx="4">
                  <c:v>43800.0</c:v>
                </c:pt>
                <c:pt idx="5">
                  <c:v>43831.0</c:v>
                </c:pt>
                <c:pt idx="6">
                  <c:v>43862.0</c:v>
                </c:pt>
                <c:pt idx="7">
                  <c:v>43891.0</c:v>
                </c:pt>
                <c:pt idx="8">
                  <c:v>43922.0</c:v>
                </c:pt>
                <c:pt idx="9">
                  <c:v>43952.0</c:v>
                </c:pt>
                <c:pt idx="10">
                  <c:v>43983.0</c:v>
                </c:pt>
                <c:pt idx="11">
                  <c:v>44013.0</c:v>
                </c:pt>
                <c:pt idx="12">
                  <c:v>44044.0</c:v>
                </c:pt>
                <c:pt idx="13">
                  <c:v>44075.0</c:v>
                </c:pt>
                <c:pt idx="14">
                  <c:v>44105.0</c:v>
                </c:pt>
                <c:pt idx="15">
                  <c:v>44136.0</c:v>
                </c:pt>
                <c:pt idx="16">
                  <c:v>44166.0</c:v>
                </c:pt>
                <c:pt idx="17">
                  <c:v>44197.0</c:v>
                </c:pt>
                <c:pt idx="18">
                  <c:v>44228.0</c:v>
                </c:pt>
                <c:pt idx="19">
                  <c:v>44256.0</c:v>
                </c:pt>
                <c:pt idx="20">
                  <c:v>44287.0</c:v>
                </c:pt>
                <c:pt idx="21">
                  <c:v>44317.0</c:v>
                </c:pt>
                <c:pt idx="22">
                  <c:v>44348.0</c:v>
                </c:pt>
                <c:pt idx="23">
                  <c:v>44378.0</c:v>
                </c:pt>
                <c:pt idx="24">
                  <c:v>44409.0</c:v>
                </c:pt>
                <c:pt idx="25">
                  <c:v>44440.0</c:v>
                </c:pt>
                <c:pt idx="26">
                  <c:v>44470.0</c:v>
                </c:pt>
                <c:pt idx="27">
                  <c:v>44501.0</c:v>
                </c:pt>
                <c:pt idx="28">
                  <c:v>44531.0</c:v>
                </c:pt>
                <c:pt idx="29">
                  <c:v>44562.0</c:v>
                </c:pt>
                <c:pt idx="30">
                  <c:v>44593.0</c:v>
                </c:pt>
                <c:pt idx="31">
                  <c:v>44621.0</c:v>
                </c:pt>
                <c:pt idx="32">
                  <c:v>44652.0</c:v>
                </c:pt>
                <c:pt idx="33">
                  <c:v>44682.0</c:v>
                </c:pt>
                <c:pt idx="34">
                  <c:v>44713.0</c:v>
                </c:pt>
                <c:pt idx="35">
                  <c:v>44743.0</c:v>
                </c:pt>
                <c:pt idx="36">
                  <c:v>44774.0</c:v>
                </c:pt>
                <c:pt idx="37">
                  <c:v>44805.0</c:v>
                </c:pt>
                <c:pt idx="38">
                  <c:v>44835.0</c:v>
                </c:pt>
                <c:pt idx="39">
                  <c:v>44866.0</c:v>
                </c:pt>
              </c:numCache>
            </c:numRef>
          </c:cat>
          <c:val>
            <c:numRef>
              <c:f>Доходы!$B$3:$AO$3</c:f>
              <c:numCache>
                <c:formatCode>#\ ##0_ ;\-#\ ##0\ </c:formatCode>
                <c:ptCount val="40"/>
                <c:pt idx="0">
                  <c:v>0.0</c:v>
                </c:pt>
                <c:pt idx="1">
                  <c:v>0.0</c:v>
                </c:pt>
                <c:pt idx="2">
                  <c:v>7.0E6</c:v>
                </c:pt>
                <c:pt idx="3">
                  <c:v>7.0E6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1.89E7</c:v>
                </c:pt>
                <c:pt idx="15">
                  <c:v>1.89E7</c:v>
                </c:pt>
                <c:pt idx="16">
                  <c:v>1.89E7</c:v>
                </c:pt>
                <c:pt idx="17">
                  <c:v>1.89E7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1.89E7</c:v>
                </c:pt>
                <c:pt idx="27">
                  <c:v>1.89E7</c:v>
                </c:pt>
                <c:pt idx="28">
                  <c:v>1.89E7</c:v>
                </c:pt>
                <c:pt idx="29">
                  <c:v>1.89E7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1.89E7</c:v>
                </c:pt>
                <c:pt idx="39">
                  <c:v>1.89E7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Доходы!$A$4</c:f>
              <c:strCache>
                <c:ptCount val="1"/>
                <c:pt idx="0">
                  <c:v>Жмых тыквенных семечек ОПТ, тонн</c:v>
                </c:pt>
              </c:strCache>
            </c:strRef>
          </c:tx>
          <c:marker>
            <c:symbol val="none"/>
          </c:marker>
          <c:cat>
            <c:numRef>
              <c:f>Доходы!$B$2:$AO$2</c:f>
              <c:numCache>
                <c:formatCode>m/d/yy</c:formatCode>
                <c:ptCount val="40"/>
                <c:pt idx="0">
                  <c:v>43678.0</c:v>
                </c:pt>
                <c:pt idx="1">
                  <c:v>43709.0</c:v>
                </c:pt>
                <c:pt idx="2">
                  <c:v>43739.0</c:v>
                </c:pt>
                <c:pt idx="3">
                  <c:v>43770.0</c:v>
                </c:pt>
                <c:pt idx="4">
                  <c:v>43800.0</c:v>
                </c:pt>
                <c:pt idx="5">
                  <c:v>43831.0</c:v>
                </c:pt>
                <c:pt idx="6">
                  <c:v>43862.0</c:v>
                </c:pt>
                <c:pt idx="7">
                  <c:v>43891.0</c:v>
                </c:pt>
                <c:pt idx="8">
                  <c:v>43922.0</c:v>
                </c:pt>
                <c:pt idx="9">
                  <c:v>43952.0</c:v>
                </c:pt>
                <c:pt idx="10">
                  <c:v>43983.0</c:v>
                </c:pt>
                <c:pt idx="11">
                  <c:v>44013.0</c:v>
                </c:pt>
                <c:pt idx="12">
                  <c:v>44044.0</c:v>
                </c:pt>
                <c:pt idx="13">
                  <c:v>44075.0</c:v>
                </c:pt>
                <c:pt idx="14">
                  <c:v>44105.0</c:v>
                </c:pt>
                <c:pt idx="15">
                  <c:v>44136.0</c:v>
                </c:pt>
                <c:pt idx="16">
                  <c:v>44166.0</c:v>
                </c:pt>
                <c:pt idx="17">
                  <c:v>44197.0</c:v>
                </c:pt>
                <c:pt idx="18">
                  <c:v>44228.0</c:v>
                </c:pt>
                <c:pt idx="19">
                  <c:v>44256.0</c:v>
                </c:pt>
                <c:pt idx="20">
                  <c:v>44287.0</c:v>
                </c:pt>
                <c:pt idx="21">
                  <c:v>44317.0</c:v>
                </c:pt>
                <c:pt idx="22">
                  <c:v>44348.0</c:v>
                </c:pt>
                <c:pt idx="23">
                  <c:v>44378.0</c:v>
                </c:pt>
                <c:pt idx="24">
                  <c:v>44409.0</c:v>
                </c:pt>
                <c:pt idx="25">
                  <c:v>44440.0</c:v>
                </c:pt>
                <c:pt idx="26">
                  <c:v>44470.0</c:v>
                </c:pt>
                <c:pt idx="27">
                  <c:v>44501.0</c:v>
                </c:pt>
                <c:pt idx="28">
                  <c:v>44531.0</c:v>
                </c:pt>
                <c:pt idx="29">
                  <c:v>44562.0</c:v>
                </c:pt>
                <c:pt idx="30">
                  <c:v>44593.0</c:v>
                </c:pt>
                <c:pt idx="31">
                  <c:v>44621.0</c:v>
                </c:pt>
                <c:pt idx="32">
                  <c:v>44652.0</c:v>
                </c:pt>
                <c:pt idx="33">
                  <c:v>44682.0</c:v>
                </c:pt>
                <c:pt idx="34">
                  <c:v>44713.0</c:v>
                </c:pt>
                <c:pt idx="35">
                  <c:v>44743.0</c:v>
                </c:pt>
                <c:pt idx="36">
                  <c:v>44774.0</c:v>
                </c:pt>
                <c:pt idx="37">
                  <c:v>44805.0</c:v>
                </c:pt>
                <c:pt idx="38">
                  <c:v>44835.0</c:v>
                </c:pt>
                <c:pt idx="39">
                  <c:v>44866.0</c:v>
                </c:pt>
              </c:numCache>
            </c:numRef>
          </c:cat>
          <c:val>
            <c:numRef>
              <c:f>Доходы!$B$4:$AO$4</c:f>
              <c:numCache>
                <c:formatCode>#\ ##0_ ;\-#\ ##0\ </c:formatCode>
                <c:ptCount val="40"/>
                <c:pt idx="0">
                  <c:v>0.0</c:v>
                </c:pt>
                <c:pt idx="1">
                  <c:v>0.0</c:v>
                </c:pt>
                <c:pt idx="2">
                  <c:v>4.859375E6</c:v>
                </c:pt>
                <c:pt idx="3">
                  <c:v>4.859375E6</c:v>
                </c:pt>
                <c:pt idx="4">
                  <c:v>4.859375E6</c:v>
                </c:pt>
                <c:pt idx="5">
                  <c:v>4.859375E6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4.69791666666667E6</c:v>
                </c:pt>
                <c:pt idx="15">
                  <c:v>4.69791666666667E6</c:v>
                </c:pt>
                <c:pt idx="16">
                  <c:v>4.69791666666667E6</c:v>
                </c:pt>
                <c:pt idx="17">
                  <c:v>4.69791666666667E6</c:v>
                </c:pt>
                <c:pt idx="18">
                  <c:v>4.69791666666667E6</c:v>
                </c:pt>
                <c:pt idx="19">
                  <c:v>4.69791666666667E6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4.69791666666667E6</c:v>
                </c:pt>
                <c:pt idx="27">
                  <c:v>4.69791666666667E6</c:v>
                </c:pt>
                <c:pt idx="28">
                  <c:v>4.69791666666667E6</c:v>
                </c:pt>
                <c:pt idx="29">
                  <c:v>4.69791666666667E6</c:v>
                </c:pt>
                <c:pt idx="30">
                  <c:v>4.69791666666667E6</c:v>
                </c:pt>
                <c:pt idx="31">
                  <c:v>4.69791666666667E6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4.69791666666667E6</c:v>
                </c:pt>
                <c:pt idx="39">
                  <c:v>4.69791666666667E6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Доходы!$A$5</c:f>
              <c:strCache>
                <c:ptCount val="1"/>
                <c:pt idx="0">
                  <c:v>ИТОГ ДОХОДА</c:v>
                </c:pt>
              </c:strCache>
            </c:strRef>
          </c:tx>
          <c:marker>
            <c:symbol val="none"/>
          </c:marker>
          <c:cat>
            <c:numRef>
              <c:f>Доходы!$B$2:$AO$2</c:f>
              <c:numCache>
                <c:formatCode>m/d/yy</c:formatCode>
                <c:ptCount val="40"/>
                <c:pt idx="0">
                  <c:v>43678.0</c:v>
                </c:pt>
                <c:pt idx="1">
                  <c:v>43709.0</c:v>
                </c:pt>
                <c:pt idx="2">
                  <c:v>43739.0</c:v>
                </c:pt>
                <c:pt idx="3">
                  <c:v>43770.0</c:v>
                </c:pt>
                <c:pt idx="4">
                  <c:v>43800.0</c:v>
                </c:pt>
                <c:pt idx="5">
                  <c:v>43831.0</c:v>
                </c:pt>
                <c:pt idx="6">
                  <c:v>43862.0</c:v>
                </c:pt>
                <c:pt idx="7">
                  <c:v>43891.0</c:v>
                </c:pt>
                <c:pt idx="8">
                  <c:v>43922.0</c:v>
                </c:pt>
                <c:pt idx="9">
                  <c:v>43952.0</c:v>
                </c:pt>
                <c:pt idx="10">
                  <c:v>43983.0</c:v>
                </c:pt>
                <c:pt idx="11">
                  <c:v>44013.0</c:v>
                </c:pt>
                <c:pt idx="12">
                  <c:v>44044.0</c:v>
                </c:pt>
                <c:pt idx="13">
                  <c:v>44075.0</c:v>
                </c:pt>
                <c:pt idx="14">
                  <c:v>44105.0</c:v>
                </c:pt>
                <c:pt idx="15">
                  <c:v>44136.0</c:v>
                </c:pt>
                <c:pt idx="16">
                  <c:v>44166.0</c:v>
                </c:pt>
                <c:pt idx="17">
                  <c:v>44197.0</c:v>
                </c:pt>
                <c:pt idx="18">
                  <c:v>44228.0</c:v>
                </c:pt>
                <c:pt idx="19">
                  <c:v>44256.0</c:v>
                </c:pt>
                <c:pt idx="20">
                  <c:v>44287.0</c:v>
                </c:pt>
                <c:pt idx="21">
                  <c:v>44317.0</c:v>
                </c:pt>
                <c:pt idx="22">
                  <c:v>44348.0</c:v>
                </c:pt>
                <c:pt idx="23">
                  <c:v>44378.0</c:v>
                </c:pt>
                <c:pt idx="24">
                  <c:v>44409.0</c:v>
                </c:pt>
                <c:pt idx="25">
                  <c:v>44440.0</c:v>
                </c:pt>
                <c:pt idx="26">
                  <c:v>44470.0</c:v>
                </c:pt>
                <c:pt idx="27">
                  <c:v>44501.0</c:v>
                </c:pt>
                <c:pt idx="28">
                  <c:v>44531.0</c:v>
                </c:pt>
                <c:pt idx="29">
                  <c:v>44562.0</c:v>
                </c:pt>
                <c:pt idx="30">
                  <c:v>44593.0</c:v>
                </c:pt>
                <c:pt idx="31">
                  <c:v>44621.0</c:v>
                </c:pt>
                <c:pt idx="32">
                  <c:v>44652.0</c:v>
                </c:pt>
                <c:pt idx="33">
                  <c:v>44682.0</c:v>
                </c:pt>
                <c:pt idx="34">
                  <c:v>44713.0</c:v>
                </c:pt>
                <c:pt idx="35">
                  <c:v>44743.0</c:v>
                </c:pt>
                <c:pt idx="36">
                  <c:v>44774.0</c:v>
                </c:pt>
                <c:pt idx="37">
                  <c:v>44805.0</c:v>
                </c:pt>
                <c:pt idx="38">
                  <c:v>44835.0</c:v>
                </c:pt>
                <c:pt idx="39">
                  <c:v>44866.0</c:v>
                </c:pt>
              </c:numCache>
            </c:numRef>
          </c:cat>
          <c:val>
            <c:numRef>
              <c:f>Доходы!$B$5:$AO$5</c:f>
              <c:numCache>
                <c:formatCode>#\ ##0_ ;\-#\ ##0\ </c:formatCode>
                <c:ptCount val="40"/>
                <c:pt idx="0">
                  <c:v>0.0</c:v>
                </c:pt>
                <c:pt idx="1">
                  <c:v>0.0</c:v>
                </c:pt>
                <c:pt idx="2">
                  <c:v>1.1859375E7</c:v>
                </c:pt>
                <c:pt idx="3">
                  <c:v>1.1859375E7</c:v>
                </c:pt>
                <c:pt idx="4">
                  <c:v>4.859375E6</c:v>
                </c:pt>
                <c:pt idx="5">
                  <c:v>4.859375E6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2.35979166666667E7</c:v>
                </c:pt>
                <c:pt idx="15">
                  <c:v>2.35979166666667E7</c:v>
                </c:pt>
                <c:pt idx="16">
                  <c:v>2.35979166666667E7</c:v>
                </c:pt>
                <c:pt idx="17">
                  <c:v>2.35979166666667E7</c:v>
                </c:pt>
                <c:pt idx="18">
                  <c:v>4.69791666666667E6</c:v>
                </c:pt>
                <c:pt idx="19">
                  <c:v>4.69791666666667E6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2.35979166666667E7</c:v>
                </c:pt>
                <c:pt idx="27">
                  <c:v>2.35979166666667E7</c:v>
                </c:pt>
                <c:pt idx="28">
                  <c:v>2.35979166666667E7</c:v>
                </c:pt>
                <c:pt idx="29">
                  <c:v>2.35979166666667E7</c:v>
                </c:pt>
                <c:pt idx="30">
                  <c:v>4.69791666666667E6</c:v>
                </c:pt>
                <c:pt idx="31">
                  <c:v>4.69791666666667E6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2.35979166666667E7</c:v>
                </c:pt>
                <c:pt idx="39">
                  <c:v>2.35979166666667E7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489144"/>
        <c:axId val="2092930856"/>
      </c:lineChart>
      <c:dateAx>
        <c:axId val="211248914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2092930856"/>
        <c:crosses val="autoZero"/>
        <c:auto val="1"/>
        <c:lblOffset val="100"/>
        <c:baseTimeUnit val="months"/>
      </c:dateAx>
      <c:valAx>
        <c:axId val="2092930856"/>
        <c:scaling>
          <c:orientation val="minMax"/>
        </c:scaling>
        <c:delete val="0"/>
        <c:axPos val="l"/>
        <c:majorGridlines/>
        <c:numFmt formatCode="#\ ##0_ ;\-#\ ##0\ " sourceLinked="1"/>
        <c:majorTickMark val="out"/>
        <c:minorTickMark val="none"/>
        <c:tickLblPos val="nextTo"/>
        <c:crossAx val="2112489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ОПУ!$A$20</c:f>
              <c:strCache>
                <c:ptCount val="1"/>
                <c:pt idx="0">
                  <c:v>Чистая прибыль</c:v>
                </c:pt>
              </c:strCache>
            </c:strRef>
          </c:tx>
          <c:marker>
            <c:symbol val="none"/>
          </c:marker>
          <c:cat>
            <c:numRef>
              <c:f>ОПУ!$B$19:$AO$19</c:f>
              <c:numCache>
                <c:formatCode>m/d/yy</c:formatCode>
                <c:ptCount val="40"/>
                <c:pt idx="0">
                  <c:v>43678.0</c:v>
                </c:pt>
                <c:pt idx="1">
                  <c:v>43709.0</c:v>
                </c:pt>
                <c:pt idx="2">
                  <c:v>43739.0</c:v>
                </c:pt>
                <c:pt idx="3">
                  <c:v>43770.0</c:v>
                </c:pt>
                <c:pt idx="4">
                  <c:v>43800.0</c:v>
                </c:pt>
                <c:pt idx="5">
                  <c:v>43831.0</c:v>
                </c:pt>
                <c:pt idx="6">
                  <c:v>43862.0</c:v>
                </c:pt>
                <c:pt idx="7">
                  <c:v>43891.0</c:v>
                </c:pt>
                <c:pt idx="8">
                  <c:v>43922.0</c:v>
                </c:pt>
                <c:pt idx="9">
                  <c:v>43952.0</c:v>
                </c:pt>
                <c:pt idx="10">
                  <c:v>43983.0</c:v>
                </c:pt>
                <c:pt idx="11">
                  <c:v>44013.0</c:v>
                </c:pt>
                <c:pt idx="12">
                  <c:v>44044.0</c:v>
                </c:pt>
                <c:pt idx="13">
                  <c:v>44075.0</c:v>
                </c:pt>
                <c:pt idx="14">
                  <c:v>44105.0</c:v>
                </c:pt>
                <c:pt idx="15">
                  <c:v>44136.0</c:v>
                </c:pt>
                <c:pt idx="16">
                  <c:v>44166.0</c:v>
                </c:pt>
                <c:pt idx="17">
                  <c:v>44197.0</c:v>
                </c:pt>
                <c:pt idx="18">
                  <c:v>44228.0</c:v>
                </c:pt>
                <c:pt idx="19">
                  <c:v>44256.0</c:v>
                </c:pt>
                <c:pt idx="20">
                  <c:v>44287.0</c:v>
                </c:pt>
                <c:pt idx="21">
                  <c:v>44317.0</c:v>
                </c:pt>
                <c:pt idx="22">
                  <c:v>44348.0</c:v>
                </c:pt>
                <c:pt idx="23">
                  <c:v>44378.0</c:v>
                </c:pt>
                <c:pt idx="24">
                  <c:v>44409.0</c:v>
                </c:pt>
                <c:pt idx="25">
                  <c:v>44440.0</c:v>
                </c:pt>
                <c:pt idx="26">
                  <c:v>44470.0</c:v>
                </c:pt>
                <c:pt idx="27">
                  <c:v>44501.0</c:v>
                </c:pt>
                <c:pt idx="28">
                  <c:v>44531.0</c:v>
                </c:pt>
                <c:pt idx="29">
                  <c:v>44562.0</c:v>
                </c:pt>
                <c:pt idx="30">
                  <c:v>44593.0</c:v>
                </c:pt>
                <c:pt idx="31">
                  <c:v>44621.0</c:v>
                </c:pt>
                <c:pt idx="32">
                  <c:v>44652.0</c:v>
                </c:pt>
                <c:pt idx="33">
                  <c:v>44682.0</c:v>
                </c:pt>
                <c:pt idx="34">
                  <c:v>44713.0</c:v>
                </c:pt>
                <c:pt idx="35">
                  <c:v>44743.0</c:v>
                </c:pt>
                <c:pt idx="36">
                  <c:v>44774.0</c:v>
                </c:pt>
                <c:pt idx="37">
                  <c:v>44805.0</c:v>
                </c:pt>
                <c:pt idx="38">
                  <c:v>44835.0</c:v>
                </c:pt>
                <c:pt idx="39">
                  <c:v>44866.0</c:v>
                </c:pt>
              </c:numCache>
            </c:numRef>
          </c:cat>
          <c:val>
            <c:numRef>
              <c:f>ОПУ!$B$20:$AO$20</c:f>
              <c:numCache>
                <c:formatCode>#\ ##0.00_ ;\-#\ ##0.00\ </c:formatCode>
                <c:ptCount val="40"/>
                <c:pt idx="0">
                  <c:v>-244377.0833333333</c:v>
                </c:pt>
                <c:pt idx="1">
                  <c:v>-1.51344346633333E7</c:v>
                </c:pt>
                <c:pt idx="2">
                  <c:v>9.29395691666667E6</c:v>
                </c:pt>
                <c:pt idx="3">
                  <c:v>9.29255691666667E6</c:v>
                </c:pt>
                <c:pt idx="4">
                  <c:v>3.69845691666667E6</c:v>
                </c:pt>
                <c:pt idx="5">
                  <c:v>3.69845691666667E6</c:v>
                </c:pt>
                <c:pt idx="6">
                  <c:v>-189043.0833333333</c:v>
                </c:pt>
                <c:pt idx="7">
                  <c:v>-189043.0833333333</c:v>
                </c:pt>
                <c:pt idx="8">
                  <c:v>-2.42728020666667E6</c:v>
                </c:pt>
                <c:pt idx="9">
                  <c:v>-675280.2066666666</c:v>
                </c:pt>
                <c:pt idx="10">
                  <c:v>-217280.2066666667</c:v>
                </c:pt>
                <c:pt idx="11">
                  <c:v>-217280.2066666667</c:v>
                </c:pt>
                <c:pt idx="12">
                  <c:v>-217280.2066666667</c:v>
                </c:pt>
                <c:pt idx="13">
                  <c:v>-5.33955899666667E6</c:v>
                </c:pt>
                <c:pt idx="14">
                  <c:v>1.86658319166667E7</c:v>
                </c:pt>
                <c:pt idx="15">
                  <c:v>1.86658319166667E7</c:v>
                </c:pt>
                <c:pt idx="16">
                  <c:v>1.86703319166667E7</c:v>
                </c:pt>
                <c:pt idx="17">
                  <c:v>1.86703319166667E7</c:v>
                </c:pt>
                <c:pt idx="18">
                  <c:v>3.55033191666667E6</c:v>
                </c:pt>
                <c:pt idx="19">
                  <c:v>3.55033191666667E6</c:v>
                </c:pt>
                <c:pt idx="20">
                  <c:v>-995870.2066666666</c:v>
                </c:pt>
                <c:pt idx="21">
                  <c:v>-693870.2066666666</c:v>
                </c:pt>
                <c:pt idx="22">
                  <c:v>-235870.2066666666</c:v>
                </c:pt>
                <c:pt idx="23">
                  <c:v>-235870.2066666666</c:v>
                </c:pt>
                <c:pt idx="24">
                  <c:v>-235870.2066666666</c:v>
                </c:pt>
                <c:pt idx="25">
                  <c:v>-5.35814899666667E6</c:v>
                </c:pt>
                <c:pt idx="26">
                  <c:v>1.86472419166667E7</c:v>
                </c:pt>
                <c:pt idx="27">
                  <c:v>1.86472419166667E7</c:v>
                </c:pt>
                <c:pt idx="28">
                  <c:v>1.86517419166667E7</c:v>
                </c:pt>
                <c:pt idx="29">
                  <c:v>1.86517419166667E7</c:v>
                </c:pt>
                <c:pt idx="30">
                  <c:v>3.53174191666667E6</c:v>
                </c:pt>
                <c:pt idx="31">
                  <c:v>3.53174191666667E6</c:v>
                </c:pt>
                <c:pt idx="32">
                  <c:v>-995870.2066666666</c:v>
                </c:pt>
                <c:pt idx="33">
                  <c:v>-693870.2066666666</c:v>
                </c:pt>
                <c:pt idx="34">
                  <c:v>-235870.2066666666</c:v>
                </c:pt>
                <c:pt idx="35">
                  <c:v>-235870.2066666666</c:v>
                </c:pt>
                <c:pt idx="36">
                  <c:v>-235870.2066666666</c:v>
                </c:pt>
                <c:pt idx="37">
                  <c:v>-5.35814899666667E6</c:v>
                </c:pt>
                <c:pt idx="38">
                  <c:v>1.86472419166667E7</c:v>
                </c:pt>
                <c:pt idx="39">
                  <c:v>1.86472419166667E7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ОПУ!$A$21</c:f>
              <c:strCache>
                <c:ptCount val="1"/>
                <c:pt idx="0">
                  <c:v>EBITDA</c:v>
                </c:pt>
              </c:strCache>
            </c:strRef>
          </c:tx>
          <c:marker>
            <c:symbol val="none"/>
          </c:marker>
          <c:cat>
            <c:numRef>
              <c:f>ОПУ!$B$19:$AO$19</c:f>
              <c:numCache>
                <c:formatCode>m/d/yy</c:formatCode>
                <c:ptCount val="40"/>
                <c:pt idx="0">
                  <c:v>43678.0</c:v>
                </c:pt>
                <c:pt idx="1">
                  <c:v>43709.0</c:v>
                </c:pt>
                <c:pt idx="2">
                  <c:v>43739.0</c:v>
                </c:pt>
                <c:pt idx="3">
                  <c:v>43770.0</c:v>
                </c:pt>
                <c:pt idx="4">
                  <c:v>43800.0</c:v>
                </c:pt>
                <c:pt idx="5">
                  <c:v>43831.0</c:v>
                </c:pt>
                <c:pt idx="6">
                  <c:v>43862.0</c:v>
                </c:pt>
                <c:pt idx="7">
                  <c:v>43891.0</c:v>
                </c:pt>
                <c:pt idx="8">
                  <c:v>43922.0</c:v>
                </c:pt>
                <c:pt idx="9">
                  <c:v>43952.0</c:v>
                </c:pt>
                <c:pt idx="10">
                  <c:v>43983.0</c:v>
                </c:pt>
                <c:pt idx="11">
                  <c:v>44013.0</c:v>
                </c:pt>
                <c:pt idx="12">
                  <c:v>44044.0</c:v>
                </c:pt>
                <c:pt idx="13">
                  <c:v>44075.0</c:v>
                </c:pt>
                <c:pt idx="14">
                  <c:v>44105.0</c:v>
                </c:pt>
                <c:pt idx="15">
                  <c:v>44136.0</c:v>
                </c:pt>
                <c:pt idx="16">
                  <c:v>44166.0</c:v>
                </c:pt>
                <c:pt idx="17">
                  <c:v>44197.0</c:v>
                </c:pt>
                <c:pt idx="18">
                  <c:v>44228.0</c:v>
                </c:pt>
                <c:pt idx="19">
                  <c:v>44256.0</c:v>
                </c:pt>
                <c:pt idx="20">
                  <c:v>44287.0</c:v>
                </c:pt>
                <c:pt idx="21">
                  <c:v>44317.0</c:v>
                </c:pt>
                <c:pt idx="22">
                  <c:v>44348.0</c:v>
                </c:pt>
                <c:pt idx="23">
                  <c:v>44378.0</c:v>
                </c:pt>
                <c:pt idx="24">
                  <c:v>44409.0</c:v>
                </c:pt>
                <c:pt idx="25">
                  <c:v>44440.0</c:v>
                </c:pt>
                <c:pt idx="26">
                  <c:v>44470.0</c:v>
                </c:pt>
                <c:pt idx="27">
                  <c:v>44501.0</c:v>
                </c:pt>
                <c:pt idx="28">
                  <c:v>44531.0</c:v>
                </c:pt>
                <c:pt idx="29">
                  <c:v>44562.0</c:v>
                </c:pt>
                <c:pt idx="30">
                  <c:v>44593.0</c:v>
                </c:pt>
                <c:pt idx="31">
                  <c:v>44621.0</c:v>
                </c:pt>
                <c:pt idx="32">
                  <c:v>44652.0</c:v>
                </c:pt>
                <c:pt idx="33">
                  <c:v>44682.0</c:v>
                </c:pt>
                <c:pt idx="34">
                  <c:v>44713.0</c:v>
                </c:pt>
                <c:pt idx="35">
                  <c:v>44743.0</c:v>
                </c:pt>
                <c:pt idx="36">
                  <c:v>44774.0</c:v>
                </c:pt>
                <c:pt idx="37">
                  <c:v>44805.0</c:v>
                </c:pt>
                <c:pt idx="38">
                  <c:v>44835.0</c:v>
                </c:pt>
                <c:pt idx="39">
                  <c:v>44866.0</c:v>
                </c:pt>
              </c:numCache>
            </c:numRef>
          </c:cat>
          <c:val>
            <c:numRef>
              <c:f>ОПУ!$B$21:$AO$21</c:f>
              <c:numCache>
                <c:formatCode>#\ ##0.00_ ;\-#\ ##0.00\ </c:formatCode>
                <c:ptCount val="40"/>
                <c:pt idx="0">
                  <c:v>-269000.0</c:v>
                </c:pt>
                <c:pt idx="1">
                  <c:v>-1.515905758E7</c:v>
                </c:pt>
                <c:pt idx="2">
                  <c:v>1.1641209E7</c:v>
                </c:pt>
                <c:pt idx="3">
                  <c:v>1.1639809E7</c:v>
                </c:pt>
                <c:pt idx="4">
                  <c:v>4.645709E6</c:v>
                </c:pt>
                <c:pt idx="5">
                  <c:v>4.645709E6</c:v>
                </c:pt>
                <c:pt idx="6">
                  <c:v>-213666.0</c:v>
                </c:pt>
                <c:pt idx="7">
                  <c:v>-213666.0</c:v>
                </c:pt>
                <c:pt idx="8">
                  <c:v>-2.45794479E6</c:v>
                </c:pt>
                <c:pt idx="9">
                  <c:v>-705944.79</c:v>
                </c:pt>
                <c:pt idx="10">
                  <c:v>-247944.79</c:v>
                </c:pt>
                <c:pt idx="11">
                  <c:v>-247944.79</c:v>
                </c:pt>
                <c:pt idx="12">
                  <c:v>-247944.79</c:v>
                </c:pt>
                <c:pt idx="13">
                  <c:v>-5.37022358E6</c:v>
                </c:pt>
                <c:pt idx="14">
                  <c:v>2.33547506666667E7</c:v>
                </c:pt>
                <c:pt idx="15">
                  <c:v>2.33547506666667E7</c:v>
                </c:pt>
                <c:pt idx="16">
                  <c:v>2.33592506666667E7</c:v>
                </c:pt>
                <c:pt idx="17">
                  <c:v>2.33592506666667E7</c:v>
                </c:pt>
                <c:pt idx="18">
                  <c:v>4.45925066666667E6</c:v>
                </c:pt>
                <c:pt idx="19">
                  <c:v>4.45925066666667E6</c:v>
                </c:pt>
                <c:pt idx="20">
                  <c:v>-1.02484479E6</c:v>
                </c:pt>
                <c:pt idx="21">
                  <c:v>-722844.79</c:v>
                </c:pt>
                <c:pt idx="22">
                  <c:v>-264844.79</c:v>
                </c:pt>
                <c:pt idx="23">
                  <c:v>-264844.79</c:v>
                </c:pt>
                <c:pt idx="24">
                  <c:v>-264844.79</c:v>
                </c:pt>
                <c:pt idx="25">
                  <c:v>-5.38712358E6</c:v>
                </c:pt>
                <c:pt idx="26">
                  <c:v>2.33378506666667E7</c:v>
                </c:pt>
                <c:pt idx="27">
                  <c:v>2.33378506666667E7</c:v>
                </c:pt>
                <c:pt idx="28">
                  <c:v>2.33423506666667E7</c:v>
                </c:pt>
                <c:pt idx="29">
                  <c:v>2.33423506666667E7</c:v>
                </c:pt>
                <c:pt idx="30">
                  <c:v>4.44235066666667E6</c:v>
                </c:pt>
                <c:pt idx="31">
                  <c:v>4.44235066666667E6</c:v>
                </c:pt>
                <c:pt idx="32">
                  <c:v>-1.02484479E6</c:v>
                </c:pt>
                <c:pt idx="33">
                  <c:v>-722844.79</c:v>
                </c:pt>
                <c:pt idx="34">
                  <c:v>-264844.79</c:v>
                </c:pt>
                <c:pt idx="35">
                  <c:v>-264844.79</c:v>
                </c:pt>
                <c:pt idx="36">
                  <c:v>-264844.79</c:v>
                </c:pt>
                <c:pt idx="37">
                  <c:v>-5.38712358E6</c:v>
                </c:pt>
                <c:pt idx="38">
                  <c:v>2.33378506666667E7</c:v>
                </c:pt>
                <c:pt idx="39">
                  <c:v>2.33378506666667E7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ОПУ!$A$22</c:f>
              <c:strCache>
                <c:ptCount val="1"/>
                <c:pt idx="0">
                  <c:v>EBIT</c:v>
                </c:pt>
              </c:strCache>
            </c:strRef>
          </c:tx>
          <c:marker>
            <c:symbol val="none"/>
          </c:marker>
          <c:cat>
            <c:numRef>
              <c:f>ОПУ!$B$19:$AO$19</c:f>
              <c:numCache>
                <c:formatCode>m/d/yy</c:formatCode>
                <c:ptCount val="40"/>
                <c:pt idx="0">
                  <c:v>43678.0</c:v>
                </c:pt>
                <c:pt idx="1">
                  <c:v>43709.0</c:v>
                </c:pt>
                <c:pt idx="2">
                  <c:v>43739.0</c:v>
                </c:pt>
                <c:pt idx="3">
                  <c:v>43770.0</c:v>
                </c:pt>
                <c:pt idx="4">
                  <c:v>43800.0</c:v>
                </c:pt>
                <c:pt idx="5">
                  <c:v>43831.0</c:v>
                </c:pt>
                <c:pt idx="6">
                  <c:v>43862.0</c:v>
                </c:pt>
                <c:pt idx="7">
                  <c:v>43891.0</c:v>
                </c:pt>
                <c:pt idx="8">
                  <c:v>43922.0</c:v>
                </c:pt>
                <c:pt idx="9">
                  <c:v>43952.0</c:v>
                </c:pt>
                <c:pt idx="10">
                  <c:v>43983.0</c:v>
                </c:pt>
                <c:pt idx="11">
                  <c:v>44013.0</c:v>
                </c:pt>
                <c:pt idx="12">
                  <c:v>44044.0</c:v>
                </c:pt>
                <c:pt idx="13">
                  <c:v>44075.0</c:v>
                </c:pt>
                <c:pt idx="14">
                  <c:v>44105.0</c:v>
                </c:pt>
                <c:pt idx="15">
                  <c:v>44136.0</c:v>
                </c:pt>
                <c:pt idx="16">
                  <c:v>44166.0</c:v>
                </c:pt>
                <c:pt idx="17">
                  <c:v>44197.0</c:v>
                </c:pt>
                <c:pt idx="18">
                  <c:v>44228.0</c:v>
                </c:pt>
                <c:pt idx="19">
                  <c:v>44256.0</c:v>
                </c:pt>
                <c:pt idx="20">
                  <c:v>44287.0</c:v>
                </c:pt>
                <c:pt idx="21">
                  <c:v>44317.0</c:v>
                </c:pt>
                <c:pt idx="22">
                  <c:v>44348.0</c:v>
                </c:pt>
                <c:pt idx="23">
                  <c:v>44378.0</c:v>
                </c:pt>
                <c:pt idx="24">
                  <c:v>44409.0</c:v>
                </c:pt>
                <c:pt idx="25">
                  <c:v>44440.0</c:v>
                </c:pt>
                <c:pt idx="26">
                  <c:v>44470.0</c:v>
                </c:pt>
                <c:pt idx="27">
                  <c:v>44501.0</c:v>
                </c:pt>
                <c:pt idx="28">
                  <c:v>44531.0</c:v>
                </c:pt>
                <c:pt idx="29">
                  <c:v>44562.0</c:v>
                </c:pt>
                <c:pt idx="30">
                  <c:v>44593.0</c:v>
                </c:pt>
                <c:pt idx="31">
                  <c:v>44621.0</c:v>
                </c:pt>
                <c:pt idx="32">
                  <c:v>44652.0</c:v>
                </c:pt>
                <c:pt idx="33">
                  <c:v>44682.0</c:v>
                </c:pt>
                <c:pt idx="34">
                  <c:v>44713.0</c:v>
                </c:pt>
                <c:pt idx="35">
                  <c:v>44743.0</c:v>
                </c:pt>
                <c:pt idx="36">
                  <c:v>44774.0</c:v>
                </c:pt>
                <c:pt idx="37">
                  <c:v>44805.0</c:v>
                </c:pt>
                <c:pt idx="38">
                  <c:v>44835.0</c:v>
                </c:pt>
                <c:pt idx="39">
                  <c:v>44866.0</c:v>
                </c:pt>
              </c:numCache>
            </c:numRef>
          </c:cat>
          <c:val>
            <c:numRef>
              <c:f>ОПУ!$B$22:$AO$22</c:f>
              <c:numCache>
                <c:formatCode>#\ ##0.00_ ;\-#\ ##0.00\ </c:formatCode>
                <c:ptCount val="40"/>
                <c:pt idx="0">
                  <c:v>-244377.0833333333</c:v>
                </c:pt>
                <c:pt idx="1">
                  <c:v>-1.51344346633333E7</c:v>
                </c:pt>
                <c:pt idx="2">
                  <c:v>1.16658319166667E7</c:v>
                </c:pt>
                <c:pt idx="3">
                  <c:v>1.16644319166667E7</c:v>
                </c:pt>
                <c:pt idx="4">
                  <c:v>4.67033191666667E6</c:v>
                </c:pt>
                <c:pt idx="5">
                  <c:v>4.67033191666667E6</c:v>
                </c:pt>
                <c:pt idx="6">
                  <c:v>-189043.0833333333</c:v>
                </c:pt>
                <c:pt idx="7">
                  <c:v>-189043.0833333333</c:v>
                </c:pt>
                <c:pt idx="8">
                  <c:v>-2.42728020666667E6</c:v>
                </c:pt>
                <c:pt idx="9">
                  <c:v>-675280.2066666666</c:v>
                </c:pt>
                <c:pt idx="10">
                  <c:v>-217280.2066666667</c:v>
                </c:pt>
                <c:pt idx="11">
                  <c:v>-217280.2066666667</c:v>
                </c:pt>
                <c:pt idx="12">
                  <c:v>-217280.2066666667</c:v>
                </c:pt>
                <c:pt idx="13">
                  <c:v>-5.33955899666667E6</c:v>
                </c:pt>
                <c:pt idx="14">
                  <c:v>2.338541525E7</c:v>
                </c:pt>
                <c:pt idx="15">
                  <c:v>2.338541525E7</c:v>
                </c:pt>
                <c:pt idx="16">
                  <c:v>2.338991525E7</c:v>
                </c:pt>
                <c:pt idx="17">
                  <c:v>2.338991525E7</c:v>
                </c:pt>
                <c:pt idx="18">
                  <c:v>4.48991525E6</c:v>
                </c:pt>
                <c:pt idx="19">
                  <c:v>4.48991525E6</c:v>
                </c:pt>
                <c:pt idx="20">
                  <c:v>-995870.2066666666</c:v>
                </c:pt>
                <c:pt idx="21">
                  <c:v>-693870.2066666666</c:v>
                </c:pt>
                <c:pt idx="22">
                  <c:v>-235870.2066666666</c:v>
                </c:pt>
                <c:pt idx="23">
                  <c:v>-235870.2066666666</c:v>
                </c:pt>
                <c:pt idx="24">
                  <c:v>-235870.2066666666</c:v>
                </c:pt>
                <c:pt idx="25">
                  <c:v>-5.35814899666667E6</c:v>
                </c:pt>
                <c:pt idx="26">
                  <c:v>2.336682525E7</c:v>
                </c:pt>
                <c:pt idx="27">
                  <c:v>2.336682525E7</c:v>
                </c:pt>
                <c:pt idx="28">
                  <c:v>2.337132525E7</c:v>
                </c:pt>
                <c:pt idx="29">
                  <c:v>2.337132525E7</c:v>
                </c:pt>
                <c:pt idx="30">
                  <c:v>4.47132525E6</c:v>
                </c:pt>
                <c:pt idx="31">
                  <c:v>4.47132525E6</c:v>
                </c:pt>
                <c:pt idx="32">
                  <c:v>-995870.2066666666</c:v>
                </c:pt>
                <c:pt idx="33">
                  <c:v>-693870.2066666666</c:v>
                </c:pt>
                <c:pt idx="34">
                  <c:v>-235870.2066666666</c:v>
                </c:pt>
                <c:pt idx="35">
                  <c:v>-235870.2066666666</c:v>
                </c:pt>
                <c:pt idx="36">
                  <c:v>-235870.2066666666</c:v>
                </c:pt>
                <c:pt idx="37">
                  <c:v>-5.35814899666667E6</c:v>
                </c:pt>
                <c:pt idx="38">
                  <c:v>2.336682525E7</c:v>
                </c:pt>
                <c:pt idx="39">
                  <c:v>2.336682525E7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488824"/>
        <c:axId val="2091496072"/>
      </c:lineChart>
      <c:dateAx>
        <c:axId val="209148882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2091496072"/>
        <c:crosses val="autoZero"/>
        <c:auto val="1"/>
        <c:lblOffset val="100"/>
        <c:baseTimeUnit val="months"/>
      </c:dateAx>
      <c:valAx>
        <c:axId val="2091496072"/>
        <c:scaling>
          <c:orientation val="minMax"/>
        </c:scaling>
        <c:delete val="0"/>
        <c:axPos val="l"/>
        <c:majorGridlines/>
        <c:numFmt formatCode="#\ ##0.00_ ;\-#\ ##0.00\ " sourceLinked="1"/>
        <c:majorTickMark val="out"/>
        <c:minorTickMark val="none"/>
        <c:tickLblPos val="nextTo"/>
        <c:crossAx val="2091488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7</xdr:row>
      <xdr:rowOff>184150</xdr:rowOff>
    </xdr:from>
    <xdr:to>
      <xdr:col>16</xdr:col>
      <xdr:colOff>520700</xdr:colOff>
      <xdr:row>27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774700</xdr:colOff>
      <xdr:row>26</xdr:row>
      <xdr:rowOff>12700</xdr:rowOff>
    </xdr:from>
    <xdr:to>
      <xdr:col>18</xdr:col>
      <xdr:colOff>469900</xdr:colOff>
      <xdr:row>45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baseColWidth="10" defaultRowHeight="15" x14ac:dyDescent="0"/>
  <cols>
    <col min="1" max="1" width="20" bestFit="1" customWidth="1"/>
  </cols>
  <sheetData>
    <row r="1" spans="1:2">
      <c r="A1" s="21" t="s">
        <v>63</v>
      </c>
      <c r="B1" s="44">
        <v>43678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tabSelected="1" workbookViewId="0">
      <selection activeCell="B11" sqref="B11:AO11"/>
    </sheetView>
  </sheetViews>
  <sheetFormatPr baseColWidth="10" defaultRowHeight="15" x14ac:dyDescent="0"/>
  <cols>
    <col min="1" max="1" width="29.83203125" style="40" customWidth="1"/>
    <col min="2" max="2" width="15.6640625" bestFit="1" customWidth="1"/>
    <col min="3" max="3" width="15.5" bestFit="1" customWidth="1"/>
    <col min="4" max="4" width="14.6640625" bestFit="1" customWidth="1"/>
    <col min="5" max="6" width="15.6640625" bestFit="1" customWidth="1"/>
    <col min="7" max="7" width="15.5" bestFit="1" customWidth="1"/>
    <col min="8" max="14" width="16.5" bestFit="1" customWidth="1"/>
    <col min="15" max="15" width="14.5" bestFit="1" customWidth="1"/>
    <col min="27" max="27" width="11.33203125" bestFit="1" customWidth="1"/>
    <col min="39" max="39" width="11.33203125" bestFit="1" customWidth="1"/>
  </cols>
  <sheetData>
    <row r="1" spans="1:42" s="46" customFormat="1">
      <c r="A1" s="10"/>
      <c r="B1" s="59">
        <f>СОК!B1</f>
        <v>2019</v>
      </c>
      <c r="C1" s="59">
        <f>СОК!C1</f>
        <v>2019</v>
      </c>
      <c r="D1" s="59">
        <f>СОК!D1</f>
        <v>2019</v>
      </c>
      <c r="E1" s="59">
        <f>СОК!E1</f>
        <v>2019</v>
      </c>
      <c r="F1" s="59">
        <f>СОК!F1</f>
        <v>2019</v>
      </c>
      <c r="G1" s="23">
        <f>СОК!G1</f>
        <v>2020</v>
      </c>
      <c r="H1" s="23">
        <f>СОК!H1</f>
        <v>2020</v>
      </c>
      <c r="I1" s="23">
        <f>СОК!I1</f>
        <v>2020</v>
      </c>
      <c r="J1" s="23">
        <f>СОК!J1</f>
        <v>2020</v>
      </c>
      <c r="K1" s="23">
        <f>СОК!K1</f>
        <v>2020</v>
      </c>
      <c r="L1" s="23">
        <f>СОК!L1</f>
        <v>2020</v>
      </c>
      <c r="M1" s="23">
        <f>СОК!M1</f>
        <v>2020</v>
      </c>
      <c r="N1" s="23">
        <f>СОК!N1</f>
        <v>2020</v>
      </c>
      <c r="O1" s="23">
        <f>СОК!O1</f>
        <v>2020</v>
      </c>
      <c r="P1" s="23">
        <f>СОК!P1</f>
        <v>2020</v>
      </c>
      <c r="Q1" s="23">
        <f>СОК!Q1</f>
        <v>2020</v>
      </c>
      <c r="R1" s="23">
        <f>СОК!R1</f>
        <v>2020</v>
      </c>
      <c r="S1" s="23">
        <f>СОК!S1</f>
        <v>2021</v>
      </c>
      <c r="T1" s="23">
        <f>СОК!T1</f>
        <v>2021</v>
      </c>
      <c r="U1" s="23">
        <f>СОК!U1</f>
        <v>2021</v>
      </c>
      <c r="V1" s="23">
        <f>СОК!V1</f>
        <v>2021</v>
      </c>
      <c r="W1" s="23">
        <f>СОК!W1</f>
        <v>2021</v>
      </c>
      <c r="X1" s="23">
        <f>СОК!X1</f>
        <v>2021</v>
      </c>
      <c r="Y1" s="23">
        <f>СОК!Y1</f>
        <v>2021</v>
      </c>
      <c r="Z1" s="23">
        <f>СОК!Z1</f>
        <v>2021</v>
      </c>
      <c r="AA1" s="23">
        <f>СОК!AA1</f>
        <v>2021</v>
      </c>
      <c r="AB1" s="23">
        <f>СОК!AB1</f>
        <v>2021</v>
      </c>
      <c r="AC1" s="23">
        <f>СОК!AC1</f>
        <v>2021</v>
      </c>
      <c r="AD1" s="23">
        <f>СОК!AD1</f>
        <v>2021</v>
      </c>
      <c r="AE1" s="23">
        <f>СОК!AE1</f>
        <v>2022</v>
      </c>
      <c r="AF1" s="23">
        <f>СОК!AF1</f>
        <v>2022</v>
      </c>
      <c r="AG1" s="23">
        <f>СОК!AG1</f>
        <v>2022</v>
      </c>
      <c r="AH1" s="23">
        <f>СОК!AH1</f>
        <v>2022</v>
      </c>
      <c r="AI1" s="23">
        <f>СОК!AI1</f>
        <v>2022</v>
      </c>
      <c r="AJ1" s="23">
        <f>СОК!AJ1</f>
        <v>2022</v>
      </c>
      <c r="AK1" s="23">
        <f>СОК!AK1</f>
        <v>2022</v>
      </c>
      <c r="AL1" s="23">
        <f>СОК!AL1</f>
        <v>2022</v>
      </c>
      <c r="AM1" s="23">
        <f>СОК!AM1</f>
        <v>2022</v>
      </c>
      <c r="AN1" s="23">
        <f>СОК!AN1</f>
        <v>2022</v>
      </c>
      <c r="AO1" s="23">
        <f>СОК!AO1</f>
        <v>2022</v>
      </c>
      <c r="AP1" s="121" t="s">
        <v>65</v>
      </c>
    </row>
    <row r="2" spans="1:42" s="46" customFormat="1">
      <c r="A2" s="20" t="s">
        <v>50</v>
      </c>
      <c r="B2" s="60">
        <f>СОК!B2</f>
        <v>43678</v>
      </c>
      <c r="C2" s="60">
        <f>СОК!C2</f>
        <v>43709</v>
      </c>
      <c r="D2" s="60">
        <f>СОК!D2</f>
        <v>43739</v>
      </c>
      <c r="E2" s="60">
        <f>СОК!E2</f>
        <v>43770</v>
      </c>
      <c r="F2" s="60">
        <f>СОК!F2</f>
        <v>43800</v>
      </c>
      <c r="G2" s="51">
        <f>СОК!G2</f>
        <v>43831</v>
      </c>
      <c r="H2" s="51">
        <f>СОК!H2</f>
        <v>43862</v>
      </c>
      <c r="I2" s="51">
        <f>СОК!I2</f>
        <v>43891</v>
      </c>
      <c r="J2" s="51">
        <f>СОК!J2</f>
        <v>43922</v>
      </c>
      <c r="K2" s="51">
        <f>СОК!K2</f>
        <v>43952</v>
      </c>
      <c r="L2" s="51">
        <f>СОК!L2</f>
        <v>43983</v>
      </c>
      <c r="M2" s="51">
        <f>СОК!M2</f>
        <v>44013</v>
      </c>
      <c r="N2" s="51">
        <f>СОК!N2</f>
        <v>44044</v>
      </c>
      <c r="O2" s="51">
        <f>СОК!O2</f>
        <v>44075</v>
      </c>
      <c r="P2" s="51">
        <f>СОК!P2</f>
        <v>44105</v>
      </c>
      <c r="Q2" s="51">
        <f>СОК!Q2</f>
        <v>44136</v>
      </c>
      <c r="R2" s="51">
        <f>СОК!R2</f>
        <v>44166</v>
      </c>
      <c r="S2" s="51">
        <f>СОК!S2</f>
        <v>44197</v>
      </c>
      <c r="T2" s="51">
        <f>СОК!T2</f>
        <v>44228</v>
      </c>
      <c r="U2" s="51">
        <f>СОК!U2</f>
        <v>44256</v>
      </c>
      <c r="V2" s="51">
        <f>СОК!V2</f>
        <v>44287</v>
      </c>
      <c r="W2" s="51">
        <f>СОК!W2</f>
        <v>44317</v>
      </c>
      <c r="X2" s="51">
        <f>СОК!X2</f>
        <v>44348</v>
      </c>
      <c r="Y2" s="51">
        <f>СОК!Y2</f>
        <v>44378</v>
      </c>
      <c r="Z2" s="51">
        <f>СОК!Z2</f>
        <v>44409</v>
      </c>
      <c r="AA2" s="51">
        <f>СОК!AA2</f>
        <v>44440</v>
      </c>
      <c r="AB2" s="51">
        <f>СОК!AB2</f>
        <v>44470</v>
      </c>
      <c r="AC2" s="51">
        <f>СОК!AC2</f>
        <v>44501</v>
      </c>
      <c r="AD2" s="51">
        <f>СОК!AD2</f>
        <v>44531</v>
      </c>
      <c r="AE2" s="51">
        <f>СОК!AE2</f>
        <v>44562</v>
      </c>
      <c r="AF2" s="51">
        <f>СОК!AF2</f>
        <v>44593</v>
      </c>
      <c r="AG2" s="51">
        <f>СОК!AG2</f>
        <v>44621</v>
      </c>
      <c r="AH2" s="51">
        <f>СОК!AH2</f>
        <v>44652</v>
      </c>
      <c r="AI2" s="51">
        <f>СОК!AI2</f>
        <v>44682</v>
      </c>
      <c r="AJ2" s="51">
        <f>СОК!AJ2</f>
        <v>44713</v>
      </c>
      <c r="AK2" s="51">
        <f>СОК!AK2</f>
        <v>44743</v>
      </c>
      <c r="AL2" s="51">
        <f>СОК!AL2</f>
        <v>44774</v>
      </c>
      <c r="AM2" s="51">
        <f>СОК!AM2</f>
        <v>44805</v>
      </c>
      <c r="AN2" s="51">
        <f>СОК!AN2</f>
        <v>44835</v>
      </c>
      <c r="AO2" s="51">
        <f>СОК!AO2</f>
        <v>44866</v>
      </c>
      <c r="AP2" s="121"/>
    </row>
    <row r="3" spans="1:42">
      <c r="A3" s="11" t="s">
        <v>30</v>
      </c>
      <c r="B3" s="14">
        <f>ОПУ!B13</f>
        <v>-269000</v>
      </c>
      <c r="C3" s="14">
        <f>ОПУ!C13</f>
        <v>-15159057.58</v>
      </c>
      <c r="D3" s="14">
        <f>ОПУ!D13</f>
        <v>11641209</v>
      </c>
      <c r="E3" s="14">
        <f>ОПУ!E13</f>
        <v>11639809</v>
      </c>
      <c r="F3" s="14">
        <f>ОПУ!F13</f>
        <v>4645709</v>
      </c>
      <c r="G3" s="14">
        <f>ОПУ!G13</f>
        <v>4645709</v>
      </c>
      <c r="H3" s="14">
        <f>ОПУ!H13</f>
        <v>-213666</v>
      </c>
      <c r="I3" s="14">
        <f>ОПУ!I13</f>
        <v>-213666</v>
      </c>
      <c r="J3" s="14">
        <f>ОПУ!J13</f>
        <v>-2457944.79</v>
      </c>
      <c r="K3" s="14">
        <f>ОПУ!K13</f>
        <v>-705944.79</v>
      </c>
      <c r="L3" s="14">
        <f>ОПУ!L13</f>
        <v>-247944.79</v>
      </c>
      <c r="M3" s="14">
        <f>ОПУ!M13</f>
        <v>-247944.79</v>
      </c>
      <c r="N3" s="14">
        <f>ОПУ!N13</f>
        <v>-247944.79</v>
      </c>
      <c r="O3" s="14">
        <f>ОПУ!O13</f>
        <v>-5370223.5800000001</v>
      </c>
      <c r="P3" s="14">
        <f>ОПУ!P13</f>
        <v>23354750.666666675</v>
      </c>
      <c r="Q3" s="14">
        <f>ОПУ!Q13</f>
        <v>23354750.666666675</v>
      </c>
      <c r="R3" s="14">
        <f>ОПУ!R13</f>
        <v>23359250.666666675</v>
      </c>
      <c r="S3" s="14">
        <f>ОПУ!S13</f>
        <v>23359250.666666675</v>
      </c>
      <c r="T3" s="14">
        <f>ОПУ!T13</f>
        <v>4459250.666666667</v>
      </c>
      <c r="U3" s="14">
        <f>ОПУ!U13</f>
        <v>4459250.666666667</v>
      </c>
      <c r="V3" s="14">
        <f>ОПУ!V13</f>
        <v>-1024844.79</v>
      </c>
      <c r="W3" s="14">
        <f>ОПУ!W13</f>
        <v>-722844.79</v>
      </c>
      <c r="X3" s="14">
        <f>ОПУ!X13</f>
        <v>-264844.78999999998</v>
      </c>
      <c r="Y3" s="14">
        <f>ОПУ!Y13</f>
        <v>-264844.78999999998</v>
      </c>
      <c r="Z3" s="14">
        <f>ОПУ!Z13</f>
        <v>-264844.78999999998</v>
      </c>
      <c r="AA3" s="14">
        <f>ОПУ!AA13</f>
        <v>-5387123.5800000001</v>
      </c>
      <c r="AB3" s="14">
        <f>ОПУ!AB13</f>
        <v>23337850.666666675</v>
      </c>
      <c r="AC3" s="14">
        <f>ОПУ!AC13</f>
        <v>23337850.666666675</v>
      </c>
      <c r="AD3" s="14">
        <f>ОПУ!AD13</f>
        <v>23342350.666666675</v>
      </c>
      <c r="AE3" s="14">
        <f>ОПУ!AE13</f>
        <v>23342350.666666675</v>
      </c>
      <c r="AF3" s="14">
        <f>ОПУ!AF13</f>
        <v>4442350.666666667</v>
      </c>
      <c r="AG3" s="14">
        <f>ОПУ!AG13</f>
        <v>4442350.666666667</v>
      </c>
      <c r="AH3" s="14">
        <f>ОПУ!AH13</f>
        <v>-1024844.79</v>
      </c>
      <c r="AI3" s="14">
        <f>ОПУ!AI13</f>
        <v>-722844.79</v>
      </c>
      <c r="AJ3" s="14">
        <f>ОПУ!AJ13</f>
        <v>-264844.78999999998</v>
      </c>
      <c r="AK3" s="14">
        <f>ОПУ!AK13</f>
        <v>-264844.78999999998</v>
      </c>
      <c r="AL3" s="14">
        <f>ОПУ!AL13</f>
        <v>-264844.78999999998</v>
      </c>
      <c r="AM3" s="14">
        <f>ОПУ!AM13</f>
        <v>-5387123.5800000001</v>
      </c>
      <c r="AN3" s="14">
        <f>ОПУ!AN13</f>
        <v>23337850.666666675</v>
      </c>
      <c r="AO3" s="14">
        <f>ОПУ!AO13</f>
        <v>23337850.666666675</v>
      </c>
      <c r="AP3" s="3"/>
    </row>
    <row r="4" spans="1:42">
      <c r="A4" s="11" t="s">
        <v>29</v>
      </c>
      <c r="B4" s="14">
        <f>Прибыль!B30</f>
        <v>0</v>
      </c>
      <c r="C4" s="14">
        <f>Прибыль!C30</f>
        <v>0</v>
      </c>
      <c r="D4" s="14">
        <f>Прибыль!D30</f>
        <v>2371875</v>
      </c>
      <c r="E4" s="14">
        <f>Прибыль!E30</f>
        <v>2371875</v>
      </c>
      <c r="F4" s="14">
        <f>Прибыль!F30</f>
        <v>971875</v>
      </c>
      <c r="G4" s="14">
        <f>Прибыль!G30</f>
        <v>971875</v>
      </c>
      <c r="H4" s="14">
        <f>Прибыль!H30</f>
        <v>0</v>
      </c>
      <c r="I4" s="14">
        <f>Прибыль!I30</f>
        <v>0</v>
      </c>
      <c r="J4" s="14">
        <f>Прибыль!J30</f>
        <v>0</v>
      </c>
      <c r="K4" s="14">
        <f>Прибыль!K30</f>
        <v>0</v>
      </c>
      <c r="L4" s="14">
        <f>Прибыль!L30</f>
        <v>0</v>
      </c>
      <c r="M4" s="14">
        <f>Прибыль!M30</f>
        <v>0</v>
      </c>
      <c r="N4" s="14">
        <f>Прибыль!N30</f>
        <v>0</v>
      </c>
      <c r="O4" s="14">
        <f>Прибыль!O30</f>
        <v>0</v>
      </c>
      <c r="P4" s="14">
        <f>Прибыль!P30</f>
        <v>4719583.3333333349</v>
      </c>
      <c r="Q4" s="14">
        <f>Прибыль!Q30</f>
        <v>4719583.3333333349</v>
      </c>
      <c r="R4" s="14">
        <f>Прибыль!R30</f>
        <v>4719583.3333333349</v>
      </c>
      <c r="S4" s="14">
        <f>Прибыль!S30</f>
        <v>4719583.3333333349</v>
      </c>
      <c r="T4" s="14">
        <f>Прибыль!T30</f>
        <v>939583.33333333349</v>
      </c>
      <c r="U4" s="14">
        <f>Прибыль!U30</f>
        <v>939583.33333333349</v>
      </c>
      <c r="V4" s="14">
        <f>Прибыль!V30</f>
        <v>0</v>
      </c>
      <c r="W4" s="14">
        <f>Прибыль!W30</f>
        <v>0</v>
      </c>
      <c r="X4" s="14">
        <f>Прибыль!X30</f>
        <v>0</v>
      </c>
      <c r="Y4" s="14">
        <f>Прибыль!Y30</f>
        <v>0</v>
      </c>
      <c r="Z4" s="14">
        <f>Прибыль!Z30</f>
        <v>0</v>
      </c>
      <c r="AA4" s="14">
        <f>Прибыль!AA30</f>
        <v>0</v>
      </c>
      <c r="AB4" s="14">
        <f>Прибыль!AB30</f>
        <v>4719583.3333333349</v>
      </c>
      <c r="AC4" s="14">
        <f>Прибыль!AC30</f>
        <v>4719583.3333333349</v>
      </c>
      <c r="AD4" s="14">
        <f>Прибыль!AD30</f>
        <v>4719583.3333333349</v>
      </c>
      <c r="AE4" s="14">
        <f>Прибыль!AE30</f>
        <v>4719583.3333333349</v>
      </c>
      <c r="AF4" s="14">
        <f>Прибыль!AF30</f>
        <v>939583.33333333349</v>
      </c>
      <c r="AG4" s="14">
        <f>Прибыль!AG30</f>
        <v>939583.33333333349</v>
      </c>
      <c r="AH4" s="14">
        <f>Прибыль!AH30</f>
        <v>0</v>
      </c>
      <c r="AI4" s="14">
        <f>Прибыль!AI30</f>
        <v>0</v>
      </c>
      <c r="AJ4" s="14">
        <f>Прибыль!AJ30</f>
        <v>0</v>
      </c>
      <c r="AK4" s="14">
        <f>Прибыль!AK30</f>
        <v>0</v>
      </c>
      <c r="AL4" s="14">
        <f>Прибыль!AL30</f>
        <v>0</v>
      </c>
      <c r="AM4" s="14">
        <f>Прибыль!AM30</f>
        <v>0</v>
      </c>
      <c r="AN4" s="14">
        <f>Прибыль!AN30</f>
        <v>4719583.3333333349</v>
      </c>
      <c r="AO4" s="14">
        <f>Прибыль!AO30</f>
        <v>4719583.3333333349</v>
      </c>
      <c r="AP4" s="3"/>
    </row>
    <row r="5" spans="1:42">
      <c r="A5" s="11" t="s">
        <v>37</v>
      </c>
      <c r="B5" s="14">
        <f>СОК!B8</f>
        <v>-220139.11290322582</v>
      </c>
      <c r="C5" s="14">
        <f>СОК!C8</f>
        <v>-14409733.141935484</v>
      </c>
      <c r="D5" s="14">
        <f>СОК!D8</f>
        <v>12163564.432258066</v>
      </c>
      <c r="E5" s="14">
        <f>СОК!E8</f>
        <v>-1354.8387096771039</v>
      </c>
      <c r="F5" s="14">
        <f>СОК!F8</f>
        <v>1360548.3870967741</v>
      </c>
      <c r="G5" s="14">
        <f>СОК!G8</f>
        <v>0</v>
      </c>
      <c r="H5" s="14">
        <f>СОК!H8</f>
        <v>940524.19354838703</v>
      </c>
      <c r="I5" s="14">
        <f>SUM(B5:H5)</f>
        <v>-166590.08064516087</v>
      </c>
      <c r="J5" s="14">
        <f>СОК!J8</f>
        <v>-2166035.9258064516</v>
      </c>
      <c r="K5" s="14">
        <f>СОК!K8</f>
        <v>1695483.8709677418</v>
      </c>
      <c r="L5" s="14">
        <f>СОК!L8</f>
        <v>443225.80645161291</v>
      </c>
      <c r="M5" s="14">
        <f>СОК!M8</f>
        <v>0</v>
      </c>
      <c r="N5" s="14">
        <f>СОК!N8</f>
        <v>0</v>
      </c>
      <c r="O5" s="14">
        <f>СОК!O8</f>
        <v>-4957043.9903225806</v>
      </c>
      <c r="P5" s="14">
        <f>СОК!P8</f>
        <v>394329.91612903029</v>
      </c>
      <c r="Q5" s="14">
        <f>СОК!Q8</f>
        <v>0</v>
      </c>
      <c r="R5" s="14">
        <f>СОК!R8</f>
        <v>4354.8387096775696</v>
      </c>
      <c r="S5" s="14">
        <f>СОК!S8</f>
        <v>0</v>
      </c>
      <c r="T5" s="14">
        <f>СОК!T8</f>
        <v>3658064.5161290336</v>
      </c>
      <c r="U5" s="14">
        <f>СОК!U8</f>
        <v>0</v>
      </c>
      <c r="V5" s="14">
        <f>СОК!V8</f>
        <v>148456.00967741956</v>
      </c>
      <c r="W5" s="14">
        <f>СОК!W8</f>
        <v>292258.06451612909</v>
      </c>
      <c r="X5" s="14">
        <f>СОК!X8</f>
        <v>443225.80645161285</v>
      </c>
      <c r="Y5" s="14">
        <f>СОК!Y8</f>
        <v>0</v>
      </c>
      <c r="Z5" s="14">
        <f>СОК!Z8</f>
        <v>0</v>
      </c>
      <c r="AA5" s="14">
        <f>СОК!AA8</f>
        <v>-4957043.9903225806</v>
      </c>
      <c r="AB5" s="14">
        <f>СОК!AB8</f>
        <v>394329.91612903029</v>
      </c>
      <c r="AC5" s="14">
        <f>СОК!AC8</f>
        <v>0</v>
      </c>
      <c r="AD5" s="14">
        <f>СОК!AD8</f>
        <v>4354.8387096775696</v>
      </c>
      <c r="AE5" s="14">
        <f>СОК!AE8</f>
        <v>0</v>
      </c>
      <c r="AF5" s="14">
        <f>СОК!AF8</f>
        <v>3658064.5161290336</v>
      </c>
      <c r="AG5" s="14">
        <f>СОК!AG8</f>
        <v>0</v>
      </c>
      <c r="AH5" s="14">
        <f>СОК!AH8</f>
        <v>164810.84838709712</v>
      </c>
      <c r="AI5" s="14">
        <f>СОК!AI8</f>
        <v>292258.06451612909</v>
      </c>
      <c r="AJ5" s="14">
        <f>СОК!AJ8</f>
        <v>443225.80645161285</v>
      </c>
      <c r="AK5" s="14">
        <f>СОК!AK8</f>
        <v>0</v>
      </c>
      <c r="AL5" s="14">
        <f>СОК!AL8</f>
        <v>0</v>
      </c>
      <c r="AM5" s="14">
        <f>СОК!AM8</f>
        <v>-4957043.9903225806</v>
      </c>
      <c r="AN5" s="14">
        <f>СОК!AN8</f>
        <v>394329.91612903029</v>
      </c>
      <c r="AO5" s="14">
        <f>СОК!AO8</f>
        <v>0</v>
      </c>
      <c r="AP5" s="3"/>
    </row>
    <row r="6" spans="1:42">
      <c r="A6" s="11" t="s">
        <v>49</v>
      </c>
      <c r="B6" s="14">
        <f>Капвложения_ОС!B13</f>
        <v>100000</v>
      </c>
      <c r="C6" s="14">
        <f>Капвложения_ОС!C13</f>
        <v>9965500</v>
      </c>
      <c r="D6" s="14">
        <f>Капвложения_ОС!D13</f>
        <v>0</v>
      </c>
      <c r="E6" s="14">
        <f>Капвложения_ОС!E13</f>
        <v>0</v>
      </c>
      <c r="F6" s="14">
        <f>Капвложения_ОС!F13</f>
        <v>0</v>
      </c>
      <c r="G6" s="14">
        <f>Капвложения_ОС!G13</f>
        <v>0</v>
      </c>
      <c r="H6" s="14">
        <f>Капвложения_ОС!H13</f>
        <v>0</v>
      </c>
      <c r="I6" s="14">
        <f>Капвложения_ОС!I13</f>
        <v>0</v>
      </c>
      <c r="J6" s="14">
        <f>Капвложения_ОС!J13</f>
        <v>1450000</v>
      </c>
      <c r="K6" s="14">
        <f>Капвложения_ОС!K13</f>
        <v>0</v>
      </c>
      <c r="L6" s="14">
        <f>Капвложения_ОС!L13</f>
        <v>0</v>
      </c>
      <c r="M6" s="14">
        <f>Капвложения_ОС!M13</f>
        <v>0</v>
      </c>
      <c r="N6" s="14">
        <f>Капвложения_ОС!N13</f>
        <v>11515500</v>
      </c>
      <c r="O6" s="14">
        <f>Капвложения_ОС!O13</f>
        <v>0</v>
      </c>
      <c r="P6" s="14">
        <f>Капвложения_ОС!P13</f>
        <v>0</v>
      </c>
      <c r="Q6" s="14">
        <f>Капвложения_ОС!Q13</f>
        <v>0</v>
      </c>
      <c r="R6" s="14">
        <f>Капвложения_ОС!R13</f>
        <v>0</v>
      </c>
      <c r="S6" s="14">
        <f>Капвложения_ОС!S13</f>
        <v>0</v>
      </c>
      <c r="T6" s="14">
        <f>Капвложения_ОС!T13</f>
        <v>0</v>
      </c>
      <c r="U6" s="14">
        <f>Капвложения_ОС!U13</f>
        <v>0</v>
      </c>
      <c r="V6" s="14">
        <f>Капвложения_ОС!V13</f>
        <v>0</v>
      </c>
      <c r="W6" s="14">
        <f>Капвложения_ОС!W13</f>
        <v>0</v>
      </c>
      <c r="X6" s="14">
        <f>Капвложения_ОС!X13</f>
        <v>0</v>
      </c>
      <c r="Y6" s="14">
        <f>Капвложения_ОС!Y13</f>
        <v>0</v>
      </c>
      <c r="Z6" s="14">
        <f>Капвложения_ОС!Z13</f>
        <v>0</v>
      </c>
      <c r="AA6" s="14">
        <f>Капвложения_ОС!AA13</f>
        <v>0</v>
      </c>
      <c r="AB6" s="14">
        <f>Капвложения_ОС!AB13</f>
        <v>0</v>
      </c>
      <c r="AC6" s="14">
        <f>Капвложения_ОС!AC13</f>
        <v>0</v>
      </c>
      <c r="AD6" s="14">
        <f>Капвложения_ОС!AD13</f>
        <v>0</v>
      </c>
      <c r="AE6" s="14">
        <f>Капвложения_ОС!AE13</f>
        <v>0</v>
      </c>
      <c r="AF6" s="14">
        <f>Капвложения_ОС!AF13</f>
        <v>0</v>
      </c>
      <c r="AG6" s="14">
        <f>Капвложения_ОС!AG13</f>
        <v>0</v>
      </c>
      <c r="AH6" s="14">
        <f>Капвложения_ОС!AH13</f>
        <v>0</v>
      </c>
      <c r="AI6" s="14">
        <f>Капвложения_ОС!AI13</f>
        <v>0</v>
      </c>
      <c r="AJ6" s="14">
        <f>Капвложения_ОС!AJ13</f>
        <v>0</v>
      </c>
      <c r="AK6" s="14">
        <f>Капвложения_ОС!AK13</f>
        <v>0</v>
      </c>
      <c r="AL6" s="14">
        <f>Капвложения_ОС!AL13</f>
        <v>0</v>
      </c>
      <c r="AM6" s="14">
        <f>Капвложения_ОС!AM13</f>
        <v>0</v>
      </c>
      <c r="AN6" s="14">
        <f>Капвложения_ОС!AN13</f>
        <v>0</v>
      </c>
      <c r="AO6" s="14">
        <f>Капвложения_ОС!AO13</f>
        <v>0</v>
      </c>
      <c r="AP6" s="3"/>
    </row>
    <row r="7" spans="1:42">
      <c r="A7" s="11" t="s">
        <v>51</v>
      </c>
      <c r="B7" s="14">
        <f>SUM(B3:B6)</f>
        <v>-389139.11290322582</v>
      </c>
      <c r="C7" s="14">
        <f t="shared" ref="C7:N7" si="0">SUM(C3:C6)</f>
        <v>-19603290.721935485</v>
      </c>
      <c r="D7" s="14">
        <f t="shared" si="0"/>
        <v>26176648.432258066</v>
      </c>
      <c r="E7" s="14">
        <f t="shared" si="0"/>
        <v>14010329.161290323</v>
      </c>
      <c r="F7" s="14">
        <f t="shared" si="0"/>
        <v>6978132.3870967738</v>
      </c>
      <c r="G7" s="14">
        <f t="shared" si="0"/>
        <v>5617584</v>
      </c>
      <c r="H7" s="14">
        <f t="shared" si="0"/>
        <v>726858.19354838703</v>
      </c>
      <c r="I7" s="14">
        <f t="shared" si="0"/>
        <v>-380256.08064516087</v>
      </c>
      <c r="J7" s="14">
        <f t="shared" si="0"/>
        <v>-3173980.7158064516</v>
      </c>
      <c r="K7" s="14">
        <f t="shared" si="0"/>
        <v>989539.08096774179</v>
      </c>
      <c r="L7" s="14">
        <f t="shared" si="0"/>
        <v>195281.0164516129</v>
      </c>
      <c r="M7" s="14">
        <f t="shared" si="0"/>
        <v>-247944.79</v>
      </c>
      <c r="N7" s="14">
        <f t="shared" si="0"/>
        <v>11267555.210000001</v>
      </c>
      <c r="O7" s="14">
        <f t="shared" ref="O7:AO7" si="1">SUM(O3:O6)</f>
        <v>-10327267.570322581</v>
      </c>
      <c r="P7" s="14">
        <f t="shared" si="1"/>
        <v>28468663.916129041</v>
      </c>
      <c r="Q7" s="14">
        <f t="shared" si="1"/>
        <v>28074334.000000011</v>
      </c>
      <c r="R7" s="14">
        <f t="shared" si="1"/>
        <v>28083188.83870969</v>
      </c>
      <c r="S7" s="14">
        <f t="shared" si="1"/>
        <v>28078834.000000011</v>
      </c>
      <c r="T7" s="14">
        <f t="shared" si="1"/>
        <v>9056898.5161290336</v>
      </c>
      <c r="U7" s="14">
        <f t="shared" si="1"/>
        <v>5398834</v>
      </c>
      <c r="V7" s="14">
        <f t="shared" si="1"/>
        <v>-876388.78032258048</v>
      </c>
      <c r="W7" s="14">
        <f t="shared" si="1"/>
        <v>-430586.72548387095</v>
      </c>
      <c r="X7" s="14">
        <f t="shared" si="1"/>
        <v>178381.01645161287</v>
      </c>
      <c r="Y7" s="14">
        <f t="shared" si="1"/>
        <v>-264844.78999999998</v>
      </c>
      <c r="Z7" s="14">
        <f t="shared" si="1"/>
        <v>-264844.78999999998</v>
      </c>
      <c r="AA7" s="14">
        <f t="shared" si="1"/>
        <v>-10344167.570322581</v>
      </c>
      <c r="AB7" s="14">
        <f t="shared" si="1"/>
        <v>28451763.916129041</v>
      </c>
      <c r="AC7" s="14">
        <f t="shared" si="1"/>
        <v>28057434.000000011</v>
      </c>
      <c r="AD7" s="14">
        <f t="shared" si="1"/>
        <v>28066288.83870969</v>
      </c>
      <c r="AE7" s="14">
        <f t="shared" si="1"/>
        <v>28061934.000000011</v>
      </c>
      <c r="AF7" s="14">
        <f t="shared" si="1"/>
        <v>9039998.5161290336</v>
      </c>
      <c r="AG7" s="14">
        <f t="shared" si="1"/>
        <v>5381934</v>
      </c>
      <c r="AH7" s="14">
        <f t="shared" si="1"/>
        <v>-860033.94161290291</v>
      </c>
      <c r="AI7" s="14">
        <f t="shared" si="1"/>
        <v>-430586.72548387095</v>
      </c>
      <c r="AJ7" s="14">
        <f t="shared" si="1"/>
        <v>178381.01645161287</v>
      </c>
      <c r="AK7" s="14">
        <f t="shared" si="1"/>
        <v>-264844.78999999998</v>
      </c>
      <c r="AL7" s="14">
        <f t="shared" si="1"/>
        <v>-264844.78999999998</v>
      </c>
      <c r="AM7" s="14">
        <f t="shared" si="1"/>
        <v>-10344167.570322581</v>
      </c>
      <c r="AN7" s="14">
        <f t="shared" si="1"/>
        <v>28451763.916129041</v>
      </c>
      <c r="AO7" s="14">
        <f t="shared" si="1"/>
        <v>28057434.000000011</v>
      </c>
      <c r="AP7" s="3"/>
    </row>
    <row r="10" spans="1:42">
      <c r="A10" s="10"/>
      <c r="B10" s="59">
        <f t="shared" ref="B10:B16" si="2">B1</f>
        <v>2019</v>
      </c>
      <c r="C10" s="59">
        <f t="shared" ref="C10:N10" si="3">C1</f>
        <v>2019</v>
      </c>
      <c r="D10" s="59">
        <f t="shared" si="3"/>
        <v>2019</v>
      </c>
      <c r="E10" s="59">
        <f t="shared" si="3"/>
        <v>2019</v>
      </c>
      <c r="F10" s="59">
        <f t="shared" si="3"/>
        <v>2019</v>
      </c>
      <c r="G10" s="59">
        <f t="shared" si="3"/>
        <v>2020</v>
      </c>
      <c r="H10" s="59">
        <f t="shared" si="3"/>
        <v>2020</v>
      </c>
      <c r="I10" s="59">
        <f t="shared" si="3"/>
        <v>2020</v>
      </c>
      <c r="J10" s="59">
        <f t="shared" si="3"/>
        <v>2020</v>
      </c>
      <c r="K10" s="59">
        <f t="shared" si="3"/>
        <v>2020</v>
      </c>
      <c r="L10" s="59">
        <f t="shared" si="3"/>
        <v>2020</v>
      </c>
      <c r="M10" s="59">
        <f t="shared" si="3"/>
        <v>2020</v>
      </c>
      <c r="N10" s="59">
        <f t="shared" si="3"/>
        <v>2020</v>
      </c>
      <c r="O10" s="59">
        <f t="shared" ref="O10:AO10" si="4">O1</f>
        <v>2020</v>
      </c>
      <c r="P10" s="59">
        <f t="shared" si="4"/>
        <v>2020</v>
      </c>
      <c r="Q10" s="59">
        <f t="shared" si="4"/>
        <v>2020</v>
      </c>
      <c r="R10" s="59">
        <f t="shared" si="4"/>
        <v>2020</v>
      </c>
      <c r="S10" s="59">
        <f t="shared" si="4"/>
        <v>2021</v>
      </c>
      <c r="T10" s="59">
        <f t="shared" si="4"/>
        <v>2021</v>
      </c>
      <c r="U10" s="59">
        <f t="shared" si="4"/>
        <v>2021</v>
      </c>
      <c r="V10" s="59">
        <f t="shared" si="4"/>
        <v>2021</v>
      </c>
      <c r="W10" s="59">
        <f t="shared" si="4"/>
        <v>2021</v>
      </c>
      <c r="X10" s="59">
        <f t="shared" si="4"/>
        <v>2021</v>
      </c>
      <c r="Y10" s="59">
        <f t="shared" si="4"/>
        <v>2021</v>
      </c>
      <c r="Z10" s="59">
        <f t="shared" si="4"/>
        <v>2021</v>
      </c>
      <c r="AA10" s="59">
        <f t="shared" si="4"/>
        <v>2021</v>
      </c>
      <c r="AB10" s="59">
        <f t="shared" si="4"/>
        <v>2021</v>
      </c>
      <c r="AC10" s="59">
        <f t="shared" si="4"/>
        <v>2021</v>
      </c>
      <c r="AD10" s="59">
        <f t="shared" si="4"/>
        <v>2021</v>
      </c>
      <c r="AE10" s="59">
        <f t="shared" si="4"/>
        <v>2022</v>
      </c>
      <c r="AF10" s="59">
        <f t="shared" si="4"/>
        <v>2022</v>
      </c>
      <c r="AG10" s="59">
        <f t="shared" si="4"/>
        <v>2022</v>
      </c>
      <c r="AH10" s="59">
        <f t="shared" si="4"/>
        <v>2022</v>
      </c>
      <c r="AI10" s="59">
        <f t="shared" si="4"/>
        <v>2022</v>
      </c>
      <c r="AJ10" s="59">
        <f t="shared" si="4"/>
        <v>2022</v>
      </c>
      <c r="AK10" s="59">
        <f t="shared" si="4"/>
        <v>2022</v>
      </c>
      <c r="AL10" s="59">
        <f t="shared" si="4"/>
        <v>2022</v>
      </c>
      <c r="AM10" s="59">
        <f t="shared" si="4"/>
        <v>2022</v>
      </c>
      <c r="AN10" s="59">
        <f t="shared" si="4"/>
        <v>2022</v>
      </c>
      <c r="AO10" s="59">
        <f t="shared" si="4"/>
        <v>2022</v>
      </c>
      <c r="AP10" s="122" t="s">
        <v>65</v>
      </c>
    </row>
    <row r="11" spans="1:42">
      <c r="A11" s="20" t="s">
        <v>50</v>
      </c>
      <c r="B11" s="44">
        <f t="shared" si="2"/>
        <v>43678</v>
      </c>
      <c r="C11" s="44">
        <f t="shared" ref="C11:N11" si="5">C2</f>
        <v>43709</v>
      </c>
      <c r="D11" s="44">
        <f t="shared" si="5"/>
        <v>43739</v>
      </c>
      <c r="E11" s="44">
        <f t="shared" si="5"/>
        <v>43770</v>
      </c>
      <c r="F11" s="44">
        <f t="shared" si="5"/>
        <v>43800</v>
      </c>
      <c r="G11" s="44">
        <f t="shared" si="5"/>
        <v>43831</v>
      </c>
      <c r="H11" s="44">
        <f t="shared" si="5"/>
        <v>43862</v>
      </c>
      <c r="I11" s="44">
        <f t="shared" si="5"/>
        <v>43891</v>
      </c>
      <c r="J11" s="44">
        <f t="shared" si="5"/>
        <v>43922</v>
      </c>
      <c r="K11" s="44">
        <f t="shared" si="5"/>
        <v>43952</v>
      </c>
      <c r="L11" s="44">
        <f t="shared" si="5"/>
        <v>43983</v>
      </c>
      <c r="M11" s="44">
        <f t="shared" si="5"/>
        <v>44013</v>
      </c>
      <c r="N11" s="44">
        <f t="shared" si="5"/>
        <v>44044</v>
      </c>
      <c r="O11" s="44">
        <f t="shared" ref="O11:AO11" si="6">O2</f>
        <v>44075</v>
      </c>
      <c r="P11" s="44">
        <f t="shared" si="6"/>
        <v>44105</v>
      </c>
      <c r="Q11" s="44">
        <f t="shared" si="6"/>
        <v>44136</v>
      </c>
      <c r="R11" s="44">
        <f t="shared" si="6"/>
        <v>44166</v>
      </c>
      <c r="S11" s="44">
        <f t="shared" si="6"/>
        <v>44197</v>
      </c>
      <c r="T11" s="44">
        <f t="shared" si="6"/>
        <v>44228</v>
      </c>
      <c r="U11" s="44">
        <f t="shared" si="6"/>
        <v>44256</v>
      </c>
      <c r="V11" s="44">
        <f t="shared" si="6"/>
        <v>44287</v>
      </c>
      <c r="W11" s="44">
        <f t="shared" si="6"/>
        <v>44317</v>
      </c>
      <c r="X11" s="44">
        <f t="shared" si="6"/>
        <v>44348</v>
      </c>
      <c r="Y11" s="44">
        <f t="shared" si="6"/>
        <v>44378</v>
      </c>
      <c r="Z11" s="44">
        <f t="shared" si="6"/>
        <v>44409</v>
      </c>
      <c r="AA11" s="44">
        <f t="shared" si="6"/>
        <v>44440</v>
      </c>
      <c r="AB11" s="44">
        <f t="shared" si="6"/>
        <v>44470</v>
      </c>
      <c r="AC11" s="44">
        <f t="shared" si="6"/>
        <v>44501</v>
      </c>
      <c r="AD11" s="44">
        <f t="shared" si="6"/>
        <v>44531</v>
      </c>
      <c r="AE11" s="44">
        <f t="shared" si="6"/>
        <v>44562</v>
      </c>
      <c r="AF11" s="44">
        <f t="shared" si="6"/>
        <v>44593</v>
      </c>
      <c r="AG11" s="44">
        <f t="shared" si="6"/>
        <v>44621</v>
      </c>
      <c r="AH11" s="44">
        <f t="shared" si="6"/>
        <v>44652</v>
      </c>
      <c r="AI11" s="44">
        <f t="shared" si="6"/>
        <v>44682</v>
      </c>
      <c r="AJ11" s="44">
        <f t="shared" si="6"/>
        <v>44713</v>
      </c>
      <c r="AK11" s="44">
        <f t="shared" si="6"/>
        <v>44743</v>
      </c>
      <c r="AL11" s="44">
        <f t="shared" si="6"/>
        <v>44774</v>
      </c>
      <c r="AM11" s="44">
        <f t="shared" si="6"/>
        <v>44805</v>
      </c>
      <c r="AN11" s="44">
        <f t="shared" si="6"/>
        <v>44835</v>
      </c>
      <c r="AO11" s="44">
        <f t="shared" si="6"/>
        <v>44866</v>
      </c>
      <c r="AP11" s="122"/>
    </row>
    <row r="12" spans="1:42">
      <c r="A12" s="11" t="s">
        <v>30</v>
      </c>
      <c r="B12" s="12">
        <f t="shared" si="2"/>
        <v>-269000</v>
      </c>
      <c r="C12" s="12">
        <f t="shared" ref="C12:O12" si="7">C3</f>
        <v>-15159057.58</v>
      </c>
      <c r="D12" s="12">
        <f t="shared" si="7"/>
        <v>11641209</v>
      </c>
      <c r="E12" s="12">
        <f t="shared" si="7"/>
        <v>11639809</v>
      </c>
      <c r="F12" s="12">
        <f t="shared" si="7"/>
        <v>4645709</v>
      </c>
      <c r="G12" s="12">
        <f t="shared" si="7"/>
        <v>4645709</v>
      </c>
      <c r="H12" s="12">
        <f t="shared" si="7"/>
        <v>-213666</v>
      </c>
      <c r="I12" s="12">
        <f t="shared" si="7"/>
        <v>-213666</v>
      </c>
      <c r="J12" s="12">
        <f t="shared" si="7"/>
        <v>-2457944.79</v>
      </c>
      <c r="K12" s="12">
        <f t="shared" si="7"/>
        <v>-705944.79</v>
      </c>
      <c r="L12" s="12">
        <f t="shared" si="7"/>
        <v>-247944.79</v>
      </c>
      <c r="M12" s="12">
        <f t="shared" si="7"/>
        <v>-247944.79</v>
      </c>
      <c r="N12" s="12">
        <f t="shared" si="7"/>
        <v>-247944.79</v>
      </c>
      <c r="O12" s="12">
        <f t="shared" si="7"/>
        <v>-5370223.5800000001</v>
      </c>
      <c r="P12" s="12">
        <f t="shared" ref="P12:AO12" si="8">P3</f>
        <v>23354750.666666675</v>
      </c>
      <c r="Q12" s="12">
        <f t="shared" si="8"/>
        <v>23354750.666666675</v>
      </c>
      <c r="R12" s="12">
        <f t="shared" si="8"/>
        <v>23359250.666666675</v>
      </c>
      <c r="S12" s="12">
        <f t="shared" si="8"/>
        <v>23359250.666666675</v>
      </c>
      <c r="T12" s="12">
        <f t="shared" si="8"/>
        <v>4459250.666666667</v>
      </c>
      <c r="U12" s="12">
        <f t="shared" si="8"/>
        <v>4459250.666666667</v>
      </c>
      <c r="V12" s="12">
        <f t="shared" si="8"/>
        <v>-1024844.79</v>
      </c>
      <c r="W12" s="12">
        <f t="shared" si="8"/>
        <v>-722844.79</v>
      </c>
      <c r="X12" s="12">
        <f t="shared" si="8"/>
        <v>-264844.78999999998</v>
      </c>
      <c r="Y12" s="12">
        <f t="shared" si="8"/>
        <v>-264844.78999999998</v>
      </c>
      <c r="Z12" s="12">
        <f t="shared" si="8"/>
        <v>-264844.78999999998</v>
      </c>
      <c r="AA12" s="12">
        <f t="shared" si="8"/>
        <v>-5387123.5800000001</v>
      </c>
      <c r="AB12" s="12">
        <f t="shared" si="8"/>
        <v>23337850.666666675</v>
      </c>
      <c r="AC12" s="12">
        <f t="shared" si="8"/>
        <v>23337850.666666675</v>
      </c>
      <c r="AD12" s="12">
        <f t="shared" si="8"/>
        <v>23342350.666666675</v>
      </c>
      <c r="AE12" s="12">
        <f t="shared" si="8"/>
        <v>23342350.666666675</v>
      </c>
      <c r="AF12" s="12">
        <f t="shared" si="8"/>
        <v>4442350.666666667</v>
      </c>
      <c r="AG12" s="12">
        <f t="shared" si="8"/>
        <v>4442350.666666667</v>
      </c>
      <c r="AH12" s="12">
        <f t="shared" si="8"/>
        <v>-1024844.79</v>
      </c>
      <c r="AI12" s="12">
        <f t="shared" si="8"/>
        <v>-722844.79</v>
      </c>
      <c r="AJ12" s="12">
        <f t="shared" si="8"/>
        <v>-264844.78999999998</v>
      </c>
      <c r="AK12" s="12">
        <f t="shared" si="8"/>
        <v>-264844.78999999998</v>
      </c>
      <c r="AL12" s="12">
        <f t="shared" si="8"/>
        <v>-264844.78999999998</v>
      </c>
      <c r="AM12" s="12">
        <f t="shared" si="8"/>
        <v>-5387123.5800000001</v>
      </c>
      <c r="AN12" s="12">
        <f t="shared" si="8"/>
        <v>23337850.666666675</v>
      </c>
      <c r="AO12" s="12">
        <f t="shared" si="8"/>
        <v>23337850.666666675</v>
      </c>
      <c r="AP12" s="3"/>
    </row>
    <row r="13" spans="1:42">
      <c r="A13" s="11" t="s">
        <v>29</v>
      </c>
      <c r="B13" s="12">
        <f t="shared" si="2"/>
        <v>0</v>
      </c>
      <c r="C13" s="12">
        <f t="shared" ref="C13:O13" si="9">C4</f>
        <v>0</v>
      </c>
      <c r="D13" s="12">
        <f t="shared" si="9"/>
        <v>2371875</v>
      </c>
      <c r="E13" s="12">
        <f t="shared" si="9"/>
        <v>2371875</v>
      </c>
      <c r="F13" s="12">
        <f t="shared" si="9"/>
        <v>971875</v>
      </c>
      <c r="G13" s="12">
        <f t="shared" si="9"/>
        <v>971875</v>
      </c>
      <c r="H13" s="12">
        <f t="shared" si="9"/>
        <v>0</v>
      </c>
      <c r="I13" s="12">
        <f t="shared" si="9"/>
        <v>0</v>
      </c>
      <c r="J13" s="12">
        <f t="shared" si="9"/>
        <v>0</v>
      </c>
      <c r="K13" s="12">
        <f t="shared" si="9"/>
        <v>0</v>
      </c>
      <c r="L13" s="12">
        <f t="shared" si="9"/>
        <v>0</v>
      </c>
      <c r="M13" s="12">
        <f t="shared" si="9"/>
        <v>0</v>
      </c>
      <c r="N13" s="12">
        <f t="shared" si="9"/>
        <v>0</v>
      </c>
      <c r="O13" s="12">
        <f t="shared" si="9"/>
        <v>0</v>
      </c>
      <c r="P13" s="12">
        <f t="shared" ref="P13:AO13" si="10">P4</f>
        <v>4719583.3333333349</v>
      </c>
      <c r="Q13" s="12">
        <f t="shared" si="10"/>
        <v>4719583.3333333349</v>
      </c>
      <c r="R13" s="12">
        <f t="shared" si="10"/>
        <v>4719583.3333333349</v>
      </c>
      <c r="S13" s="12">
        <f t="shared" si="10"/>
        <v>4719583.3333333349</v>
      </c>
      <c r="T13" s="12">
        <f t="shared" si="10"/>
        <v>939583.33333333349</v>
      </c>
      <c r="U13" s="12">
        <f t="shared" si="10"/>
        <v>939583.33333333349</v>
      </c>
      <c r="V13" s="12">
        <f t="shared" si="10"/>
        <v>0</v>
      </c>
      <c r="W13" s="12">
        <f t="shared" si="10"/>
        <v>0</v>
      </c>
      <c r="X13" s="12">
        <f t="shared" si="10"/>
        <v>0</v>
      </c>
      <c r="Y13" s="12">
        <f t="shared" si="10"/>
        <v>0</v>
      </c>
      <c r="Z13" s="12">
        <f t="shared" si="10"/>
        <v>0</v>
      </c>
      <c r="AA13" s="12">
        <f t="shared" si="10"/>
        <v>0</v>
      </c>
      <c r="AB13" s="12">
        <f t="shared" si="10"/>
        <v>4719583.3333333349</v>
      </c>
      <c r="AC13" s="12">
        <f t="shared" si="10"/>
        <v>4719583.3333333349</v>
      </c>
      <c r="AD13" s="12">
        <f t="shared" si="10"/>
        <v>4719583.3333333349</v>
      </c>
      <c r="AE13" s="12">
        <f t="shared" si="10"/>
        <v>4719583.3333333349</v>
      </c>
      <c r="AF13" s="12">
        <f t="shared" si="10"/>
        <v>939583.33333333349</v>
      </c>
      <c r="AG13" s="12">
        <f t="shared" si="10"/>
        <v>939583.33333333349</v>
      </c>
      <c r="AH13" s="12">
        <f t="shared" si="10"/>
        <v>0</v>
      </c>
      <c r="AI13" s="12">
        <f t="shared" si="10"/>
        <v>0</v>
      </c>
      <c r="AJ13" s="12">
        <f t="shared" si="10"/>
        <v>0</v>
      </c>
      <c r="AK13" s="12">
        <f t="shared" si="10"/>
        <v>0</v>
      </c>
      <c r="AL13" s="12">
        <f t="shared" si="10"/>
        <v>0</v>
      </c>
      <c r="AM13" s="12">
        <f t="shared" si="10"/>
        <v>0</v>
      </c>
      <c r="AN13" s="12">
        <f t="shared" si="10"/>
        <v>4719583.3333333349</v>
      </c>
      <c r="AO13" s="12">
        <f t="shared" si="10"/>
        <v>4719583.3333333349</v>
      </c>
      <c r="AP13" s="3"/>
    </row>
    <row r="14" spans="1:42">
      <c r="A14" s="11" t="s">
        <v>37</v>
      </c>
      <c r="B14" s="12">
        <f t="shared" si="2"/>
        <v>-220139.11290322582</v>
      </c>
      <c r="C14" s="12">
        <f t="shared" ref="C14:O14" si="11">C5</f>
        <v>-14409733.141935484</v>
      </c>
      <c r="D14" s="12">
        <f t="shared" si="11"/>
        <v>12163564.432258066</v>
      </c>
      <c r="E14" s="12">
        <f t="shared" si="11"/>
        <v>-1354.8387096771039</v>
      </c>
      <c r="F14" s="12">
        <f t="shared" si="11"/>
        <v>1360548.3870967741</v>
      </c>
      <c r="G14" s="12">
        <f t="shared" si="11"/>
        <v>0</v>
      </c>
      <c r="H14" s="12">
        <f t="shared" si="11"/>
        <v>940524.19354838703</v>
      </c>
      <c r="I14" s="12">
        <f t="shared" si="11"/>
        <v>-166590.08064516087</v>
      </c>
      <c r="J14" s="12">
        <f t="shared" si="11"/>
        <v>-2166035.9258064516</v>
      </c>
      <c r="K14" s="12">
        <f t="shared" si="11"/>
        <v>1695483.8709677418</v>
      </c>
      <c r="L14" s="12">
        <f t="shared" si="11"/>
        <v>443225.80645161291</v>
      </c>
      <c r="M14" s="12">
        <f t="shared" si="11"/>
        <v>0</v>
      </c>
      <c r="N14" s="12">
        <f t="shared" si="11"/>
        <v>0</v>
      </c>
      <c r="O14" s="12">
        <f t="shared" si="11"/>
        <v>-4957043.9903225806</v>
      </c>
      <c r="P14" s="12">
        <f t="shared" ref="P14:AO14" si="12">P5</f>
        <v>394329.91612903029</v>
      </c>
      <c r="Q14" s="12">
        <f t="shared" si="12"/>
        <v>0</v>
      </c>
      <c r="R14" s="12">
        <f t="shared" si="12"/>
        <v>4354.8387096775696</v>
      </c>
      <c r="S14" s="12">
        <f t="shared" si="12"/>
        <v>0</v>
      </c>
      <c r="T14" s="12">
        <f t="shared" si="12"/>
        <v>3658064.5161290336</v>
      </c>
      <c r="U14" s="12">
        <f t="shared" si="12"/>
        <v>0</v>
      </c>
      <c r="V14" s="12">
        <f t="shared" si="12"/>
        <v>148456.00967741956</v>
      </c>
      <c r="W14" s="12">
        <f t="shared" si="12"/>
        <v>292258.06451612909</v>
      </c>
      <c r="X14" s="12">
        <f t="shared" si="12"/>
        <v>443225.80645161285</v>
      </c>
      <c r="Y14" s="12">
        <f t="shared" si="12"/>
        <v>0</v>
      </c>
      <c r="Z14" s="12">
        <f t="shared" si="12"/>
        <v>0</v>
      </c>
      <c r="AA14" s="12">
        <f t="shared" si="12"/>
        <v>-4957043.9903225806</v>
      </c>
      <c r="AB14" s="12">
        <f t="shared" si="12"/>
        <v>394329.91612903029</v>
      </c>
      <c r="AC14" s="12">
        <f t="shared" si="12"/>
        <v>0</v>
      </c>
      <c r="AD14" s="12">
        <f t="shared" si="12"/>
        <v>4354.8387096775696</v>
      </c>
      <c r="AE14" s="12">
        <f t="shared" si="12"/>
        <v>0</v>
      </c>
      <c r="AF14" s="12">
        <f t="shared" si="12"/>
        <v>3658064.5161290336</v>
      </c>
      <c r="AG14" s="12">
        <f t="shared" si="12"/>
        <v>0</v>
      </c>
      <c r="AH14" s="12">
        <f t="shared" si="12"/>
        <v>164810.84838709712</v>
      </c>
      <c r="AI14" s="12">
        <f t="shared" si="12"/>
        <v>292258.06451612909</v>
      </c>
      <c r="AJ14" s="12">
        <f t="shared" si="12"/>
        <v>443225.80645161285</v>
      </c>
      <c r="AK14" s="12">
        <f t="shared" si="12"/>
        <v>0</v>
      </c>
      <c r="AL14" s="12">
        <f t="shared" si="12"/>
        <v>0</v>
      </c>
      <c r="AM14" s="12">
        <f t="shared" si="12"/>
        <v>-4957043.9903225806</v>
      </c>
      <c r="AN14" s="12">
        <f t="shared" si="12"/>
        <v>394329.91612903029</v>
      </c>
      <c r="AO14" s="12">
        <f t="shared" si="12"/>
        <v>0</v>
      </c>
      <c r="AP14" s="3"/>
    </row>
    <row r="15" spans="1:42">
      <c r="A15" s="11" t="s">
        <v>49</v>
      </c>
      <c r="B15" s="12">
        <f t="shared" si="2"/>
        <v>100000</v>
      </c>
      <c r="C15" s="12">
        <f t="shared" ref="C15:O15" si="13">C6</f>
        <v>9965500</v>
      </c>
      <c r="D15" s="12">
        <f t="shared" si="13"/>
        <v>0</v>
      </c>
      <c r="E15" s="12">
        <f t="shared" si="13"/>
        <v>0</v>
      </c>
      <c r="F15" s="12">
        <f t="shared" si="13"/>
        <v>0</v>
      </c>
      <c r="G15" s="12">
        <f t="shared" si="13"/>
        <v>0</v>
      </c>
      <c r="H15" s="12">
        <f t="shared" si="13"/>
        <v>0</v>
      </c>
      <c r="I15" s="12">
        <f t="shared" si="13"/>
        <v>0</v>
      </c>
      <c r="J15" s="12">
        <f t="shared" si="13"/>
        <v>1450000</v>
      </c>
      <c r="K15" s="12">
        <f t="shared" si="13"/>
        <v>0</v>
      </c>
      <c r="L15" s="12">
        <f t="shared" si="13"/>
        <v>0</v>
      </c>
      <c r="M15" s="12">
        <f t="shared" si="13"/>
        <v>0</v>
      </c>
      <c r="N15" s="12">
        <f t="shared" si="13"/>
        <v>11515500</v>
      </c>
      <c r="O15" s="12">
        <f t="shared" si="13"/>
        <v>0</v>
      </c>
      <c r="P15" s="12">
        <f t="shared" ref="P15:AO15" si="14">P6</f>
        <v>0</v>
      </c>
      <c r="Q15" s="12">
        <f t="shared" si="14"/>
        <v>0</v>
      </c>
      <c r="R15" s="12">
        <f t="shared" si="14"/>
        <v>0</v>
      </c>
      <c r="S15" s="12">
        <f t="shared" si="14"/>
        <v>0</v>
      </c>
      <c r="T15" s="12">
        <f t="shared" si="14"/>
        <v>0</v>
      </c>
      <c r="U15" s="12">
        <f t="shared" si="14"/>
        <v>0</v>
      </c>
      <c r="V15" s="12">
        <f t="shared" si="14"/>
        <v>0</v>
      </c>
      <c r="W15" s="12">
        <f t="shared" si="14"/>
        <v>0</v>
      </c>
      <c r="X15" s="12">
        <f t="shared" si="14"/>
        <v>0</v>
      </c>
      <c r="Y15" s="12">
        <f t="shared" si="14"/>
        <v>0</v>
      </c>
      <c r="Z15" s="12">
        <f t="shared" si="14"/>
        <v>0</v>
      </c>
      <c r="AA15" s="12">
        <f t="shared" si="14"/>
        <v>0</v>
      </c>
      <c r="AB15" s="12">
        <f t="shared" si="14"/>
        <v>0</v>
      </c>
      <c r="AC15" s="12">
        <f t="shared" si="14"/>
        <v>0</v>
      </c>
      <c r="AD15" s="12">
        <f t="shared" si="14"/>
        <v>0</v>
      </c>
      <c r="AE15" s="12">
        <f t="shared" si="14"/>
        <v>0</v>
      </c>
      <c r="AF15" s="12">
        <f t="shared" si="14"/>
        <v>0</v>
      </c>
      <c r="AG15" s="12">
        <f t="shared" si="14"/>
        <v>0</v>
      </c>
      <c r="AH15" s="12">
        <f t="shared" si="14"/>
        <v>0</v>
      </c>
      <c r="AI15" s="12">
        <f t="shared" si="14"/>
        <v>0</v>
      </c>
      <c r="AJ15" s="12">
        <f t="shared" si="14"/>
        <v>0</v>
      </c>
      <c r="AK15" s="12">
        <f t="shared" si="14"/>
        <v>0</v>
      </c>
      <c r="AL15" s="12">
        <f t="shared" si="14"/>
        <v>0</v>
      </c>
      <c r="AM15" s="12">
        <f t="shared" si="14"/>
        <v>0</v>
      </c>
      <c r="AN15" s="12">
        <f t="shared" si="14"/>
        <v>0</v>
      </c>
      <c r="AO15" s="12">
        <f t="shared" si="14"/>
        <v>0</v>
      </c>
      <c r="AP15" s="3"/>
    </row>
    <row r="16" spans="1:42">
      <c r="A16" s="11" t="s">
        <v>51</v>
      </c>
      <c r="B16" s="12">
        <f t="shared" si="2"/>
        <v>-389139.11290322582</v>
      </c>
      <c r="C16" s="12">
        <f t="shared" ref="C16:O16" si="15">C7</f>
        <v>-19603290.721935485</v>
      </c>
      <c r="D16" s="12">
        <f t="shared" si="15"/>
        <v>26176648.432258066</v>
      </c>
      <c r="E16" s="12">
        <f t="shared" si="15"/>
        <v>14010329.161290323</v>
      </c>
      <c r="F16" s="12">
        <f t="shared" si="15"/>
        <v>6978132.3870967738</v>
      </c>
      <c r="G16" s="12">
        <f t="shared" si="15"/>
        <v>5617584</v>
      </c>
      <c r="H16" s="12">
        <f t="shared" si="15"/>
        <v>726858.19354838703</v>
      </c>
      <c r="I16" s="12">
        <f t="shared" si="15"/>
        <v>-380256.08064516087</v>
      </c>
      <c r="J16" s="12">
        <f t="shared" si="15"/>
        <v>-3173980.7158064516</v>
      </c>
      <c r="K16" s="12">
        <f t="shared" si="15"/>
        <v>989539.08096774179</v>
      </c>
      <c r="L16" s="12">
        <f t="shared" si="15"/>
        <v>195281.0164516129</v>
      </c>
      <c r="M16" s="12">
        <f t="shared" si="15"/>
        <v>-247944.79</v>
      </c>
      <c r="N16" s="12">
        <f t="shared" si="15"/>
        <v>11267555.210000001</v>
      </c>
      <c r="O16" s="12">
        <f t="shared" si="15"/>
        <v>-10327267.570322581</v>
      </c>
      <c r="P16" s="12">
        <f t="shared" ref="P16:AO16" si="16">P7</f>
        <v>28468663.916129041</v>
      </c>
      <c r="Q16" s="12">
        <f t="shared" si="16"/>
        <v>28074334.000000011</v>
      </c>
      <c r="R16" s="12">
        <f t="shared" si="16"/>
        <v>28083188.83870969</v>
      </c>
      <c r="S16" s="12">
        <f t="shared" si="16"/>
        <v>28078834.000000011</v>
      </c>
      <c r="T16" s="12">
        <f t="shared" si="16"/>
        <v>9056898.5161290336</v>
      </c>
      <c r="U16" s="12">
        <f t="shared" si="16"/>
        <v>5398834</v>
      </c>
      <c r="V16" s="12">
        <f t="shared" si="16"/>
        <v>-876388.78032258048</v>
      </c>
      <c r="W16" s="12">
        <f t="shared" si="16"/>
        <v>-430586.72548387095</v>
      </c>
      <c r="X16" s="12">
        <f t="shared" si="16"/>
        <v>178381.01645161287</v>
      </c>
      <c r="Y16" s="12">
        <f t="shared" si="16"/>
        <v>-264844.78999999998</v>
      </c>
      <c r="Z16" s="12">
        <f t="shared" si="16"/>
        <v>-264844.78999999998</v>
      </c>
      <c r="AA16" s="12">
        <f t="shared" si="16"/>
        <v>-10344167.570322581</v>
      </c>
      <c r="AB16" s="12">
        <f t="shared" si="16"/>
        <v>28451763.916129041</v>
      </c>
      <c r="AC16" s="12">
        <f t="shared" si="16"/>
        <v>28057434.000000011</v>
      </c>
      <c r="AD16" s="12">
        <f t="shared" si="16"/>
        <v>28066288.83870969</v>
      </c>
      <c r="AE16" s="12">
        <f t="shared" si="16"/>
        <v>28061934.000000011</v>
      </c>
      <c r="AF16" s="12">
        <f t="shared" si="16"/>
        <v>9039998.5161290336</v>
      </c>
      <c r="AG16" s="12">
        <f t="shared" si="16"/>
        <v>5381934</v>
      </c>
      <c r="AH16" s="12">
        <f t="shared" si="16"/>
        <v>-860033.94161290291</v>
      </c>
      <c r="AI16" s="12">
        <f t="shared" si="16"/>
        <v>-430586.72548387095</v>
      </c>
      <c r="AJ16" s="12">
        <f t="shared" si="16"/>
        <v>178381.01645161287</v>
      </c>
      <c r="AK16" s="12">
        <f t="shared" si="16"/>
        <v>-264844.78999999998</v>
      </c>
      <c r="AL16" s="12">
        <f t="shared" si="16"/>
        <v>-264844.78999999998</v>
      </c>
      <c r="AM16" s="12">
        <f t="shared" si="16"/>
        <v>-10344167.570322581</v>
      </c>
      <c r="AN16" s="12">
        <f t="shared" si="16"/>
        <v>28451763.916129041</v>
      </c>
      <c r="AO16" s="12">
        <f t="shared" si="16"/>
        <v>28057434.000000011</v>
      </c>
      <c r="AP16" s="3"/>
    </row>
    <row r="18" spans="1:41">
      <c r="A18" s="20" t="s">
        <v>50</v>
      </c>
      <c r="B18" s="51">
        <f>B11</f>
        <v>43678</v>
      </c>
      <c r="C18" s="51">
        <f t="shared" ref="C18:AO18" si="17">C11</f>
        <v>43709</v>
      </c>
      <c r="D18" s="51">
        <f t="shared" si="17"/>
        <v>43739</v>
      </c>
      <c r="E18" s="51">
        <f t="shared" si="17"/>
        <v>43770</v>
      </c>
      <c r="F18" s="51">
        <f t="shared" si="17"/>
        <v>43800</v>
      </c>
      <c r="G18" s="51">
        <f t="shared" si="17"/>
        <v>43831</v>
      </c>
      <c r="H18" s="51">
        <f t="shared" si="17"/>
        <v>43862</v>
      </c>
      <c r="I18" s="51">
        <f t="shared" si="17"/>
        <v>43891</v>
      </c>
      <c r="J18" s="51">
        <f t="shared" si="17"/>
        <v>43922</v>
      </c>
      <c r="K18" s="51">
        <f t="shared" si="17"/>
        <v>43952</v>
      </c>
      <c r="L18" s="51">
        <f t="shared" si="17"/>
        <v>43983</v>
      </c>
      <c r="M18" s="51">
        <f t="shared" si="17"/>
        <v>44013</v>
      </c>
      <c r="N18" s="51">
        <f t="shared" si="17"/>
        <v>44044</v>
      </c>
      <c r="O18" s="51">
        <f t="shared" si="17"/>
        <v>44075</v>
      </c>
      <c r="P18" s="51">
        <f t="shared" si="17"/>
        <v>44105</v>
      </c>
      <c r="Q18" s="51">
        <f t="shared" si="17"/>
        <v>44136</v>
      </c>
      <c r="R18" s="51">
        <f t="shared" si="17"/>
        <v>44166</v>
      </c>
      <c r="S18" s="51">
        <f t="shared" si="17"/>
        <v>44197</v>
      </c>
      <c r="T18" s="51">
        <f t="shared" si="17"/>
        <v>44228</v>
      </c>
      <c r="U18" s="51">
        <f t="shared" si="17"/>
        <v>44256</v>
      </c>
      <c r="V18" s="51">
        <f t="shared" si="17"/>
        <v>44287</v>
      </c>
      <c r="W18" s="51">
        <f t="shared" si="17"/>
        <v>44317</v>
      </c>
      <c r="X18" s="51">
        <f t="shared" si="17"/>
        <v>44348</v>
      </c>
      <c r="Y18" s="51">
        <f t="shared" si="17"/>
        <v>44378</v>
      </c>
      <c r="Z18" s="51">
        <f t="shared" si="17"/>
        <v>44409</v>
      </c>
      <c r="AA18" s="51">
        <f t="shared" si="17"/>
        <v>44440</v>
      </c>
      <c r="AB18" s="51">
        <f t="shared" si="17"/>
        <v>44470</v>
      </c>
      <c r="AC18" s="51">
        <f t="shared" si="17"/>
        <v>44501</v>
      </c>
      <c r="AD18" s="51">
        <f t="shared" si="17"/>
        <v>44531</v>
      </c>
      <c r="AE18" s="51">
        <f t="shared" si="17"/>
        <v>44562</v>
      </c>
      <c r="AF18" s="51">
        <f t="shared" si="17"/>
        <v>44593</v>
      </c>
      <c r="AG18" s="51">
        <f t="shared" si="17"/>
        <v>44621</v>
      </c>
      <c r="AH18" s="51">
        <f t="shared" si="17"/>
        <v>44652</v>
      </c>
      <c r="AI18" s="51">
        <f t="shared" si="17"/>
        <v>44682</v>
      </c>
      <c r="AJ18" s="51">
        <f t="shared" si="17"/>
        <v>44713</v>
      </c>
      <c r="AK18" s="51">
        <f t="shared" si="17"/>
        <v>44743</v>
      </c>
      <c r="AL18" s="51">
        <f t="shared" si="17"/>
        <v>44774</v>
      </c>
      <c r="AM18" s="51">
        <f t="shared" si="17"/>
        <v>44805</v>
      </c>
      <c r="AN18" s="51">
        <f t="shared" si="17"/>
        <v>44835</v>
      </c>
      <c r="AO18" s="51">
        <f t="shared" si="17"/>
        <v>44866</v>
      </c>
    </row>
    <row r="19" spans="1:41">
      <c r="A19" s="11" t="s">
        <v>52</v>
      </c>
      <c r="B19" s="12">
        <f>B16</f>
        <v>-389139.11290322582</v>
      </c>
      <c r="C19" s="12">
        <f t="shared" ref="C19:AO19" si="18">C16</f>
        <v>-19603290.721935485</v>
      </c>
      <c r="D19" s="12">
        <f t="shared" si="18"/>
        <v>26176648.432258066</v>
      </c>
      <c r="E19" s="12">
        <f t="shared" si="18"/>
        <v>14010329.161290323</v>
      </c>
      <c r="F19" s="12">
        <f t="shared" si="18"/>
        <v>6978132.3870967738</v>
      </c>
      <c r="G19" s="12">
        <f>G16</f>
        <v>5617584</v>
      </c>
      <c r="H19" s="12">
        <f t="shared" si="18"/>
        <v>726858.19354838703</v>
      </c>
      <c r="I19" s="12">
        <f t="shared" si="18"/>
        <v>-380256.08064516087</v>
      </c>
      <c r="J19" s="12">
        <f t="shared" si="18"/>
        <v>-3173980.7158064516</v>
      </c>
      <c r="K19" s="12">
        <f t="shared" si="18"/>
        <v>989539.08096774179</v>
      </c>
      <c r="L19" s="12">
        <f t="shared" si="18"/>
        <v>195281.0164516129</v>
      </c>
      <c r="M19" s="12">
        <f t="shared" si="18"/>
        <v>-247944.79</v>
      </c>
      <c r="N19" s="12">
        <f t="shared" si="18"/>
        <v>11267555.210000001</v>
      </c>
      <c r="O19" s="12">
        <f t="shared" si="18"/>
        <v>-10327267.570322581</v>
      </c>
      <c r="P19" s="12">
        <f t="shared" si="18"/>
        <v>28468663.916129041</v>
      </c>
      <c r="Q19" s="12">
        <f t="shared" si="18"/>
        <v>28074334.000000011</v>
      </c>
      <c r="R19" s="12">
        <f t="shared" si="18"/>
        <v>28083188.83870969</v>
      </c>
      <c r="S19" s="12">
        <f t="shared" si="18"/>
        <v>28078834.000000011</v>
      </c>
      <c r="T19" s="12">
        <f t="shared" si="18"/>
        <v>9056898.5161290336</v>
      </c>
      <c r="U19" s="12">
        <f t="shared" si="18"/>
        <v>5398834</v>
      </c>
      <c r="V19" s="12">
        <f t="shared" si="18"/>
        <v>-876388.78032258048</v>
      </c>
      <c r="W19" s="12">
        <f t="shared" si="18"/>
        <v>-430586.72548387095</v>
      </c>
      <c r="X19" s="12">
        <f t="shared" si="18"/>
        <v>178381.01645161287</v>
      </c>
      <c r="Y19" s="12">
        <f t="shared" si="18"/>
        <v>-264844.78999999998</v>
      </c>
      <c r="Z19" s="12">
        <f t="shared" si="18"/>
        <v>-264844.78999999998</v>
      </c>
      <c r="AA19" s="12">
        <f t="shared" si="18"/>
        <v>-10344167.570322581</v>
      </c>
      <c r="AB19" s="12">
        <f t="shared" si="18"/>
        <v>28451763.916129041</v>
      </c>
      <c r="AC19" s="12">
        <f t="shared" si="18"/>
        <v>28057434.000000011</v>
      </c>
      <c r="AD19" s="12">
        <f t="shared" si="18"/>
        <v>28066288.83870969</v>
      </c>
      <c r="AE19" s="12">
        <f t="shared" si="18"/>
        <v>28061934.000000011</v>
      </c>
      <c r="AF19" s="12">
        <f t="shared" si="18"/>
        <v>9039998.5161290336</v>
      </c>
      <c r="AG19" s="12">
        <f t="shared" si="18"/>
        <v>5381934</v>
      </c>
      <c r="AH19" s="12">
        <f t="shared" si="18"/>
        <v>-860033.94161290291</v>
      </c>
      <c r="AI19" s="12">
        <f t="shared" si="18"/>
        <v>-430586.72548387095</v>
      </c>
      <c r="AJ19" s="12">
        <f t="shared" si="18"/>
        <v>178381.01645161287</v>
      </c>
      <c r="AK19" s="12">
        <f t="shared" si="18"/>
        <v>-264844.78999999998</v>
      </c>
      <c r="AL19" s="12">
        <f t="shared" si="18"/>
        <v>-264844.78999999998</v>
      </c>
      <c r="AM19" s="12">
        <f t="shared" si="18"/>
        <v>-10344167.570322581</v>
      </c>
      <c r="AN19" s="12">
        <f t="shared" si="18"/>
        <v>28451763.916129041</v>
      </c>
      <c r="AO19" s="12">
        <f t="shared" si="18"/>
        <v>28057434.000000011</v>
      </c>
    </row>
    <row r="20" spans="1:41" s="73" customFormat="1">
      <c r="A20" s="11" t="s">
        <v>28</v>
      </c>
      <c r="B20" s="61">
        <v>0.1</v>
      </c>
      <c r="C20" s="61">
        <v>0.1</v>
      </c>
      <c r="D20" s="61">
        <v>0.1</v>
      </c>
      <c r="E20" s="61">
        <v>0.1</v>
      </c>
      <c r="F20" s="61">
        <v>0.1</v>
      </c>
      <c r="G20" s="61">
        <v>0.1</v>
      </c>
      <c r="H20" s="61">
        <v>0.1</v>
      </c>
      <c r="I20" s="61">
        <v>0.1</v>
      </c>
      <c r="J20" s="61">
        <v>0.1</v>
      </c>
      <c r="K20" s="61">
        <v>0.1</v>
      </c>
      <c r="L20" s="61">
        <v>0.1</v>
      </c>
      <c r="M20" s="61">
        <v>0.1</v>
      </c>
      <c r="N20" s="61">
        <v>0.1</v>
      </c>
      <c r="O20" s="61">
        <v>0.1</v>
      </c>
      <c r="P20" s="61">
        <v>0.1</v>
      </c>
      <c r="Q20" s="61">
        <v>0.1</v>
      </c>
      <c r="R20" s="61">
        <v>0.1</v>
      </c>
      <c r="S20" s="61">
        <v>0.1</v>
      </c>
      <c r="T20" s="61">
        <v>0.1</v>
      </c>
      <c r="U20" s="61">
        <v>0.1</v>
      </c>
      <c r="V20" s="61">
        <v>0.1</v>
      </c>
      <c r="W20" s="61">
        <v>0.1</v>
      </c>
      <c r="X20" s="61">
        <v>0.1</v>
      </c>
      <c r="Y20" s="61">
        <v>0.1</v>
      </c>
      <c r="Z20" s="61">
        <v>0.1</v>
      </c>
      <c r="AA20" s="61">
        <v>0.1</v>
      </c>
      <c r="AB20" s="61">
        <v>0.1</v>
      </c>
      <c r="AC20" s="61">
        <v>0.1</v>
      </c>
      <c r="AD20" s="61">
        <v>0.1</v>
      </c>
      <c r="AE20" s="61">
        <v>0.1</v>
      </c>
      <c r="AF20" s="61">
        <v>0.1</v>
      </c>
      <c r="AG20" s="61">
        <v>0.1</v>
      </c>
      <c r="AH20" s="61">
        <v>0.1</v>
      </c>
      <c r="AI20" s="61">
        <v>0.1</v>
      </c>
      <c r="AJ20" s="61">
        <v>0.1</v>
      </c>
      <c r="AK20" s="61">
        <v>0.1</v>
      </c>
      <c r="AL20" s="61">
        <v>0.1</v>
      </c>
      <c r="AM20" s="61">
        <v>0.1</v>
      </c>
      <c r="AN20" s="61">
        <v>0.1</v>
      </c>
      <c r="AO20" s="61">
        <v>0.1</v>
      </c>
    </row>
    <row r="21" spans="1:41" s="73" customFormat="1">
      <c r="A21" s="11" t="s">
        <v>53</v>
      </c>
      <c r="B21" s="110">
        <f>1/POWER((1+B20),1)</f>
        <v>0.90909090909090906</v>
      </c>
      <c r="C21" s="110">
        <f t="shared" ref="C21:AO21" si="19">1/POWER((1+C20),1)</f>
        <v>0.90909090909090906</v>
      </c>
      <c r="D21" s="110">
        <f t="shared" si="19"/>
        <v>0.90909090909090906</v>
      </c>
      <c r="E21" s="110">
        <f t="shared" si="19"/>
        <v>0.90909090909090906</v>
      </c>
      <c r="F21" s="110">
        <f t="shared" si="19"/>
        <v>0.90909090909090906</v>
      </c>
      <c r="G21" s="110">
        <f t="shared" si="19"/>
        <v>0.90909090909090906</v>
      </c>
      <c r="H21" s="110">
        <f t="shared" si="19"/>
        <v>0.90909090909090906</v>
      </c>
      <c r="I21" s="110">
        <f t="shared" si="19"/>
        <v>0.90909090909090906</v>
      </c>
      <c r="J21" s="110">
        <f t="shared" si="19"/>
        <v>0.90909090909090906</v>
      </c>
      <c r="K21" s="110">
        <f t="shared" si="19"/>
        <v>0.90909090909090906</v>
      </c>
      <c r="L21" s="110">
        <f t="shared" si="19"/>
        <v>0.90909090909090906</v>
      </c>
      <c r="M21" s="110">
        <f t="shared" si="19"/>
        <v>0.90909090909090906</v>
      </c>
      <c r="N21" s="110">
        <f t="shared" si="19"/>
        <v>0.90909090909090906</v>
      </c>
      <c r="O21" s="110">
        <f t="shared" si="19"/>
        <v>0.90909090909090906</v>
      </c>
      <c r="P21" s="110">
        <f t="shared" si="19"/>
        <v>0.90909090909090906</v>
      </c>
      <c r="Q21" s="110">
        <f t="shared" si="19"/>
        <v>0.90909090909090906</v>
      </c>
      <c r="R21" s="110">
        <f t="shared" si="19"/>
        <v>0.90909090909090906</v>
      </c>
      <c r="S21" s="110">
        <f t="shared" si="19"/>
        <v>0.90909090909090906</v>
      </c>
      <c r="T21" s="110">
        <f t="shared" si="19"/>
        <v>0.90909090909090906</v>
      </c>
      <c r="U21" s="110">
        <f t="shared" si="19"/>
        <v>0.90909090909090906</v>
      </c>
      <c r="V21" s="110">
        <f t="shared" si="19"/>
        <v>0.90909090909090906</v>
      </c>
      <c r="W21" s="110">
        <f t="shared" si="19"/>
        <v>0.90909090909090906</v>
      </c>
      <c r="X21" s="110">
        <f t="shared" si="19"/>
        <v>0.90909090909090906</v>
      </c>
      <c r="Y21" s="110">
        <f t="shared" si="19"/>
        <v>0.90909090909090906</v>
      </c>
      <c r="Z21" s="110">
        <f t="shared" si="19"/>
        <v>0.90909090909090906</v>
      </c>
      <c r="AA21" s="110">
        <f t="shared" si="19"/>
        <v>0.90909090909090906</v>
      </c>
      <c r="AB21" s="110">
        <f t="shared" si="19"/>
        <v>0.90909090909090906</v>
      </c>
      <c r="AC21" s="110">
        <f t="shared" si="19"/>
        <v>0.90909090909090906</v>
      </c>
      <c r="AD21" s="110">
        <f t="shared" si="19"/>
        <v>0.90909090909090906</v>
      </c>
      <c r="AE21" s="110">
        <f t="shared" si="19"/>
        <v>0.90909090909090906</v>
      </c>
      <c r="AF21" s="110">
        <f t="shared" si="19"/>
        <v>0.90909090909090906</v>
      </c>
      <c r="AG21" s="110">
        <f t="shared" si="19"/>
        <v>0.90909090909090906</v>
      </c>
      <c r="AH21" s="110">
        <f t="shared" si="19"/>
        <v>0.90909090909090906</v>
      </c>
      <c r="AI21" s="110">
        <f t="shared" si="19"/>
        <v>0.90909090909090906</v>
      </c>
      <c r="AJ21" s="110">
        <f t="shared" si="19"/>
        <v>0.90909090909090906</v>
      </c>
      <c r="AK21" s="110">
        <f t="shared" si="19"/>
        <v>0.90909090909090906</v>
      </c>
      <c r="AL21" s="110">
        <f t="shared" si="19"/>
        <v>0.90909090909090906</v>
      </c>
      <c r="AM21" s="110">
        <f t="shared" si="19"/>
        <v>0.90909090909090906</v>
      </c>
      <c r="AN21" s="110">
        <f t="shared" si="19"/>
        <v>0.90909090909090906</v>
      </c>
      <c r="AO21" s="110">
        <f t="shared" si="19"/>
        <v>0.90909090909090906</v>
      </c>
    </row>
    <row r="22" spans="1:41" s="73" customFormat="1" ht="30">
      <c r="A22" s="11" t="s">
        <v>54</v>
      </c>
      <c r="B22" s="4">
        <f>B21^(1/2)</f>
        <v>0.95346258924559235</v>
      </c>
      <c r="C22" s="4">
        <f>PRODUCT(B21:$B21)*C21^(1/2)</f>
        <v>0.86678417204144753</v>
      </c>
      <c r="D22" s="4">
        <f>PRODUCT($B21:C21)*D21^(1/2)</f>
        <v>0.78798561094677044</v>
      </c>
      <c r="E22" s="4">
        <f>PRODUCT($B21:D21)*E21^(1/2)</f>
        <v>0.71635055540615489</v>
      </c>
      <c r="F22" s="4">
        <f>PRODUCT($B21:E21)*F21^(1/2)</f>
        <v>0.65122777764195894</v>
      </c>
      <c r="G22" s="4">
        <f>PRODUCT($B21:F21)*G21^(1/2)</f>
        <v>0.59202525240178094</v>
      </c>
      <c r="H22" s="4">
        <f>PRODUCT($B21:G21)*H21^(1/2)</f>
        <v>0.53820477491070995</v>
      </c>
      <c r="I22" s="4">
        <f>PRODUCT($B21:H21)*I21^(1/2)</f>
        <v>0.48927706810064542</v>
      </c>
      <c r="J22" s="4">
        <f>PRODUCT($B21:I21)*J21^(1/2)</f>
        <v>0.44479733463695031</v>
      </c>
      <c r="K22" s="4">
        <f>PRODUCT($B21:J21)*K21^(1/2)</f>
        <v>0.40436121330631847</v>
      </c>
      <c r="L22" s="4">
        <f>PRODUCT($B21:K21)*L21^(1/2)</f>
        <v>0.36760110300574406</v>
      </c>
      <c r="M22" s="4">
        <f>PRODUCT($B21:L21)*M21^(1/2)</f>
        <v>0.33418282091431273</v>
      </c>
      <c r="N22" s="4">
        <f>PRODUCT($B21:M21)*N21^(1/2)</f>
        <v>0.30380256446755699</v>
      </c>
      <c r="O22" s="4">
        <f>PRODUCT($B21:N21)*O21^(1/2)</f>
        <v>0.27618414951596088</v>
      </c>
      <c r="P22" s="4">
        <f>PRODUCT($B21:O21)*P21^(1/2)</f>
        <v>0.25107649955996442</v>
      </c>
      <c r="Q22" s="4">
        <f>PRODUCT($B21:P21)*Q21^(1/2)</f>
        <v>0.22825136323633127</v>
      </c>
      <c r="R22" s="4">
        <f>PRODUCT($B21:Q21)*R21^(1/2)</f>
        <v>0.2075012393057557</v>
      </c>
      <c r="S22" s="4">
        <f>PRODUCT($B21:R21)*S21^(1/2)</f>
        <v>0.18863749027795973</v>
      </c>
      <c r="T22" s="4">
        <f>PRODUCT($B21:S21)*T21^(1/2)</f>
        <v>0.17148862752541794</v>
      </c>
      <c r="U22" s="4">
        <f>PRODUCT($B21:T21)*U21^(1/2)</f>
        <v>0.15589875229583447</v>
      </c>
      <c r="V22" s="4">
        <f>PRODUCT($B21:U21)*V21^(1/2)</f>
        <v>0.14172613845075863</v>
      </c>
      <c r="W22" s="4">
        <f>PRODUCT($B21:V21)*W21^(1/2)</f>
        <v>0.12884194404614421</v>
      </c>
      <c r="X22" s="4">
        <f>PRODUCT($B21:W21)*X21^(1/2)</f>
        <v>0.11712904004194927</v>
      </c>
      <c r="Y22" s="4">
        <f>PRODUCT($B21:X21)*Y21^(1/2)</f>
        <v>0.10648094549268115</v>
      </c>
      <c r="Z22" s="4">
        <f>PRODUCT($B21:Y21)*Z21^(1/2)</f>
        <v>9.6800859538801048E-2</v>
      </c>
      <c r="AA22" s="4">
        <f>PRODUCT($B21:Z21)*AA21^(1/2)</f>
        <v>8.8000781398910044E-2</v>
      </c>
      <c r="AB22" s="4">
        <f>PRODUCT($B21:AA21)*AB21^(1/2)</f>
        <v>8.0000710362645486E-2</v>
      </c>
      <c r="AC22" s="4">
        <f>PRODUCT($B21:AB21)*AC21^(1/2)</f>
        <v>7.272791851149589E-2</v>
      </c>
      <c r="AD22" s="4">
        <f>PRODUCT($B21:AC21)*AD21^(1/2)</f>
        <v>6.6116289555905358E-2</v>
      </c>
      <c r="AE22" s="4">
        <f>PRODUCT($B21:AD21)*AE21^(1/2)</f>
        <v>6.0105717778095785E-2</v>
      </c>
      <c r="AF22" s="4">
        <f>PRODUCT($B21:AE21)*AF21^(1/2)</f>
        <v>5.4641561616450715E-2</v>
      </c>
      <c r="AG22" s="4">
        <f>PRODUCT($B21:AF21)*AG21^(1/2)</f>
        <v>4.9674146924046099E-2</v>
      </c>
      <c r="AH22" s="4">
        <f>PRODUCT($B21:AG21)*AH21^(1/2)</f>
        <v>4.5158315385496459E-2</v>
      </c>
      <c r="AI22" s="4">
        <f>PRODUCT($B21:AH21)*AI21^(1/2)</f>
        <v>4.1053013986814955E-2</v>
      </c>
      <c r="AJ22" s="4">
        <f>PRODUCT($B21:AI21)*AJ21^(1/2)</f>
        <v>3.7320921806195416E-2</v>
      </c>
      <c r="AK22" s="4">
        <f>PRODUCT($B21:AJ21)*AK21^(1/2)</f>
        <v>3.3928110732904922E-2</v>
      </c>
      <c r="AL22" s="4">
        <f>PRODUCT($B21:AK21)*AL21^(1/2)</f>
        <v>3.0843737029913561E-2</v>
      </c>
      <c r="AM22" s="4">
        <f>PRODUCT($B21:AL21)*AM21^(1/2)</f>
        <v>2.8039760936285057E-2</v>
      </c>
      <c r="AN22" s="4">
        <f>PRODUCT($B21:AM21)*AN21^(1/2)</f>
        <v>2.5490691760259143E-2</v>
      </c>
      <c r="AO22" s="4">
        <f>PRODUCT($B21:AN21)*AO21^(1/2)</f>
        <v>2.3173356145690126E-2</v>
      </c>
    </row>
    <row r="23" spans="1:41" s="73" customFormat="1">
      <c r="A23" s="11" t="s">
        <v>55</v>
      </c>
      <c r="B23" s="19">
        <f>B19*B22</f>
        <v>-371029.5861654426</v>
      </c>
      <c r="C23" s="19">
        <f t="shared" ref="C23:AN23" si="20">C19*C22</f>
        <v>-16991822.11770064</v>
      </c>
      <c r="D23" s="19">
        <f t="shared" si="20"/>
        <v>20626822.307431694</v>
      </c>
      <c r="E23" s="19">
        <f t="shared" si="20"/>
        <v>10036307.076113371</v>
      </c>
      <c r="F23" s="19">
        <f t="shared" si="20"/>
        <v>4544353.6465404099</v>
      </c>
      <c r="G23" s="19">
        <f t="shared" si="20"/>
        <v>3325751.5854882062</v>
      </c>
      <c r="H23" s="19">
        <f t="shared" si="20"/>
        <v>391198.55045071489</v>
      </c>
      <c r="I23" s="19">
        <f t="shared" si="20"/>
        <v>-186050.5802655069</v>
      </c>
      <c r="J23" s="19">
        <f t="shared" si="20"/>
        <v>-1411778.1625797893</v>
      </c>
      <c r="K23" s="19">
        <f t="shared" si="20"/>
        <v>400131.22339413536</v>
      </c>
      <c r="L23" s="19">
        <f t="shared" si="20"/>
        <v>71785.517043695756</v>
      </c>
      <c r="M23" s="19">
        <f t="shared" si="20"/>
        <v>-82858.889353206876</v>
      </c>
      <c r="N23" s="19">
        <f t="shared" si="20"/>
        <v>3423112.1680777827</v>
      </c>
      <c r="O23" s="19">
        <f t="shared" si="20"/>
        <v>-2852227.6107333056</v>
      </c>
      <c r="P23" s="19">
        <f t="shared" si="20"/>
        <v>7147812.4832107481</v>
      </c>
      <c r="Q23" s="19">
        <f t="shared" si="20"/>
        <v>6408005.0074520875</v>
      </c>
      <c r="R23" s="19">
        <f t="shared" si="20"/>
        <v>5827296.4876898266</v>
      </c>
      <c r="S23" s="19">
        <f t="shared" si="20"/>
        <v>5296720.7756914468</v>
      </c>
      <c r="T23" s="19">
        <f t="shared" si="20"/>
        <v>1553155.0961679623</v>
      </c>
      <c r="U23" s="19">
        <f t="shared" si="20"/>
        <v>841671.48445232923</v>
      </c>
      <c r="V23" s="19">
        <f t="shared" si="20"/>
        <v>-124207.19761668953</v>
      </c>
      <c r="W23" s="19">
        <f t="shared" si="20"/>
        <v>-55477.630791805357</v>
      </c>
      <c r="X23" s="19">
        <f t="shared" si="20"/>
        <v>20893.597218684576</v>
      </c>
      <c r="Y23" s="19">
        <f t="shared" si="20"/>
        <v>-28200.923648010583</v>
      </c>
      <c r="Z23" s="19">
        <f t="shared" si="20"/>
        <v>-25637.203316373259</v>
      </c>
      <c r="AA23" s="19">
        <f t="shared" si="20"/>
        <v>-910294.82910965185</v>
      </c>
      <c r="AB23" s="19">
        <f t="shared" si="20"/>
        <v>2276161.3243606077</v>
      </c>
      <c r="AC23" s="19">
        <f t="shared" si="20"/>
        <v>2040558.7735936749</v>
      </c>
      <c r="AD23" s="19">
        <f t="shared" si="20"/>
        <v>1855638.8796198047</v>
      </c>
      <c r="AE23" s="19">
        <f t="shared" si="20"/>
        <v>1686682.6853115512</v>
      </c>
      <c r="AF23" s="19">
        <f t="shared" si="20"/>
        <v>493959.6359316876</v>
      </c>
      <c r="AG23" s="19">
        <f t="shared" si="20"/>
        <v>267342.98025151913</v>
      </c>
      <c r="AH23" s="19">
        <f t="shared" si="20"/>
        <v>-38837.683977587119</v>
      </c>
      <c r="AI23" s="19">
        <f t="shared" si="20"/>
        <v>-17676.882863826206</v>
      </c>
      <c r="AJ23" s="19">
        <f t="shared" si="20"/>
        <v>6657.3439667003022</v>
      </c>
      <c r="AK23" s="19">
        <f t="shared" si="20"/>
        <v>-8985.6833621529495</v>
      </c>
      <c r="AL23" s="19">
        <f t="shared" si="20"/>
        <v>-8168.8030565026802</v>
      </c>
      <c r="AM23" s="19">
        <f t="shared" si="20"/>
        <v>-290047.9857567178</v>
      </c>
      <c r="AN23" s="19">
        <f t="shared" si="20"/>
        <v>725255.14402170898</v>
      </c>
      <c r="AO23" s="19">
        <f>AO19*AO22</f>
        <v>650184.9106161953</v>
      </c>
    </row>
    <row r="24" spans="1:41" s="73" customFormat="1">
      <c r="A24" s="11" t="s">
        <v>56</v>
      </c>
      <c r="B24" s="19">
        <f>SUM($B23:B23)</f>
        <v>-371029.5861654426</v>
      </c>
      <c r="C24" s="19">
        <f>SUM($B23:C23)</f>
        <v>-17362851.703866083</v>
      </c>
      <c r="D24" s="19">
        <f>SUM($B23:D23)</f>
        <v>3263970.6035656109</v>
      </c>
      <c r="E24" s="19">
        <f>SUM($B23:E23)</f>
        <v>13300277.679678982</v>
      </c>
      <c r="F24" s="19">
        <f>SUM($B23:F23)</f>
        <v>17844631.326219391</v>
      </c>
      <c r="G24" s="19">
        <f>SUM($B23:G23)</f>
        <v>21170382.911707599</v>
      </c>
      <c r="H24" s="19">
        <f>SUM($B23:H23)</f>
        <v>21561581.462158315</v>
      </c>
      <c r="I24" s="19">
        <f>SUM($B23:I23)</f>
        <v>21375530.881892808</v>
      </c>
      <c r="J24" s="19">
        <f>SUM($B23:J23)</f>
        <v>19963752.719313018</v>
      </c>
      <c r="K24" s="19">
        <f>SUM($B23:K23)</f>
        <v>20363883.942707155</v>
      </c>
      <c r="L24" s="19">
        <f>SUM($B23:L23)</f>
        <v>20435669.45975085</v>
      </c>
      <c r="M24" s="19">
        <f>SUM($B23:M23)</f>
        <v>20352810.570397642</v>
      </c>
      <c r="N24" s="19">
        <f>SUM($B23:N23)</f>
        <v>23775922.738475423</v>
      </c>
      <c r="O24" s="19">
        <f>SUM($B23:O23)</f>
        <v>20923695.127742119</v>
      </c>
      <c r="P24" s="19">
        <f>SUM($B23:P23)</f>
        <v>28071507.610952869</v>
      </c>
      <c r="Q24" s="19">
        <f>SUM($B23:Q23)</f>
        <v>34479512.618404955</v>
      </c>
      <c r="R24" s="19">
        <f>SUM($B23:R23)</f>
        <v>40306809.106094778</v>
      </c>
      <c r="S24" s="19">
        <f>SUM($B23:S23)</f>
        <v>45603529.881786227</v>
      </c>
      <c r="T24" s="19">
        <f>SUM($B23:T23)</f>
        <v>47156684.977954186</v>
      </c>
      <c r="U24" s="19">
        <f>SUM($B23:U23)</f>
        <v>47998356.462406516</v>
      </c>
      <c r="V24" s="19">
        <f>SUM($B23:V23)</f>
        <v>47874149.264789827</v>
      </c>
      <c r="W24" s="19">
        <f>SUM($B23:W23)</f>
        <v>47818671.633998021</v>
      </c>
      <c r="X24" s="19">
        <f>SUM($B23:X23)</f>
        <v>47839565.231216706</v>
      </c>
      <c r="Y24" s="19">
        <f>SUM($B23:Y23)</f>
        <v>47811364.307568699</v>
      </c>
      <c r="Z24" s="19">
        <f>SUM($B23:Z23)</f>
        <v>47785727.104252324</v>
      </c>
      <c r="AA24" s="19">
        <f>SUM($B23:AA23)</f>
        <v>46875432.27514267</v>
      </c>
      <c r="AB24" s="19">
        <f>SUM($B23:AB23)</f>
        <v>49151593.599503279</v>
      </c>
      <c r="AC24" s="19">
        <f>SUM($B23:AC23)</f>
        <v>51192152.37309695</v>
      </c>
      <c r="AD24" s="19">
        <f>SUM($B23:AD23)</f>
        <v>53047791.252716757</v>
      </c>
      <c r="AE24" s="19">
        <f>SUM($B23:AE23)</f>
        <v>54734473.938028306</v>
      </c>
      <c r="AF24" s="19">
        <f>SUM($B23:AF23)</f>
        <v>55228433.573959991</v>
      </c>
      <c r="AG24" s="19">
        <f>SUM($B23:AG23)</f>
        <v>55495776.554211512</v>
      </c>
      <c r="AH24" s="19">
        <f>SUM($B23:AH23)</f>
        <v>55456938.870233923</v>
      </c>
      <c r="AI24" s="19">
        <f>SUM($B23:AI23)</f>
        <v>55439261.987370096</v>
      </c>
      <c r="AJ24" s="19">
        <f>SUM($B23:AJ23)</f>
        <v>55445919.331336796</v>
      </c>
      <c r="AK24" s="19">
        <f>SUM($B23:AK23)</f>
        <v>55436933.64797464</v>
      </c>
      <c r="AL24" s="19">
        <f>SUM($B23:AL23)</f>
        <v>55428764.844918139</v>
      </c>
      <c r="AM24" s="19">
        <f>SUM($B23:AM23)</f>
        <v>55138716.859161422</v>
      </c>
      <c r="AN24" s="19">
        <f>SUM($B23:AN23)</f>
        <v>55863972.003183134</v>
      </c>
      <c r="AO24" s="19">
        <f>SUM($B23:AO23)</f>
        <v>56514156.913799331</v>
      </c>
    </row>
    <row r="26" spans="1:41">
      <c r="A26" s="10" t="s">
        <v>57</v>
      </c>
      <c r="B26" s="111">
        <f>NPV(0.1,B19:AO19)</f>
        <v>53884134.380062781</v>
      </c>
      <c r="C26" s="62"/>
    </row>
    <row r="27" spans="1:41">
      <c r="A27" s="10" t="s">
        <v>59</v>
      </c>
      <c r="B27" s="30">
        <f>B26/C27</f>
        <v>3.4926065125602661</v>
      </c>
      <c r="C27" s="39">
        <f>'Общие расходы'!C13+'Общие расходы'!B13+'Общие расходы'!B22+'Общие расходы'!C22</f>
        <v>15428057.58</v>
      </c>
    </row>
    <row r="28" spans="1:41">
      <c r="A28" s="10" t="s">
        <v>58</v>
      </c>
      <c r="B28" s="30">
        <f>IRR(B19:N19)</f>
        <v>0.8182744082297384</v>
      </c>
    </row>
    <row r="29" spans="1:41">
      <c r="A29" s="10" t="s">
        <v>60</v>
      </c>
      <c r="B29" s="32">
        <f>AVERAGE(B19:N19)/Капвложения_ОС!B30</f>
        <v>0.21024290842372464</v>
      </c>
    </row>
    <row r="30" spans="1:41">
      <c r="A30" s="10" t="s">
        <v>62</v>
      </c>
      <c r="B30" s="25">
        <v>4</v>
      </c>
    </row>
    <row r="31" spans="1:41">
      <c r="A31" s="10" t="s">
        <v>61</v>
      </c>
      <c r="B31" s="25">
        <v>6</v>
      </c>
    </row>
  </sheetData>
  <mergeCells count="2">
    <mergeCell ref="AP1:AP2"/>
    <mergeCell ref="AP10:AP1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workbookViewId="0">
      <selection activeCell="AO5" sqref="AO5"/>
    </sheetView>
  </sheetViews>
  <sheetFormatPr baseColWidth="10" defaultRowHeight="15" x14ac:dyDescent="0"/>
  <cols>
    <col min="1" max="1" width="27.6640625" style="2" customWidth="1"/>
    <col min="5" max="5" width="17.5" bestFit="1" customWidth="1"/>
    <col min="6" max="6" width="14.6640625" bestFit="1" customWidth="1"/>
    <col min="7" max="7" width="20.5" customWidth="1"/>
    <col min="10" max="10" width="12.1640625" bestFit="1" customWidth="1"/>
    <col min="40" max="41" width="12.1640625" bestFit="1" customWidth="1"/>
  </cols>
  <sheetData>
    <row r="1" spans="1:42" s="35" customFormat="1">
      <c r="A1" s="20" t="s">
        <v>64</v>
      </c>
      <c r="B1" s="64">
        <f>YEAR(B2)</f>
        <v>2019</v>
      </c>
      <c r="C1" s="64">
        <f t="shared" ref="C1:AO1" si="0">YEAR(C2)</f>
        <v>2019</v>
      </c>
      <c r="D1" s="64">
        <f t="shared" si="0"/>
        <v>2019</v>
      </c>
      <c r="E1" s="64">
        <f t="shared" si="0"/>
        <v>2019</v>
      </c>
      <c r="F1" s="64">
        <f t="shared" si="0"/>
        <v>2019</v>
      </c>
      <c r="G1" s="63">
        <f t="shared" si="0"/>
        <v>2020</v>
      </c>
      <c r="H1" s="63">
        <f t="shared" si="0"/>
        <v>2020</v>
      </c>
      <c r="I1" s="63">
        <f t="shared" si="0"/>
        <v>2020</v>
      </c>
      <c r="J1" s="63">
        <f t="shared" si="0"/>
        <v>2020</v>
      </c>
      <c r="K1" s="63">
        <f t="shared" si="0"/>
        <v>2020</v>
      </c>
      <c r="L1" s="63">
        <f t="shared" si="0"/>
        <v>2020</v>
      </c>
      <c r="M1" s="63">
        <f t="shared" si="0"/>
        <v>2020</v>
      </c>
      <c r="N1" s="63">
        <f t="shared" si="0"/>
        <v>2020</v>
      </c>
      <c r="O1" s="63">
        <f t="shared" si="0"/>
        <v>2020</v>
      </c>
      <c r="P1" s="63">
        <f t="shared" si="0"/>
        <v>2020</v>
      </c>
      <c r="Q1" s="63">
        <f t="shared" si="0"/>
        <v>2020</v>
      </c>
      <c r="R1" s="63">
        <f t="shared" si="0"/>
        <v>2020</v>
      </c>
      <c r="S1" s="65">
        <f t="shared" si="0"/>
        <v>2021</v>
      </c>
      <c r="T1" s="65">
        <f t="shared" si="0"/>
        <v>2021</v>
      </c>
      <c r="U1" s="65">
        <f t="shared" si="0"/>
        <v>2021</v>
      </c>
      <c r="V1" s="65">
        <f t="shared" si="0"/>
        <v>2021</v>
      </c>
      <c r="W1" s="65">
        <f t="shared" si="0"/>
        <v>2021</v>
      </c>
      <c r="X1" s="65">
        <f t="shared" si="0"/>
        <v>2021</v>
      </c>
      <c r="Y1" s="65">
        <f t="shared" si="0"/>
        <v>2021</v>
      </c>
      <c r="Z1" s="65">
        <f t="shared" si="0"/>
        <v>2021</v>
      </c>
      <c r="AA1" s="65">
        <f t="shared" si="0"/>
        <v>2021</v>
      </c>
      <c r="AB1" s="65">
        <f t="shared" si="0"/>
        <v>2021</v>
      </c>
      <c r="AC1" s="65">
        <f t="shared" si="0"/>
        <v>2021</v>
      </c>
      <c r="AD1" s="65">
        <f t="shared" si="0"/>
        <v>2021</v>
      </c>
      <c r="AE1" s="63">
        <f t="shared" si="0"/>
        <v>2022</v>
      </c>
      <c r="AF1" s="63">
        <f t="shared" si="0"/>
        <v>2022</v>
      </c>
      <c r="AG1" s="63">
        <f t="shared" si="0"/>
        <v>2022</v>
      </c>
      <c r="AH1" s="63">
        <f t="shared" si="0"/>
        <v>2022</v>
      </c>
      <c r="AI1" s="63">
        <f t="shared" si="0"/>
        <v>2022</v>
      </c>
      <c r="AJ1" s="63">
        <f t="shared" si="0"/>
        <v>2022</v>
      </c>
      <c r="AK1" s="63">
        <f t="shared" si="0"/>
        <v>2022</v>
      </c>
      <c r="AL1" s="63">
        <f t="shared" si="0"/>
        <v>2022</v>
      </c>
      <c r="AM1" s="66">
        <f t="shared" si="0"/>
        <v>2022</v>
      </c>
      <c r="AN1" s="66">
        <f t="shared" si="0"/>
        <v>2022</v>
      </c>
      <c r="AO1" s="66">
        <f t="shared" si="0"/>
        <v>2022</v>
      </c>
      <c r="AP1" s="113" t="s">
        <v>65</v>
      </c>
    </row>
    <row r="2" spans="1:42" s="34" customFormat="1">
      <c r="A2" s="41" t="s">
        <v>1</v>
      </c>
      <c r="B2" s="42">
        <f>'Старт проекта'!B1</f>
        <v>43678</v>
      </c>
      <c r="C2" s="42">
        <f>DATE(YEAR(B2),MONTH(B2)+1,1)</f>
        <v>43709</v>
      </c>
      <c r="D2" s="42">
        <f t="shared" ref="D2:N2" si="1">DATE(YEAR(C2),MONTH(C2)+1,1)</f>
        <v>43739</v>
      </c>
      <c r="E2" s="42">
        <f t="shared" si="1"/>
        <v>43770</v>
      </c>
      <c r="F2" s="42">
        <f t="shared" si="1"/>
        <v>43800</v>
      </c>
      <c r="G2" s="43">
        <f t="shared" si="1"/>
        <v>43831</v>
      </c>
      <c r="H2" s="43">
        <f t="shared" si="1"/>
        <v>43862</v>
      </c>
      <c r="I2" s="43">
        <f t="shared" si="1"/>
        <v>43891</v>
      </c>
      <c r="J2" s="43">
        <f t="shared" si="1"/>
        <v>43922</v>
      </c>
      <c r="K2" s="43">
        <f t="shared" si="1"/>
        <v>43952</v>
      </c>
      <c r="L2" s="43">
        <f t="shared" si="1"/>
        <v>43983</v>
      </c>
      <c r="M2" s="43">
        <f t="shared" si="1"/>
        <v>44013</v>
      </c>
      <c r="N2" s="43">
        <f t="shared" si="1"/>
        <v>44044</v>
      </c>
      <c r="O2" s="43">
        <f t="shared" ref="O2" si="2">DATE(YEAR(N2),MONTH(N2)+1,1)</f>
        <v>44075</v>
      </c>
      <c r="P2" s="43">
        <f t="shared" ref="P2" si="3">DATE(YEAR(O2),MONTH(O2)+1,1)</f>
        <v>44105</v>
      </c>
      <c r="Q2" s="43">
        <f t="shared" ref="Q2" si="4">DATE(YEAR(P2),MONTH(P2)+1,1)</f>
        <v>44136</v>
      </c>
      <c r="R2" s="43">
        <f t="shared" ref="R2" si="5">DATE(YEAR(Q2),MONTH(Q2)+1,1)</f>
        <v>44166</v>
      </c>
      <c r="S2" s="42">
        <f t="shared" ref="S2" si="6">DATE(YEAR(R2),MONTH(R2)+1,1)</f>
        <v>44197</v>
      </c>
      <c r="T2" s="42">
        <f t="shared" ref="T2" si="7">DATE(YEAR(S2),MONTH(S2)+1,1)</f>
        <v>44228</v>
      </c>
      <c r="U2" s="42">
        <f t="shared" ref="U2" si="8">DATE(YEAR(T2),MONTH(T2)+1,1)</f>
        <v>44256</v>
      </c>
      <c r="V2" s="42">
        <f t="shared" ref="V2" si="9">DATE(YEAR(U2),MONTH(U2)+1,1)</f>
        <v>44287</v>
      </c>
      <c r="W2" s="42">
        <f t="shared" ref="W2" si="10">DATE(YEAR(V2),MONTH(V2)+1,1)</f>
        <v>44317</v>
      </c>
      <c r="X2" s="42">
        <f t="shared" ref="X2" si="11">DATE(YEAR(W2),MONTH(W2)+1,1)</f>
        <v>44348</v>
      </c>
      <c r="Y2" s="42">
        <f t="shared" ref="Y2" si="12">DATE(YEAR(X2),MONTH(X2)+1,1)</f>
        <v>44378</v>
      </c>
      <c r="Z2" s="42">
        <f t="shared" ref="Z2" si="13">DATE(YEAR(Y2),MONTH(Y2)+1,1)</f>
        <v>44409</v>
      </c>
      <c r="AA2" s="42">
        <f t="shared" ref="AA2" si="14">DATE(YEAR(Z2),MONTH(Z2)+1,1)</f>
        <v>44440</v>
      </c>
      <c r="AB2" s="42">
        <f t="shared" ref="AB2" si="15">DATE(YEAR(AA2),MONTH(AA2)+1,1)</f>
        <v>44470</v>
      </c>
      <c r="AC2" s="42">
        <f t="shared" ref="AC2" si="16">DATE(YEAR(AB2),MONTH(AB2)+1,1)</f>
        <v>44501</v>
      </c>
      <c r="AD2" s="42">
        <f t="shared" ref="AD2" si="17">DATE(YEAR(AC2),MONTH(AC2)+1,1)</f>
        <v>44531</v>
      </c>
      <c r="AE2" s="43">
        <f t="shared" ref="AE2" si="18">DATE(YEAR(AD2),MONTH(AD2)+1,1)</f>
        <v>44562</v>
      </c>
      <c r="AF2" s="43">
        <f t="shared" ref="AF2" si="19">DATE(YEAR(AE2),MONTH(AE2)+1,1)</f>
        <v>44593</v>
      </c>
      <c r="AG2" s="43">
        <f t="shared" ref="AG2" si="20">DATE(YEAR(AF2),MONTH(AF2)+1,1)</f>
        <v>44621</v>
      </c>
      <c r="AH2" s="43">
        <f t="shared" ref="AH2" si="21">DATE(YEAR(AG2),MONTH(AG2)+1,1)</f>
        <v>44652</v>
      </c>
      <c r="AI2" s="43">
        <f t="shared" ref="AI2" si="22">DATE(YEAR(AH2),MONTH(AH2)+1,1)</f>
        <v>44682</v>
      </c>
      <c r="AJ2" s="43">
        <f t="shared" ref="AJ2" si="23">DATE(YEAR(AI2),MONTH(AI2)+1,1)</f>
        <v>44713</v>
      </c>
      <c r="AK2" s="43">
        <f t="shared" ref="AK2" si="24">DATE(YEAR(AJ2),MONTH(AJ2)+1,1)</f>
        <v>44743</v>
      </c>
      <c r="AL2" s="43">
        <f t="shared" ref="AL2" si="25">DATE(YEAR(AK2),MONTH(AK2)+1,1)</f>
        <v>44774</v>
      </c>
      <c r="AM2" s="43">
        <f t="shared" ref="AM2" si="26">DATE(YEAR(AL2),MONTH(AL2)+1,1)</f>
        <v>44805</v>
      </c>
      <c r="AN2" s="43">
        <f t="shared" ref="AN2" si="27">DATE(YEAR(AM2),MONTH(AM2)+1,1)</f>
        <v>44835</v>
      </c>
      <c r="AO2" s="43">
        <f t="shared" ref="AO2" si="28">DATE(YEAR(AN2),MONTH(AN2)+1,1)</f>
        <v>44866</v>
      </c>
      <c r="AP2" s="113"/>
    </row>
    <row r="3" spans="1:42" s="29" customFormat="1">
      <c r="A3" s="11" t="s">
        <v>92</v>
      </c>
      <c r="B3" s="74"/>
      <c r="C3" s="74"/>
      <c r="D3" s="74">
        <f>G20/2</f>
        <v>3.5000000000000004</v>
      </c>
      <c r="E3" s="74">
        <f>G20/2</f>
        <v>3.5000000000000004</v>
      </c>
      <c r="F3" s="74">
        <v>0</v>
      </c>
      <c r="G3" s="74">
        <v>0</v>
      </c>
      <c r="H3" s="74"/>
      <c r="I3" s="74"/>
      <c r="J3" s="74"/>
      <c r="K3" s="74"/>
      <c r="L3" s="74"/>
      <c r="M3" s="74"/>
      <c r="N3" s="74"/>
      <c r="O3" s="74"/>
      <c r="P3" s="74">
        <f>(G20+I9)/4</f>
        <v>9.4500000000000028</v>
      </c>
      <c r="Q3" s="74">
        <f>(G20+I9)/4</f>
        <v>9.4500000000000028</v>
      </c>
      <c r="R3" s="74">
        <f>(G20+I9)/4</f>
        <v>9.4500000000000028</v>
      </c>
      <c r="S3" s="74">
        <f>(G20+I9)/4</f>
        <v>9.4500000000000028</v>
      </c>
      <c r="T3" s="74"/>
      <c r="U3" s="74"/>
      <c r="V3" s="74"/>
      <c r="W3" s="74"/>
      <c r="X3" s="74"/>
      <c r="Y3" s="74"/>
      <c r="Z3" s="74"/>
      <c r="AA3" s="74"/>
      <c r="AB3" s="74">
        <f>(G20+I9)/4</f>
        <v>9.4500000000000028</v>
      </c>
      <c r="AC3" s="74">
        <f>(G20+I9)/4</f>
        <v>9.4500000000000028</v>
      </c>
      <c r="AD3" s="74">
        <f>(G20+I9)/4</f>
        <v>9.4500000000000028</v>
      </c>
      <c r="AE3" s="74">
        <f>(G20+I9)/4</f>
        <v>9.4500000000000028</v>
      </c>
      <c r="AF3" s="74"/>
      <c r="AG3" s="74"/>
      <c r="AH3" s="74"/>
      <c r="AI3" s="74"/>
      <c r="AJ3" s="74"/>
      <c r="AK3" s="74"/>
      <c r="AL3" s="74"/>
      <c r="AM3" s="74"/>
      <c r="AN3" s="74">
        <f>(G20+I9)/4</f>
        <v>9.4500000000000028</v>
      </c>
      <c r="AO3" s="74">
        <f>(G20+I9)/4</f>
        <v>9.4500000000000028</v>
      </c>
      <c r="AP3" s="74">
        <f>SUM(B3:AO3)</f>
        <v>101.50000000000003</v>
      </c>
    </row>
    <row r="4" spans="1:42" s="29" customFormat="1" ht="30">
      <c r="A4" s="11" t="s">
        <v>93</v>
      </c>
      <c r="B4" s="74"/>
      <c r="C4" s="74"/>
      <c r="D4" s="74">
        <f>G21/4</f>
        <v>19.4375</v>
      </c>
      <c r="E4" s="74">
        <f>G21/4</f>
        <v>19.4375</v>
      </c>
      <c r="F4" s="74">
        <f>G21/4</f>
        <v>19.4375</v>
      </c>
      <c r="G4" s="74">
        <f>G21/4</f>
        <v>19.4375</v>
      </c>
      <c r="H4" s="74"/>
      <c r="I4" s="74"/>
      <c r="J4" s="74"/>
      <c r="K4" s="74"/>
      <c r="L4" s="74"/>
      <c r="M4" s="74"/>
      <c r="N4" s="74"/>
      <c r="O4" s="74"/>
      <c r="P4" s="74">
        <f>(H9+G21)/6</f>
        <v>18.791666666666668</v>
      </c>
      <c r="Q4" s="74">
        <f>(H9+G21)/6</f>
        <v>18.791666666666668</v>
      </c>
      <c r="R4" s="74">
        <f>(H9+G21)/6</f>
        <v>18.791666666666668</v>
      </c>
      <c r="S4" s="74">
        <f>(H9+G21)/6</f>
        <v>18.791666666666668</v>
      </c>
      <c r="T4" s="74">
        <f>(H9+G21)/6</f>
        <v>18.791666666666668</v>
      </c>
      <c r="U4" s="74">
        <f>(H9+G21)/6</f>
        <v>18.791666666666668</v>
      </c>
      <c r="V4" s="74"/>
      <c r="W4" s="74"/>
      <c r="X4" s="74"/>
      <c r="Y4" s="74"/>
      <c r="Z4" s="74"/>
      <c r="AA4" s="74"/>
      <c r="AB4" s="74">
        <f>(H9+G21)/6</f>
        <v>18.791666666666668</v>
      </c>
      <c r="AC4" s="74">
        <f>(H9+G21)/6</f>
        <v>18.791666666666668</v>
      </c>
      <c r="AD4" s="74">
        <f>(H9+G21)/6</f>
        <v>18.791666666666668</v>
      </c>
      <c r="AE4" s="74">
        <f>(H9+G21)/6</f>
        <v>18.791666666666668</v>
      </c>
      <c r="AF4" s="74">
        <f>(H9+G21)/6</f>
        <v>18.791666666666668</v>
      </c>
      <c r="AG4" s="74">
        <f>(H9+G21)/6</f>
        <v>18.791666666666668</v>
      </c>
      <c r="AH4" s="74"/>
      <c r="AI4" s="74"/>
      <c r="AJ4" s="74"/>
      <c r="AK4" s="74"/>
      <c r="AL4" s="74"/>
      <c r="AM4" s="74"/>
      <c r="AN4" s="74">
        <f>(H9+G21)/6</f>
        <v>18.791666666666668</v>
      </c>
      <c r="AO4" s="74">
        <f>(H9+G21)/6</f>
        <v>18.791666666666668</v>
      </c>
      <c r="AP4" s="74">
        <f>SUM(B4:AO4)</f>
        <v>340.83333333333337</v>
      </c>
    </row>
    <row r="5" spans="1:42" s="35" customFormat="1">
      <c r="A5" s="24" t="s">
        <v>71</v>
      </c>
      <c r="B5" s="16">
        <f>SUM(B3:B4)</f>
        <v>0</v>
      </c>
      <c r="C5" s="16">
        <f>SUM(C3:C3)</f>
        <v>0</v>
      </c>
      <c r="D5" s="16">
        <f>SUM(D3:D4)</f>
        <v>22.9375</v>
      </c>
      <c r="E5" s="16">
        <f t="shared" ref="E5:AL5" si="29">SUM(E3:E4)</f>
        <v>22.9375</v>
      </c>
      <c r="F5" s="16">
        <f t="shared" si="29"/>
        <v>19.4375</v>
      </c>
      <c r="G5" s="16">
        <f t="shared" si="29"/>
        <v>19.4375</v>
      </c>
      <c r="H5" s="16">
        <f t="shared" si="29"/>
        <v>0</v>
      </c>
      <c r="I5" s="16">
        <f t="shared" si="29"/>
        <v>0</v>
      </c>
      <c r="J5" s="16">
        <f t="shared" si="29"/>
        <v>0</v>
      </c>
      <c r="K5" s="16">
        <f t="shared" si="29"/>
        <v>0</v>
      </c>
      <c r="L5" s="16">
        <f t="shared" si="29"/>
        <v>0</v>
      </c>
      <c r="M5" s="16">
        <f t="shared" si="29"/>
        <v>0</v>
      </c>
      <c r="N5" s="16">
        <f t="shared" si="29"/>
        <v>0</v>
      </c>
      <c r="O5" s="16">
        <f t="shared" si="29"/>
        <v>0</v>
      </c>
      <c r="P5" s="16">
        <f t="shared" si="29"/>
        <v>28.241666666666671</v>
      </c>
      <c r="Q5" s="16">
        <f t="shared" si="29"/>
        <v>28.241666666666671</v>
      </c>
      <c r="R5" s="16">
        <f t="shared" si="29"/>
        <v>28.241666666666671</v>
      </c>
      <c r="S5" s="16">
        <f t="shared" si="29"/>
        <v>28.241666666666671</v>
      </c>
      <c r="T5" s="16">
        <f t="shared" si="29"/>
        <v>18.791666666666668</v>
      </c>
      <c r="U5" s="16">
        <f t="shared" si="29"/>
        <v>18.791666666666668</v>
      </c>
      <c r="V5" s="16">
        <f t="shared" si="29"/>
        <v>0</v>
      </c>
      <c r="W5" s="16">
        <f t="shared" si="29"/>
        <v>0</v>
      </c>
      <c r="X5" s="16">
        <f t="shared" si="29"/>
        <v>0</v>
      </c>
      <c r="Y5" s="16">
        <f t="shared" si="29"/>
        <v>0</v>
      </c>
      <c r="Z5" s="16">
        <f t="shared" si="29"/>
        <v>0</v>
      </c>
      <c r="AA5" s="16">
        <f t="shared" si="29"/>
        <v>0</v>
      </c>
      <c r="AB5" s="16">
        <f t="shared" si="29"/>
        <v>28.241666666666671</v>
      </c>
      <c r="AC5" s="16">
        <f t="shared" si="29"/>
        <v>28.241666666666671</v>
      </c>
      <c r="AD5" s="16">
        <f t="shared" si="29"/>
        <v>28.241666666666671</v>
      </c>
      <c r="AE5" s="16">
        <f t="shared" si="29"/>
        <v>28.241666666666671</v>
      </c>
      <c r="AF5" s="16">
        <f t="shared" si="29"/>
        <v>18.791666666666668</v>
      </c>
      <c r="AG5" s="16">
        <f t="shared" si="29"/>
        <v>18.791666666666668</v>
      </c>
      <c r="AH5" s="16">
        <f t="shared" si="29"/>
        <v>0</v>
      </c>
      <c r="AI5" s="16">
        <f t="shared" si="29"/>
        <v>0</v>
      </c>
      <c r="AJ5" s="16">
        <f t="shared" si="29"/>
        <v>0</v>
      </c>
      <c r="AK5" s="16">
        <f t="shared" si="29"/>
        <v>0</v>
      </c>
      <c r="AL5" s="16">
        <f t="shared" si="29"/>
        <v>0</v>
      </c>
      <c r="AM5" s="16">
        <f t="shared" ref="AM5" si="30">SUM(AM3:AM4)</f>
        <v>0</v>
      </c>
      <c r="AN5" s="16">
        <f t="shared" ref="AN5" si="31">SUM(AN3:AN4)</f>
        <v>28.241666666666671</v>
      </c>
      <c r="AO5" s="16">
        <f t="shared" ref="AO5" si="32">SUM(AO3:AO4)</f>
        <v>28.241666666666671</v>
      </c>
      <c r="AP5" s="16">
        <f t="shared" ref="AP5" si="33">SUM(AP3:AP4)</f>
        <v>442.33333333333337</v>
      </c>
    </row>
    <row r="6" spans="1:42">
      <c r="A6"/>
    </row>
    <row r="7" spans="1:42" ht="30">
      <c r="A7"/>
      <c r="D7" s="66"/>
      <c r="E7" s="66" t="s">
        <v>73</v>
      </c>
      <c r="F7" s="66" t="s">
        <v>75</v>
      </c>
      <c r="G7" s="66" t="s">
        <v>74</v>
      </c>
      <c r="H7" s="82" t="s">
        <v>96</v>
      </c>
      <c r="I7" s="82" t="s">
        <v>97</v>
      </c>
    </row>
    <row r="8" spans="1:42">
      <c r="A8" s="5" t="s">
        <v>1</v>
      </c>
      <c r="B8" s="6" t="s">
        <v>14</v>
      </c>
      <c r="D8" s="25" t="s">
        <v>72</v>
      </c>
      <c r="E8" s="25">
        <v>1100</v>
      </c>
      <c r="F8" s="25">
        <v>350</v>
      </c>
      <c r="G8" s="25">
        <f>E8*28%</f>
        <v>308.00000000000006</v>
      </c>
      <c r="H8" s="81">
        <f>F8*0.001</f>
        <v>0.35000000000000003</v>
      </c>
      <c r="I8" s="81">
        <f>G8*0.001</f>
        <v>0.30800000000000005</v>
      </c>
    </row>
    <row r="9" spans="1:42">
      <c r="A9" s="4" t="s">
        <v>2</v>
      </c>
      <c r="B9" s="4">
        <v>31</v>
      </c>
      <c r="D9" s="25" t="s">
        <v>90</v>
      </c>
      <c r="E9" s="14">
        <f>E8*100</f>
        <v>110000</v>
      </c>
      <c r="F9" s="14">
        <f t="shared" ref="F9:G9" si="34">F8*100</f>
        <v>35000</v>
      </c>
      <c r="G9" s="14">
        <f t="shared" si="34"/>
        <v>30800.000000000007</v>
      </c>
      <c r="H9" s="83">
        <f>F9*0.001</f>
        <v>35</v>
      </c>
      <c r="I9" s="83">
        <f>G9*0.001</f>
        <v>30.800000000000008</v>
      </c>
    </row>
    <row r="10" spans="1:42">
      <c r="A10" s="4" t="s">
        <v>3</v>
      </c>
      <c r="B10" s="4">
        <v>28</v>
      </c>
      <c r="G10" s="39"/>
    </row>
    <row r="11" spans="1:42">
      <c r="A11" s="4" t="s">
        <v>4</v>
      </c>
      <c r="B11" s="4">
        <v>31</v>
      </c>
    </row>
    <row r="12" spans="1:42">
      <c r="A12" s="4" t="s">
        <v>5</v>
      </c>
      <c r="B12" s="4">
        <v>30</v>
      </c>
    </row>
    <row r="13" spans="1:42">
      <c r="A13" s="4" t="s">
        <v>12</v>
      </c>
      <c r="B13" s="4">
        <v>31</v>
      </c>
      <c r="D13" s="76" t="s">
        <v>76</v>
      </c>
      <c r="E13" s="76" t="s">
        <v>79</v>
      </c>
    </row>
    <row r="14" spans="1:42" ht="30">
      <c r="A14" s="4" t="s">
        <v>6</v>
      </c>
      <c r="B14" s="4">
        <v>30</v>
      </c>
      <c r="D14" s="70" t="s">
        <v>77</v>
      </c>
      <c r="E14" s="71">
        <v>2000000</v>
      </c>
      <c r="F14" s="39"/>
    </row>
    <row r="15" spans="1:42" ht="45">
      <c r="A15" s="4" t="s">
        <v>7</v>
      </c>
      <c r="B15" s="4">
        <v>31</v>
      </c>
      <c r="D15" s="70" t="s">
        <v>78</v>
      </c>
      <c r="E15" s="71">
        <v>250000</v>
      </c>
      <c r="F15" s="92"/>
      <c r="G15" s="72"/>
    </row>
    <row r="16" spans="1:42">
      <c r="A16" s="4" t="s">
        <v>8</v>
      </c>
      <c r="B16" s="4">
        <v>31</v>
      </c>
    </row>
    <row r="17" spans="1:7" ht="30">
      <c r="A17" s="4" t="s">
        <v>13</v>
      </c>
      <c r="B17" s="4">
        <v>30</v>
      </c>
      <c r="D17" s="20" t="s">
        <v>86</v>
      </c>
      <c r="E17" s="20" t="s">
        <v>82</v>
      </c>
      <c r="F17" s="20" t="s">
        <v>83</v>
      </c>
      <c r="G17" s="20" t="s">
        <v>84</v>
      </c>
    </row>
    <row r="18" spans="1:7" ht="60">
      <c r="A18" s="4" t="s">
        <v>9</v>
      </c>
      <c r="B18" s="4">
        <v>31</v>
      </c>
      <c r="D18" s="11" t="s">
        <v>85</v>
      </c>
      <c r="E18" s="75">
        <v>0.7</v>
      </c>
      <c r="F18" s="75">
        <v>5000</v>
      </c>
      <c r="G18" s="75">
        <v>5000000</v>
      </c>
    </row>
    <row r="19" spans="1:7" ht="45">
      <c r="A19" s="4" t="s">
        <v>10</v>
      </c>
      <c r="B19" s="4">
        <v>30</v>
      </c>
      <c r="D19" s="11" t="s">
        <v>95</v>
      </c>
      <c r="E19" s="79">
        <v>1.2999999999999999E-4</v>
      </c>
      <c r="F19" s="78">
        <f>E19*1000</f>
        <v>0.12999999999999998</v>
      </c>
      <c r="G19" s="8">
        <v>25</v>
      </c>
    </row>
    <row r="20" spans="1:7" ht="30">
      <c r="A20" s="7" t="s">
        <v>11</v>
      </c>
      <c r="B20" s="4">
        <v>31</v>
      </c>
      <c r="D20" s="11" t="s">
        <v>91</v>
      </c>
      <c r="E20" s="79">
        <f>E19*0.28</f>
        <v>3.6399999999999997E-5</v>
      </c>
      <c r="F20" s="78">
        <f t="shared" ref="F20" si="35">F19*0.28</f>
        <v>3.6399999999999995E-2</v>
      </c>
      <c r="G20" s="8">
        <f>G19*28%</f>
        <v>7.0000000000000009</v>
      </c>
    </row>
    <row r="21" spans="1:7" ht="45">
      <c r="D21" s="31" t="s">
        <v>94</v>
      </c>
      <c r="E21" s="80">
        <f>E19*3.11</f>
        <v>4.0429999999999996E-4</v>
      </c>
      <c r="F21" s="37">
        <f t="shared" ref="F21" si="36">F19*3.11</f>
        <v>0.40429999999999994</v>
      </c>
      <c r="G21" s="14">
        <f>G19*3.11</f>
        <v>77.75</v>
      </c>
    </row>
    <row r="22" spans="1:7">
      <c r="A22" s="20"/>
      <c r="B22" s="66" t="s">
        <v>81</v>
      </c>
    </row>
    <row r="23" spans="1:7">
      <c r="A23" s="10" t="s">
        <v>80</v>
      </c>
      <c r="B23" s="65">
        <v>100</v>
      </c>
    </row>
    <row r="26" spans="1:7">
      <c r="A26" s="77"/>
      <c r="B26" s="77" t="s">
        <v>88</v>
      </c>
      <c r="C26" s="77" t="s">
        <v>89</v>
      </c>
    </row>
    <row r="27" spans="1:7">
      <c r="A27" s="31" t="s">
        <v>87</v>
      </c>
      <c r="B27" s="14">
        <v>75000</v>
      </c>
      <c r="C27" s="14">
        <f>B27*100</f>
        <v>7500000</v>
      </c>
    </row>
  </sheetData>
  <mergeCells count="1">
    <mergeCell ref="AP1:AP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8" workbookViewId="0">
      <selection activeCell="E22" sqref="E22"/>
    </sheetView>
  </sheetViews>
  <sheetFormatPr baseColWidth="10" defaultRowHeight="15" x14ac:dyDescent="0"/>
  <cols>
    <col min="1" max="1" width="43" bestFit="1" customWidth="1"/>
    <col min="2" max="2" width="15.5" bestFit="1" customWidth="1"/>
    <col min="7" max="7" width="11.6640625" bestFit="1" customWidth="1"/>
  </cols>
  <sheetData>
    <row r="1" spans="1:14" s="34" customFormat="1">
      <c r="A1" s="48" t="s">
        <v>69</v>
      </c>
      <c r="B1" s="9" t="e">
        <f>#REF!</f>
        <v>#REF!</v>
      </c>
      <c r="C1" s="9" t="e">
        <f>#REF!</f>
        <v>#REF!</v>
      </c>
      <c r="D1" s="9" t="e">
        <f>#REF!</f>
        <v>#REF!</v>
      </c>
      <c r="E1" s="9" t="e">
        <f>#REF!</f>
        <v>#REF!</v>
      </c>
      <c r="F1" s="9" t="e">
        <f>#REF!</f>
        <v>#REF!</v>
      </c>
      <c r="G1" s="48" t="e">
        <f>#REF!</f>
        <v>#REF!</v>
      </c>
      <c r="H1" s="48" t="e">
        <f>#REF!</f>
        <v>#REF!</v>
      </c>
      <c r="I1" s="48" t="e">
        <f>#REF!</f>
        <v>#REF!</v>
      </c>
      <c r="J1" s="48" t="e">
        <f>#REF!</f>
        <v>#REF!</v>
      </c>
      <c r="K1" s="48" t="e">
        <f>#REF!</f>
        <v>#REF!</v>
      </c>
      <c r="L1" s="48" t="e">
        <f>#REF!</f>
        <v>#REF!</v>
      </c>
      <c r="M1" s="48" t="e">
        <f>#REF!</f>
        <v>#REF!</v>
      </c>
      <c r="N1" s="114" t="s">
        <v>65</v>
      </c>
    </row>
    <row r="2" spans="1:14" s="34" customFormat="1">
      <c r="A2" s="66" t="s">
        <v>70</v>
      </c>
      <c r="B2" s="44" t="e">
        <f>#REF!</f>
        <v>#REF!</v>
      </c>
      <c r="C2" s="44" t="e">
        <f>#REF!</f>
        <v>#REF!</v>
      </c>
      <c r="D2" s="44" t="e">
        <f>#REF!</f>
        <v>#REF!</v>
      </c>
      <c r="E2" s="44" t="e">
        <f>#REF!</f>
        <v>#REF!</v>
      </c>
      <c r="F2" s="44" t="e">
        <f>#REF!</f>
        <v>#REF!</v>
      </c>
      <c r="G2" s="51" t="e">
        <f>#REF!</f>
        <v>#REF!</v>
      </c>
      <c r="H2" s="51" t="e">
        <f>#REF!</f>
        <v>#REF!</v>
      </c>
      <c r="I2" s="51" t="e">
        <f>#REF!</f>
        <v>#REF!</v>
      </c>
      <c r="J2" s="51" t="e">
        <f>#REF!</f>
        <v>#REF!</v>
      </c>
      <c r="K2" s="51" t="e">
        <f>#REF!</f>
        <v>#REF!</v>
      </c>
      <c r="L2" s="51" t="e">
        <f>#REF!</f>
        <v>#REF!</v>
      </c>
      <c r="M2" s="51" t="e">
        <f>#REF!</f>
        <v>#REF!</v>
      </c>
      <c r="N2" s="114"/>
    </row>
    <row r="3" spans="1:14" s="29" customFormat="1">
      <c r="A3" s="84" t="s">
        <v>15</v>
      </c>
      <c r="B3" s="8">
        <v>100000</v>
      </c>
      <c r="C3" s="8"/>
      <c r="D3" s="8"/>
      <c r="E3" s="8"/>
      <c r="F3" s="8"/>
      <c r="G3" s="8"/>
      <c r="H3" s="25"/>
      <c r="I3" s="25"/>
      <c r="J3" s="25"/>
      <c r="K3" s="25"/>
      <c r="L3" s="25"/>
      <c r="M3" s="25"/>
      <c r="N3" s="22">
        <f t="shared" ref="N3:N12" si="0">SUM(B3:M3)</f>
        <v>100000</v>
      </c>
    </row>
    <row r="4" spans="1:14" s="29" customFormat="1">
      <c r="A4" s="18" t="s">
        <v>99</v>
      </c>
      <c r="B4" s="8"/>
      <c r="C4" s="8">
        <v>240500</v>
      </c>
      <c r="D4" s="8"/>
      <c r="E4" s="8"/>
      <c r="F4" s="8"/>
      <c r="G4" s="8"/>
      <c r="H4" s="25"/>
      <c r="I4" s="25"/>
      <c r="J4" s="25"/>
      <c r="K4" s="25"/>
      <c r="L4" s="25"/>
      <c r="M4" s="25"/>
      <c r="N4" s="22">
        <f t="shared" si="0"/>
        <v>240500</v>
      </c>
    </row>
    <row r="5" spans="1:14" s="29" customFormat="1">
      <c r="A5" s="88" t="s">
        <v>100</v>
      </c>
      <c r="B5" s="8"/>
      <c r="C5" s="8">
        <v>358000</v>
      </c>
      <c r="D5" s="8"/>
      <c r="E5" s="8"/>
      <c r="F5" s="8"/>
      <c r="G5" s="8"/>
      <c r="H5" s="25"/>
      <c r="I5" s="25"/>
      <c r="J5" s="25"/>
      <c r="K5" s="25"/>
      <c r="L5" s="25"/>
      <c r="M5" s="25"/>
      <c r="N5" s="22">
        <f t="shared" si="0"/>
        <v>358000</v>
      </c>
    </row>
    <row r="6" spans="1:14" s="29" customFormat="1">
      <c r="A6" s="88" t="s">
        <v>101</v>
      </c>
      <c r="B6" s="8"/>
      <c r="C6" s="8">
        <v>592000</v>
      </c>
      <c r="D6" s="8"/>
      <c r="E6" s="8"/>
      <c r="F6" s="8"/>
      <c r="G6" s="8"/>
      <c r="H6" s="25"/>
      <c r="I6" s="25"/>
      <c r="J6" s="25"/>
      <c r="K6" s="25"/>
      <c r="L6" s="25"/>
      <c r="M6" s="25"/>
      <c r="N6" s="22">
        <f t="shared" si="0"/>
        <v>592000</v>
      </c>
    </row>
    <row r="7" spans="1:14" s="29" customFormat="1">
      <c r="A7" s="88" t="s">
        <v>102</v>
      </c>
      <c r="B7" s="14"/>
      <c r="C7" s="14">
        <v>1800000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>
        <f t="shared" si="0"/>
        <v>1800000</v>
      </c>
    </row>
    <row r="8" spans="1:14" s="29" customFormat="1" ht="15" customHeight="1">
      <c r="A8" s="88" t="s">
        <v>103</v>
      </c>
      <c r="B8" s="14"/>
      <c r="C8" s="14">
        <v>675000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5">
        <f t="shared" si="0"/>
        <v>675000</v>
      </c>
    </row>
    <row r="9" spans="1:14" s="29" customFormat="1">
      <c r="A9" s="88" t="s">
        <v>104</v>
      </c>
      <c r="B9" s="14"/>
      <c r="C9" s="14">
        <v>3900000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5">
        <f t="shared" si="0"/>
        <v>3900000</v>
      </c>
    </row>
    <row r="10" spans="1:14" s="29" customFormat="1" ht="15" customHeight="1">
      <c r="A10" s="87" t="s">
        <v>105</v>
      </c>
      <c r="B10" s="14"/>
      <c r="C10" s="14">
        <v>2400000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>
        <f t="shared" si="0"/>
        <v>2400000</v>
      </c>
    </row>
    <row r="11" spans="1:14" s="29" customFormat="1">
      <c r="A11" s="18" t="s">
        <v>106</v>
      </c>
      <c r="B11" s="14"/>
      <c r="C11" s="14"/>
      <c r="D11" s="14"/>
      <c r="E11" s="14"/>
      <c r="F11" s="14"/>
      <c r="G11" s="14"/>
      <c r="H11" s="14"/>
      <c r="J11" s="14">
        <v>500000</v>
      </c>
      <c r="K11" s="14"/>
      <c r="L11" s="14"/>
      <c r="M11" s="14"/>
      <c r="N11" s="15">
        <f t="shared" si="0"/>
        <v>500000</v>
      </c>
    </row>
    <row r="12" spans="1:14" s="29" customFormat="1">
      <c r="A12" s="18" t="s">
        <v>107</v>
      </c>
      <c r="B12" s="14"/>
      <c r="C12" s="14"/>
      <c r="D12" s="14"/>
      <c r="E12" s="14"/>
      <c r="F12" s="14"/>
      <c r="G12" s="14"/>
      <c r="H12" s="14"/>
      <c r="J12" s="14">
        <v>950000</v>
      </c>
      <c r="K12" s="14"/>
      <c r="L12" s="14"/>
      <c r="M12" s="14"/>
      <c r="N12" s="15">
        <f t="shared" si="0"/>
        <v>950000</v>
      </c>
    </row>
    <row r="13" spans="1:14" s="29" customFormat="1">
      <c r="A13" s="85" t="s">
        <v>108</v>
      </c>
      <c r="B13" s="57">
        <f>SUM(B3:B12)</f>
        <v>100000</v>
      </c>
      <c r="C13" s="57">
        <f t="shared" ref="C13:N13" si="1">SUM(C3:C12)</f>
        <v>9965500</v>
      </c>
      <c r="D13" s="57">
        <f t="shared" si="1"/>
        <v>0</v>
      </c>
      <c r="E13" s="57">
        <f t="shared" si="1"/>
        <v>0</v>
      </c>
      <c r="F13" s="57">
        <f t="shared" si="1"/>
        <v>0</v>
      </c>
      <c r="G13" s="57">
        <f t="shared" si="1"/>
        <v>0</v>
      </c>
      <c r="H13" s="57">
        <f t="shared" si="1"/>
        <v>0</v>
      </c>
      <c r="I13" s="57">
        <f t="shared" si="1"/>
        <v>0</v>
      </c>
      <c r="J13" s="57">
        <f>SUM(J3:J12)</f>
        <v>1450000</v>
      </c>
      <c r="K13" s="57">
        <f t="shared" si="1"/>
        <v>0</v>
      </c>
      <c r="L13" s="57">
        <f t="shared" si="1"/>
        <v>0</v>
      </c>
      <c r="M13" s="57">
        <f t="shared" si="1"/>
        <v>0</v>
      </c>
      <c r="N13" s="57">
        <f t="shared" si="1"/>
        <v>11515500</v>
      </c>
    </row>
    <row r="15" spans="1:14" ht="16" customHeight="1"/>
    <row r="19" spans="1:2" ht="16" customHeight="1">
      <c r="A19" s="66" t="s">
        <v>20</v>
      </c>
      <c r="B19" s="66" t="s">
        <v>98</v>
      </c>
    </row>
    <row r="20" spans="1:2">
      <c r="A20" s="18" t="s">
        <v>99</v>
      </c>
      <c r="B20" s="25">
        <v>0.75</v>
      </c>
    </row>
    <row r="21" spans="1:2">
      <c r="A21" s="18" t="s">
        <v>100</v>
      </c>
      <c r="B21" s="25">
        <v>0</v>
      </c>
    </row>
    <row r="22" spans="1:2">
      <c r="A22" s="18" t="s">
        <v>101</v>
      </c>
      <c r="B22" s="25">
        <v>7</v>
      </c>
    </row>
    <row r="23" spans="1:2">
      <c r="A23" s="18" t="s">
        <v>102</v>
      </c>
      <c r="B23" s="25">
        <v>5.5</v>
      </c>
    </row>
    <row r="24" spans="1:2" ht="30">
      <c r="A24" s="18" t="s">
        <v>103</v>
      </c>
      <c r="B24" s="25">
        <v>2.2000000000000002</v>
      </c>
    </row>
    <row r="25" spans="1:2">
      <c r="A25" s="18" t="s">
        <v>104</v>
      </c>
      <c r="B25" s="25">
        <v>7</v>
      </c>
    </row>
    <row r="26" spans="1:2" ht="30">
      <c r="A26" s="18" t="s">
        <v>105</v>
      </c>
      <c r="B26" s="25">
        <v>2</v>
      </c>
    </row>
    <row r="27" spans="1:2">
      <c r="A27" s="53" t="s">
        <v>16</v>
      </c>
      <c r="B27" s="69">
        <f>SUM(B20:B26)</f>
        <v>24.45</v>
      </c>
    </row>
    <row r="30" spans="1:2">
      <c r="A30" s="69" t="s">
        <v>156</v>
      </c>
      <c r="B30" s="112">
        <v>15428057.58</v>
      </c>
    </row>
  </sheetData>
  <mergeCells count="1">
    <mergeCell ref="N1:N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9"/>
  <sheetViews>
    <sheetView workbookViewId="0">
      <selection activeCell="A66" sqref="A66:F89"/>
    </sheetView>
  </sheetViews>
  <sheetFormatPr baseColWidth="10" defaultRowHeight="15" x14ac:dyDescent="0"/>
  <cols>
    <col min="1" max="1" width="38.5" style="73" customWidth="1"/>
    <col min="2" max="2" width="29.33203125" customWidth="1"/>
    <col min="3" max="4" width="14.5" bestFit="1" customWidth="1"/>
    <col min="5" max="9" width="12.1640625" bestFit="1" customWidth="1"/>
    <col min="10" max="10" width="14.5" bestFit="1" customWidth="1"/>
    <col min="11" max="41" width="12.1640625" bestFit="1" customWidth="1"/>
  </cols>
  <sheetData>
    <row r="1" spans="1:42" s="46" customFormat="1">
      <c r="A1" s="66" t="s">
        <v>64</v>
      </c>
      <c r="B1" s="9">
        <f>YEAR(B2)</f>
        <v>2019</v>
      </c>
      <c r="C1" s="9">
        <f t="shared" ref="C1:AO1" si="0">YEAR(C2)</f>
        <v>2019</v>
      </c>
      <c r="D1" s="9">
        <f t="shared" si="0"/>
        <v>2019</v>
      </c>
      <c r="E1" s="9">
        <f t="shared" si="0"/>
        <v>2019</v>
      </c>
      <c r="F1" s="9">
        <f t="shared" si="0"/>
        <v>2019</v>
      </c>
      <c r="G1" s="21">
        <f t="shared" si="0"/>
        <v>2020</v>
      </c>
      <c r="H1" s="21">
        <f t="shared" si="0"/>
        <v>2020</v>
      </c>
      <c r="I1" s="21">
        <f t="shared" si="0"/>
        <v>2020</v>
      </c>
      <c r="J1" s="21">
        <f t="shared" si="0"/>
        <v>2020</v>
      </c>
      <c r="K1" s="21">
        <f t="shared" si="0"/>
        <v>2020</v>
      </c>
      <c r="L1" s="21">
        <f t="shared" si="0"/>
        <v>2020</v>
      </c>
      <c r="M1" s="21">
        <f t="shared" si="0"/>
        <v>2020</v>
      </c>
      <c r="N1" s="21">
        <f t="shared" si="0"/>
        <v>2020</v>
      </c>
      <c r="O1" s="66">
        <f t="shared" si="0"/>
        <v>2020</v>
      </c>
      <c r="P1" s="66">
        <f t="shared" si="0"/>
        <v>2020</v>
      </c>
      <c r="Q1" s="66">
        <f t="shared" si="0"/>
        <v>2020</v>
      </c>
      <c r="R1" s="66">
        <f t="shared" si="0"/>
        <v>2020</v>
      </c>
      <c r="S1" s="65">
        <f t="shared" si="0"/>
        <v>2021</v>
      </c>
      <c r="T1" s="65">
        <f t="shared" si="0"/>
        <v>2021</v>
      </c>
      <c r="U1" s="65">
        <f t="shared" si="0"/>
        <v>2021</v>
      </c>
      <c r="V1" s="65">
        <f t="shared" si="0"/>
        <v>2021</v>
      </c>
      <c r="W1" s="65">
        <f t="shared" si="0"/>
        <v>2021</v>
      </c>
      <c r="X1" s="65">
        <f t="shared" si="0"/>
        <v>2021</v>
      </c>
      <c r="Y1" s="65">
        <f t="shared" si="0"/>
        <v>2021</v>
      </c>
      <c r="Z1" s="65">
        <f t="shared" si="0"/>
        <v>2021</v>
      </c>
      <c r="AA1" s="65">
        <f t="shared" si="0"/>
        <v>2021</v>
      </c>
      <c r="AB1" s="65">
        <f t="shared" si="0"/>
        <v>2021</v>
      </c>
      <c r="AC1" s="65">
        <f t="shared" si="0"/>
        <v>2021</v>
      </c>
      <c r="AD1" s="65">
        <f t="shared" si="0"/>
        <v>2021</v>
      </c>
      <c r="AE1" s="66">
        <f t="shared" si="0"/>
        <v>2022</v>
      </c>
      <c r="AF1" s="66">
        <f t="shared" si="0"/>
        <v>2022</v>
      </c>
      <c r="AG1" s="66">
        <f t="shared" si="0"/>
        <v>2022</v>
      </c>
      <c r="AH1" s="66">
        <f t="shared" si="0"/>
        <v>2022</v>
      </c>
      <c r="AI1" s="66">
        <f t="shared" si="0"/>
        <v>2022</v>
      </c>
      <c r="AJ1" s="66">
        <f t="shared" si="0"/>
        <v>2022</v>
      </c>
      <c r="AK1" s="66">
        <f t="shared" si="0"/>
        <v>2022</v>
      </c>
      <c r="AL1" s="66">
        <f t="shared" si="0"/>
        <v>2022</v>
      </c>
      <c r="AM1" s="66">
        <f t="shared" si="0"/>
        <v>2022</v>
      </c>
      <c r="AN1" s="66">
        <f t="shared" si="0"/>
        <v>2022</v>
      </c>
      <c r="AO1" s="66">
        <f t="shared" si="0"/>
        <v>2022</v>
      </c>
      <c r="AP1" s="114" t="s">
        <v>16</v>
      </c>
    </row>
    <row r="2" spans="1:42" s="46" customFormat="1">
      <c r="A2" s="20" t="s">
        <v>1</v>
      </c>
      <c r="B2" s="47">
        <f>'Старт проекта'!B1</f>
        <v>43678</v>
      </c>
      <c r="C2" s="47">
        <f>DATE(YEAR(B2),MONTH(B2)+1,1)</f>
        <v>43709</v>
      </c>
      <c r="D2" s="47">
        <f t="shared" ref="D2:N2" si="1">DATE(YEAR(C2),MONTH(C2)+1,1)</f>
        <v>43739</v>
      </c>
      <c r="E2" s="47">
        <f t="shared" si="1"/>
        <v>43770</v>
      </c>
      <c r="F2" s="47">
        <f t="shared" si="1"/>
        <v>43800</v>
      </c>
      <c r="G2" s="45">
        <f t="shared" si="1"/>
        <v>43831</v>
      </c>
      <c r="H2" s="45">
        <f t="shared" si="1"/>
        <v>43862</v>
      </c>
      <c r="I2" s="45">
        <f t="shared" si="1"/>
        <v>43891</v>
      </c>
      <c r="J2" s="45">
        <f t="shared" si="1"/>
        <v>43922</v>
      </c>
      <c r="K2" s="45">
        <f t="shared" si="1"/>
        <v>43952</v>
      </c>
      <c r="L2" s="45">
        <f t="shared" si="1"/>
        <v>43983</v>
      </c>
      <c r="M2" s="45">
        <f t="shared" si="1"/>
        <v>44013</v>
      </c>
      <c r="N2" s="45">
        <f t="shared" si="1"/>
        <v>44044</v>
      </c>
      <c r="O2" s="45">
        <f t="shared" ref="O2" si="2">DATE(YEAR(N2),MONTH(N2)+1,1)</f>
        <v>44075</v>
      </c>
      <c r="P2" s="45">
        <f t="shared" ref="P2" si="3">DATE(YEAR(O2),MONTH(O2)+1,1)</f>
        <v>44105</v>
      </c>
      <c r="Q2" s="45">
        <f t="shared" ref="Q2" si="4">DATE(YEAR(P2),MONTH(P2)+1,1)</f>
        <v>44136</v>
      </c>
      <c r="R2" s="45">
        <f t="shared" ref="R2" si="5">DATE(YEAR(Q2),MONTH(Q2)+1,1)</f>
        <v>44166</v>
      </c>
      <c r="S2" s="47">
        <f t="shared" ref="S2" si="6">DATE(YEAR(R2),MONTH(R2)+1,1)</f>
        <v>44197</v>
      </c>
      <c r="T2" s="47">
        <f t="shared" ref="T2" si="7">DATE(YEAR(S2),MONTH(S2)+1,1)</f>
        <v>44228</v>
      </c>
      <c r="U2" s="47">
        <f t="shared" ref="U2" si="8">DATE(YEAR(T2),MONTH(T2)+1,1)</f>
        <v>44256</v>
      </c>
      <c r="V2" s="47">
        <f t="shared" ref="V2" si="9">DATE(YEAR(U2),MONTH(U2)+1,1)</f>
        <v>44287</v>
      </c>
      <c r="W2" s="47">
        <f t="shared" ref="W2" si="10">DATE(YEAR(V2),MONTH(V2)+1,1)</f>
        <v>44317</v>
      </c>
      <c r="X2" s="47">
        <f t="shared" ref="X2" si="11">DATE(YEAR(W2),MONTH(W2)+1,1)</f>
        <v>44348</v>
      </c>
      <c r="Y2" s="47">
        <f t="shared" ref="Y2" si="12">DATE(YEAR(X2),MONTH(X2)+1,1)</f>
        <v>44378</v>
      </c>
      <c r="Z2" s="47">
        <f t="shared" ref="Z2" si="13">DATE(YEAR(Y2),MONTH(Y2)+1,1)</f>
        <v>44409</v>
      </c>
      <c r="AA2" s="47">
        <f t="shared" ref="AA2" si="14">DATE(YEAR(Z2),MONTH(Z2)+1,1)</f>
        <v>44440</v>
      </c>
      <c r="AB2" s="47">
        <f t="shared" ref="AB2" si="15">DATE(YEAR(AA2),MONTH(AA2)+1,1)</f>
        <v>44470</v>
      </c>
      <c r="AC2" s="47">
        <f t="shared" ref="AC2" si="16">DATE(YEAR(AB2),MONTH(AB2)+1,1)</f>
        <v>44501</v>
      </c>
      <c r="AD2" s="47">
        <f t="shared" ref="AD2" si="17">DATE(YEAR(AC2),MONTH(AC2)+1,1)</f>
        <v>44531</v>
      </c>
      <c r="AE2" s="45">
        <f t="shared" ref="AE2" si="18">DATE(YEAR(AD2),MONTH(AD2)+1,1)</f>
        <v>44562</v>
      </c>
      <c r="AF2" s="45">
        <f t="shared" ref="AF2" si="19">DATE(YEAR(AE2),MONTH(AE2)+1,1)</f>
        <v>44593</v>
      </c>
      <c r="AG2" s="45">
        <f t="shared" ref="AG2" si="20">DATE(YEAR(AF2),MONTH(AF2)+1,1)</f>
        <v>44621</v>
      </c>
      <c r="AH2" s="45">
        <f t="shared" ref="AH2" si="21">DATE(YEAR(AG2),MONTH(AG2)+1,1)</f>
        <v>44652</v>
      </c>
      <c r="AI2" s="45">
        <f t="shared" ref="AI2" si="22">DATE(YEAR(AH2),MONTH(AH2)+1,1)</f>
        <v>44682</v>
      </c>
      <c r="AJ2" s="45">
        <f t="shared" ref="AJ2" si="23">DATE(YEAR(AI2),MONTH(AI2)+1,1)</f>
        <v>44713</v>
      </c>
      <c r="AK2" s="45">
        <f t="shared" ref="AK2" si="24">DATE(YEAR(AJ2),MONTH(AJ2)+1,1)</f>
        <v>44743</v>
      </c>
      <c r="AL2" s="45">
        <f t="shared" ref="AL2" si="25">DATE(YEAR(AK2),MONTH(AK2)+1,1)</f>
        <v>44774</v>
      </c>
      <c r="AM2" s="45">
        <f t="shared" ref="AM2" si="26">DATE(YEAR(AL2),MONTH(AL2)+1,1)</f>
        <v>44805</v>
      </c>
      <c r="AN2" s="45">
        <f t="shared" ref="AN2:AO2" si="27">DATE(YEAR(AM2),MONTH(AM2)+1,1)</f>
        <v>44835</v>
      </c>
      <c r="AO2" s="45">
        <f t="shared" si="27"/>
        <v>44866</v>
      </c>
      <c r="AP2" s="114"/>
    </row>
    <row r="3" spans="1:42">
      <c r="A3" s="84" t="s">
        <v>15</v>
      </c>
      <c r="B3" s="8">
        <v>100000</v>
      </c>
      <c r="C3" s="8"/>
      <c r="D3" s="8"/>
      <c r="E3" s="8"/>
      <c r="F3" s="8"/>
      <c r="G3" s="8"/>
      <c r="H3" s="25"/>
      <c r="I3" s="25"/>
      <c r="J3" s="25"/>
      <c r="K3" s="25"/>
      <c r="L3" s="25"/>
      <c r="M3" s="25"/>
      <c r="N3" s="12"/>
      <c r="O3" s="90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2">
        <f>SUM(B3:AO3)</f>
        <v>100000</v>
      </c>
    </row>
    <row r="4" spans="1:42">
      <c r="A4" s="18" t="s">
        <v>99</v>
      </c>
      <c r="B4" s="8"/>
      <c r="C4" s="8">
        <v>240500</v>
      </c>
      <c r="D4" s="8"/>
      <c r="E4" s="8"/>
      <c r="F4" s="8"/>
      <c r="G4" s="8"/>
      <c r="H4" s="14"/>
      <c r="I4" s="14"/>
      <c r="J4" s="14"/>
      <c r="K4" s="14"/>
      <c r="L4" s="14"/>
      <c r="M4" s="14"/>
      <c r="N4" s="14"/>
      <c r="O4" s="55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22">
        <f t="shared" ref="AP4:AP13" si="28">SUM(B4:AO4)</f>
        <v>240500</v>
      </c>
    </row>
    <row r="5" spans="1:42">
      <c r="A5" s="88" t="s">
        <v>100</v>
      </c>
      <c r="B5" s="8"/>
      <c r="C5" s="8">
        <v>358000</v>
      </c>
      <c r="D5" s="8"/>
      <c r="E5" s="8"/>
      <c r="F5" s="8"/>
      <c r="G5" s="8"/>
      <c r="H5" s="14"/>
      <c r="I5" s="14"/>
      <c r="J5" s="14"/>
      <c r="K5" s="14"/>
      <c r="L5" s="14"/>
      <c r="M5" s="14"/>
      <c r="N5" s="14"/>
      <c r="O5" s="55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22">
        <f t="shared" si="28"/>
        <v>358000</v>
      </c>
    </row>
    <row r="6" spans="1:42">
      <c r="A6" s="88" t="s">
        <v>101</v>
      </c>
      <c r="B6" s="8"/>
      <c r="C6" s="8">
        <v>592000</v>
      </c>
      <c r="D6" s="8"/>
      <c r="E6" s="8"/>
      <c r="F6" s="8"/>
      <c r="G6" s="8"/>
      <c r="H6" s="14"/>
      <c r="I6" s="14"/>
      <c r="J6" s="14"/>
      <c r="K6" s="14"/>
      <c r="L6" s="14"/>
      <c r="M6" s="14"/>
      <c r="N6" s="14"/>
      <c r="O6" s="55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22">
        <f t="shared" si="28"/>
        <v>592000</v>
      </c>
    </row>
    <row r="7" spans="1:42">
      <c r="A7" s="88" t="s">
        <v>102</v>
      </c>
      <c r="B7" s="14"/>
      <c r="C7" s="14">
        <v>1800000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5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22">
        <f t="shared" si="28"/>
        <v>1800000</v>
      </c>
    </row>
    <row r="8" spans="1:42" ht="30">
      <c r="A8" s="88" t="s">
        <v>103</v>
      </c>
      <c r="B8" s="14"/>
      <c r="C8" s="14">
        <v>675000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8"/>
      <c r="O8" s="55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2">
        <f t="shared" si="28"/>
        <v>675000</v>
      </c>
    </row>
    <row r="9" spans="1:42" s="29" customFormat="1">
      <c r="A9" s="88" t="s">
        <v>104</v>
      </c>
      <c r="B9" s="14"/>
      <c r="C9" s="14">
        <v>3900000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8"/>
      <c r="O9" s="55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22">
        <f t="shared" si="28"/>
        <v>3900000</v>
      </c>
    </row>
    <row r="10" spans="1:42" s="29" customFormat="1" ht="30">
      <c r="A10" s="88" t="s">
        <v>105</v>
      </c>
      <c r="B10" s="14"/>
      <c r="C10" s="14">
        <v>2400000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55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2">
        <f t="shared" si="28"/>
        <v>2400000</v>
      </c>
    </row>
    <row r="11" spans="1:42" s="29" customFormat="1">
      <c r="A11" s="18" t="s">
        <v>106</v>
      </c>
      <c r="B11" s="14"/>
      <c r="C11" s="14"/>
      <c r="D11" s="14"/>
      <c r="E11" s="14"/>
      <c r="F11" s="14"/>
      <c r="G11" s="14"/>
      <c r="H11" s="14"/>
      <c r="I11" s="14"/>
      <c r="J11" s="14">
        <v>500000</v>
      </c>
      <c r="K11" s="14"/>
      <c r="L11" s="14"/>
      <c r="M11" s="14"/>
      <c r="N11" s="14"/>
      <c r="O11" s="55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22">
        <f t="shared" si="28"/>
        <v>500000</v>
      </c>
    </row>
    <row r="12" spans="1:42" s="29" customFormat="1">
      <c r="A12" s="18" t="s">
        <v>107</v>
      </c>
      <c r="B12" s="14"/>
      <c r="C12" s="14"/>
      <c r="D12" s="14"/>
      <c r="E12" s="14"/>
      <c r="F12" s="14"/>
      <c r="G12" s="14"/>
      <c r="H12" s="14"/>
      <c r="I12" s="14"/>
      <c r="J12" s="14">
        <v>950000</v>
      </c>
      <c r="K12" s="14"/>
      <c r="L12" s="14"/>
      <c r="M12" s="14"/>
      <c r="N12" s="14"/>
      <c r="O12" s="55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2">
        <f t="shared" si="28"/>
        <v>950000</v>
      </c>
    </row>
    <row r="13" spans="1:42" s="29" customFormat="1">
      <c r="A13" s="24" t="s">
        <v>109</v>
      </c>
      <c r="B13" s="16">
        <f>SUM(B3:B12)</f>
        <v>100000</v>
      </c>
      <c r="C13" s="16">
        <f>SUM(C3:C12)</f>
        <v>9965500</v>
      </c>
      <c r="D13" s="16"/>
      <c r="E13" s="16"/>
      <c r="F13" s="16"/>
      <c r="G13" s="16"/>
      <c r="H13" s="16"/>
      <c r="I13" s="16"/>
      <c r="J13" s="16">
        <f>SUM(J3:J12)</f>
        <v>1450000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22">
        <f t="shared" si="28"/>
        <v>11515500</v>
      </c>
    </row>
    <row r="14" spans="1:42" s="29" customFormat="1">
      <c r="A14" s="31" t="s">
        <v>17</v>
      </c>
      <c r="B14" s="14">
        <v>130000</v>
      </c>
      <c r="C14" s="14">
        <v>130000</v>
      </c>
      <c r="D14" s="14">
        <v>130000</v>
      </c>
      <c r="E14" s="14">
        <v>130000</v>
      </c>
      <c r="F14" s="14">
        <v>130000</v>
      </c>
      <c r="G14" s="14">
        <v>130000</v>
      </c>
      <c r="H14" s="14">
        <v>130000</v>
      </c>
      <c r="I14" s="14">
        <v>130000</v>
      </c>
      <c r="J14" s="14">
        <v>130000</v>
      </c>
      <c r="K14" s="14">
        <v>130000</v>
      </c>
      <c r="L14" s="14">
        <v>130000</v>
      </c>
      <c r="M14" s="14">
        <v>130000</v>
      </c>
      <c r="N14" s="14">
        <v>130000</v>
      </c>
      <c r="O14" s="14">
        <v>130000</v>
      </c>
      <c r="P14" s="14">
        <v>130000</v>
      </c>
      <c r="Q14" s="14">
        <v>130000</v>
      </c>
      <c r="R14" s="14">
        <v>130000</v>
      </c>
      <c r="S14" s="14">
        <v>130000</v>
      </c>
      <c r="T14" s="14">
        <v>130000</v>
      </c>
      <c r="U14" s="14">
        <v>130000</v>
      </c>
      <c r="V14" s="14">
        <f>($Q$14*10%)+$Q$14</f>
        <v>143000</v>
      </c>
      <c r="W14" s="14">
        <f t="shared" ref="W14:AG14" si="29">($Q$14*10%)+$Q$14</f>
        <v>143000</v>
      </c>
      <c r="X14" s="14">
        <f t="shared" si="29"/>
        <v>143000</v>
      </c>
      <c r="Y14" s="14">
        <f t="shared" si="29"/>
        <v>143000</v>
      </c>
      <c r="Z14" s="14">
        <f t="shared" si="29"/>
        <v>143000</v>
      </c>
      <c r="AA14" s="14">
        <f t="shared" si="29"/>
        <v>143000</v>
      </c>
      <c r="AB14" s="14">
        <f t="shared" si="29"/>
        <v>143000</v>
      </c>
      <c r="AC14" s="14">
        <f t="shared" si="29"/>
        <v>143000</v>
      </c>
      <c r="AD14" s="14">
        <f t="shared" si="29"/>
        <v>143000</v>
      </c>
      <c r="AE14" s="14">
        <f t="shared" si="29"/>
        <v>143000</v>
      </c>
      <c r="AF14" s="14">
        <f t="shared" si="29"/>
        <v>143000</v>
      </c>
      <c r="AG14" s="14">
        <f t="shared" si="29"/>
        <v>143000</v>
      </c>
      <c r="AH14" s="14">
        <f>($Q$14*10%)+$Q$14</f>
        <v>143000</v>
      </c>
      <c r="AI14" s="14">
        <f t="shared" ref="AI14:AO14" si="30">($Q$14*10%)+$Q$14</f>
        <v>143000</v>
      </c>
      <c r="AJ14" s="14">
        <f t="shared" si="30"/>
        <v>143000</v>
      </c>
      <c r="AK14" s="14">
        <f t="shared" si="30"/>
        <v>143000</v>
      </c>
      <c r="AL14" s="14">
        <f t="shared" si="30"/>
        <v>143000</v>
      </c>
      <c r="AM14" s="14">
        <f t="shared" si="30"/>
        <v>143000</v>
      </c>
      <c r="AN14" s="14">
        <f t="shared" si="30"/>
        <v>143000</v>
      </c>
      <c r="AO14" s="14">
        <f t="shared" si="30"/>
        <v>143000</v>
      </c>
      <c r="AP14" s="15">
        <f>SUM(B14:AO14)</f>
        <v>5460000</v>
      </c>
    </row>
    <row r="15" spans="1:42" s="29" customFormat="1">
      <c r="A15" s="25" t="s">
        <v>110</v>
      </c>
      <c r="B15" s="14">
        <f>B14*30%</f>
        <v>39000</v>
      </c>
      <c r="C15" s="14">
        <f t="shared" ref="C15:AP15" si="31">C14*30%</f>
        <v>39000</v>
      </c>
      <c r="D15" s="14">
        <f t="shared" si="31"/>
        <v>39000</v>
      </c>
      <c r="E15" s="14">
        <f t="shared" si="31"/>
        <v>39000</v>
      </c>
      <c r="F15" s="14">
        <f t="shared" si="31"/>
        <v>39000</v>
      </c>
      <c r="G15" s="14">
        <f t="shared" si="31"/>
        <v>39000</v>
      </c>
      <c r="H15" s="14">
        <f t="shared" si="31"/>
        <v>39000</v>
      </c>
      <c r="I15" s="14">
        <f t="shared" si="31"/>
        <v>39000</v>
      </c>
      <c r="J15" s="14">
        <f t="shared" si="31"/>
        <v>39000</v>
      </c>
      <c r="K15" s="14">
        <f t="shared" si="31"/>
        <v>39000</v>
      </c>
      <c r="L15" s="14">
        <f t="shared" si="31"/>
        <v>39000</v>
      </c>
      <c r="M15" s="14">
        <f t="shared" si="31"/>
        <v>39000</v>
      </c>
      <c r="N15" s="14">
        <f t="shared" si="31"/>
        <v>39000</v>
      </c>
      <c r="O15" s="14">
        <f t="shared" si="31"/>
        <v>39000</v>
      </c>
      <c r="P15" s="14">
        <f t="shared" si="31"/>
        <v>39000</v>
      </c>
      <c r="Q15" s="14">
        <f t="shared" si="31"/>
        <v>39000</v>
      </c>
      <c r="R15" s="14">
        <f t="shared" si="31"/>
        <v>39000</v>
      </c>
      <c r="S15" s="14">
        <f t="shared" si="31"/>
        <v>39000</v>
      </c>
      <c r="T15" s="14">
        <f t="shared" si="31"/>
        <v>39000</v>
      </c>
      <c r="U15" s="14">
        <f t="shared" si="31"/>
        <v>39000</v>
      </c>
      <c r="V15" s="14">
        <f t="shared" si="31"/>
        <v>42900</v>
      </c>
      <c r="W15" s="14">
        <f t="shared" si="31"/>
        <v>42900</v>
      </c>
      <c r="X15" s="14">
        <f t="shared" si="31"/>
        <v>42900</v>
      </c>
      <c r="Y15" s="14">
        <f t="shared" si="31"/>
        <v>42900</v>
      </c>
      <c r="Z15" s="14">
        <f t="shared" si="31"/>
        <v>42900</v>
      </c>
      <c r="AA15" s="14">
        <f t="shared" si="31"/>
        <v>42900</v>
      </c>
      <c r="AB15" s="14">
        <f t="shared" si="31"/>
        <v>42900</v>
      </c>
      <c r="AC15" s="14">
        <f t="shared" si="31"/>
        <v>42900</v>
      </c>
      <c r="AD15" s="14">
        <f t="shared" si="31"/>
        <v>42900</v>
      </c>
      <c r="AE15" s="14">
        <f t="shared" si="31"/>
        <v>42900</v>
      </c>
      <c r="AF15" s="14">
        <f t="shared" si="31"/>
        <v>42900</v>
      </c>
      <c r="AG15" s="14">
        <f t="shared" si="31"/>
        <v>42900</v>
      </c>
      <c r="AH15" s="14">
        <f t="shared" si="31"/>
        <v>42900</v>
      </c>
      <c r="AI15" s="14">
        <f t="shared" si="31"/>
        <v>42900</v>
      </c>
      <c r="AJ15" s="14">
        <f t="shared" si="31"/>
        <v>42900</v>
      </c>
      <c r="AK15" s="14">
        <f t="shared" si="31"/>
        <v>42900</v>
      </c>
      <c r="AL15" s="14">
        <f t="shared" si="31"/>
        <v>42900</v>
      </c>
      <c r="AM15" s="14">
        <f t="shared" si="31"/>
        <v>42900</v>
      </c>
      <c r="AN15" s="14">
        <f t="shared" si="31"/>
        <v>42900</v>
      </c>
      <c r="AO15" s="14">
        <f t="shared" si="31"/>
        <v>42900</v>
      </c>
      <c r="AP15" s="15">
        <f t="shared" si="31"/>
        <v>1638000</v>
      </c>
    </row>
    <row r="16" spans="1:42" s="29" customFormat="1">
      <c r="A16" s="25" t="s">
        <v>112</v>
      </c>
      <c r="B16" s="14"/>
      <c r="C16" s="14"/>
      <c r="D16" s="14"/>
      <c r="E16" s="14"/>
      <c r="F16" s="14"/>
      <c r="G16" s="14"/>
      <c r="H16" s="14"/>
      <c r="I16" s="14"/>
      <c r="J16" s="14">
        <v>25000</v>
      </c>
      <c r="K16" s="14">
        <v>25000</v>
      </c>
      <c r="L16" s="14">
        <v>25000</v>
      </c>
      <c r="M16" s="14">
        <v>25000</v>
      </c>
      <c r="N16" s="14">
        <v>25000</v>
      </c>
      <c r="O16" s="14">
        <v>25000</v>
      </c>
      <c r="P16" s="14">
        <v>25000</v>
      </c>
      <c r="Q16" s="14">
        <v>25000</v>
      </c>
      <c r="R16" s="14">
        <v>25000</v>
      </c>
      <c r="S16" s="14">
        <v>25000</v>
      </c>
      <c r="T16" s="14">
        <v>25000</v>
      </c>
      <c r="U16" s="14">
        <v>25000</v>
      </c>
      <c r="V16" s="14">
        <v>25000</v>
      </c>
      <c r="W16" s="14">
        <v>25000</v>
      </c>
      <c r="X16" s="14">
        <v>25000</v>
      </c>
      <c r="Y16" s="14">
        <v>25000</v>
      </c>
      <c r="Z16" s="14">
        <v>25000</v>
      </c>
      <c r="AA16" s="14">
        <v>25000</v>
      </c>
      <c r="AB16" s="14">
        <v>25000</v>
      </c>
      <c r="AC16" s="14">
        <v>25000</v>
      </c>
      <c r="AD16" s="14">
        <v>25000</v>
      </c>
      <c r="AE16" s="14">
        <v>25000</v>
      </c>
      <c r="AF16" s="14">
        <v>25000</v>
      </c>
      <c r="AG16" s="14">
        <v>25000</v>
      </c>
      <c r="AH16" s="14">
        <v>25000</v>
      </c>
      <c r="AI16" s="14">
        <v>25000</v>
      </c>
      <c r="AJ16" s="14">
        <v>25000</v>
      </c>
      <c r="AK16" s="14">
        <v>25000</v>
      </c>
      <c r="AL16" s="14">
        <v>25000</v>
      </c>
      <c r="AM16" s="14">
        <v>25000</v>
      </c>
      <c r="AN16" s="14">
        <v>25000</v>
      </c>
      <c r="AO16" s="14">
        <v>25000</v>
      </c>
      <c r="AP16" s="15">
        <f>SUM(B16:AO16)</f>
        <v>800000</v>
      </c>
    </row>
    <row r="17" spans="1:42" s="29" customFormat="1">
      <c r="A17" s="25" t="s">
        <v>111</v>
      </c>
      <c r="B17" s="14"/>
      <c r="C17" s="14"/>
      <c r="D17" s="14">
        <v>41666</v>
      </c>
      <c r="E17" s="14">
        <v>41666</v>
      </c>
      <c r="F17" s="14">
        <v>41666</v>
      </c>
      <c r="G17" s="14">
        <v>41666</v>
      </c>
      <c r="H17" s="14">
        <v>41666</v>
      </c>
      <c r="I17" s="14">
        <v>41666</v>
      </c>
      <c r="J17" s="14">
        <v>41666</v>
      </c>
      <c r="K17" s="14">
        <v>41666</v>
      </c>
      <c r="L17" s="14">
        <v>41666</v>
      </c>
      <c r="M17" s="14">
        <v>41666</v>
      </c>
      <c r="N17" s="14">
        <v>41666</v>
      </c>
      <c r="O17" s="14">
        <v>41666</v>
      </c>
      <c r="P17" s="14">
        <v>41666</v>
      </c>
      <c r="Q17" s="14">
        <v>41666</v>
      </c>
      <c r="R17" s="14">
        <v>41666</v>
      </c>
      <c r="S17" s="14">
        <v>41666</v>
      </c>
      <c r="T17" s="14">
        <v>41666</v>
      </c>
      <c r="U17" s="14">
        <v>41666</v>
      </c>
      <c r="V17" s="14">
        <v>41666</v>
      </c>
      <c r="W17" s="14">
        <v>41666</v>
      </c>
      <c r="X17" s="14">
        <v>41666</v>
      </c>
      <c r="Y17" s="14">
        <v>41666</v>
      </c>
      <c r="Z17" s="14">
        <v>41666</v>
      </c>
      <c r="AA17" s="14">
        <v>41666</v>
      </c>
      <c r="AB17" s="14">
        <v>41666</v>
      </c>
      <c r="AC17" s="14">
        <v>41666</v>
      </c>
      <c r="AD17" s="14">
        <v>41666</v>
      </c>
      <c r="AE17" s="14">
        <v>41666</v>
      </c>
      <c r="AF17" s="14">
        <v>41666</v>
      </c>
      <c r="AG17" s="14">
        <v>41666</v>
      </c>
      <c r="AH17" s="14">
        <v>41666</v>
      </c>
      <c r="AI17" s="14">
        <v>41666</v>
      </c>
      <c r="AJ17" s="14">
        <v>41666</v>
      </c>
      <c r="AK17" s="14">
        <v>41666</v>
      </c>
      <c r="AL17" s="14">
        <v>41666</v>
      </c>
      <c r="AM17" s="14">
        <v>41666</v>
      </c>
      <c r="AN17" s="14">
        <v>41666</v>
      </c>
      <c r="AO17" s="14">
        <v>41666</v>
      </c>
      <c r="AP17" s="15">
        <f t="shared" ref="AP17:AP21" si="32">SUM(B17:AO17)</f>
        <v>1583308</v>
      </c>
    </row>
    <row r="18" spans="1:42" s="29" customFormat="1">
      <c r="A18" s="25" t="s">
        <v>155</v>
      </c>
      <c r="B18" s="14"/>
      <c r="C18" s="14">
        <f>'План продаж в кол-ве'!G18</f>
        <v>5000000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v>5000000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>
        <v>5000000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>
        <v>5000000</v>
      </c>
      <c r="AN18" s="14"/>
      <c r="AO18" s="14"/>
      <c r="AP18" s="15">
        <f t="shared" si="32"/>
        <v>20000000</v>
      </c>
    </row>
    <row r="19" spans="1:42" s="29" customFormat="1">
      <c r="A19" s="25" t="s">
        <v>151</v>
      </c>
      <c r="B19" s="14"/>
      <c r="C19" s="14"/>
      <c r="D19" s="14"/>
      <c r="E19" s="14"/>
      <c r="F19" s="14"/>
      <c r="G19" s="14"/>
      <c r="H19" s="14"/>
      <c r="I19" s="14"/>
      <c r="J19" s="14">
        <v>500000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>
        <v>500000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>
        <v>500000</v>
      </c>
      <c r="AI19" s="14"/>
      <c r="AJ19" s="14"/>
      <c r="AK19" s="14"/>
      <c r="AL19" s="14"/>
      <c r="AM19" s="14"/>
      <c r="AN19" s="14"/>
      <c r="AO19" s="14"/>
      <c r="AP19" s="15">
        <f t="shared" si="32"/>
        <v>1500000</v>
      </c>
    </row>
    <row r="20" spans="1:42" s="29" customFormat="1">
      <c r="A20" s="25" t="s">
        <v>114</v>
      </c>
      <c r="B20" s="14"/>
      <c r="C20" s="14"/>
      <c r="D20" s="14"/>
      <c r="E20" s="14"/>
      <c r="F20" s="14"/>
      <c r="G20" s="14"/>
      <c r="H20" s="14"/>
      <c r="I20" s="14"/>
      <c r="J20" s="14">
        <f>(C33+C36+C39)*100</f>
        <v>260000</v>
      </c>
      <c r="K20" s="14">
        <f>(C48+C51+C44)*100</f>
        <v>458000</v>
      </c>
      <c r="L20" s="14"/>
      <c r="M20" s="14"/>
      <c r="N20" s="14"/>
      <c r="O20" s="14">
        <f>(C56+C53)*100</f>
        <v>110000</v>
      </c>
      <c r="P20" s="14"/>
      <c r="Q20" s="14"/>
      <c r="R20" s="14"/>
      <c r="S20" s="14"/>
      <c r="T20" s="14"/>
      <c r="U20" s="14"/>
      <c r="V20" s="14">
        <f>(C33+C36+C39)*100</f>
        <v>260000</v>
      </c>
      <c r="W20" s="14">
        <f>(C48+C51+C44)*100</f>
        <v>458000</v>
      </c>
      <c r="X20" s="14"/>
      <c r="Y20" s="14"/>
      <c r="Z20" s="14"/>
      <c r="AA20" s="14">
        <f>(C56+C53)*100</f>
        <v>110000</v>
      </c>
      <c r="AB20" s="14"/>
      <c r="AC20" s="14"/>
      <c r="AD20" s="14"/>
      <c r="AE20" s="14"/>
      <c r="AF20" s="14"/>
      <c r="AG20" s="14"/>
      <c r="AH20" s="14">
        <f>(C33+C36+C39)*100</f>
        <v>260000</v>
      </c>
      <c r="AI20" s="14">
        <f>(C48+C51+C44)*100</f>
        <v>458000</v>
      </c>
      <c r="AJ20" s="14"/>
      <c r="AK20" s="14"/>
      <c r="AL20" s="14"/>
      <c r="AM20" s="14">
        <f>(C56+C53)*100</f>
        <v>110000</v>
      </c>
      <c r="AN20" s="14"/>
      <c r="AO20" s="14"/>
      <c r="AP20" s="15">
        <f t="shared" si="32"/>
        <v>2484000</v>
      </c>
    </row>
    <row r="21" spans="1:42" s="29" customFormat="1">
      <c r="A21" s="25" t="s">
        <v>115</v>
      </c>
      <c r="B21" s="14"/>
      <c r="C21" s="14">
        <f>Капвложения_ОС!B27*2.79*360</f>
        <v>24557.58</v>
      </c>
      <c r="D21" s="14">
        <v>7500</v>
      </c>
      <c r="E21" s="14">
        <v>8900</v>
      </c>
      <c r="F21" s="14">
        <v>3000</v>
      </c>
      <c r="G21" s="14">
        <v>3000</v>
      </c>
      <c r="H21" s="14">
        <v>3000</v>
      </c>
      <c r="I21" s="14">
        <v>3000</v>
      </c>
      <c r="J21" s="14">
        <f>Капвложения_ОС!B27*2.79*360*0.5</f>
        <v>12278.79</v>
      </c>
      <c r="K21" s="14">
        <f>Капвложения_ОС!B27*2.79*360*0.5</f>
        <v>12278.79</v>
      </c>
      <c r="L21" s="14">
        <f>Капвложения_ОС!B27*2.79*360*0.5</f>
        <v>12278.79</v>
      </c>
      <c r="M21" s="14">
        <f>Капвложения_ОС!B27*2.79*360*0.5</f>
        <v>12278.79</v>
      </c>
      <c r="N21" s="14">
        <f>Капвложения_ОС!B27*2.79*360*0.5</f>
        <v>12278.79</v>
      </c>
      <c r="O21" s="14">
        <f>Капвложения_ОС!B27*2.79*360</f>
        <v>24557.58</v>
      </c>
      <c r="P21" s="14">
        <v>7500</v>
      </c>
      <c r="Q21" s="14">
        <v>7500</v>
      </c>
      <c r="R21" s="14">
        <v>3000</v>
      </c>
      <c r="S21" s="14">
        <v>3000</v>
      </c>
      <c r="T21" s="14">
        <v>3000</v>
      </c>
      <c r="U21" s="14">
        <v>3000</v>
      </c>
      <c r="V21" s="14">
        <f>Капвложения_ОС!B27*2.79*360*0.5</f>
        <v>12278.79</v>
      </c>
      <c r="W21" s="14">
        <f>Капвложения_ОС!B27*2.79*360*0.5</f>
        <v>12278.79</v>
      </c>
      <c r="X21" s="14">
        <f>Капвложения_ОС!B27*2.79*360*0.5</f>
        <v>12278.79</v>
      </c>
      <c r="Y21" s="14">
        <f>Капвложения_ОС!B27*2.79*360*0.5</f>
        <v>12278.79</v>
      </c>
      <c r="Z21" s="14">
        <f>Капвложения_ОС!B27*2.79*360*0.5</f>
        <v>12278.79</v>
      </c>
      <c r="AA21" s="14">
        <f>Капвложения_ОС!B27*2.79*360</f>
        <v>24557.58</v>
      </c>
      <c r="AB21" s="14">
        <v>7500</v>
      </c>
      <c r="AC21" s="14">
        <v>7500</v>
      </c>
      <c r="AD21" s="14">
        <v>3000</v>
      </c>
      <c r="AE21" s="14">
        <v>3000</v>
      </c>
      <c r="AF21" s="14">
        <v>3000</v>
      </c>
      <c r="AG21" s="14">
        <v>3000</v>
      </c>
      <c r="AH21" s="14">
        <f>Капвложения_ОС!B27*2.79*360*0.5</f>
        <v>12278.79</v>
      </c>
      <c r="AI21" s="14">
        <f>Капвложения_ОС!B27*2.79*360*0.5</f>
        <v>12278.79</v>
      </c>
      <c r="AJ21" s="14">
        <f>Капвложения_ОС!B27*2.79*360*0.5</f>
        <v>12278.79</v>
      </c>
      <c r="AK21" s="14">
        <f>Капвложения_ОС!B27*2.79*360*0.5</f>
        <v>12278.79</v>
      </c>
      <c r="AL21" s="14">
        <f>Капвложения_ОС!B27*2.79*360*0.5</f>
        <v>12278.79</v>
      </c>
      <c r="AM21" s="14">
        <f>Капвложения_ОС!B27*2.79*360</f>
        <v>24557.58</v>
      </c>
      <c r="AN21" s="14">
        <v>7500</v>
      </c>
      <c r="AO21" s="14">
        <v>7500</v>
      </c>
      <c r="AP21" s="15">
        <f t="shared" si="32"/>
        <v>379812.17</v>
      </c>
    </row>
    <row r="22" spans="1:42" s="35" customFormat="1">
      <c r="A22" s="67" t="s">
        <v>116</v>
      </c>
      <c r="B22" s="16">
        <f>SUM(B14:B21)</f>
        <v>169000</v>
      </c>
      <c r="C22" s="16">
        <f t="shared" ref="C22:AO22" si="33">SUM(C14:C21)</f>
        <v>5193557.58</v>
      </c>
      <c r="D22" s="16">
        <f t="shared" si="33"/>
        <v>218166</v>
      </c>
      <c r="E22" s="16">
        <f t="shared" si="33"/>
        <v>219566</v>
      </c>
      <c r="F22" s="16">
        <f t="shared" si="33"/>
        <v>213666</v>
      </c>
      <c r="G22" s="16">
        <f t="shared" si="33"/>
        <v>213666</v>
      </c>
      <c r="H22" s="16">
        <f t="shared" si="33"/>
        <v>213666</v>
      </c>
      <c r="I22" s="16">
        <f t="shared" si="33"/>
        <v>213666</v>
      </c>
      <c r="J22" s="16">
        <f t="shared" si="33"/>
        <v>1007944.79</v>
      </c>
      <c r="K22" s="16">
        <f t="shared" si="33"/>
        <v>705944.79</v>
      </c>
      <c r="L22" s="16">
        <f t="shared" si="33"/>
        <v>247944.79</v>
      </c>
      <c r="M22" s="16">
        <f t="shared" si="33"/>
        <v>247944.79</v>
      </c>
      <c r="N22" s="16">
        <f t="shared" si="33"/>
        <v>247944.79</v>
      </c>
      <c r="O22" s="16">
        <f t="shared" si="33"/>
        <v>5370223.5800000001</v>
      </c>
      <c r="P22" s="16">
        <f t="shared" si="33"/>
        <v>243166</v>
      </c>
      <c r="Q22" s="16">
        <f t="shared" si="33"/>
        <v>243166</v>
      </c>
      <c r="R22" s="16">
        <f t="shared" si="33"/>
        <v>238666</v>
      </c>
      <c r="S22" s="16">
        <f t="shared" si="33"/>
        <v>238666</v>
      </c>
      <c r="T22" s="16">
        <f t="shared" si="33"/>
        <v>238666</v>
      </c>
      <c r="U22" s="16">
        <f t="shared" si="33"/>
        <v>238666</v>
      </c>
      <c r="V22" s="16">
        <f t="shared" si="33"/>
        <v>1024844.79</v>
      </c>
      <c r="W22" s="16">
        <f t="shared" si="33"/>
        <v>722844.79</v>
      </c>
      <c r="X22" s="16">
        <f t="shared" si="33"/>
        <v>264844.78999999998</v>
      </c>
      <c r="Y22" s="16">
        <f t="shared" si="33"/>
        <v>264844.78999999998</v>
      </c>
      <c r="Z22" s="16">
        <f t="shared" si="33"/>
        <v>264844.78999999998</v>
      </c>
      <c r="AA22" s="16">
        <f t="shared" si="33"/>
        <v>5387123.5800000001</v>
      </c>
      <c r="AB22" s="16">
        <f t="shared" si="33"/>
        <v>260066</v>
      </c>
      <c r="AC22" s="16">
        <f t="shared" si="33"/>
        <v>260066</v>
      </c>
      <c r="AD22" s="16">
        <f t="shared" si="33"/>
        <v>255566</v>
      </c>
      <c r="AE22" s="16">
        <f t="shared" si="33"/>
        <v>255566</v>
      </c>
      <c r="AF22" s="16">
        <f t="shared" si="33"/>
        <v>255566</v>
      </c>
      <c r="AG22" s="16">
        <f t="shared" si="33"/>
        <v>255566</v>
      </c>
      <c r="AH22" s="16">
        <f t="shared" si="33"/>
        <v>1024844.79</v>
      </c>
      <c r="AI22" s="16">
        <f t="shared" si="33"/>
        <v>722844.79</v>
      </c>
      <c r="AJ22" s="16">
        <f t="shared" si="33"/>
        <v>264844.78999999998</v>
      </c>
      <c r="AK22" s="16">
        <f t="shared" si="33"/>
        <v>264844.78999999998</v>
      </c>
      <c r="AL22" s="16">
        <f t="shared" si="33"/>
        <v>264844.78999999998</v>
      </c>
      <c r="AM22" s="16">
        <f t="shared" si="33"/>
        <v>5387123.5800000001</v>
      </c>
      <c r="AN22" s="16">
        <f t="shared" si="33"/>
        <v>260066</v>
      </c>
      <c r="AO22" s="16">
        <f t="shared" si="33"/>
        <v>260066</v>
      </c>
      <c r="AP22" s="16">
        <f>SUM(AP14:AP21)</f>
        <v>33845120.170000002</v>
      </c>
    </row>
    <row r="23" spans="1:42" s="29" customFormat="1">
      <c r="A23" s="25" t="s">
        <v>38</v>
      </c>
      <c r="B23" s="14">
        <f>Амортизация!B17</f>
        <v>41522.916666666664</v>
      </c>
      <c r="C23" s="14">
        <f>Амортизация!C17</f>
        <v>41522.916666666664</v>
      </c>
      <c r="D23" s="14">
        <f>Амортизация!D17</f>
        <v>41522.916666666664</v>
      </c>
      <c r="E23" s="14">
        <f>Амортизация!E17</f>
        <v>41522.916666666664</v>
      </c>
      <c r="F23" s="14">
        <f>Амортизация!F17</f>
        <v>41522.916666666664</v>
      </c>
      <c r="G23" s="14">
        <f>Амортизация!G17</f>
        <v>41522.916666666664</v>
      </c>
      <c r="H23" s="14">
        <f>Амортизация!H17</f>
        <v>41522.916666666664</v>
      </c>
      <c r="I23" s="14">
        <f>Амортизация!I17</f>
        <v>41522.916666666664</v>
      </c>
      <c r="J23" s="14">
        <f>Амортизация!J17</f>
        <v>47564.583333333336</v>
      </c>
      <c r="K23" s="14">
        <f>Амортизация!K17</f>
        <v>47564.583333333336</v>
      </c>
      <c r="L23" s="14">
        <f>Амортизация!L17</f>
        <v>47564.583333333336</v>
      </c>
      <c r="M23" s="14">
        <f>Амортизация!M17</f>
        <v>47564.583333333336</v>
      </c>
      <c r="N23" s="14">
        <f>Амортизация!N17</f>
        <v>47564.583333333336</v>
      </c>
      <c r="O23" s="14">
        <f>Амортизация!O17</f>
        <v>47564.583333333336</v>
      </c>
      <c r="P23" s="14">
        <f>Амортизация!P17</f>
        <v>47564.583333333336</v>
      </c>
      <c r="Q23" s="14">
        <f>Амортизация!Q17</f>
        <v>47564.583333333336</v>
      </c>
      <c r="R23" s="14">
        <f>Амортизация!R17</f>
        <v>47564.583333333336</v>
      </c>
      <c r="S23" s="14">
        <f>Амортизация!S17</f>
        <v>47564.583333333336</v>
      </c>
      <c r="T23" s="14">
        <f>Амортизация!T17</f>
        <v>47564.583333333336</v>
      </c>
      <c r="U23" s="14">
        <f>Амортизация!U17</f>
        <v>47564.583333333336</v>
      </c>
      <c r="V23" s="14">
        <f>Амортизация!V17</f>
        <v>47564.583333333336</v>
      </c>
      <c r="W23" s="14">
        <f>Амортизация!W17</f>
        <v>47564.583333333336</v>
      </c>
      <c r="X23" s="14">
        <f>Амортизация!X17</f>
        <v>47564.583333333336</v>
      </c>
      <c r="Y23" s="14">
        <f>Амортизация!Y17</f>
        <v>47564.583333333336</v>
      </c>
      <c r="Z23" s="14">
        <f>Амортизация!Z17</f>
        <v>47564.583333333336</v>
      </c>
      <c r="AA23" s="14">
        <f>Амортизация!AA17</f>
        <v>47564.583333333336</v>
      </c>
      <c r="AB23" s="14">
        <f>Амортизация!AB17</f>
        <v>47564.583333333336</v>
      </c>
      <c r="AC23" s="14">
        <f>Амортизация!AC17</f>
        <v>47564.583333333336</v>
      </c>
      <c r="AD23" s="14">
        <f>Амортизация!AD17</f>
        <v>47564.583333333336</v>
      </c>
      <c r="AE23" s="14">
        <f>Амортизация!AE17</f>
        <v>47564.583333333336</v>
      </c>
      <c r="AF23" s="14">
        <f>Амортизация!AF17</f>
        <v>47564.583333333336</v>
      </c>
      <c r="AG23" s="14">
        <f>Амортизация!AG17</f>
        <v>47564.583333333336</v>
      </c>
      <c r="AH23" s="14">
        <f>Амортизация!AH17</f>
        <v>47564.583333333336</v>
      </c>
      <c r="AI23" s="14">
        <f>Амортизация!AI17</f>
        <v>47564.583333333336</v>
      </c>
      <c r="AJ23" s="14">
        <f>Амортизация!AJ17</f>
        <v>47564.583333333336</v>
      </c>
      <c r="AK23" s="14">
        <f>Амортизация!AK17</f>
        <v>47564.583333333336</v>
      </c>
      <c r="AL23" s="14">
        <f>Амортизация!AL17</f>
        <v>47564.583333333336</v>
      </c>
      <c r="AM23" s="14">
        <f>Амортизация!AM17</f>
        <v>47564.583333333336</v>
      </c>
      <c r="AN23" s="14">
        <f>Амортизация!AN17</f>
        <v>47564.583333333336</v>
      </c>
      <c r="AO23" s="14">
        <f>Амортизация!AO17</f>
        <v>47564.583333333336</v>
      </c>
      <c r="AP23" s="15">
        <f>Амортизация!AP17</f>
        <v>1854249.9999999991</v>
      </c>
    </row>
    <row r="24" spans="1:42" s="29" customFormat="1">
      <c r="A24" s="67" t="s">
        <v>152</v>
      </c>
      <c r="B24" s="16">
        <f>B22+B13</f>
        <v>269000</v>
      </c>
      <c r="C24" s="16">
        <f t="shared" ref="C24:AP24" si="34">C22+C13</f>
        <v>15159057.58</v>
      </c>
      <c r="D24" s="16">
        <f t="shared" si="34"/>
        <v>218166</v>
      </c>
      <c r="E24" s="16">
        <f t="shared" si="34"/>
        <v>219566</v>
      </c>
      <c r="F24" s="16">
        <f t="shared" si="34"/>
        <v>213666</v>
      </c>
      <c r="G24" s="16">
        <f t="shared" si="34"/>
        <v>213666</v>
      </c>
      <c r="H24" s="16">
        <f t="shared" si="34"/>
        <v>213666</v>
      </c>
      <c r="I24" s="16">
        <f t="shared" si="34"/>
        <v>213666</v>
      </c>
      <c r="J24" s="16">
        <f t="shared" si="34"/>
        <v>2457944.79</v>
      </c>
      <c r="K24" s="16">
        <f t="shared" si="34"/>
        <v>705944.79</v>
      </c>
      <c r="L24" s="16">
        <f t="shared" si="34"/>
        <v>247944.79</v>
      </c>
      <c r="M24" s="16">
        <f t="shared" si="34"/>
        <v>247944.79</v>
      </c>
      <c r="N24" s="16">
        <f t="shared" si="34"/>
        <v>247944.79</v>
      </c>
      <c r="O24" s="16">
        <f t="shared" si="34"/>
        <v>5370223.5800000001</v>
      </c>
      <c r="P24" s="16">
        <f t="shared" si="34"/>
        <v>243166</v>
      </c>
      <c r="Q24" s="16">
        <f t="shared" si="34"/>
        <v>243166</v>
      </c>
      <c r="R24" s="16">
        <f t="shared" si="34"/>
        <v>238666</v>
      </c>
      <c r="S24" s="16">
        <f t="shared" si="34"/>
        <v>238666</v>
      </c>
      <c r="T24" s="16">
        <f t="shared" si="34"/>
        <v>238666</v>
      </c>
      <c r="U24" s="16">
        <f t="shared" si="34"/>
        <v>238666</v>
      </c>
      <c r="V24" s="16">
        <f t="shared" si="34"/>
        <v>1024844.79</v>
      </c>
      <c r="W24" s="16">
        <f t="shared" si="34"/>
        <v>722844.79</v>
      </c>
      <c r="X24" s="16">
        <f t="shared" si="34"/>
        <v>264844.78999999998</v>
      </c>
      <c r="Y24" s="16">
        <f t="shared" si="34"/>
        <v>264844.78999999998</v>
      </c>
      <c r="Z24" s="16">
        <f t="shared" si="34"/>
        <v>264844.78999999998</v>
      </c>
      <c r="AA24" s="16">
        <f t="shared" si="34"/>
        <v>5387123.5800000001</v>
      </c>
      <c r="AB24" s="16">
        <f t="shared" si="34"/>
        <v>260066</v>
      </c>
      <c r="AC24" s="16">
        <f t="shared" si="34"/>
        <v>260066</v>
      </c>
      <c r="AD24" s="16">
        <f t="shared" si="34"/>
        <v>255566</v>
      </c>
      <c r="AE24" s="16">
        <f t="shared" si="34"/>
        <v>255566</v>
      </c>
      <c r="AF24" s="16">
        <f t="shared" si="34"/>
        <v>255566</v>
      </c>
      <c r="AG24" s="16">
        <f t="shared" si="34"/>
        <v>255566</v>
      </c>
      <c r="AH24" s="16">
        <f t="shared" si="34"/>
        <v>1024844.79</v>
      </c>
      <c r="AI24" s="16">
        <f t="shared" si="34"/>
        <v>722844.79</v>
      </c>
      <c r="AJ24" s="16">
        <f t="shared" si="34"/>
        <v>264844.78999999998</v>
      </c>
      <c r="AK24" s="16">
        <f t="shared" si="34"/>
        <v>264844.78999999998</v>
      </c>
      <c r="AL24" s="16">
        <f t="shared" si="34"/>
        <v>264844.78999999998</v>
      </c>
      <c r="AM24" s="16">
        <f t="shared" si="34"/>
        <v>5387123.5800000001</v>
      </c>
      <c r="AN24" s="16">
        <f t="shared" si="34"/>
        <v>260066</v>
      </c>
      <c r="AO24" s="16">
        <f t="shared" si="34"/>
        <v>260066</v>
      </c>
      <c r="AP24" s="16">
        <f t="shared" si="34"/>
        <v>45360620.170000002</v>
      </c>
    </row>
    <row r="25" spans="1:42" s="29" customFormat="1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</row>
    <row r="26" spans="1:4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1:4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</row>
    <row r="28" spans="1:42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</row>
    <row r="29" spans="1:42" ht="45">
      <c r="A29" s="93" t="s">
        <v>117</v>
      </c>
      <c r="B29" s="93" t="s">
        <v>118</v>
      </c>
      <c r="C29" s="93" t="s">
        <v>119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</row>
    <row r="30" spans="1:42" ht="45" customHeight="1">
      <c r="A30" s="115" t="s">
        <v>120</v>
      </c>
      <c r="B30" s="94" t="s">
        <v>121</v>
      </c>
      <c r="C30" s="115">
        <v>900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</row>
    <row r="31" spans="1:42" ht="30" customHeight="1">
      <c r="A31" s="116"/>
      <c r="B31" s="94" t="s">
        <v>137</v>
      </c>
      <c r="C31" s="11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</row>
    <row r="32" spans="1:42" ht="45" customHeight="1">
      <c r="A32" s="117"/>
      <c r="B32" s="94" t="s">
        <v>138</v>
      </c>
      <c r="C32" s="11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</row>
    <row r="33" spans="1:42" ht="30">
      <c r="A33" s="115" t="s">
        <v>122</v>
      </c>
      <c r="B33" s="94" t="s">
        <v>121</v>
      </c>
      <c r="C33" s="115">
        <v>230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</row>
    <row r="34" spans="1:42">
      <c r="A34" s="116"/>
      <c r="B34" s="94" t="s">
        <v>139</v>
      </c>
      <c r="C34" s="11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</row>
    <row r="35" spans="1:42" ht="30">
      <c r="A35" s="117"/>
      <c r="B35" s="94" t="s">
        <v>140</v>
      </c>
      <c r="C35" s="11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</row>
    <row r="36" spans="1:42" ht="30">
      <c r="A36" s="115" t="s">
        <v>123</v>
      </c>
      <c r="B36" s="94" t="s">
        <v>124</v>
      </c>
      <c r="C36" s="115">
        <v>340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</row>
    <row r="37" spans="1:42">
      <c r="A37" s="116"/>
      <c r="B37" s="94" t="s">
        <v>141</v>
      </c>
      <c r="C37" s="11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</row>
    <row r="38" spans="1:42" ht="30">
      <c r="A38" s="117"/>
      <c r="B38" s="94" t="s">
        <v>142</v>
      </c>
      <c r="C38" s="11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</row>
    <row r="39" spans="1:42" ht="30">
      <c r="A39" s="115" t="s">
        <v>125</v>
      </c>
      <c r="B39" s="94" t="s">
        <v>121</v>
      </c>
      <c r="C39" s="115">
        <v>2030</v>
      </c>
    </row>
    <row r="40" spans="1:42" ht="30">
      <c r="A40" s="116"/>
      <c r="B40" s="94" t="s">
        <v>143</v>
      </c>
      <c r="C40" s="116"/>
    </row>
    <row r="41" spans="1:42" ht="30">
      <c r="A41" s="116"/>
      <c r="B41" s="94" t="s">
        <v>144</v>
      </c>
      <c r="C41" s="116"/>
    </row>
    <row r="42" spans="1:42" ht="75">
      <c r="A42" s="116"/>
      <c r="B42" s="94" t="s">
        <v>145</v>
      </c>
      <c r="C42" s="116"/>
    </row>
    <row r="43" spans="1:42" ht="75">
      <c r="A43" s="117"/>
      <c r="B43" s="94" t="s">
        <v>146</v>
      </c>
      <c r="C43" s="117"/>
    </row>
    <row r="44" spans="1:42" ht="30" customHeight="1">
      <c r="A44" s="115" t="s">
        <v>126</v>
      </c>
      <c r="B44" s="94" t="s">
        <v>127</v>
      </c>
      <c r="C44" s="115">
        <v>240</v>
      </c>
    </row>
    <row r="45" spans="1:42" ht="30">
      <c r="A45" s="116"/>
      <c r="B45" s="94" t="s">
        <v>121</v>
      </c>
      <c r="C45" s="116"/>
    </row>
    <row r="46" spans="1:42">
      <c r="A46" s="116"/>
      <c r="B46" s="94" t="s">
        <v>139</v>
      </c>
      <c r="C46" s="116"/>
    </row>
    <row r="47" spans="1:42" ht="30">
      <c r="A47" s="117"/>
      <c r="B47" s="94" t="s">
        <v>147</v>
      </c>
      <c r="C47" s="117"/>
    </row>
    <row r="48" spans="1:42" ht="30">
      <c r="A48" s="115" t="s">
        <v>128</v>
      </c>
      <c r="B48" s="94" t="s">
        <v>124</v>
      </c>
      <c r="C48" s="115">
        <v>340</v>
      </c>
    </row>
    <row r="49" spans="1:3">
      <c r="A49" s="116"/>
      <c r="B49" s="94" t="s">
        <v>141</v>
      </c>
      <c r="C49" s="116"/>
    </row>
    <row r="50" spans="1:3" ht="30">
      <c r="A50" s="117"/>
      <c r="B50" s="94" t="s">
        <v>142</v>
      </c>
      <c r="C50" s="117"/>
    </row>
    <row r="51" spans="1:3">
      <c r="A51" s="115" t="s">
        <v>129</v>
      </c>
      <c r="B51" s="94" t="s">
        <v>130</v>
      </c>
      <c r="C51" s="115">
        <v>4000</v>
      </c>
    </row>
    <row r="52" spans="1:3" ht="30">
      <c r="A52" s="117"/>
      <c r="B52" s="94" t="s">
        <v>131</v>
      </c>
      <c r="C52" s="117"/>
    </row>
    <row r="53" spans="1:3" ht="30">
      <c r="A53" s="115" t="s">
        <v>132</v>
      </c>
      <c r="B53" s="94" t="s">
        <v>121</v>
      </c>
      <c r="C53" s="115">
        <v>240</v>
      </c>
    </row>
    <row r="54" spans="1:3">
      <c r="A54" s="116"/>
      <c r="B54" s="94" t="s">
        <v>139</v>
      </c>
      <c r="C54" s="116"/>
    </row>
    <row r="55" spans="1:3" ht="30">
      <c r="A55" s="117"/>
      <c r="B55" s="94" t="s">
        <v>147</v>
      </c>
      <c r="C55" s="117"/>
    </row>
    <row r="56" spans="1:3" ht="45" customHeight="1">
      <c r="A56" s="115" t="s">
        <v>133</v>
      </c>
      <c r="B56" s="94" t="s">
        <v>121</v>
      </c>
      <c r="C56" s="115">
        <v>860</v>
      </c>
    </row>
    <row r="57" spans="1:3" ht="30">
      <c r="A57" s="116"/>
      <c r="B57" s="94" t="s">
        <v>148</v>
      </c>
      <c r="C57" s="116"/>
    </row>
    <row r="58" spans="1:3" ht="30">
      <c r="A58" s="116"/>
      <c r="B58" s="94" t="s">
        <v>149</v>
      </c>
      <c r="C58" s="116"/>
    </row>
    <row r="59" spans="1:3" ht="75">
      <c r="A59" s="116"/>
      <c r="B59" s="94" t="s">
        <v>150</v>
      </c>
      <c r="C59" s="116"/>
    </row>
    <row r="60" spans="1:3" ht="30">
      <c r="A60" s="116"/>
      <c r="B60" s="94" t="s">
        <v>134</v>
      </c>
      <c r="C60" s="116"/>
    </row>
    <row r="61" spans="1:3" ht="45">
      <c r="A61" s="117"/>
      <c r="B61" s="94" t="s">
        <v>135</v>
      </c>
      <c r="C61" s="117"/>
    </row>
    <row r="62" spans="1:3" ht="16" customHeight="1">
      <c r="A62" s="93" t="s">
        <v>136</v>
      </c>
      <c r="B62" s="93"/>
      <c r="C62" s="93">
        <v>9180</v>
      </c>
    </row>
    <row r="66" spans="1:6">
      <c r="A66" s="118" t="s">
        <v>64</v>
      </c>
      <c r="B66" s="113">
        <f>F1</f>
        <v>2019</v>
      </c>
      <c r="C66" s="113">
        <f>R1</f>
        <v>2020</v>
      </c>
      <c r="D66" s="113">
        <f>AD1</f>
        <v>2021</v>
      </c>
      <c r="E66" s="113">
        <f>AO1</f>
        <v>2022</v>
      </c>
      <c r="F66" s="113" t="s">
        <v>65</v>
      </c>
    </row>
    <row r="67" spans="1:6">
      <c r="A67" s="119"/>
      <c r="B67" s="113"/>
      <c r="C67" s="113"/>
      <c r="D67" s="113"/>
      <c r="E67" s="113"/>
      <c r="F67" s="113"/>
    </row>
    <row r="68" spans="1:6">
      <c r="A68" s="84" t="s">
        <v>15</v>
      </c>
      <c r="B68" s="12">
        <f>SUM(B3:F3)</f>
        <v>100000</v>
      </c>
      <c r="C68" s="12">
        <f>SUM(G3:R3)</f>
        <v>0</v>
      </c>
      <c r="D68" s="14">
        <f>SUM(S3:AD3)</f>
        <v>0</v>
      </c>
      <c r="E68" s="14">
        <f>SUM(AE3:AO3)</f>
        <v>0</v>
      </c>
      <c r="F68" s="99">
        <f t="shared" ref="F68:F89" si="35">SUM(B68:E68)</f>
        <v>100000</v>
      </c>
    </row>
    <row r="69" spans="1:6">
      <c r="A69" s="18" t="s">
        <v>99</v>
      </c>
      <c r="B69" s="12">
        <f t="shared" ref="B69:B89" si="36">SUM(B4:F4)</f>
        <v>240500</v>
      </c>
      <c r="C69" s="12">
        <f t="shared" ref="C69:C89" si="37">SUM(G4:R4)</f>
        <v>0</v>
      </c>
      <c r="D69" s="14">
        <f t="shared" ref="D69:D89" si="38">SUM(S4:AD4)</f>
        <v>0</v>
      </c>
      <c r="E69" s="14">
        <f t="shared" ref="E69:E89" si="39">SUM(AE4:AO4)</f>
        <v>0</v>
      </c>
      <c r="F69" s="99">
        <f t="shared" si="35"/>
        <v>240500</v>
      </c>
    </row>
    <row r="70" spans="1:6">
      <c r="A70" s="88" t="s">
        <v>100</v>
      </c>
      <c r="B70" s="12">
        <f t="shared" si="36"/>
        <v>358000</v>
      </c>
      <c r="C70" s="12">
        <f t="shared" si="37"/>
        <v>0</v>
      </c>
      <c r="D70" s="14">
        <f t="shared" si="38"/>
        <v>0</v>
      </c>
      <c r="E70" s="14">
        <f t="shared" si="39"/>
        <v>0</v>
      </c>
      <c r="F70" s="99">
        <f t="shared" si="35"/>
        <v>358000</v>
      </c>
    </row>
    <row r="71" spans="1:6">
      <c r="A71" s="88" t="s">
        <v>101</v>
      </c>
      <c r="B71" s="12">
        <f t="shared" si="36"/>
        <v>592000</v>
      </c>
      <c r="C71" s="12">
        <f t="shared" si="37"/>
        <v>0</v>
      </c>
      <c r="D71" s="14">
        <f t="shared" si="38"/>
        <v>0</v>
      </c>
      <c r="E71" s="14">
        <f t="shared" si="39"/>
        <v>0</v>
      </c>
      <c r="F71" s="99">
        <f t="shared" si="35"/>
        <v>592000</v>
      </c>
    </row>
    <row r="72" spans="1:6">
      <c r="A72" s="88" t="s">
        <v>102</v>
      </c>
      <c r="B72" s="12">
        <f t="shared" si="36"/>
        <v>1800000</v>
      </c>
      <c r="C72" s="12">
        <f t="shared" si="37"/>
        <v>0</v>
      </c>
      <c r="D72" s="14">
        <f t="shared" si="38"/>
        <v>0</v>
      </c>
      <c r="E72" s="14">
        <f t="shared" si="39"/>
        <v>0</v>
      </c>
      <c r="F72" s="99">
        <f t="shared" si="35"/>
        <v>1800000</v>
      </c>
    </row>
    <row r="73" spans="1:6" ht="30">
      <c r="A73" s="88" t="s">
        <v>103</v>
      </c>
      <c r="B73" s="12">
        <f t="shared" si="36"/>
        <v>675000</v>
      </c>
      <c r="C73" s="12">
        <f t="shared" si="37"/>
        <v>0</v>
      </c>
      <c r="D73" s="14">
        <f t="shared" si="38"/>
        <v>0</v>
      </c>
      <c r="E73" s="14">
        <f t="shared" si="39"/>
        <v>0</v>
      </c>
      <c r="F73" s="99">
        <f t="shared" si="35"/>
        <v>675000</v>
      </c>
    </row>
    <row r="74" spans="1:6">
      <c r="A74" s="88" t="s">
        <v>104</v>
      </c>
      <c r="B74" s="12">
        <f t="shared" si="36"/>
        <v>3900000</v>
      </c>
      <c r="C74" s="12">
        <f t="shared" si="37"/>
        <v>0</v>
      </c>
      <c r="D74" s="14">
        <f t="shared" si="38"/>
        <v>0</v>
      </c>
      <c r="E74" s="14">
        <f t="shared" si="39"/>
        <v>0</v>
      </c>
      <c r="F74" s="99">
        <f t="shared" si="35"/>
        <v>3900000</v>
      </c>
    </row>
    <row r="75" spans="1:6" ht="30">
      <c r="A75" s="88" t="s">
        <v>105</v>
      </c>
      <c r="B75" s="12">
        <f t="shared" si="36"/>
        <v>2400000</v>
      </c>
      <c r="C75" s="12">
        <f t="shared" si="37"/>
        <v>0</v>
      </c>
      <c r="D75" s="14">
        <f t="shared" si="38"/>
        <v>0</v>
      </c>
      <c r="E75" s="14">
        <f t="shared" si="39"/>
        <v>0</v>
      </c>
      <c r="F75" s="99">
        <f t="shared" si="35"/>
        <v>2400000</v>
      </c>
    </row>
    <row r="76" spans="1:6">
      <c r="A76" s="18" t="s">
        <v>106</v>
      </c>
      <c r="B76" s="12">
        <f t="shared" si="36"/>
        <v>0</v>
      </c>
      <c r="C76" s="12">
        <f t="shared" si="37"/>
        <v>500000</v>
      </c>
      <c r="D76" s="14">
        <f t="shared" si="38"/>
        <v>0</v>
      </c>
      <c r="E76" s="14">
        <f t="shared" si="39"/>
        <v>0</v>
      </c>
      <c r="F76" s="99">
        <f t="shared" si="35"/>
        <v>500000</v>
      </c>
    </row>
    <row r="77" spans="1:6">
      <c r="A77" s="18" t="s">
        <v>107</v>
      </c>
      <c r="B77" s="12">
        <f t="shared" si="36"/>
        <v>0</v>
      </c>
      <c r="C77" s="12">
        <f t="shared" si="37"/>
        <v>950000</v>
      </c>
      <c r="D77" s="14">
        <f t="shared" si="38"/>
        <v>0</v>
      </c>
      <c r="E77" s="14">
        <f t="shared" si="39"/>
        <v>0</v>
      </c>
      <c r="F77" s="99">
        <f t="shared" si="35"/>
        <v>950000</v>
      </c>
    </row>
    <row r="78" spans="1:6">
      <c r="A78" s="24" t="s">
        <v>109</v>
      </c>
      <c r="B78" s="13">
        <f t="shared" si="36"/>
        <v>10065500</v>
      </c>
      <c r="C78" s="13">
        <f t="shared" si="37"/>
        <v>1450000</v>
      </c>
      <c r="D78" s="16">
        <f t="shared" si="38"/>
        <v>0</v>
      </c>
      <c r="E78" s="16">
        <f t="shared" si="39"/>
        <v>0</v>
      </c>
      <c r="F78" s="100">
        <f t="shared" si="35"/>
        <v>11515500</v>
      </c>
    </row>
    <row r="79" spans="1:6">
      <c r="A79" s="31" t="s">
        <v>17</v>
      </c>
      <c r="B79" s="12">
        <f t="shared" si="36"/>
        <v>650000</v>
      </c>
      <c r="C79" s="12">
        <f t="shared" si="37"/>
        <v>1560000</v>
      </c>
      <c r="D79" s="14">
        <f t="shared" si="38"/>
        <v>1677000</v>
      </c>
      <c r="E79" s="14">
        <f t="shared" si="39"/>
        <v>1573000</v>
      </c>
      <c r="F79" s="99">
        <f t="shared" si="35"/>
        <v>5460000</v>
      </c>
    </row>
    <row r="80" spans="1:6">
      <c r="A80" s="25" t="s">
        <v>110</v>
      </c>
      <c r="B80" s="12">
        <f t="shared" si="36"/>
        <v>195000</v>
      </c>
      <c r="C80" s="12">
        <f t="shared" si="37"/>
        <v>468000</v>
      </c>
      <c r="D80" s="14">
        <f t="shared" si="38"/>
        <v>503100</v>
      </c>
      <c r="E80" s="14">
        <f t="shared" si="39"/>
        <v>471900</v>
      </c>
      <c r="F80" s="99">
        <f t="shared" si="35"/>
        <v>1638000</v>
      </c>
    </row>
    <row r="81" spans="1:6">
      <c r="A81" s="25" t="s">
        <v>112</v>
      </c>
      <c r="B81" s="12">
        <f t="shared" si="36"/>
        <v>0</v>
      </c>
      <c r="C81" s="12">
        <f t="shared" si="37"/>
        <v>225000</v>
      </c>
      <c r="D81" s="14">
        <f t="shared" si="38"/>
        <v>300000</v>
      </c>
      <c r="E81" s="14">
        <f t="shared" si="39"/>
        <v>275000</v>
      </c>
      <c r="F81" s="99">
        <f t="shared" si="35"/>
        <v>800000</v>
      </c>
    </row>
    <row r="82" spans="1:6">
      <c r="A82" s="25" t="s">
        <v>111</v>
      </c>
      <c r="B82" s="12">
        <f t="shared" si="36"/>
        <v>124998</v>
      </c>
      <c r="C82" s="12">
        <f t="shared" si="37"/>
        <v>499992</v>
      </c>
      <c r="D82" s="14">
        <f t="shared" si="38"/>
        <v>499992</v>
      </c>
      <c r="E82" s="14">
        <f t="shared" si="39"/>
        <v>458326</v>
      </c>
      <c r="F82" s="99">
        <f t="shared" si="35"/>
        <v>1583308</v>
      </c>
    </row>
    <row r="83" spans="1:6">
      <c r="A83" s="25" t="s">
        <v>113</v>
      </c>
      <c r="B83" s="12">
        <f t="shared" si="36"/>
        <v>5000000</v>
      </c>
      <c r="C83" s="12">
        <f t="shared" si="37"/>
        <v>5000000</v>
      </c>
      <c r="D83" s="14">
        <f t="shared" si="38"/>
        <v>5000000</v>
      </c>
      <c r="E83" s="14">
        <f t="shared" si="39"/>
        <v>5000000</v>
      </c>
      <c r="F83" s="99">
        <f t="shared" si="35"/>
        <v>20000000</v>
      </c>
    </row>
    <row r="84" spans="1:6">
      <c r="A84" s="25" t="s">
        <v>151</v>
      </c>
      <c r="B84" s="12">
        <f t="shared" si="36"/>
        <v>0</v>
      </c>
      <c r="C84" s="12">
        <f t="shared" si="37"/>
        <v>500000</v>
      </c>
      <c r="D84" s="14">
        <f t="shared" si="38"/>
        <v>500000</v>
      </c>
      <c r="E84" s="14">
        <f t="shared" si="39"/>
        <v>500000</v>
      </c>
      <c r="F84" s="99">
        <f t="shared" si="35"/>
        <v>1500000</v>
      </c>
    </row>
    <row r="85" spans="1:6">
      <c r="A85" s="25" t="s">
        <v>114</v>
      </c>
      <c r="B85" s="12">
        <f t="shared" si="36"/>
        <v>0</v>
      </c>
      <c r="C85" s="12">
        <f t="shared" si="37"/>
        <v>828000</v>
      </c>
      <c r="D85" s="14">
        <f t="shared" si="38"/>
        <v>828000</v>
      </c>
      <c r="E85" s="14">
        <f t="shared" si="39"/>
        <v>828000</v>
      </c>
      <c r="F85" s="99">
        <f t="shared" si="35"/>
        <v>2484000</v>
      </c>
    </row>
    <row r="86" spans="1:6">
      <c r="A86" s="25" t="s">
        <v>115</v>
      </c>
      <c r="B86" s="12">
        <f t="shared" si="36"/>
        <v>43957.58</v>
      </c>
      <c r="C86" s="12">
        <f t="shared" si="37"/>
        <v>112951.53000000001</v>
      </c>
      <c r="D86" s="14">
        <f t="shared" si="38"/>
        <v>112951.53000000001</v>
      </c>
      <c r="E86" s="14">
        <f t="shared" si="39"/>
        <v>109951.53000000001</v>
      </c>
      <c r="F86" s="99">
        <f t="shared" si="35"/>
        <v>379812.17000000004</v>
      </c>
    </row>
    <row r="87" spans="1:6">
      <c r="A87" s="67" t="s">
        <v>116</v>
      </c>
      <c r="B87" s="13">
        <f t="shared" si="36"/>
        <v>6013955.5800000001</v>
      </c>
      <c r="C87" s="13">
        <f t="shared" si="37"/>
        <v>9193943.5300000012</v>
      </c>
      <c r="D87" s="16">
        <f t="shared" si="38"/>
        <v>9421043.5300000012</v>
      </c>
      <c r="E87" s="16">
        <f t="shared" si="39"/>
        <v>9216177.5300000012</v>
      </c>
      <c r="F87" s="100">
        <f t="shared" si="35"/>
        <v>33845120.170000002</v>
      </c>
    </row>
    <row r="88" spans="1:6">
      <c r="A88" s="25" t="s">
        <v>38</v>
      </c>
      <c r="B88" s="12">
        <f t="shared" si="36"/>
        <v>207614.58333333331</v>
      </c>
      <c r="C88" s="12">
        <f t="shared" si="37"/>
        <v>552649.99999999988</v>
      </c>
      <c r="D88" s="14">
        <f t="shared" si="38"/>
        <v>570774.99999999988</v>
      </c>
      <c r="E88" s="14">
        <f t="shared" si="39"/>
        <v>523210.41666666657</v>
      </c>
      <c r="F88" s="99">
        <f t="shared" si="35"/>
        <v>1854249.9999999995</v>
      </c>
    </row>
    <row r="89" spans="1:6">
      <c r="A89" s="67" t="s">
        <v>152</v>
      </c>
      <c r="B89" s="13">
        <f t="shared" si="36"/>
        <v>16079455.58</v>
      </c>
      <c r="C89" s="13">
        <f t="shared" si="37"/>
        <v>10643943.530000001</v>
      </c>
      <c r="D89" s="16">
        <f t="shared" si="38"/>
        <v>9421043.5300000012</v>
      </c>
      <c r="E89" s="16">
        <f t="shared" si="39"/>
        <v>9216177.5300000012</v>
      </c>
      <c r="F89" s="100">
        <f t="shared" si="35"/>
        <v>45360620.170000002</v>
      </c>
    </row>
  </sheetData>
  <mergeCells count="25">
    <mergeCell ref="F66:F67"/>
    <mergeCell ref="AP1:AP2"/>
    <mergeCell ref="A30:A32"/>
    <mergeCell ref="A33:A35"/>
    <mergeCell ref="C33:C35"/>
    <mergeCell ref="B66:B67"/>
    <mergeCell ref="C66:C67"/>
    <mergeCell ref="D66:D67"/>
    <mergeCell ref="E66:E67"/>
    <mergeCell ref="A66:A67"/>
    <mergeCell ref="A56:A61"/>
    <mergeCell ref="C30:C32"/>
    <mergeCell ref="C36:C38"/>
    <mergeCell ref="C39:C43"/>
    <mergeCell ref="A39:A43"/>
    <mergeCell ref="A44:A47"/>
    <mergeCell ref="C44:C47"/>
    <mergeCell ref="C48:C50"/>
    <mergeCell ref="A51:A52"/>
    <mergeCell ref="C51:C52"/>
    <mergeCell ref="C53:C55"/>
    <mergeCell ref="A53:A55"/>
    <mergeCell ref="C56:C61"/>
    <mergeCell ref="A48:A50"/>
    <mergeCell ref="A36:A3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workbookViewId="0">
      <selection activeCell="B32" sqref="B32:F33"/>
    </sheetView>
  </sheetViews>
  <sheetFormatPr baseColWidth="10" defaultRowHeight="15" x14ac:dyDescent="0"/>
  <cols>
    <col min="1" max="1" width="25.6640625" customWidth="1"/>
    <col min="2" max="2" width="15.6640625" bestFit="1" customWidth="1"/>
    <col min="3" max="5" width="11.6640625" bestFit="1" customWidth="1"/>
    <col min="6" max="6" width="13.1640625" bestFit="1" customWidth="1"/>
    <col min="7" max="8" width="12.1640625" bestFit="1" customWidth="1"/>
    <col min="9" max="9" width="13.1640625" bestFit="1" customWidth="1"/>
    <col min="10" max="15" width="11.6640625" bestFit="1" customWidth="1"/>
  </cols>
  <sheetData>
    <row r="1" spans="1:42" ht="45">
      <c r="A1" s="28" t="s">
        <v>25</v>
      </c>
      <c r="B1" s="28" t="s">
        <v>26</v>
      </c>
      <c r="F1" s="39">
        <f>9965500/240</f>
        <v>41522.916666666664</v>
      </c>
      <c r="G1" s="39">
        <f>11415500/240</f>
        <v>47564.583333333336</v>
      </c>
    </row>
    <row r="2" spans="1:42">
      <c r="A2" s="18" t="s">
        <v>20</v>
      </c>
      <c r="B2" s="18">
        <v>240</v>
      </c>
      <c r="F2" s="39"/>
    </row>
    <row r="7" spans="1:42">
      <c r="B7" s="25">
        <f>YEAR(B8)</f>
        <v>2019</v>
      </c>
      <c r="C7" s="25">
        <f t="shared" ref="C7:AO7" si="0">YEAR(C8)</f>
        <v>2019</v>
      </c>
      <c r="D7" s="25">
        <f t="shared" si="0"/>
        <v>2019</v>
      </c>
      <c r="E7" s="25">
        <f t="shared" si="0"/>
        <v>2019</v>
      </c>
      <c r="F7" s="25">
        <f t="shared" si="0"/>
        <v>2019</v>
      </c>
      <c r="G7" s="25">
        <f t="shared" si="0"/>
        <v>2020</v>
      </c>
      <c r="H7" s="25">
        <f t="shared" si="0"/>
        <v>2020</v>
      </c>
      <c r="I7" s="25">
        <f t="shared" si="0"/>
        <v>2020</v>
      </c>
      <c r="J7" s="25">
        <f t="shared" si="0"/>
        <v>2020</v>
      </c>
      <c r="K7" s="25">
        <f t="shared" si="0"/>
        <v>2020</v>
      </c>
      <c r="L7" s="25">
        <f t="shared" si="0"/>
        <v>2020</v>
      </c>
      <c r="M7" s="25">
        <f t="shared" si="0"/>
        <v>2020</v>
      </c>
      <c r="N7" s="25">
        <f t="shared" si="0"/>
        <v>2020</v>
      </c>
      <c r="O7" s="96">
        <f t="shared" si="0"/>
        <v>2020</v>
      </c>
      <c r="P7" s="96">
        <f t="shared" si="0"/>
        <v>2020</v>
      </c>
      <c r="Q7" s="96">
        <f t="shared" si="0"/>
        <v>2020</v>
      </c>
      <c r="R7" s="96">
        <f t="shared" si="0"/>
        <v>2020</v>
      </c>
      <c r="S7" s="96">
        <f t="shared" si="0"/>
        <v>2021</v>
      </c>
      <c r="T7" s="96">
        <f t="shared" si="0"/>
        <v>2021</v>
      </c>
      <c r="U7" s="96">
        <f t="shared" si="0"/>
        <v>2021</v>
      </c>
      <c r="V7" s="96">
        <f t="shared" si="0"/>
        <v>2021</v>
      </c>
      <c r="W7" s="96">
        <f t="shared" si="0"/>
        <v>2021</v>
      </c>
      <c r="X7" s="96">
        <f t="shared" si="0"/>
        <v>2021</v>
      </c>
      <c r="Y7" s="96">
        <f t="shared" si="0"/>
        <v>2021</v>
      </c>
      <c r="Z7" s="96">
        <f t="shared" si="0"/>
        <v>2021</v>
      </c>
      <c r="AA7" s="96">
        <f t="shared" si="0"/>
        <v>2021</v>
      </c>
      <c r="AB7" s="96">
        <f t="shared" si="0"/>
        <v>2021</v>
      </c>
      <c r="AC7" s="96">
        <f t="shared" si="0"/>
        <v>2021</v>
      </c>
      <c r="AD7" s="96">
        <f t="shared" si="0"/>
        <v>2021</v>
      </c>
      <c r="AE7" s="96">
        <f t="shared" si="0"/>
        <v>2022</v>
      </c>
      <c r="AF7" s="96">
        <f t="shared" si="0"/>
        <v>2022</v>
      </c>
      <c r="AG7" s="96">
        <f t="shared" si="0"/>
        <v>2022</v>
      </c>
      <c r="AH7" s="96">
        <f t="shared" si="0"/>
        <v>2022</v>
      </c>
      <c r="AI7" s="96">
        <f t="shared" si="0"/>
        <v>2022</v>
      </c>
      <c r="AJ7" s="96">
        <f t="shared" si="0"/>
        <v>2022</v>
      </c>
      <c r="AK7" s="96">
        <f t="shared" si="0"/>
        <v>2022</v>
      </c>
      <c r="AL7" s="96">
        <f t="shared" si="0"/>
        <v>2022</v>
      </c>
      <c r="AM7" s="96">
        <f t="shared" si="0"/>
        <v>2022</v>
      </c>
      <c r="AN7" s="96">
        <f t="shared" si="0"/>
        <v>2022</v>
      </c>
      <c r="AO7" s="96">
        <f t="shared" si="0"/>
        <v>2022</v>
      </c>
      <c r="AP7" s="69"/>
    </row>
    <row r="8" spans="1:42" s="73" customFormat="1" ht="30">
      <c r="A8" s="1" t="s">
        <v>22</v>
      </c>
      <c r="B8" s="52">
        <f>'Старт проекта'!B1</f>
        <v>43678</v>
      </c>
      <c r="C8" s="52">
        <f>DATE(YEAR(B8),MONTH(B8)+1,1)</f>
        <v>43709</v>
      </c>
      <c r="D8" s="52">
        <f t="shared" ref="D8:N8" si="1">DATE(YEAR(C8),MONTH(C8)+1,1)</f>
        <v>43739</v>
      </c>
      <c r="E8" s="52">
        <f t="shared" si="1"/>
        <v>43770</v>
      </c>
      <c r="F8" s="52">
        <f t="shared" si="1"/>
        <v>43800</v>
      </c>
      <c r="G8" s="52">
        <f t="shared" si="1"/>
        <v>43831</v>
      </c>
      <c r="H8" s="52">
        <f t="shared" si="1"/>
        <v>43862</v>
      </c>
      <c r="I8" s="52">
        <f t="shared" si="1"/>
        <v>43891</v>
      </c>
      <c r="J8" s="52">
        <f t="shared" si="1"/>
        <v>43922</v>
      </c>
      <c r="K8" s="52">
        <f t="shared" si="1"/>
        <v>43952</v>
      </c>
      <c r="L8" s="52">
        <f t="shared" si="1"/>
        <v>43983</v>
      </c>
      <c r="M8" s="52">
        <f t="shared" si="1"/>
        <v>44013</v>
      </c>
      <c r="N8" s="52">
        <f t="shared" si="1"/>
        <v>44044</v>
      </c>
      <c r="O8" s="52">
        <f t="shared" ref="O8" si="2">DATE(YEAR(N8),MONTH(N8)+1,1)</f>
        <v>44075</v>
      </c>
      <c r="P8" s="52">
        <f t="shared" ref="P8" si="3">DATE(YEAR(O8),MONTH(O8)+1,1)</f>
        <v>44105</v>
      </c>
      <c r="Q8" s="52">
        <f t="shared" ref="Q8" si="4">DATE(YEAR(P8),MONTH(P8)+1,1)</f>
        <v>44136</v>
      </c>
      <c r="R8" s="52">
        <f t="shared" ref="R8" si="5">DATE(YEAR(Q8),MONTH(Q8)+1,1)</f>
        <v>44166</v>
      </c>
      <c r="S8" s="52">
        <f t="shared" ref="S8" si="6">DATE(YEAR(R8),MONTH(R8)+1,1)</f>
        <v>44197</v>
      </c>
      <c r="T8" s="52">
        <f t="shared" ref="T8" si="7">DATE(YEAR(S8),MONTH(S8)+1,1)</f>
        <v>44228</v>
      </c>
      <c r="U8" s="52">
        <f t="shared" ref="U8" si="8">DATE(YEAR(T8),MONTH(T8)+1,1)</f>
        <v>44256</v>
      </c>
      <c r="V8" s="52">
        <f t="shared" ref="V8" si="9">DATE(YEAR(U8),MONTH(U8)+1,1)</f>
        <v>44287</v>
      </c>
      <c r="W8" s="52">
        <f t="shared" ref="W8" si="10">DATE(YEAR(V8),MONTH(V8)+1,1)</f>
        <v>44317</v>
      </c>
      <c r="X8" s="52">
        <f t="shared" ref="X8" si="11">DATE(YEAR(W8),MONTH(W8)+1,1)</f>
        <v>44348</v>
      </c>
      <c r="Y8" s="52">
        <f t="shared" ref="Y8" si="12">DATE(YEAR(X8),MONTH(X8)+1,1)</f>
        <v>44378</v>
      </c>
      <c r="Z8" s="52">
        <f t="shared" ref="Z8" si="13">DATE(YEAR(Y8),MONTH(Y8)+1,1)</f>
        <v>44409</v>
      </c>
      <c r="AA8" s="52">
        <f t="shared" ref="AA8" si="14">DATE(YEAR(Z8),MONTH(Z8)+1,1)</f>
        <v>44440</v>
      </c>
      <c r="AB8" s="52">
        <f t="shared" ref="AB8" si="15">DATE(YEAR(AA8),MONTH(AA8)+1,1)</f>
        <v>44470</v>
      </c>
      <c r="AC8" s="52">
        <f t="shared" ref="AC8" si="16">DATE(YEAR(AB8),MONTH(AB8)+1,1)</f>
        <v>44501</v>
      </c>
      <c r="AD8" s="52">
        <f t="shared" ref="AD8" si="17">DATE(YEAR(AC8),MONTH(AC8)+1,1)</f>
        <v>44531</v>
      </c>
      <c r="AE8" s="52">
        <f t="shared" ref="AE8" si="18">DATE(YEAR(AD8),MONTH(AD8)+1,1)</f>
        <v>44562</v>
      </c>
      <c r="AF8" s="52">
        <f t="shared" ref="AF8" si="19">DATE(YEAR(AE8),MONTH(AE8)+1,1)</f>
        <v>44593</v>
      </c>
      <c r="AG8" s="52">
        <f t="shared" ref="AG8" si="20">DATE(YEAR(AF8),MONTH(AF8)+1,1)</f>
        <v>44621</v>
      </c>
      <c r="AH8" s="52">
        <f t="shared" ref="AH8" si="21">DATE(YEAR(AG8),MONTH(AG8)+1,1)</f>
        <v>44652</v>
      </c>
      <c r="AI8" s="52">
        <f t="shared" ref="AI8" si="22">DATE(YEAR(AH8),MONTH(AH8)+1,1)</f>
        <v>44682</v>
      </c>
      <c r="AJ8" s="52">
        <f t="shared" ref="AJ8" si="23">DATE(YEAR(AI8),MONTH(AI8)+1,1)</f>
        <v>44713</v>
      </c>
      <c r="AK8" s="52">
        <f t="shared" ref="AK8" si="24">DATE(YEAR(AJ8),MONTH(AJ8)+1,1)</f>
        <v>44743</v>
      </c>
      <c r="AL8" s="52">
        <f t="shared" ref="AL8" si="25">DATE(YEAR(AK8),MONTH(AK8)+1,1)</f>
        <v>44774</v>
      </c>
      <c r="AM8" s="52">
        <f t="shared" ref="AM8" si="26">DATE(YEAR(AL8),MONTH(AL8)+1,1)</f>
        <v>44805</v>
      </c>
      <c r="AN8" s="52">
        <f t="shared" ref="AN8" si="27">DATE(YEAR(AM8),MONTH(AM8)+1,1)</f>
        <v>44835</v>
      </c>
      <c r="AO8" s="52">
        <f t="shared" ref="AO8" si="28">DATE(YEAR(AN8),MONTH(AN8)+1,1)</f>
        <v>44866</v>
      </c>
      <c r="AP8" s="69" t="s">
        <v>65</v>
      </c>
    </row>
    <row r="9" spans="1:42" s="73" customFormat="1">
      <c r="A9" s="25" t="s">
        <v>19</v>
      </c>
      <c r="B9" s="14"/>
      <c r="C9" s="14"/>
      <c r="D9" s="14"/>
      <c r="E9" s="14"/>
      <c r="F9" s="14"/>
      <c r="G9" s="14"/>
      <c r="H9" s="14"/>
      <c r="I9" s="15"/>
      <c r="J9" s="14"/>
      <c r="K9" s="14"/>
      <c r="L9" s="14"/>
      <c r="M9" s="14"/>
      <c r="N9" s="14"/>
      <c r="O9" s="14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69"/>
    </row>
    <row r="10" spans="1:42" s="73" customFormat="1">
      <c r="A10" s="25" t="s">
        <v>20</v>
      </c>
      <c r="B10" s="14"/>
      <c r="C10" s="14">
        <v>9965500</v>
      </c>
      <c r="D10" s="14">
        <v>9965500</v>
      </c>
      <c r="E10" s="14">
        <v>9965500</v>
      </c>
      <c r="F10" s="14">
        <v>9965500</v>
      </c>
      <c r="G10" s="14">
        <v>9965500</v>
      </c>
      <c r="H10" s="14">
        <v>9965500</v>
      </c>
      <c r="I10" s="14">
        <v>9965500</v>
      </c>
      <c r="J10" s="14">
        <f>9965500+1450000</f>
        <v>11415500</v>
      </c>
      <c r="K10" s="14">
        <f t="shared" ref="K10:AP10" si="29">9965500+1450000</f>
        <v>11415500</v>
      </c>
      <c r="L10" s="14">
        <f t="shared" si="29"/>
        <v>11415500</v>
      </c>
      <c r="M10" s="14">
        <f t="shared" si="29"/>
        <v>11415500</v>
      </c>
      <c r="N10" s="14">
        <f t="shared" si="29"/>
        <v>11415500</v>
      </c>
      <c r="O10" s="14">
        <f t="shared" si="29"/>
        <v>11415500</v>
      </c>
      <c r="P10" s="14">
        <f t="shared" si="29"/>
        <v>11415500</v>
      </c>
      <c r="Q10" s="14">
        <f t="shared" si="29"/>
        <v>11415500</v>
      </c>
      <c r="R10" s="14">
        <f t="shared" si="29"/>
        <v>11415500</v>
      </c>
      <c r="S10" s="14">
        <f t="shared" si="29"/>
        <v>11415500</v>
      </c>
      <c r="T10" s="14">
        <f t="shared" si="29"/>
        <v>11415500</v>
      </c>
      <c r="U10" s="14">
        <f t="shared" si="29"/>
        <v>11415500</v>
      </c>
      <c r="V10" s="14">
        <f t="shared" si="29"/>
        <v>11415500</v>
      </c>
      <c r="W10" s="14">
        <f t="shared" si="29"/>
        <v>11415500</v>
      </c>
      <c r="X10" s="14">
        <f t="shared" si="29"/>
        <v>11415500</v>
      </c>
      <c r="Y10" s="14">
        <f t="shared" si="29"/>
        <v>11415500</v>
      </c>
      <c r="Z10" s="14">
        <f t="shared" si="29"/>
        <v>11415500</v>
      </c>
      <c r="AA10" s="14">
        <f t="shared" si="29"/>
        <v>11415500</v>
      </c>
      <c r="AB10" s="14">
        <f t="shared" si="29"/>
        <v>11415500</v>
      </c>
      <c r="AC10" s="14">
        <f t="shared" si="29"/>
        <v>11415500</v>
      </c>
      <c r="AD10" s="14">
        <f t="shared" si="29"/>
        <v>11415500</v>
      </c>
      <c r="AE10" s="14">
        <f t="shared" si="29"/>
        <v>11415500</v>
      </c>
      <c r="AF10" s="14">
        <f t="shared" si="29"/>
        <v>11415500</v>
      </c>
      <c r="AG10" s="14">
        <f t="shared" si="29"/>
        <v>11415500</v>
      </c>
      <c r="AH10" s="14">
        <f t="shared" si="29"/>
        <v>11415500</v>
      </c>
      <c r="AI10" s="14">
        <f t="shared" si="29"/>
        <v>11415500</v>
      </c>
      <c r="AJ10" s="14">
        <f t="shared" si="29"/>
        <v>11415500</v>
      </c>
      <c r="AK10" s="14">
        <f t="shared" si="29"/>
        <v>11415500</v>
      </c>
      <c r="AL10" s="14">
        <f t="shared" si="29"/>
        <v>11415500</v>
      </c>
      <c r="AM10" s="14">
        <f t="shared" si="29"/>
        <v>11415500</v>
      </c>
      <c r="AN10" s="14">
        <f t="shared" si="29"/>
        <v>11415500</v>
      </c>
      <c r="AO10" s="14">
        <f t="shared" si="29"/>
        <v>11415500</v>
      </c>
      <c r="AP10" s="89">
        <f t="shared" si="29"/>
        <v>11415500</v>
      </c>
    </row>
    <row r="11" spans="1:42" s="73" customFormat="1">
      <c r="A11" s="25" t="s">
        <v>21</v>
      </c>
      <c r="B11" s="14"/>
      <c r="C11" s="14"/>
      <c r="D11" s="14"/>
      <c r="E11" s="14"/>
      <c r="F11" s="14">
        <f t="shared" ref="F11:N11" si="30">SUM(F10:F10)</f>
        <v>9965500</v>
      </c>
      <c r="G11" s="14">
        <f t="shared" si="30"/>
        <v>9965500</v>
      </c>
      <c r="H11" s="14">
        <f t="shared" si="30"/>
        <v>9965500</v>
      </c>
      <c r="I11" s="15">
        <f t="shared" si="30"/>
        <v>9965500</v>
      </c>
      <c r="J11" s="14">
        <f t="shared" si="30"/>
        <v>11415500</v>
      </c>
      <c r="K11" s="14">
        <f t="shared" si="30"/>
        <v>11415500</v>
      </c>
      <c r="L11" s="14">
        <f t="shared" si="30"/>
        <v>11415500</v>
      </c>
      <c r="M11" s="14">
        <f t="shared" si="30"/>
        <v>11415500</v>
      </c>
      <c r="N11" s="14">
        <f t="shared" si="30"/>
        <v>11415500</v>
      </c>
      <c r="O11" s="14">
        <f t="shared" ref="O11:AP11" si="31">SUM(O10:O10)</f>
        <v>11415500</v>
      </c>
      <c r="P11" s="14">
        <f t="shared" si="31"/>
        <v>11415500</v>
      </c>
      <c r="Q11" s="14">
        <f t="shared" si="31"/>
        <v>11415500</v>
      </c>
      <c r="R11" s="14">
        <f t="shared" si="31"/>
        <v>11415500</v>
      </c>
      <c r="S11" s="14">
        <f t="shared" si="31"/>
        <v>11415500</v>
      </c>
      <c r="T11" s="14">
        <f t="shared" si="31"/>
        <v>11415500</v>
      </c>
      <c r="U11" s="14">
        <f t="shared" si="31"/>
        <v>11415500</v>
      </c>
      <c r="V11" s="14">
        <f t="shared" si="31"/>
        <v>11415500</v>
      </c>
      <c r="W11" s="14">
        <f t="shared" si="31"/>
        <v>11415500</v>
      </c>
      <c r="X11" s="14">
        <f t="shared" si="31"/>
        <v>11415500</v>
      </c>
      <c r="Y11" s="14">
        <f t="shared" si="31"/>
        <v>11415500</v>
      </c>
      <c r="Z11" s="14">
        <f t="shared" si="31"/>
        <v>11415500</v>
      </c>
      <c r="AA11" s="14">
        <f t="shared" si="31"/>
        <v>11415500</v>
      </c>
      <c r="AB11" s="14">
        <f t="shared" si="31"/>
        <v>11415500</v>
      </c>
      <c r="AC11" s="14">
        <f t="shared" si="31"/>
        <v>11415500</v>
      </c>
      <c r="AD11" s="14">
        <f t="shared" si="31"/>
        <v>11415500</v>
      </c>
      <c r="AE11" s="14">
        <f t="shared" si="31"/>
        <v>11415500</v>
      </c>
      <c r="AF11" s="14">
        <f t="shared" si="31"/>
        <v>11415500</v>
      </c>
      <c r="AG11" s="14">
        <f t="shared" si="31"/>
        <v>11415500</v>
      </c>
      <c r="AH11" s="14">
        <f t="shared" si="31"/>
        <v>11415500</v>
      </c>
      <c r="AI11" s="14">
        <f t="shared" si="31"/>
        <v>11415500</v>
      </c>
      <c r="AJ11" s="14">
        <f t="shared" si="31"/>
        <v>11415500</v>
      </c>
      <c r="AK11" s="14">
        <f t="shared" si="31"/>
        <v>11415500</v>
      </c>
      <c r="AL11" s="14">
        <f t="shared" si="31"/>
        <v>11415500</v>
      </c>
      <c r="AM11" s="14">
        <f t="shared" si="31"/>
        <v>11415500</v>
      </c>
      <c r="AN11" s="14">
        <f t="shared" si="31"/>
        <v>11415500</v>
      </c>
      <c r="AO11" s="14">
        <f t="shared" si="31"/>
        <v>11415500</v>
      </c>
      <c r="AP11" s="89">
        <f t="shared" si="31"/>
        <v>11415500</v>
      </c>
    </row>
    <row r="12" spans="1:42" s="73" customFormat="1"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AP12" s="46"/>
    </row>
    <row r="13" spans="1:42" s="73" customFormat="1">
      <c r="A13" s="4"/>
      <c r="B13" s="14">
        <f>B7</f>
        <v>2019</v>
      </c>
      <c r="C13" s="14">
        <f t="shared" ref="C13:N13" si="32">C7</f>
        <v>2019</v>
      </c>
      <c r="D13" s="14">
        <f t="shared" si="32"/>
        <v>2019</v>
      </c>
      <c r="E13" s="14">
        <f t="shared" si="32"/>
        <v>2019</v>
      </c>
      <c r="F13" s="14">
        <f t="shared" si="32"/>
        <v>2019</v>
      </c>
      <c r="G13" s="14">
        <f t="shared" si="32"/>
        <v>2020</v>
      </c>
      <c r="H13" s="14">
        <f t="shared" si="32"/>
        <v>2020</v>
      </c>
      <c r="I13" s="14">
        <f t="shared" si="32"/>
        <v>2020</v>
      </c>
      <c r="J13" s="14">
        <f t="shared" si="32"/>
        <v>2020</v>
      </c>
      <c r="K13" s="14">
        <f t="shared" si="32"/>
        <v>2020</v>
      </c>
      <c r="L13" s="14">
        <f t="shared" si="32"/>
        <v>2020</v>
      </c>
      <c r="M13" s="14">
        <f t="shared" si="32"/>
        <v>2020</v>
      </c>
      <c r="N13" s="14">
        <f t="shared" si="32"/>
        <v>2020</v>
      </c>
      <c r="O13" s="14">
        <f t="shared" ref="O13:AO13" si="33">O7</f>
        <v>2020</v>
      </c>
      <c r="P13" s="14">
        <f t="shared" si="33"/>
        <v>2020</v>
      </c>
      <c r="Q13" s="14">
        <f t="shared" si="33"/>
        <v>2020</v>
      </c>
      <c r="R13" s="14">
        <f t="shared" si="33"/>
        <v>2020</v>
      </c>
      <c r="S13" s="14">
        <f t="shared" si="33"/>
        <v>2021</v>
      </c>
      <c r="T13" s="14">
        <f t="shared" si="33"/>
        <v>2021</v>
      </c>
      <c r="U13" s="14">
        <f t="shared" si="33"/>
        <v>2021</v>
      </c>
      <c r="V13" s="14">
        <f t="shared" si="33"/>
        <v>2021</v>
      </c>
      <c r="W13" s="14">
        <f t="shared" si="33"/>
        <v>2021</v>
      </c>
      <c r="X13" s="14">
        <f t="shared" si="33"/>
        <v>2021</v>
      </c>
      <c r="Y13" s="14">
        <f t="shared" si="33"/>
        <v>2021</v>
      </c>
      <c r="Z13" s="14">
        <f t="shared" si="33"/>
        <v>2021</v>
      </c>
      <c r="AA13" s="14">
        <f t="shared" si="33"/>
        <v>2021</v>
      </c>
      <c r="AB13" s="14">
        <f t="shared" si="33"/>
        <v>2021</v>
      </c>
      <c r="AC13" s="14">
        <f t="shared" si="33"/>
        <v>2021</v>
      </c>
      <c r="AD13" s="14">
        <f t="shared" si="33"/>
        <v>2021</v>
      </c>
      <c r="AE13" s="14">
        <f t="shared" si="33"/>
        <v>2022</v>
      </c>
      <c r="AF13" s="14">
        <f t="shared" si="33"/>
        <v>2022</v>
      </c>
      <c r="AG13" s="14">
        <f t="shared" si="33"/>
        <v>2022</v>
      </c>
      <c r="AH13" s="14">
        <f t="shared" si="33"/>
        <v>2022</v>
      </c>
      <c r="AI13" s="14">
        <f t="shared" si="33"/>
        <v>2022</v>
      </c>
      <c r="AJ13" s="14">
        <f t="shared" si="33"/>
        <v>2022</v>
      </c>
      <c r="AK13" s="14">
        <f t="shared" si="33"/>
        <v>2022</v>
      </c>
      <c r="AL13" s="14">
        <f t="shared" si="33"/>
        <v>2022</v>
      </c>
      <c r="AM13" s="14">
        <f t="shared" si="33"/>
        <v>2022</v>
      </c>
      <c r="AN13" s="14">
        <f t="shared" si="33"/>
        <v>2022</v>
      </c>
      <c r="AO13" s="14">
        <f t="shared" si="33"/>
        <v>2022</v>
      </c>
      <c r="AP13" s="59"/>
    </row>
    <row r="14" spans="1:42" s="73" customFormat="1" ht="30">
      <c r="A14" s="1" t="s">
        <v>23</v>
      </c>
      <c r="B14" s="52">
        <f>B8</f>
        <v>43678</v>
      </c>
      <c r="C14" s="52">
        <f t="shared" ref="C14:N14" si="34">C8</f>
        <v>43709</v>
      </c>
      <c r="D14" s="52">
        <f t="shared" si="34"/>
        <v>43739</v>
      </c>
      <c r="E14" s="52">
        <f t="shared" si="34"/>
        <v>43770</v>
      </c>
      <c r="F14" s="52">
        <f t="shared" si="34"/>
        <v>43800</v>
      </c>
      <c r="G14" s="52">
        <f t="shared" si="34"/>
        <v>43831</v>
      </c>
      <c r="H14" s="52">
        <f t="shared" si="34"/>
        <v>43862</v>
      </c>
      <c r="I14" s="52">
        <f t="shared" si="34"/>
        <v>43891</v>
      </c>
      <c r="J14" s="52">
        <f t="shared" si="34"/>
        <v>43922</v>
      </c>
      <c r="K14" s="52">
        <f t="shared" si="34"/>
        <v>43952</v>
      </c>
      <c r="L14" s="52">
        <f t="shared" si="34"/>
        <v>43983</v>
      </c>
      <c r="M14" s="52">
        <f t="shared" si="34"/>
        <v>44013</v>
      </c>
      <c r="N14" s="52">
        <f t="shared" si="34"/>
        <v>44044</v>
      </c>
      <c r="O14" s="52">
        <f t="shared" ref="O14:AO14" si="35">O8</f>
        <v>44075</v>
      </c>
      <c r="P14" s="52">
        <f t="shared" si="35"/>
        <v>44105</v>
      </c>
      <c r="Q14" s="52">
        <f t="shared" si="35"/>
        <v>44136</v>
      </c>
      <c r="R14" s="52">
        <f t="shared" si="35"/>
        <v>44166</v>
      </c>
      <c r="S14" s="52">
        <f t="shared" si="35"/>
        <v>44197</v>
      </c>
      <c r="T14" s="52">
        <f t="shared" si="35"/>
        <v>44228</v>
      </c>
      <c r="U14" s="52">
        <f t="shared" si="35"/>
        <v>44256</v>
      </c>
      <c r="V14" s="52">
        <f t="shared" si="35"/>
        <v>44287</v>
      </c>
      <c r="W14" s="52">
        <f t="shared" si="35"/>
        <v>44317</v>
      </c>
      <c r="X14" s="52">
        <f t="shared" si="35"/>
        <v>44348</v>
      </c>
      <c r="Y14" s="52">
        <f t="shared" si="35"/>
        <v>44378</v>
      </c>
      <c r="Z14" s="52">
        <f t="shared" si="35"/>
        <v>44409</v>
      </c>
      <c r="AA14" s="52">
        <f t="shared" si="35"/>
        <v>44440</v>
      </c>
      <c r="AB14" s="52">
        <f t="shared" si="35"/>
        <v>44470</v>
      </c>
      <c r="AC14" s="52">
        <f t="shared" si="35"/>
        <v>44501</v>
      </c>
      <c r="AD14" s="52">
        <f t="shared" si="35"/>
        <v>44531</v>
      </c>
      <c r="AE14" s="52">
        <f t="shared" si="35"/>
        <v>44562</v>
      </c>
      <c r="AF14" s="52">
        <f t="shared" si="35"/>
        <v>44593</v>
      </c>
      <c r="AG14" s="52">
        <f t="shared" si="35"/>
        <v>44621</v>
      </c>
      <c r="AH14" s="52">
        <f t="shared" si="35"/>
        <v>44652</v>
      </c>
      <c r="AI14" s="52">
        <f t="shared" si="35"/>
        <v>44682</v>
      </c>
      <c r="AJ14" s="52">
        <f t="shared" si="35"/>
        <v>44713</v>
      </c>
      <c r="AK14" s="52">
        <f t="shared" si="35"/>
        <v>44743</v>
      </c>
      <c r="AL14" s="52">
        <f t="shared" si="35"/>
        <v>44774</v>
      </c>
      <c r="AM14" s="52">
        <f t="shared" si="35"/>
        <v>44805</v>
      </c>
      <c r="AN14" s="52">
        <f t="shared" si="35"/>
        <v>44835</v>
      </c>
      <c r="AO14" s="52">
        <f t="shared" si="35"/>
        <v>44866</v>
      </c>
      <c r="AP14" s="59" t="s">
        <v>65</v>
      </c>
    </row>
    <row r="15" spans="1:42" s="73" customFormat="1">
      <c r="A15" s="25" t="s">
        <v>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9"/>
    </row>
    <row r="16" spans="1:42" s="73" customFormat="1">
      <c r="A16" s="25" t="s">
        <v>20</v>
      </c>
      <c r="B16" s="14">
        <f>$F$1</f>
        <v>41522.916666666664</v>
      </c>
      <c r="C16" s="14">
        <f t="shared" ref="C16:I16" si="36">$F$1</f>
        <v>41522.916666666664</v>
      </c>
      <c r="D16" s="14">
        <f t="shared" si="36"/>
        <v>41522.916666666664</v>
      </c>
      <c r="E16" s="14">
        <f t="shared" si="36"/>
        <v>41522.916666666664</v>
      </c>
      <c r="F16" s="14">
        <f t="shared" si="36"/>
        <v>41522.916666666664</v>
      </c>
      <c r="G16" s="14">
        <f t="shared" si="36"/>
        <v>41522.916666666664</v>
      </c>
      <c r="H16" s="14">
        <f t="shared" si="36"/>
        <v>41522.916666666664</v>
      </c>
      <c r="I16" s="14">
        <f t="shared" si="36"/>
        <v>41522.916666666664</v>
      </c>
      <c r="J16" s="14">
        <f>$G$1</f>
        <v>47564.583333333336</v>
      </c>
      <c r="K16" s="14">
        <f t="shared" ref="K16:AO16" si="37">$G$1</f>
        <v>47564.583333333336</v>
      </c>
      <c r="L16" s="14">
        <f t="shared" si="37"/>
        <v>47564.583333333336</v>
      </c>
      <c r="M16" s="14">
        <f t="shared" si="37"/>
        <v>47564.583333333336</v>
      </c>
      <c r="N16" s="14">
        <f t="shared" si="37"/>
        <v>47564.583333333336</v>
      </c>
      <c r="O16" s="14">
        <f t="shared" si="37"/>
        <v>47564.583333333336</v>
      </c>
      <c r="P16" s="14">
        <f t="shared" si="37"/>
        <v>47564.583333333336</v>
      </c>
      <c r="Q16" s="14">
        <f t="shared" si="37"/>
        <v>47564.583333333336</v>
      </c>
      <c r="R16" s="14">
        <f t="shared" si="37"/>
        <v>47564.583333333336</v>
      </c>
      <c r="S16" s="14">
        <f t="shared" si="37"/>
        <v>47564.583333333336</v>
      </c>
      <c r="T16" s="14">
        <f t="shared" si="37"/>
        <v>47564.583333333336</v>
      </c>
      <c r="U16" s="14">
        <f t="shared" si="37"/>
        <v>47564.583333333336</v>
      </c>
      <c r="V16" s="14">
        <f t="shared" si="37"/>
        <v>47564.583333333336</v>
      </c>
      <c r="W16" s="14">
        <f t="shared" si="37"/>
        <v>47564.583333333336</v>
      </c>
      <c r="X16" s="14">
        <f t="shared" si="37"/>
        <v>47564.583333333336</v>
      </c>
      <c r="Y16" s="14">
        <f t="shared" si="37"/>
        <v>47564.583333333336</v>
      </c>
      <c r="Z16" s="14">
        <f t="shared" si="37"/>
        <v>47564.583333333336</v>
      </c>
      <c r="AA16" s="14">
        <f t="shared" si="37"/>
        <v>47564.583333333336</v>
      </c>
      <c r="AB16" s="14">
        <f t="shared" si="37"/>
        <v>47564.583333333336</v>
      </c>
      <c r="AC16" s="14">
        <f t="shared" si="37"/>
        <v>47564.583333333336</v>
      </c>
      <c r="AD16" s="14">
        <f t="shared" si="37"/>
        <v>47564.583333333336</v>
      </c>
      <c r="AE16" s="14">
        <f t="shared" si="37"/>
        <v>47564.583333333336</v>
      </c>
      <c r="AF16" s="14">
        <f t="shared" si="37"/>
        <v>47564.583333333336</v>
      </c>
      <c r="AG16" s="14">
        <f t="shared" si="37"/>
        <v>47564.583333333336</v>
      </c>
      <c r="AH16" s="14">
        <f t="shared" si="37"/>
        <v>47564.583333333336</v>
      </c>
      <c r="AI16" s="14">
        <f t="shared" si="37"/>
        <v>47564.583333333336</v>
      </c>
      <c r="AJ16" s="14">
        <f t="shared" si="37"/>
        <v>47564.583333333336</v>
      </c>
      <c r="AK16" s="14">
        <f t="shared" si="37"/>
        <v>47564.583333333336</v>
      </c>
      <c r="AL16" s="14">
        <f t="shared" si="37"/>
        <v>47564.583333333336</v>
      </c>
      <c r="AM16" s="14">
        <f t="shared" si="37"/>
        <v>47564.583333333336</v>
      </c>
      <c r="AN16" s="14">
        <f t="shared" si="37"/>
        <v>47564.583333333336</v>
      </c>
      <c r="AO16" s="14">
        <f t="shared" si="37"/>
        <v>47564.583333333336</v>
      </c>
      <c r="AP16" s="98">
        <f>SUM(B16:AO16)</f>
        <v>1854249.9999999991</v>
      </c>
    </row>
    <row r="17" spans="1:42" s="73" customFormat="1">
      <c r="A17" s="25" t="s">
        <v>21</v>
      </c>
      <c r="B17" s="14">
        <f>B15+B16</f>
        <v>41522.916666666664</v>
      </c>
      <c r="C17" s="14">
        <f t="shared" ref="C17:J17" si="38">C15+C16</f>
        <v>41522.916666666664</v>
      </c>
      <c r="D17" s="14">
        <f t="shared" si="38"/>
        <v>41522.916666666664</v>
      </c>
      <c r="E17" s="14">
        <f t="shared" si="38"/>
        <v>41522.916666666664</v>
      </c>
      <c r="F17" s="14">
        <f t="shared" si="38"/>
        <v>41522.916666666664</v>
      </c>
      <c r="G17" s="14">
        <f t="shared" si="38"/>
        <v>41522.916666666664</v>
      </c>
      <c r="H17" s="14">
        <f t="shared" si="38"/>
        <v>41522.916666666664</v>
      </c>
      <c r="I17" s="14">
        <f t="shared" si="38"/>
        <v>41522.916666666664</v>
      </c>
      <c r="J17" s="14">
        <f t="shared" si="38"/>
        <v>47564.583333333336</v>
      </c>
      <c r="K17" s="14">
        <f t="shared" ref="K17:AO17" si="39">K15+K16</f>
        <v>47564.583333333336</v>
      </c>
      <c r="L17" s="14">
        <f t="shared" si="39"/>
        <v>47564.583333333336</v>
      </c>
      <c r="M17" s="14">
        <f t="shared" si="39"/>
        <v>47564.583333333336</v>
      </c>
      <c r="N17" s="14">
        <f t="shared" si="39"/>
        <v>47564.583333333336</v>
      </c>
      <c r="O17" s="14">
        <f t="shared" si="39"/>
        <v>47564.583333333336</v>
      </c>
      <c r="P17" s="14">
        <f t="shared" si="39"/>
        <v>47564.583333333336</v>
      </c>
      <c r="Q17" s="14">
        <f t="shared" si="39"/>
        <v>47564.583333333336</v>
      </c>
      <c r="R17" s="14">
        <f t="shared" si="39"/>
        <v>47564.583333333336</v>
      </c>
      <c r="S17" s="14">
        <f t="shared" si="39"/>
        <v>47564.583333333336</v>
      </c>
      <c r="T17" s="14">
        <f t="shared" si="39"/>
        <v>47564.583333333336</v>
      </c>
      <c r="U17" s="14">
        <f t="shared" si="39"/>
        <v>47564.583333333336</v>
      </c>
      <c r="V17" s="14">
        <f t="shared" si="39"/>
        <v>47564.583333333336</v>
      </c>
      <c r="W17" s="14">
        <f t="shared" si="39"/>
        <v>47564.583333333336</v>
      </c>
      <c r="X17" s="14">
        <f t="shared" si="39"/>
        <v>47564.583333333336</v>
      </c>
      <c r="Y17" s="14">
        <f t="shared" si="39"/>
        <v>47564.583333333336</v>
      </c>
      <c r="Z17" s="14">
        <f t="shared" si="39"/>
        <v>47564.583333333336</v>
      </c>
      <c r="AA17" s="14">
        <f t="shared" si="39"/>
        <v>47564.583333333336</v>
      </c>
      <c r="AB17" s="14">
        <f t="shared" si="39"/>
        <v>47564.583333333336</v>
      </c>
      <c r="AC17" s="14">
        <f t="shared" si="39"/>
        <v>47564.583333333336</v>
      </c>
      <c r="AD17" s="14">
        <f t="shared" si="39"/>
        <v>47564.583333333336</v>
      </c>
      <c r="AE17" s="14">
        <f t="shared" si="39"/>
        <v>47564.583333333336</v>
      </c>
      <c r="AF17" s="14">
        <f t="shared" si="39"/>
        <v>47564.583333333336</v>
      </c>
      <c r="AG17" s="14">
        <f t="shared" si="39"/>
        <v>47564.583333333336</v>
      </c>
      <c r="AH17" s="14">
        <f t="shared" si="39"/>
        <v>47564.583333333336</v>
      </c>
      <c r="AI17" s="14">
        <f t="shared" si="39"/>
        <v>47564.583333333336</v>
      </c>
      <c r="AJ17" s="14">
        <f t="shared" si="39"/>
        <v>47564.583333333336</v>
      </c>
      <c r="AK17" s="14">
        <f t="shared" si="39"/>
        <v>47564.583333333336</v>
      </c>
      <c r="AL17" s="14">
        <f t="shared" si="39"/>
        <v>47564.583333333336</v>
      </c>
      <c r="AM17" s="14">
        <f t="shared" si="39"/>
        <v>47564.583333333336</v>
      </c>
      <c r="AN17" s="14">
        <f t="shared" si="39"/>
        <v>47564.583333333336</v>
      </c>
      <c r="AO17" s="14">
        <f t="shared" si="39"/>
        <v>47564.583333333336</v>
      </c>
      <c r="AP17" s="98">
        <f>SUM(B17:AO17)</f>
        <v>1854249.9999999991</v>
      </c>
    </row>
    <row r="18" spans="1:42" s="73" customFormat="1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AP18" s="46"/>
    </row>
    <row r="19" spans="1:42" s="73" customFormat="1">
      <c r="A19" s="4"/>
      <c r="B19" s="14">
        <f>B7</f>
        <v>2019</v>
      </c>
      <c r="C19" s="14">
        <f t="shared" ref="C19:N19" si="40">C7</f>
        <v>2019</v>
      </c>
      <c r="D19" s="14">
        <f t="shared" si="40"/>
        <v>2019</v>
      </c>
      <c r="E19" s="14">
        <f t="shared" si="40"/>
        <v>2019</v>
      </c>
      <c r="F19" s="14">
        <f t="shared" si="40"/>
        <v>2019</v>
      </c>
      <c r="G19" s="14">
        <f t="shared" si="40"/>
        <v>2020</v>
      </c>
      <c r="H19" s="14">
        <f t="shared" si="40"/>
        <v>2020</v>
      </c>
      <c r="I19" s="14">
        <f t="shared" si="40"/>
        <v>2020</v>
      </c>
      <c r="J19" s="14">
        <f t="shared" si="40"/>
        <v>2020</v>
      </c>
      <c r="K19" s="14">
        <f t="shared" si="40"/>
        <v>2020</v>
      </c>
      <c r="L19" s="14">
        <f t="shared" si="40"/>
        <v>2020</v>
      </c>
      <c r="M19" s="14">
        <f t="shared" si="40"/>
        <v>2020</v>
      </c>
      <c r="N19" s="14">
        <f t="shared" si="40"/>
        <v>2020</v>
      </c>
      <c r="O19" s="14">
        <f t="shared" ref="O19:AO19" si="41">O7</f>
        <v>2020</v>
      </c>
      <c r="P19" s="14">
        <f t="shared" si="41"/>
        <v>2020</v>
      </c>
      <c r="Q19" s="14">
        <f t="shared" si="41"/>
        <v>2020</v>
      </c>
      <c r="R19" s="14">
        <f t="shared" si="41"/>
        <v>2020</v>
      </c>
      <c r="S19" s="14">
        <f t="shared" si="41"/>
        <v>2021</v>
      </c>
      <c r="T19" s="14">
        <f t="shared" si="41"/>
        <v>2021</v>
      </c>
      <c r="U19" s="14">
        <f t="shared" si="41"/>
        <v>2021</v>
      </c>
      <c r="V19" s="14">
        <f t="shared" si="41"/>
        <v>2021</v>
      </c>
      <c r="W19" s="14">
        <f t="shared" si="41"/>
        <v>2021</v>
      </c>
      <c r="X19" s="14">
        <f t="shared" si="41"/>
        <v>2021</v>
      </c>
      <c r="Y19" s="14">
        <f t="shared" si="41"/>
        <v>2021</v>
      </c>
      <c r="Z19" s="14">
        <f t="shared" si="41"/>
        <v>2021</v>
      </c>
      <c r="AA19" s="14">
        <f t="shared" si="41"/>
        <v>2021</v>
      </c>
      <c r="AB19" s="14">
        <f t="shared" si="41"/>
        <v>2021</v>
      </c>
      <c r="AC19" s="14">
        <f t="shared" si="41"/>
        <v>2021</v>
      </c>
      <c r="AD19" s="14">
        <f t="shared" si="41"/>
        <v>2021</v>
      </c>
      <c r="AE19" s="14">
        <f t="shared" si="41"/>
        <v>2022</v>
      </c>
      <c r="AF19" s="14">
        <f t="shared" si="41"/>
        <v>2022</v>
      </c>
      <c r="AG19" s="14">
        <f t="shared" si="41"/>
        <v>2022</v>
      </c>
      <c r="AH19" s="14">
        <f t="shared" si="41"/>
        <v>2022</v>
      </c>
      <c r="AI19" s="14">
        <f t="shared" si="41"/>
        <v>2022</v>
      </c>
      <c r="AJ19" s="14">
        <f t="shared" si="41"/>
        <v>2022</v>
      </c>
      <c r="AK19" s="14">
        <f t="shared" si="41"/>
        <v>2022</v>
      </c>
      <c r="AL19" s="14">
        <f t="shared" si="41"/>
        <v>2022</v>
      </c>
      <c r="AM19" s="14">
        <f t="shared" si="41"/>
        <v>2022</v>
      </c>
      <c r="AN19" s="14">
        <f t="shared" si="41"/>
        <v>2022</v>
      </c>
      <c r="AO19" s="14">
        <f t="shared" si="41"/>
        <v>2022</v>
      </c>
      <c r="AP19" s="59"/>
    </row>
    <row r="20" spans="1:42" s="73" customFormat="1" ht="45">
      <c r="A20" s="1" t="s">
        <v>24</v>
      </c>
      <c r="B20" s="52">
        <f>B14</f>
        <v>43678</v>
      </c>
      <c r="C20" s="52">
        <f t="shared" ref="C20:N20" si="42">C14</f>
        <v>43709</v>
      </c>
      <c r="D20" s="52">
        <f t="shared" si="42"/>
        <v>43739</v>
      </c>
      <c r="E20" s="52">
        <f t="shared" si="42"/>
        <v>43770</v>
      </c>
      <c r="F20" s="52">
        <f t="shared" si="42"/>
        <v>43800</v>
      </c>
      <c r="G20" s="52">
        <f t="shared" si="42"/>
        <v>43831</v>
      </c>
      <c r="H20" s="52">
        <f t="shared" si="42"/>
        <v>43862</v>
      </c>
      <c r="I20" s="52">
        <f t="shared" si="42"/>
        <v>43891</v>
      </c>
      <c r="J20" s="52">
        <f t="shared" si="42"/>
        <v>43922</v>
      </c>
      <c r="K20" s="52">
        <f t="shared" si="42"/>
        <v>43952</v>
      </c>
      <c r="L20" s="52">
        <f t="shared" si="42"/>
        <v>43983</v>
      </c>
      <c r="M20" s="52">
        <f t="shared" si="42"/>
        <v>44013</v>
      </c>
      <c r="N20" s="52">
        <f t="shared" si="42"/>
        <v>44044</v>
      </c>
      <c r="O20" s="52">
        <f t="shared" ref="O20:AO20" si="43">O14</f>
        <v>44075</v>
      </c>
      <c r="P20" s="52">
        <f t="shared" si="43"/>
        <v>44105</v>
      </c>
      <c r="Q20" s="52">
        <f t="shared" si="43"/>
        <v>44136</v>
      </c>
      <c r="R20" s="52">
        <f t="shared" si="43"/>
        <v>44166</v>
      </c>
      <c r="S20" s="52">
        <f t="shared" si="43"/>
        <v>44197</v>
      </c>
      <c r="T20" s="52">
        <f t="shared" si="43"/>
        <v>44228</v>
      </c>
      <c r="U20" s="52">
        <f t="shared" si="43"/>
        <v>44256</v>
      </c>
      <c r="V20" s="52">
        <f t="shared" si="43"/>
        <v>44287</v>
      </c>
      <c r="W20" s="52">
        <f t="shared" si="43"/>
        <v>44317</v>
      </c>
      <c r="X20" s="52">
        <f t="shared" si="43"/>
        <v>44348</v>
      </c>
      <c r="Y20" s="52">
        <f t="shared" si="43"/>
        <v>44378</v>
      </c>
      <c r="Z20" s="52">
        <f t="shared" si="43"/>
        <v>44409</v>
      </c>
      <c r="AA20" s="52">
        <f t="shared" si="43"/>
        <v>44440</v>
      </c>
      <c r="AB20" s="52">
        <f t="shared" si="43"/>
        <v>44470</v>
      </c>
      <c r="AC20" s="52">
        <f t="shared" si="43"/>
        <v>44501</v>
      </c>
      <c r="AD20" s="52">
        <f t="shared" si="43"/>
        <v>44531</v>
      </c>
      <c r="AE20" s="52">
        <f t="shared" si="43"/>
        <v>44562</v>
      </c>
      <c r="AF20" s="52">
        <f t="shared" si="43"/>
        <v>44593</v>
      </c>
      <c r="AG20" s="52">
        <f t="shared" si="43"/>
        <v>44621</v>
      </c>
      <c r="AH20" s="52">
        <f t="shared" si="43"/>
        <v>44652</v>
      </c>
      <c r="AI20" s="52">
        <f t="shared" si="43"/>
        <v>44682</v>
      </c>
      <c r="AJ20" s="52">
        <f t="shared" si="43"/>
        <v>44713</v>
      </c>
      <c r="AK20" s="52">
        <f t="shared" si="43"/>
        <v>44743</v>
      </c>
      <c r="AL20" s="52">
        <f t="shared" si="43"/>
        <v>44774</v>
      </c>
      <c r="AM20" s="52">
        <f t="shared" si="43"/>
        <v>44805</v>
      </c>
      <c r="AN20" s="52">
        <f t="shared" si="43"/>
        <v>44835</v>
      </c>
      <c r="AO20" s="52">
        <f t="shared" si="43"/>
        <v>44866</v>
      </c>
      <c r="AP20" s="59" t="s">
        <v>65</v>
      </c>
    </row>
    <row r="21" spans="1:42" s="73" customFormat="1">
      <c r="A21" s="25" t="s">
        <v>19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59"/>
    </row>
    <row r="22" spans="1:42" s="73" customFormat="1">
      <c r="A22" s="25" t="s">
        <v>20</v>
      </c>
      <c r="B22" s="14"/>
      <c r="C22" s="14">
        <f>C10-C16</f>
        <v>9923977.083333334</v>
      </c>
      <c r="D22" s="14">
        <f t="shared" ref="D22:N22" si="44">C22-D16</f>
        <v>9882454.1666666679</v>
      </c>
      <c r="E22" s="14">
        <f t="shared" si="44"/>
        <v>9840931.2500000019</v>
      </c>
      <c r="F22" s="14">
        <f t="shared" si="44"/>
        <v>9799408.3333333358</v>
      </c>
      <c r="G22" s="14">
        <f t="shared" si="44"/>
        <v>9757885.4166666698</v>
      </c>
      <c r="H22" s="14">
        <f t="shared" si="44"/>
        <v>9716362.5000000037</v>
      </c>
      <c r="I22" s="14">
        <f t="shared" si="44"/>
        <v>9674839.5833333377</v>
      </c>
      <c r="J22" s="14">
        <f>1450000+I22-J16</f>
        <v>11077275.000000004</v>
      </c>
      <c r="K22" s="14">
        <f>J22-K16</f>
        <v>11029710.41666667</v>
      </c>
      <c r="L22" s="14">
        <f t="shared" si="44"/>
        <v>10982145.833333336</v>
      </c>
      <c r="M22" s="14">
        <f t="shared" si="44"/>
        <v>10934581.250000002</v>
      </c>
      <c r="N22" s="14">
        <f t="shared" si="44"/>
        <v>10887016.666666668</v>
      </c>
      <c r="O22" s="14">
        <f t="shared" ref="O22" si="45">N22-O16</f>
        <v>10839452.083333334</v>
      </c>
      <c r="P22" s="14">
        <f t="shared" ref="P22" si="46">O22-P16</f>
        <v>10791887.5</v>
      </c>
      <c r="Q22" s="14">
        <f t="shared" ref="Q22" si="47">P22-Q16</f>
        <v>10744322.916666666</v>
      </c>
      <c r="R22" s="14">
        <f t="shared" ref="R22" si="48">Q22-R16</f>
        <v>10696758.333333332</v>
      </c>
      <c r="S22" s="14">
        <f t="shared" ref="S22" si="49">R22-S16</f>
        <v>10649193.749999998</v>
      </c>
      <c r="T22" s="14">
        <f t="shared" ref="T22" si="50">S22-T16</f>
        <v>10601629.166666664</v>
      </c>
      <c r="U22" s="14">
        <f t="shared" ref="U22" si="51">T22-U16</f>
        <v>10554064.58333333</v>
      </c>
      <c r="V22" s="14">
        <f t="shared" ref="V22" si="52">U22-V16</f>
        <v>10506499.999999996</v>
      </c>
      <c r="W22" s="14">
        <f t="shared" ref="W22" si="53">V22-W16</f>
        <v>10458935.416666662</v>
      </c>
      <c r="X22" s="14">
        <f t="shared" ref="X22" si="54">W22-X16</f>
        <v>10411370.833333328</v>
      </c>
      <c r="Y22" s="14">
        <f t="shared" ref="Y22" si="55">X22-Y16</f>
        <v>10363806.249999994</v>
      </c>
      <c r="Z22" s="14">
        <f t="shared" ref="Z22" si="56">Y22-Z16</f>
        <v>10316241.66666666</v>
      </c>
      <c r="AA22" s="14">
        <f t="shared" ref="AA22" si="57">Z22-AA16</f>
        <v>10268677.083333327</v>
      </c>
      <c r="AB22" s="14">
        <f t="shared" ref="AB22" si="58">AA22-AB16</f>
        <v>10221112.499999993</v>
      </c>
      <c r="AC22" s="14">
        <f t="shared" ref="AC22" si="59">AB22-AC16</f>
        <v>10173547.916666659</v>
      </c>
      <c r="AD22" s="14">
        <f t="shared" ref="AD22" si="60">AC22-AD16</f>
        <v>10125983.333333325</v>
      </c>
      <c r="AE22" s="14">
        <f t="shared" ref="AE22" si="61">AD22-AE16</f>
        <v>10078418.749999991</v>
      </c>
      <c r="AF22" s="14">
        <f t="shared" ref="AF22" si="62">AE22-AF16</f>
        <v>10030854.166666657</v>
      </c>
      <c r="AG22" s="14">
        <f t="shared" ref="AG22" si="63">AF22-AG16</f>
        <v>9983289.5833333228</v>
      </c>
      <c r="AH22" s="14">
        <f t="shared" ref="AH22" si="64">AG22-AH16</f>
        <v>9935724.9999999888</v>
      </c>
      <c r="AI22" s="14">
        <f t="shared" ref="AI22" si="65">AH22-AI16</f>
        <v>9888160.4166666549</v>
      </c>
      <c r="AJ22" s="14">
        <f t="shared" ref="AJ22" si="66">AI22-AJ16</f>
        <v>9840595.8333333209</v>
      </c>
      <c r="AK22" s="14">
        <f t="shared" ref="AK22" si="67">AJ22-AK16</f>
        <v>9793031.249999987</v>
      </c>
      <c r="AL22" s="14">
        <f t="shared" ref="AL22" si="68">AK22-AL16</f>
        <v>9745466.666666653</v>
      </c>
      <c r="AM22" s="14">
        <f t="shared" ref="AM22" si="69">AL22-AM16</f>
        <v>9697902.0833333191</v>
      </c>
      <c r="AN22" s="14">
        <f t="shared" ref="AN22" si="70">AM22-AN16</f>
        <v>9650337.4999999851</v>
      </c>
      <c r="AO22" s="14">
        <f t="shared" ref="AO22" si="71">AN22-AO16</f>
        <v>9602772.9166666511</v>
      </c>
      <c r="AP22" s="59"/>
    </row>
    <row r="23" spans="1:42" s="73" customFormat="1">
      <c r="A23" s="25" t="s">
        <v>21</v>
      </c>
      <c r="B23" s="14"/>
      <c r="C23" s="14">
        <f t="shared" ref="C23:N23" si="72">C22+C21</f>
        <v>9923977.083333334</v>
      </c>
      <c r="D23" s="14">
        <f t="shared" si="72"/>
        <v>9882454.1666666679</v>
      </c>
      <c r="E23" s="14">
        <f t="shared" si="72"/>
        <v>9840931.2500000019</v>
      </c>
      <c r="F23" s="14">
        <f t="shared" si="72"/>
        <v>9799408.3333333358</v>
      </c>
      <c r="G23" s="14">
        <f t="shared" si="72"/>
        <v>9757885.4166666698</v>
      </c>
      <c r="H23" s="14">
        <f t="shared" si="72"/>
        <v>9716362.5000000037</v>
      </c>
      <c r="I23" s="14">
        <f t="shared" si="72"/>
        <v>9674839.5833333377</v>
      </c>
      <c r="J23" s="14">
        <f t="shared" si="72"/>
        <v>11077275.000000004</v>
      </c>
      <c r="K23" s="14">
        <f t="shared" si="72"/>
        <v>11029710.41666667</v>
      </c>
      <c r="L23" s="14">
        <f t="shared" si="72"/>
        <v>10982145.833333336</v>
      </c>
      <c r="M23" s="14">
        <f t="shared" si="72"/>
        <v>10934581.250000002</v>
      </c>
      <c r="N23" s="14">
        <f t="shared" si="72"/>
        <v>10887016.666666668</v>
      </c>
      <c r="O23" s="14">
        <f t="shared" ref="O23:AO23" si="73">O22+O21</f>
        <v>10839452.083333334</v>
      </c>
      <c r="P23" s="14">
        <f t="shared" si="73"/>
        <v>10791887.5</v>
      </c>
      <c r="Q23" s="14">
        <f t="shared" si="73"/>
        <v>10744322.916666666</v>
      </c>
      <c r="R23" s="14">
        <f t="shared" si="73"/>
        <v>10696758.333333332</v>
      </c>
      <c r="S23" s="14">
        <f t="shared" si="73"/>
        <v>10649193.749999998</v>
      </c>
      <c r="T23" s="14">
        <f t="shared" si="73"/>
        <v>10601629.166666664</v>
      </c>
      <c r="U23" s="14">
        <f t="shared" si="73"/>
        <v>10554064.58333333</v>
      </c>
      <c r="V23" s="14">
        <f t="shared" si="73"/>
        <v>10506499.999999996</v>
      </c>
      <c r="W23" s="14">
        <f t="shared" si="73"/>
        <v>10458935.416666662</v>
      </c>
      <c r="X23" s="14">
        <f t="shared" si="73"/>
        <v>10411370.833333328</v>
      </c>
      <c r="Y23" s="14">
        <f t="shared" si="73"/>
        <v>10363806.249999994</v>
      </c>
      <c r="Z23" s="14">
        <f t="shared" si="73"/>
        <v>10316241.66666666</v>
      </c>
      <c r="AA23" s="14">
        <f t="shared" si="73"/>
        <v>10268677.083333327</v>
      </c>
      <c r="AB23" s="14">
        <f t="shared" si="73"/>
        <v>10221112.499999993</v>
      </c>
      <c r="AC23" s="14">
        <f t="shared" si="73"/>
        <v>10173547.916666659</v>
      </c>
      <c r="AD23" s="14">
        <f t="shared" si="73"/>
        <v>10125983.333333325</v>
      </c>
      <c r="AE23" s="14">
        <f t="shared" si="73"/>
        <v>10078418.749999991</v>
      </c>
      <c r="AF23" s="14">
        <f t="shared" si="73"/>
        <v>10030854.166666657</v>
      </c>
      <c r="AG23" s="14">
        <f t="shared" si="73"/>
        <v>9983289.5833333228</v>
      </c>
      <c r="AH23" s="14">
        <f t="shared" si="73"/>
        <v>9935724.9999999888</v>
      </c>
      <c r="AI23" s="14">
        <f t="shared" si="73"/>
        <v>9888160.4166666549</v>
      </c>
      <c r="AJ23" s="14">
        <f t="shared" si="73"/>
        <v>9840595.8333333209</v>
      </c>
      <c r="AK23" s="14">
        <f t="shared" si="73"/>
        <v>9793031.249999987</v>
      </c>
      <c r="AL23" s="14">
        <f t="shared" si="73"/>
        <v>9745466.666666653</v>
      </c>
      <c r="AM23" s="14">
        <f t="shared" si="73"/>
        <v>9697902.0833333191</v>
      </c>
      <c r="AN23" s="14">
        <f t="shared" si="73"/>
        <v>9650337.4999999851</v>
      </c>
      <c r="AO23" s="14">
        <f t="shared" si="73"/>
        <v>9602772.9166666511</v>
      </c>
      <c r="AP23" s="59"/>
    </row>
    <row r="24" spans="1:42" s="73" customFormat="1"/>
    <row r="30" spans="1:42" ht="30">
      <c r="A30" s="1" t="s">
        <v>23</v>
      </c>
      <c r="B30" s="66">
        <v>2019</v>
      </c>
      <c r="C30" s="66">
        <v>2020</v>
      </c>
      <c r="D30" s="66">
        <v>2021</v>
      </c>
      <c r="E30" s="66">
        <v>2022</v>
      </c>
      <c r="F30" s="66" t="s">
        <v>65</v>
      </c>
    </row>
    <row r="31" spans="1:42">
      <c r="A31" s="25" t="s">
        <v>19</v>
      </c>
      <c r="B31" s="25"/>
      <c r="C31" s="25"/>
      <c r="D31" s="25"/>
      <c r="E31" s="25"/>
      <c r="F31" s="25"/>
    </row>
    <row r="32" spans="1:42">
      <c r="A32" s="25" t="s">
        <v>20</v>
      </c>
      <c r="B32" s="12">
        <f>SUM(B16:F16)</f>
        <v>207614.58333333331</v>
      </c>
      <c r="C32" s="12">
        <f>SUM(G16:R16)</f>
        <v>552649.99999999988</v>
      </c>
      <c r="D32" s="12">
        <f>SUM(S16:AD16)</f>
        <v>570774.99999999988</v>
      </c>
      <c r="E32" s="12">
        <f>SUM(AE16:AO16)</f>
        <v>523210.41666666657</v>
      </c>
      <c r="F32" s="12">
        <f>SUM(B32:E32)</f>
        <v>1854249.9999999995</v>
      </c>
    </row>
    <row r="33" spans="1:6">
      <c r="A33" s="25" t="s">
        <v>21</v>
      </c>
      <c r="B33" s="12">
        <f>SUM(B17:F17)</f>
        <v>207614.58333333331</v>
      </c>
      <c r="C33" s="12">
        <f>SUM(G17:R17)</f>
        <v>552649.99999999988</v>
      </c>
      <c r="D33" s="12">
        <f>SUM(S17:AD17)</f>
        <v>570774.99999999988</v>
      </c>
      <c r="E33" s="12">
        <f>SUM(AE17:AO17)</f>
        <v>523210.41666666657</v>
      </c>
      <c r="F33" s="12">
        <f>SUM(B33:E33)</f>
        <v>1854249.9999999995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"/>
  <sheetViews>
    <sheetView workbookViewId="0">
      <selection activeCell="AG5" sqref="AG5"/>
    </sheetView>
  </sheetViews>
  <sheetFormatPr baseColWidth="10" defaultRowHeight="15" x14ac:dyDescent="0"/>
  <cols>
    <col min="1" max="1" width="28.83203125" customWidth="1"/>
    <col min="2" max="2" width="11" bestFit="1" customWidth="1"/>
    <col min="3" max="3" width="12.1640625" customWidth="1"/>
    <col min="4" max="5" width="11" bestFit="1" customWidth="1"/>
    <col min="6" max="6" width="11.6640625" bestFit="1" customWidth="1"/>
    <col min="7" max="7" width="21.33203125" customWidth="1"/>
    <col min="8" max="8" width="14.6640625" bestFit="1" customWidth="1"/>
    <col min="9" max="9" width="21.5" customWidth="1"/>
    <col min="10" max="11" width="11.6640625" bestFit="1" customWidth="1"/>
    <col min="12" max="14" width="11.1640625" bestFit="1" customWidth="1"/>
    <col min="15" max="15" width="11.6640625" bestFit="1" customWidth="1"/>
    <col min="42" max="42" width="11.6640625" bestFit="1" customWidth="1"/>
  </cols>
  <sheetData>
    <row r="1" spans="1:42" s="34" customFormat="1">
      <c r="A1" s="66" t="s">
        <v>64</v>
      </c>
      <c r="B1" s="69">
        <f>YEAR(B2)</f>
        <v>2019</v>
      </c>
      <c r="C1" s="69">
        <f t="shared" ref="C1:AO1" si="0">YEAR(C2)</f>
        <v>2019</v>
      </c>
      <c r="D1" s="69">
        <f t="shared" si="0"/>
        <v>2019</v>
      </c>
      <c r="E1" s="69">
        <f t="shared" si="0"/>
        <v>2019</v>
      </c>
      <c r="F1" s="69">
        <f t="shared" si="0"/>
        <v>2019</v>
      </c>
      <c r="G1" s="66">
        <f t="shared" si="0"/>
        <v>2020</v>
      </c>
      <c r="H1" s="66">
        <f t="shared" si="0"/>
        <v>2020</v>
      </c>
      <c r="I1" s="66">
        <f t="shared" si="0"/>
        <v>2020</v>
      </c>
      <c r="J1" s="66">
        <f t="shared" si="0"/>
        <v>2020</v>
      </c>
      <c r="K1" s="66">
        <f t="shared" si="0"/>
        <v>2020</v>
      </c>
      <c r="L1" s="66">
        <f t="shared" si="0"/>
        <v>2020</v>
      </c>
      <c r="M1" s="66">
        <f t="shared" si="0"/>
        <v>2020</v>
      </c>
      <c r="N1" s="66">
        <f t="shared" si="0"/>
        <v>2020</v>
      </c>
      <c r="O1" s="66">
        <f t="shared" si="0"/>
        <v>2020</v>
      </c>
      <c r="P1" s="66">
        <f t="shared" si="0"/>
        <v>2020</v>
      </c>
      <c r="Q1" s="66">
        <f t="shared" si="0"/>
        <v>2020</v>
      </c>
      <c r="R1" s="66">
        <f t="shared" si="0"/>
        <v>2020</v>
      </c>
      <c r="S1" s="66">
        <f t="shared" si="0"/>
        <v>2021</v>
      </c>
      <c r="T1" s="66">
        <f t="shared" si="0"/>
        <v>2021</v>
      </c>
      <c r="U1" s="66">
        <f t="shared" si="0"/>
        <v>2021</v>
      </c>
      <c r="V1" s="66">
        <f t="shared" si="0"/>
        <v>2021</v>
      </c>
      <c r="W1" s="66">
        <f t="shared" si="0"/>
        <v>2021</v>
      </c>
      <c r="X1" s="66">
        <f t="shared" si="0"/>
        <v>2021</v>
      </c>
      <c r="Y1" s="66">
        <f t="shared" si="0"/>
        <v>2021</v>
      </c>
      <c r="Z1" s="66">
        <f t="shared" si="0"/>
        <v>2021</v>
      </c>
      <c r="AA1" s="66">
        <f t="shared" si="0"/>
        <v>2021</v>
      </c>
      <c r="AB1" s="66">
        <f t="shared" si="0"/>
        <v>2021</v>
      </c>
      <c r="AC1" s="66">
        <f t="shared" si="0"/>
        <v>2021</v>
      </c>
      <c r="AD1" s="66">
        <f t="shared" si="0"/>
        <v>2021</v>
      </c>
      <c r="AE1" s="66">
        <f t="shared" si="0"/>
        <v>2022</v>
      </c>
      <c r="AF1" s="66">
        <f t="shared" si="0"/>
        <v>2022</v>
      </c>
      <c r="AG1" s="66">
        <f t="shared" si="0"/>
        <v>2022</v>
      </c>
      <c r="AH1" s="66">
        <f t="shared" si="0"/>
        <v>2022</v>
      </c>
      <c r="AI1" s="66">
        <f t="shared" si="0"/>
        <v>2022</v>
      </c>
      <c r="AJ1" s="66">
        <f t="shared" si="0"/>
        <v>2022</v>
      </c>
      <c r="AK1" s="66">
        <f t="shared" si="0"/>
        <v>2022</v>
      </c>
      <c r="AL1" s="66">
        <f t="shared" si="0"/>
        <v>2022</v>
      </c>
      <c r="AM1" s="66">
        <f t="shared" si="0"/>
        <v>2022</v>
      </c>
      <c r="AN1" s="66">
        <f t="shared" si="0"/>
        <v>2022</v>
      </c>
      <c r="AO1" s="66">
        <f t="shared" si="0"/>
        <v>2022</v>
      </c>
      <c r="AP1" s="114" t="s">
        <v>65</v>
      </c>
    </row>
    <row r="2" spans="1:42" s="34" customFormat="1">
      <c r="A2" s="41" t="s">
        <v>1</v>
      </c>
      <c r="B2" s="42">
        <f>'Старт проекта'!B1</f>
        <v>43678</v>
      </c>
      <c r="C2" s="42">
        <f>DATE(YEAR(B2),MONTH(B2)+1,1)</f>
        <v>43709</v>
      </c>
      <c r="D2" s="42">
        <f t="shared" ref="D2:N2" si="1">DATE(YEAR(C2),MONTH(C2)+1,1)</f>
        <v>43739</v>
      </c>
      <c r="E2" s="42">
        <f t="shared" si="1"/>
        <v>43770</v>
      </c>
      <c r="F2" s="42">
        <f t="shared" si="1"/>
        <v>43800</v>
      </c>
      <c r="G2" s="50">
        <f t="shared" si="1"/>
        <v>43831</v>
      </c>
      <c r="H2" s="49">
        <f t="shared" si="1"/>
        <v>43862</v>
      </c>
      <c r="I2" s="49">
        <f t="shared" si="1"/>
        <v>43891</v>
      </c>
      <c r="J2" s="49">
        <f t="shared" si="1"/>
        <v>43922</v>
      </c>
      <c r="K2" s="49">
        <f t="shared" si="1"/>
        <v>43952</v>
      </c>
      <c r="L2" s="49">
        <f t="shared" si="1"/>
        <v>43983</v>
      </c>
      <c r="M2" s="49">
        <f t="shared" si="1"/>
        <v>44013</v>
      </c>
      <c r="N2" s="49">
        <f t="shared" si="1"/>
        <v>44044</v>
      </c>
      <c r="O2" s="49">
        <f t="shared" ref="O2" si="2">DATE(YEAR(N2),MONTH(N2)+1,1)</f>
        <v>44075</v>
      </c>
      <c r="P2" s="49">
        <f t="shared" ref="P2" si="3">DATE(YEAR(O2),MONTH(O2)+1,1)</f>
        <v>44105</v>
      </c>
      <c r="Q2" s="49">
        <f t="shared" ref="Q2" si="4">DATE(YEAR(P2),MONTH(P2)+1,1)</f>
        <v>44136</v>
      </c>
      <c r="R2" s="49">
        <f t="shared" ref="R2" si="5">DATE(YEAR(Q2),MONTH(Q2)+1,1)</f>
        <v>44166</v>
      </c>
      <c r="S2" s="49">
        <f t="shared" ref="S2" si="6">DATE(YEAR(R2),MONTH(R2)+1,1)</f>
        <v>44197</v>
      </c>
      <c r="T2" s="49">
        <f t="shared" ref="T2" si="7">DATE(YEAR(S2),MONTH(S2)+1,1)</f>
        <v>44228</v>
      </c>
      <c r="U2" s="49">
        <f t="shared" ref="U2" si="8">DATE(YEAR(T2),MONTH(T2)+1,1)</f>
        <v>44256</v>
      </c>
      <c r="V2" s="49">
        <f t="shared" ref="V2" si="9">DATE(YEAR(U2),MONTH(U2)+1,1)</f>
        <v>44287</v>
      </c>
      <c r="W2" s="49">
        <f t="shared" ref="W2" si="10">DATE(YEAR(V2),MONTH(V2)+1,1)</f>
        <v>44317</v>
      </c>
      <c r="X2" s="49">
        <f t="shared" ref="X2" si="11">DATE(YEAR(W2),MONTH(W2)+1,1)</f>
        <v>44348</v>
      </c>
      <c r="Y2" s="49">
        <f t="shared" ref="Y2" si="12">DATE(YEAR(X2),MONTH(X2)+1,1)</f>
        <v>44378</v>
      </c>
      <c r="Z2" s="49">
        <f t="shared" ref="Z2" si="13">DATE(YEAR(Y2),MONTH(Y2)+1,1)</f>
        <v>44409</v>
      </c>
      <c r="AA2" s="49">
        <f t="shared" ref="AA2" si="14">DATE(YEAR(Z2),MONTH(Z2)+1,1)</f>
        <v>44440</v>
      </c>
      <c r="AB2" s="49">
        <f t="shared" ref="AB2" si="15">DATE(YEAR(AA2),MONTH(AA2)+1,1)</f>
        <v>44470</v>
      </c>
      <c r="AC2" s="49">
        <f t="shared" ref="AC2" si="16">DATE(YEAR(AB2),MONTH(AB2)+1,1)</f>
        <v>44501</v>
      </c>
      <c r="AD2" s="49">
        <f t="shared" ref="AD2" si="17">DATE(YEAR(AC2),MONTH(AC2)+1,1)</f>
        <v>44531</v>
      </c>
      <c r="AE2" s="49">
        <f t="shared" ref="AE2" si="18">DATE(YEAR(AD2),MONTH(AD2)+1,1)</f>
        <v>44562</v>
      </c>
      <c r="AF2" s="49">
        <f t="shared" ref="AF2" si="19">DATE(YEAR(AE2),MONTH(AE2)+1,1)</f>
        <v>44593</v>
      </c>
      <c r="AG2" s="49">
        <f t="shared" ref="AG2" si="20">DATE(YEAR(AF2),MONTH(AF2)+1,1)</f>
        <v>44621</v>
      </c>
      <c r="AH2" s="49">
        <f t="shared" ref="AH2" si="21">DATE(YEAR(AG2),MONTH(AG2)+1,1)</f>
        <v>44652</v>
      </c>
      <c r="AI2" s="49">
        <f t="shared" ref="AI2" si="22">DATE(YEAR(AH2),MONTH(AH2)+1,1)</f>
        <v>44682</v>
      </c>
      <c r="AJ2" s="49">
        <f t="shared" ref="AJ2" si="23">DATE(YEAR(AI2),MONTH(AI2)+1,1)</f>
        <v>44713</v>
      </c>
      <c r="AK2" s="49">
        <f t="shared" ref="AK2" si="24">DATE(YEAR(AJ2),MONTH(AJ2)+1,1)</f>
        <v>44743</v>
      </c>
      <c r="AL2" s="49">
        <f t="shared" ref="AL2" si="25">DATE(YEAR(AK2),MONTH(AK2)+1,1)</f>
        <v>44774</v>
      </c>
      <c r="AM2" s="49">
        <f t="shared" ref="AM2" si="26">DATE(YEAR(AL2),MONTH(AL2)+1,1)</f>
        <v>44805</v>
      </c>
      <c r="AN2" s="49">
        <f t="shared" ref="AN2" si="27">DATE(YEAR(AM2),MONTH(AM2)+1,1)</f>
        <v>44835</v>
      </c>
      <c r="AO2" s="49">
        <f t="shared" ref="AO2" si="28">DATE(YEAR(AN2),MONTH(AN2)+1,1)</f>
        <v>44866</v>
      </c>
      <c r="AP2" s="114"/>
    </row>
    <row r="3" spans="1:42">
      <c r="A3" s="11" t="s">
        <v>92</v>
      </c>
      <c r="B3" s="14">
        <f>'План продаж в кол-ве'!B3</f>
        <v>0</v>
      </c>
      <c r="C3" s="14">
        <f>'План продаж в кол-ве'!C3</f>
        <v>0</v>
      </c>
      <c r="D3" s="14">
        <f>'План продаж в кол-ве'!D3*'План продаж в кол-ве'!E14</f>
        <v>7000000.0000000009</v>
      </c>
      <c r="E3" s="14">
        <f>'План продаж в кол-ве'!E3*'План продаж в кол-ве'!E14</f>
        <v>7000000.0000000009</v>
      </c>
      <c r="F3" s="14"/>
      <c r="G3" s="14">
        <f>'План продаж в кол-ве'!G3*'План продаж в кол-ве'!G14</f>
        <v>0</v>
      </c>
      <c r="H3" s="14">
        <f>'План продаж в кол-ве'!H3*'План продаж в кол-ве'!H14</f>
        <v>0</v>
      </c>
      <c r="I3" s="14">
        <f>'План продаж в кол-ве'!I3*'План продаж в кол-ве'!I14</f>
        <v>0</v>
      </c>
      <c r="J3" s="14">
        <f>'План продаж в кол-ве'!J3*'План продаж в кол-ве'!J14</f>
        <v>0</v>
      </c>
      <c r="K3" s="14">
        <f>'План продаж в кол-ве'!K3</f>
        <v>0</v>
      </c>
      <c r="L3" s="14">
        <f>'План продаж в кол-ве'!L3</f>
        <v>0</v>
      </c>
      <c r="M3" s="14">
        <f>'План продаж в кол-ве'!M3</f>
        <v>0</v>
      </c>
      <c r="N3" s="14">
        <f>'План продаж в кол-ве'!N3</f>
        <v>0</v>
      </c>
      <c r="O3" s="14">
        <f>'План продаж в кол-ве'!O3</f>
        <v>0</v>
      </c>
      <c r="P3" s="14">
        <f>'План продаж в кол-ве'!P3*'План продаж в кол-ве'!E14</f>
        <v>18900000.000000007</v>
      </c>
      <c r="Q3" s="14">
        <f>'План продаж в кол-ве'!Q3*'План продаж в кол-ве'!E14</f>
        <v>18900000.000000007</v>
      </c>
      <c r="R3" s="14">
        <f>'План продаж в кол-ве'!R3*'План продаж в кол-ве'!E14</f>
        <v>18900000.000000007</v>
      </c>
      <c r="S3" s="14">
        <f>'План продаж в кол-ве'!S3*'План продаж в кол-ве'!E14</f>
        <v>18900000.000000007</v>
      </c>
      <c r="T3" s="14">
        <f>'План продаж в кол-ве'!T3</f>
        <v>0</v>
      </c>
      <c r="U3" s="14">
        <f>'План продаж в кол-ве'!U3</f>
        <v>0</v>
      </c>
      <c r="V3" s="14">
        <f>'План продаж в кол-ве'!V3</f>
        <v>0</v>
      </c>
      <c r="W3" s="14">
        <f>'План продаж в кол-ве'!W3</f>
        <v>0</v>
      </c>
      <c r="X3" s="14">
        <f>'План продаж в кол-ве'!X3</f>
        <v>0</v>
      </c>
      <c r="Y3" s="14">
        <f>'План продаж в кол-ве'!Y3</f>
        <v>0</v>
      </c>
      <c r="Z3" s="14">
        <f>'План продаж в кол-ве'!Z3</f>
        <v>0</v>
      </c>
      <c r="AA3" s="14">
        <f>'План продаж в кол-ве'!AA3</f>
        <v>0</v>
      </c>
      <c r="AB3" s="14">
        <f>'План продаж в кол-ве'!AB3*'План продаж в кол-ве'!E14</f>
        <v>18900000.000000007</v>
      </c>
      <c r="AC3" s="14">
        <f>'План продаж в кол-ве'!AC3*'План продаж в кол-ве'!E14</f>
        <v>18900000.000000007</v>
      </c>
      <c r="AD3" s="14">
        <f>'План продаж в кол-ве'!AD3*'План продаж в кол-ве'!E14</f>
        <v>18900000.000000007</v>
      </c>
      <c r="AE3" s="14">
        <f>'План продаж в кол-ве'!AE3*'План продаж в кол-ве'!E14</f>
        <v>18900000.000000007</v>
      </c>
      <c r="AF3" s="14">
        <f>'План продаж в кол-ве'!AF3</f>
        <v>0</v>
      </c>
      <c r="AG3" s="14">
        <f>'План продаж в кол-ве'!AG3</f>
        <v>0</v>
      </c>
      <c r="AH3" s="14">
        <f>'План продаж в кол-ве'!AH3</f>
        <v>0</v>
      </c>
      <c r="AI3" s="14">
        <f>'План продаж в кол-ве'!AI3</f>
        <v>0</v>
      </c>
      <c r="AJ3" s="14">
        <f>'План продаж в кол-ве'!AJ3</f>
        <v>0</v>
      </c>
      <c r="AK3" s="14">
        <f>'План продаж в кол-ве'!AK3</f>
        <v>0</v>
      </c>
      <c r="AL3" s="14">
        <f>'План продаж в кол-ве'!AL3</f>
        <v>0</v>
      </c>
      <c r="AM3" s="14">
        <f>'План продаж в кол-ве'!AM3</f>
        <v>0</v>
      </c>
      <c r="AN3" s="14">
        <f>'План продаж в кол-ве'!AN3*'План продаж в кол-ве'!E14</f>
        <v>18900000.000000007</v>
      </c>
      <c r="AO3" s="14">
        <f>'План продаж в кол-ве'!AO3*'План продаж в кол-ве'!E14</f>
        <v>18900000.000000007</v>
      </c>
      <c r="AP3" s="86">
        <f>SUM(B3:AO3)</f>
        <v>203000000.00000003</v>
      </c>
    </row>
    <row r="4" spans="1:42" ht="30">
      <c r="A4" s="11" t="s">
        <v>93</v>
      </c>
      <c r="B4" s="14">
        <f>'План продаж в кол-ве'!B4</f>
        <v>0</v>
      </c>
      <c r="C4" s="14">
        <f>'План продаж в кол-ве'!C4</f>
        <v>0</v>
      </c>
      <c r="D4" s="14">
        <f>'План продаж в кол-ве'!D4*'План продаж в кол-ве'!E15</f>
        <v>4859375</v>
      </c>
      <c r="E4" s="14">
        <f>'План продаж в кол-ве'!E4*'План продаж в кол-ве'!E15</f>
        <v>4859375</v>
      </c>
      <c r="F4" s="14">
        <f>'План продаж в кол-ве'!F4*'План продаж в кол-ве'!E15</f>
        <v>4859375</v>
      </c>
      <c r="G4" s="14">
        <f>'План продаж в кол-ве'!G4*'План продаж в кол-ве'!E15</f>
        <v>4859375</v>
      </c>
      <c r="H4" s="14">
        <f>'План продаж в кол-ве'!H4</f>
        <v>0</v>
      </c>
      <c r="I4" s="14">
        <f>'План продаж в кол-ве'!I4</f>
        <v>0</v>
      </c>
      <c r="J4" s="14">
        <f>'План продаж в кол-ве'!J4</f>
        <v>0</v>
      </c>
      <c r="K4" s="14">
        <f>'План продаж в кол-ве'!K4</f>
        <v>0</v>
      </c>
      <c r="L4" s="14">
        <f>'План продаж в кол-ве'!L4</f>
        <v>0</v>
      </c>
      <c r="M4" s="14">
        <f>'План продаж в кол-ве'!M4</f>
        <v>0</v>
      </c>
      <c r="N4" s="14">
        <f>'План продаж в кол-ве'!N4</f>
        <v>0</v>
      </c>
      <c r="O4" s="14">
        <f>'План продаж в кол-ве'!O4</f>
        <v>0</v>
      </c>
      <c r="P4" s="14">
        <f>'План продаж в кол-ве'!P4*'План продаж в кол-ве'!E15</f>
        <v>4697916.666666667</v>
      </c>
      <c r="Q4" s="14">
        <f>'План продаж в кол-ве'!Q4*'План продаж в кол-ве'!E15</f>
        <v>4697916.666666667</v>
      </c>
      <c r="R4" s="14">
        <f>'План продаж в кол-ве'!R4*'План продаж в кол-ве'!E15</f>
        <v>4697916.666666667</v>
      </c>
      <c r="S4" s="14">
        <f>'План продаж в кол-ве'!S4*'План продаж в кол-ве'!E15</f>
        <v>4697916.666666667</v>
      </c>
      <c r="T4" s="14">
        <f>'План продаж в кол-ве'!T4*'План продаж в кол-ве'!E15</f>
        <v>4697916.666666667</v>
      </c>
      <c r="U4" s="14">
        <f>'План продаж в кол-ве'!U4*'План продаж в кол-ве'!E15</f>
        <v>4697916.666666667</v>
      </c>
      <c r="V4" s="14">
        <f>'План продаж в кол-ве'!V4</f>
        <v>0</v>
      </c>
      <c r="W4" s="14">
        <f>'План продаж в кол-ве'!W4</f>
        <v>0</v>
      </c>
      <c r="X4" s="14">
        <f>'План продаж в кол-ве'!X4</f>
        <v>0</v>
      </c>
      <c r="Y4" s="14">
        <f>'План продаж в кол-ве'!Y4</f>
        <v>0</v>
      </c>
      <c r="Z4" s="14">
        <f>'План продаж в кол-ве'!Z4</f>
        <v>0</v>
      </c>
      <c r="AA4" s="14">
        <f>'План продаж в кол-ве'!AA4</f>
        <v>0</v>
      </c>
      <c r="AB4" s="14">
        <f>'План продаж в кол-ве'!AB4*'План продаж в кол-ве'!E15</f>
        <v>4697916.666666667</v>
      </c>
      <c r="AC4" s="14">
        <f>'План продаж в кол-ве'!AC4*'План продаж в кол-ве'!E15</f>
        <v>4697916.666666667</v>
      </c>
      <c r="AD4" s="14">
        <f>'План продаж в кол-ве'!AD4*'План продаж в кол-ве'!E15</f>
        <v>4697916.666666667</v>
      </c>
      <c r="AE4" s="14">
        <f>'План продаж в кол-ве'!AE4*'План продаж в кол-ве'!E15</f>
        <v>4697916.666666667</v>
      </c>
      <c r="AF4" s="14">
        <f>'План продаж в кол-ве'!AF4*'План продаж в кол-ве'!E15</f>
        <v>4697916.666666667</v>
      </c>
      <c r="AG4" s="14">
        <f>'План продаж в кол-ве'!AG4*'План продаж в кол-ве'!E15</f>
        <v>4697916.666666667</v>
      </c>
      <c r="AH4" s="14">
        <f>'План продаж в кол-ве'!AH4</f>
        <v>0</v>
      </c>
      <c r="AI4" s="14">
        <f>'План продаж в кол-ве'!AI4</f>
        <v>0</v>
      </c>
      <c r="AJ4" s="14">
        <f>'План продаж в кол-ве'!AJ4</f>
        <v>0</v>
      </c>
      <c r="AK4" s="14">
        <f>'План продаж в кол-ве'!AK4</f>
        <v>0</v>
      </c>
      <c r="AL4" s="14">
        <f>'План продаж в кол-ве'!AL4</f>
        <v>0</v>
      </c>
      <c r="AM4" s="14">
        <f>'План продаж в кол-ве'!AM4</f>
        <v>0</v>
      </c>
      <c r="AN4" s="14">
        <f>'План продаж в кол-ве'!AN4*'План продаж в кол-ве'!E15</f>
        <v>4697916.666666667</v>
      </c>
      <c r="AO4" s="14">
        <f>'План продаж в кол-ве'!AO4*'План продаж в кол-ве'!E15</f>
        <v>4697916.666666667</v>
      </c>
      <c r="AP4" s="86">
        <f>SUM(B4:AO4)</f>
        <v>85208333.333333343</v>
      </c>
    </row>
    <row r="5" spans="1:42">
      <c r="A5" s="17" t="s">
        <v>18</v>
      </c>
      <c r="B5" s="16">
        <f t="shared" ref="B5:AP5" si="29">SUM(B3:B4)</f>
        <v>0</v>
      </c>
      <c r="C5" s="16">
        <f t="shared" si="29"/>
        <v>0</v>
      </c>
      <c r="D5" s="16">
        <f t="shared" si="29"/>
        <v>11859375</v>
      </c>
      <c r="E5" s="16">
        <f t="shared" si="29"/>
        <v>11859375</v>
      </c>
      <c r="F5" s="16">
        <f t="shared" si="29"/>
        <v>4859375</v>
      </c>
      <c r="G5" s="16">
        <f t="shared" si="29"/>
        <v>4859375</v>
      </c>
      <c r="H5" s="16">
        <f t="shared" si="29"/>
        <v>0</v>
      </c>
      <c r="I5" s="16">
        <f t="shared" si="29"/>
        <v>0</v>
      </c>
      <c r="J5" s="16">
        <f t="shared" si="29"/>
        <v>0</v>
      </c>
      <c r="K5" s="16">
        <f t="shared" si="29"/>
        <v>0</v>
      </c>
      <c r="L5" s="16">
        <f t="shared" si="29"/>
        <v>0</v>
      </c>
      <c r="M5" s="16">
        <f t="shared" si="29"/>
        <v>0</v>
      </c>
      <c r="N5" s="16">
        <f t="shared" si="29"/>
        <v>0</v>
      </c>
      <c r="O5" s="16">
        <f t="shared" si="29"/>
        <v>0</v>
      </c>
      <c r="P5" s="16">
        <f t="shared" si="29"/>
        <v>23597916.666666675</v>
      </c>
      <c r="Q5" s="16">
        <f t="shared" si="29"/>
        <v>23597916.666666675</v>
      </c>
      <c r="R5" s="16">
        <f t="shared" si="29"/>
        <v>23597916.666666675</v>
      </c>
      <c r="S5" s="16">
        <f t="shared" si="29"/>
        <v>23597916.666666675</v>
      </c>
      <c r="T5" s="16">
        <f t="shared" si="29"/>
        <v>4697916.666666667</v>
      </c>
      <c r="U5" s="16">
        <f t="shared" si="29"/>
        <v>4697916.666666667</v>
      </c>
      <c r="V5" s="16">
        <f t="shared" si="29"/>
        <v>0</v>
      </c>
      <c r="W5" s="16">
        <f t="shared" si="29"/>
        <v>0</v>
      </c>
      <c r="X5" s="16">
        <f t="shared" si="29"/>
        <v>0</v>
      </c>
      <c r="Y5" s="16">
        <f t="shared" si="29"/>
        <v>0</v>
      </c>
      <c r="Z5" s="16">
        <f t="shared" si="29"/>
        <v>0</v>
      </c>
      <c r="AA5" s="16">
        <f t="shared" si="29"/>
        <v>0</v>
      </c>
      <c r="AB5" s="16">
        <f t="shared" si="29"/>
        <v>23597916.666666675</v>
      </c>
      <c r="AC5" s="16">
        <f t="shared" si="29"/>
        <v>23597916.666666675</v>
      </c>
      <c r="AD5" s="16">
        <f t="shared" si="29"/>
        <v>23597916.666666675</v>
      </c>
      <c r="AE5" s="16">
        <f t="shared" si="29"/>
        <v>23597916.666666675</v>
      </c>
      <c r="AF5" s="16">
        <f t="shared" si="29"/>
        <v>4697916.666666667</v>
      </c>
      <c r="AG5" s="16">
        <f t="shared" si="29"/>
        <v>4697916.666666667</v>
      </c>
      <c r="AH5" s="16">
        <f t="shared" si="29"/>
        <v>0</v>
      </c>
      <c r="AI5" s="16">
        <f t="shared" si="29"/>
        <v>0</v>
      </c>
      <c r="AJ5" s="16">
        <f t="shared" si="29"/>
        <v>0</v>
      </c>
      <c r="AK5" s="16">
        <f t="shared" si="29"/>
        <v>0</v>
      </c>
      <c r="AL5" s="16">
        <f t="shared" si="29"/>
        <v>0</v>
      </c>
      <c r="AM5" s="16">
        <f t="shared" si="29"/>
        <v>0</v>
      </c>
      <c r="AN5" s="16">
        <f t="shared" si="29"/>
        <v>23597916.666666675</v>
      </c>
      <c r="AO5" s="16">
        <f t="shared" si="29"/>
        <v>23597916.666666675</v>
      </c>
      <c r="AP5" s="16">
        <f t="shared" si="29"/>
        <v>288208333.33333337</v>
      </c>
    </row>
    <row r="8" spans="1:42">
      <c r="A8" s="95"/>
      <c r="B8" s="95"/>
      <c r="C8" s="95"/>
      <c r="D8" s="95"/>
    </row>
    <row r="9" spans="1:42">
      <c r="A9" s="95"/>
      <c r="B9" s="95"/>
      <c r="C9" s="95"/>
      <c r="D9" s="95"/>
    </row>
    <row r="10" spans="1:42">
      <c r="A10" s="66" t="s">
        <v>64</v>
      </c>
      <c r="B10" s="120">
        <f>F1</f>
        <v>2019</v>
      </c>
      <c r="C10" s="120">
        <f>R1</f>
        <v>2020</v>
      </c>
      <c r="D10" s="120">
        <f>AD1</f>
        <v>2021</v>
      </c>
      <c r="E10" s="113">
        <f>AO1</f>
        <v>2022</v>
      </c>
      <c r="F10" s="113" t="s">
        <v>65</v>
      </c>
    </row>
    <row r="11" spans="1:42">
      <c r="A11" s="41" t="s">
        <v>1</v>
      </c>
      <c r="B11" s="120"/>
      <c r="C11" s="120"/>
      <c r="D11" s="120"/>
      <c r="E11" s="113"/>
      <c r="F11" s="113"/>
    </row>
    <row r="12" spans="1:42">
      <c r="A12" s="11" t="s">
        <v>92</v>
      </c>
      <c r="B12" s="12">
        <f>SUM(B3:F3)</f>
        <v>14000000.000000002</v>
      </c>
      <c r="C12" s="12">
        <f>SUM(G3:R3)</f>
        <v>56700000.000000022</v>
      </c>
      <c r="D12" s="12">
        <f>SUM(S3:AD3)</f>
        <v>75600000.00000003</v>
      </c>
      <c r="E12" s="12">
        <f>SUM(AE3:AO3)</f>
        <v>56700000.000000022</v>
      </c>
      <c r="F12" s="12">
        <f>SUM(B12:E12)</f>
        <v>203000000.00000009</v>
      </c>
    </row>
    <row r="13" spans="1:42" ht="30">
      <c r="A13" s="11" t="s">
        <v>93</v>
      </c>
      <c r="B13" s="12">
        <f>SUM(B4:F4)</f>
        <v>14578125</v>
      </c>
      <c r="C13" s="12">
        <f>SUM(G4:R4)</f>
        <v>18953125.000000004</v>
      </c>
      <c r="D13" s="12">
        <f>SUM(S4:AD4)</f>
        <v>28187500.000000004</v>
      </c>
      <c r="E13" s="12">
        <f>SUM(AE4:AO4)</f>
        <v>23489583.333333336</v>
      </c>
      <c r="F13" s="12">
        <f>SUM(B13:E13)</f>
        <v>85208333.333333343</v>
      </c>
    </row>
    <row r="14" spans="1:42">
      <c r="A14" s="17" t="s">
        <v>18</v>
      </c>
      <c r="B14" s="103">
        <f>SUM(B12:B13)</f>
        <v>28578125</v>
      </c>
      <c r="C14" s="103">
        <f t="shared" ref="C14:F14" si="30">SUM(C12:C13)</f>
        <v>75653125.00000003</v>
      </c>
      <c r="D14" s="103">
        <f t="shared" si="30"/>
        <v>103787500.00000003</v>
      </c>
      <c r="E14" s="103">
        <f t="shared" si="30"/>
        <v>80189583.333333358</v>
      </c>
      <c r="F14" s="103">
        <f t="shared" si="30"/>
        <v>288208333.33333343</v>
      </c>
    </row>
  </sheetData>
  <mergeCells count="6">
    <mergeCell ref="AP1:AP2"/>
    <mergeCell ref="B10:B11"/>
    <mergeCell ref="C10:C11"/>
    <mergeCell ref="D10:D11"/>
    <mergeCell ref="E10:E11"/>
    <mergeCell ref="F10:F1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workbookViewId="0">
      <pane xSplit="1" topLeftCell="B1" activePane="topRight" state="frozen"/>
      <selection pane="topRight" activeCell="AQ32" sqref="AQ32"/>
    </sheetView>
  </sheetViews>
  <sheetFormatPr baseColWidth="10" defaultRowHeight="15" x14ac:dyDescent="0"/>
  <cols>
    <col min="1" max="1" width="38.33203125" style="73" customWidth="1"/>
    <col min="2" max="3" width="13.1640625" bestFit="1" customWidth="1"/>
    <col min="4" max="5" width="14.6640625" bestFit="1" customWidth="1"/>
    <col min="6" max="6" width="14.1640625" bestFit="1" customWidth="1"/>
    <col min="7" max="7" width="21.83203125" customWidth="1"/>
    <col min="8" max="8" width="15.6640625" customWidth="1"/>
    <col min="9" max="9" width="14.1640625" bestFit="1" customWidth="1"/>
    <col min="10" max="10" width="10.33203125" bestFit="1" customWidth="1"/>
    <col min="11" max="14" width="12.5" bestFit="1" customWidth="1"/>
    <col min="15" max="15" width="13.33203125" bestFit="1" customWidth="1"/>
    <col min="16" max="17" width="14.6640625" bestFit="1" customWidth="1"/>
    <col min="18" max="20" width="12.33203125" bestFit="1" customWidth="1"/>
    <col min="21" max="21" width="13" bestFit="1" customWidth="1"/>
    <col min="22" max="22" width="13.33203125" bestFit="1" customWidth="1"/>
    <col min="23" max="27" width="12.33203125" bestFit="1" customWidth="1"/>
    <col min="28" max="29" width="14.6640625" bestFit="1" customWidth="1"/>
    <col min="30" max="33" width="12.33203125" bestFit="1" customWidth="1"/>
    <col min="34" max="34" width="13" bestFit="1" customWidth="1"/>
    <col min="35" max="35" width="13.33203125" bestFit="1" customWidth="1"/>
    <col min="36" max="39" width="12.33203125" bestFit="1" customWidth="1"/>
    <col min="40" max="41" width="14.6640625" bestFit="1" customWidth="1"/>
    <col min="42" max="42" width="15.6640625" bestFit="1" customWidth="1"/>
    <col min="43" max="46" width="12.1640625" bestFit="1" customWidth="1"/>
    <col min="47" max="47" width="12.83203125" bestFit="1" customWidth="1"/>
    <col min="48" max="48" width="13.1640625" bestFit="1" customWidth="1"/>
    <col min="49" max="59" width="12.1640625" bestFit="1" customWidth="1"/>
    <col min="60" max="60" width="12.83203125" bestFit="1" customWidth="1"/>
    <col min="61" max="61" width="13.1640625" bestFit="1" customWidth="1"/>
    <col min="62" max="67" width="12.1640625" bestFit="1" customWidth="1"/>
    <col min="68" max="69" width="13.1640625" bestFit="1" customWidth="1"/>
  </cols>
  <sheetData>
    <row r="1" spans="1:42" s="46" customFormat="1">
      <c r="A1" s="66" t="s">
        <v>64</v>
      </c>
      <c r="B1" s="69">
        <f>YEAR(B2)</f>
        <v>2019</v>
      </c>
      <c r="C1" s="69">
        <f t="shared" ref="C1:AO1" si="0">YEAR(C2)</f>
        <v>2019</v>
      </c>
      <c r="D1" s="69">
        <f t="shared" si="0"/>
        <v>2019</v>
      </c>
      <c r="E1" s="69">
        <f t="shared" si="0"/>
        <v>2019</v>
      </c>
      <c r="F1" s="69">
        <f t="shared" si="0"/>
        <v>2019</v>
      </c>
      <c r="G1" s="66">
        <f t="shared" si="0"/>
        <v>2020</v>
      </c>
      <c r="H1" s="66">
        <f t="shared" si="0"/>
        <v>2020</v>
      </c>
      <c r="I1" s="66">
        <f t="shared" si="0"/>
        <v>2020</v>
      </c>
      <c r="J1" s="66">
        <f t="shared" si="0"/>
        <v>2020</v>
      </c>
      <c r="K1" s="66">
        <f t="shared" si="0"/>
        <v>2020</v>
      </c>
      <c r="L1" s="66">
        <f t="shared" si="0"/>
        <v>2020</v>
      </c>
      <c r="M1" s="66">
        <f t="shared" si="0"/>
        <v>2020</v>
      </c>
      <c r="N1" s="66">
        <f t="shared" si="0"/>
        <v>2020</v>
      </c>
      <c r="O1" s="66">
        <f t="shared" si="0"/>
        <v>2020</v>
      </c>
      <c r="P1" s="66">
        <f t="shared" si="0"/>
        <v>2020</v>
      </c>
      <c r="Q1" s="66">
        <f t="shared" si="0"/>
        <v>2020</v>
      </c>
      <c r="R1" s="66">
        <f t="shared" si="0"/>
        <v>2020</v>
      </c>
      <c r="S1" s="65">
        <f t="shared" si="0"/>
        <v>2021</v>
      </c>
      <c r="T1" s="65">
        <f t="shared" si="0"/>
        <v>2021</v>
      </c>
      <c r="U1" s="65">
        <f t="shared" si="0"/>
        <v>2021</v>
      </c>
      <c r="V1" s="65">
        <f t="shared" si="0"/>
        <v>2021</v>
      </c>
      <c r="W1" s="65">
        <f t="shared" si="0"/>
        <v>2021</v>
      </c>
      <c r="X1" s="65">
        <f t="shared" si="0"/>
        <v>2021</v>
      </c>
      <c r="Y1" s="65">
        <f t="shared" si="0"/>
        <v>2021</v>
      </c>
      <c r="Z1" s="65">
        <f t="shared" si="0"/>
        <v>2021</v>
      </c>
      <c r="AA1" s="65">
        <f t="shared" si="0"/>
        <v>2021</v>
      </c>
      <c r="AB1" s="65">
        <f t="shared" si="0"/>
        <v>2021</v>
      </c>
      <c r="AC1" s="65">
        <f t="shared" si="0"/>
        <v>2021</v>
      </c>
      <c r="AD1" s="65">
        <f t="shared" si="0"/>
        <v>2021</v>
      </c>
      <c r="AE1" s="66">
        <f t="shared" si="0"/>
        <v>2022</v>
      </c>
      <c r="AF1" s="66">
        <f t="shared" si="0"/>
        <v>2022</v>
      </c>
      <c r="AG1" s="66">
        <f t="shared" si="0"/>
        <v>2022</v>
      </c>
      <c r="AH1" s="66">
        <f t="shared" si="0"/>
        <v>2022</v>
      </c>
      <c r="AI1" s="66">
        <f t="shared" si="0"/>
        <v>2022</v>
      </c>
      <c r="AJ1" s="66">
        <f t="shared" si="0"/>
        <v>2022</v>
      </c>
      <c r="AK1" s="66">
        <f t="shared" si="0"/>
        <v>2022</v>
      </c>
      <c r="AL1" s="66">
        <f t="shared" si="0"/>
        <v>2022</v>
      </c>
      <c r="AM1" s="66">
        <f t="shared" si="0"/>
        <v>2022</v>
      </c>
      <c r="AN1" s="66">
        <f t="shared" si="0"/>
        <v>2022</v>
      </c>
      <c r="AO1" s="66">
        <f t="shared" si="0"/>
        <v>2022</v>
      </c>
      <c r="AP1" s="114" t="s">
        <v>65</v>
      </c>
    </row>
    <row r="2" spans="1:42" s="46" customFormat="1">
      <c r="A2" s="20" t="s">
        <v>1</v>
      </c>
      <c r="B2" s="47">
        <f>'Старт проекта'!B1</f>
        <v>43678</v>
      </c>
      <c r="C2" s="47">
        <f>DATE(YEAR(B2),MONTH(B2)+1,1)</f>
        <v>43709</v>
      </c>
      <c r="D2" s="47">
        <f t="shared" ref="D2:N2" si="1">DATE(YEAR(C2),MONTH(C2)+1,1)</f>
        <v>43739</v>
      </c>
      <c r="E2" s="47">
        <f t="shared" si="1"/>
        <v>43770</v>
      </c>
      <c r="F2" s="47">
        <f t="shared" si="1"/>
        <v>43800</v>
      </c>
      <c r="G2" s="45">
        <f t="shared" si="1"/>
        <v>43831</v>
      </c>
      <c r="H2" s="45">
        <f t="shared" si="1"/>
        <v>43862</v>
      </c>
      <c r="I2" s="45">
        <f t="shared" si="1"/>
        <v>43891</v>
      </c>
      <c r="J2" s="45">
        <f t="shared" si="1"/>
        <v>43922</v>
      </c>
      <c r="K2" s="45">
        <f t="shared" si="1"/>
        <v>43952</v>
      </c>
      <c r="L2" s="45">
        <f t="shared" si="1"/>
        <v>43983</v>
      </c>
      <c r="M2" s="45">
        <f t="shared" si="1"/>
        <v>44013</v>
      </c>
      <c r="N2" s="45">
        <f t="shared" si="1"/>
        <v>44044</v>
      </c>
      <c r="O2" s="45">
        <f t="shared" ref="O2" si="2">DATE(YEAR(N2),MONTH(N2)+1,1)</f>
        <v>44075</v>
      </c>
      <c r="P2" s="45">
        <f t="shared" ref="P2" si="3">DATE(YEAR(O2),MONTH(O2)+1,1)</f>
        <v>44105</v>
      </c>
      <c r="Q2" s="45">
        <f t="shared" ref="Q2" si="4">DATE(YEAR(P2),MONTH(P2)+1,1)</f>
        <v>44136</v>
      </c>
      <c r="R2" s="45">
        <f t="shared" ref="R2" si="5">DATE(YEAR(Q2),MONTH(Q2)+1,1)</f>
        <v>44166</v>
      </c>
      <c r="S2" s="47">
        <f t="shared" ref="S2" si="6">DATE(YEAR(R2),MONTH(R2)+1,1)</f>
        <v>44197</v>
      </c>
      <c r="T2" s="47">
        <f t="shared" ref="T2" si="7">DATE(YEAR(S2),MONTH(S2)+1,1)</f>
        <v>44228</v>
      </c>
      <c r="U2" s="47">
        <f t="shared" ref="U2" si="8">DATE(YEAR(T2),MONTH(T2)+1,1)</f>
        <v>44256</v>
      </c>
      <c r="V2" s="47">
        <f t="shared" ref="V2" si="9">DATE(YEAR(U2),MONTH(U2)+1,1)</f>
        <v>44287</v>
      </c>
      <c r="W2" s="47">
        <f t="shared" ref="W2" si="10">DATE(YEAR(V2),MONTH(V2)+1,1)</f>
        <v>44317</v>
      </c>
      <c r="X2" s="47">
        <f t="shared" ref="X2" si="11">DATE(YEAR(W2),MONTH(W2)+1,1)</f>
        <v>44348</v>
      </c>
      <c r="Y2" s="47">
        <f t="shared" ref="Y2" si="12">DATE(YEAR(X2),MONTH(X2)+1,1)</f>
        <v>44378</v>
      </c>
      <c r="Z2" s="47">
        <f t="shared" ref="Z2" si="13">DATE(YEAR(Y2),MONTH(Y2)+1,1)</f>
        <v>44409</v>
      </c>
      <c r="AA2" s="47">
        <f t="shared" ref="AA2" si="14">DATE(YEAR(Z2),MONTH(Z2)+1,1)</f>
        <v>44440</v>
      </c>
      <c r="AB2" s="47">
        <f t="shared" ref="AB2" si="15">DATE(YEAR(AA2),MONTH(AA2)+1,1)</f>
        <v>44470</v>
      </c>
      <c r="AC2" s="47">
        <f t="shared" ref="AC2" si="16">DATE(YEAR(AB2),MONTH(AB2)+1,1)</f>
        <v>44501</v>
      </c>
      <c r="AD2" s="47">
        <f t="shared" ref="AD2" si="17">DATE(YEAR(AC2),MONTH(AC2)+1,1)</f>
        <v>44531</v>
      </c>
      <c r="AE2" s="45">
        <f t="shared" ref="AE2" si="18">DATE(YEAR(AD2),MONTH(AD2)+1,1)</f>
        <v>44562</v>
      </c>
      <c r="AF2" s="45">
        <f t="shared" ref="AF2" si="19">DATE(YEAR(AE2),MONTH(AE2)+1,1)</f>
        <v>44593</v>
      </c>
      <c r="AG2" s="45">
        <f t="shared" ref="AG2" si="20">DATE(YEAR(AF2),MONTH(AF2)+1,1)</f>
        <v>44621</v>
      </c>
      <c r="AH2" s="45">
        <f t="shared" ref="AH2" si="21">DATE(YEAR(AG2),MONTH(AG2)+1,1)</f>
        <v>44652</v>
      </c>
      <c r="AI2" s="45">
        <f t="shared" ref="AI2" si="22">DATE(YEAR(AH2),MONTH(AH2)+1,1)</f>
        <v>44682</v>
      </c>
      <c r="AJ2" s="45">
        <f t="shared" ref="AJ2" si="23">DATE(YEAR(AI2),MONTH(AI2)+1,1)</f>
        <v>44713</v>
      </c>
      <c r="AK2" s="45">
        <f t="shared" ref="AK2" si="24">DATE(YEAR(AJ2),MONTH(AJ2)+1,1)</f>
        <v>44743</v>
      </c>
      <c r="AL2" s="45">
        <f t="shared" ref="AL2" si="25">DATE(YEAR(AK2),MONTH(AK2)+1,1)</f>
        <v>44774</v>
      </c>
      <c r="AM2" s="45">
        <f t="shared" ref="AM2" si="26">DATE(YEAR(AL2),MONTH(AL2)+1,1)</f>
        <v>44805</v>
      </c>
      <c r="AN2" s="45">
        <f t="shared" ref="AN2" si="27">DATE(YEAR(AM2),MONTH(AM2)+1,1)</f>
        <v>44835</v>
      </c>
      <c r="AO2" s="45">
        <f t="shared" ref="AO2" si="28">DATE(YEAR(AN2),MONTH(AN2)+1,1)</f>
        <v>44866</v>
      </c>
      <c r="AP2" s="114"/>
    </row>
    <row r="3" spans="1:42">
      <c r="A3" s="84" t="s">
        <v>15</v>
      </c>
      <c r="B3" s="8">
        <v>100000</v>
      </c>
      <c r="C3" s="8"/>
      <c r="D3" s="8"/>
      <c r="E3" s="8"/>
      <c r="F3" s="8"/>
      <c r="G3" s="8"/>
      <c r="H3" s="25"/>
      <c r="I3" s="25"/>
      <c r="J3" s="25"/>
      <c r="K3" s="25"/>
      <c r="L3" s="25"/>
      <c r="M3" s="25"/>
      <c r="N3" s="12"/>
      <c r="O3" s="90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2">
        <f>SUM(B3:AO3)</f>
        <v>100000</v>
      </c>
    </row>
    <row r="4" spans="1:42">
      <c r="A4" s="18" t="s">
        <v>99</v>
      </c>
      <c r="B4" s="8"/>
      <c r="C4" s="8">
        <v>240500</v>
      </c>
      <c r="D4" s="8"/>
      <c r="E4" s="8"/>
      <c r="F4" s="8"/>
      <c r="G4" s="8"/>
      <c r="H4" s="14"/>
      <c r="I4" s="14"/>
      <c r="J4" s="14"/>
      <c r="K4" s="14"/>
      <c r="L4" s="14"/>
      <c r="M4" s="14"/>
      <c r="N4" s="14"/>
      <c r="O4" s="55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22">
        <f t="shared" ref="AP4:AP13" si="29">SUM(B4:AO4)</f>
        <v>240500</v>
      </c>
    </row>
    <row r="5" spans="1:42">
      <c r="A5" s="18" t="s">
        <v>100</v>
      </c>
      <c r="B5" s="8"/>
      <c r="C5" s="8">
        <v>358000</v>
      </c>
      <c r="D5" s="8"/>
      <c r="E5" s="8"/>
      <c r="F5" s="8"/>
      <c r="G5" s="8"/>
      <c r="H5" s="14"/>
      <c r="I5" s="14"/>
      <c r="J5" s="14"/>
      <c r="K5" s="14"/>
      <c r="L5" s="14"/>
      <c r="M5" s="14"/>
      <c r="N5" s="14"/>
      <c r="O5" s="55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22">
        <f t="shared" si="29"/>
        <v>358000</v>
      </c>
    </row>
    <row r="6" spans="1:42">
      <c r="A6" s="18" t="s">
        <v>101</v>
      </c>
      <c r="B6" s="8"/>
      <c r="C6" s="8">
        <v>592000</v>
      </c>
      <c r="D6" s="8"/>
      <c r="E6" s="8"/>
      <c r="F6" s="8"/>
      <c r="G6" s="8"/>
      <c r="H6" s="14"/>
      <c r="I6" s="14"/>
      <c r="J6" s="14"/>
      <c r="K6" s="14"/>
      <c r="L6" s="14"/>
      <c r="M6" s="14"/>
      <c r="N6" s="14"/>
      <c r="O6" s="55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22">
        <f t="shared" si="29"/>
        <v>592000</v>
      </c>
    </row>
    <row r="7" spans="1:42">
      <c r="A7" s="18" t="s">
        <v>102</v>
      </c>
      <c r="B7" s="14"/>
      <c r="C7" s="14">
        <v>1800000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5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22">
        <f t="shared" si="29"/>
        <v>1800000</v>
      </c>
    </row>
    <row r="8" spans="1:42" ht="30">
      <c r="A8" s="18" t="s">
        <v>103</v>
      </c>
      <c r="B8" s="14"/>
      <c r="C8" s="14">
        <v>675000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8"/>
      <c r="O8" s="55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22">
        <f t="shared" si="29"/>
        <v>675000</v>
      </c>
    </row>
    <row r="9" spans="1:42">
      <c r="A9" s="18" t="s">
        <v>104</v>
      </c>
      <c r="B9" s="14"/>
      <c r="C9" s="14">
        <v>3900000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8"/>
      <c r="O9" s="55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22">
        <f t="shared" si="29"/>
        <v>3900000</v>
      </c>
    </row>
    <row r="10" spans="1:42" ht="30">
      <c r="A10" s="18" t="s">
        <v>105</v>
      </c>
      <c r="B10" s="14"/>
      <c r="C10" s="14">
        <v>2400000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55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22">
        <f t="shared" si="29"/>
        <v>2400000</v>
      </c>
    </row>
    <row r="11" spans="1:42">
      <c r="A11" s="18" t="s">
        <v>106</v>
      </c>
      <c r="B11" s="14"/>
      <c r="C11" s="14"/>
      <c r="D11" s="14"/>
      <c r="E11" s="14"/>
      <c r="F11" s="14"/>
      <c r="G11" s="14"/>
      <c r="H11" s="14"/>
      <c r="I11" s="14"/>
      <c r="J11" s="14">
        <v>500000</v>
      </c>
      <c r="K11" s="14"/>
      <c r="L11" s="14"/>
      <c r="M11" s="14"/>
      <c r="N11" s="14"/>
      <c r="O11" s="55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22">
        <f t="shared" si="29"/>
        <v>500000</v>
      </c>
    </row>
    <row r="12" spans="1:42">
      <c r="A12" s="18" t="s">
        <v>107</v>
      </c>
      <c r="B12" s="14"/>
      <c r="C12" s="14"/>
      <c r="D12" s="14"/>
      <c r="E12" s="14"/>
      <c r="F12" s="14"/>
      <c r="G12" s="14"/>
      <c r="H12" s="14"/>
      <c r="I12" s="14"/>
      <c r="J12" s="14">
        <v>950000</v>
      </c>
      <c r="K12" s="14"/>
      <c r="L12" s="14"/>
      <c r="M12" s="14"/>
      <c r="N12" s="14"/>
      <c r="O12" s="55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22">
        <f t="shared" si="29"/>
        <v>950000</v>
      </c>
    </row>
    <row r="13" spans="1:42">
      <c r="A13" s="24" t="s">
        <v>109</v>
      </c>
      <c r="B13" s="16">
        <f>SUM(B3:B12)</f>
        <v>100000</v>
      </c>
      <c r="C13" s="16">
        <f>SUM(C3:C12)</f>
        <v>9965500</v>
      </c>
      <c r="D13" s="16"/>
      <c r="E13" s="16"/>
      <c r="F13" s="16"/>
      <c r="G13" s="16"/>
      <c r="H13" s="16"/>
      <c r="I13" s="16"/>
      <c r="J13" s="16">
        <f>SUM(J3:J12)</f>
        <v>1450000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22">
        <f t="shared" si="29"/>
        <v>11515500</v>
      </c>
    </row>
    <row r="14" spans="1:42">
      <c r="A14" s="31" t="s">
        <v>17</v>
      </c>
      <c r="B14" s="14">
        <f>'Общие расходы'!B14</f>
        <v>130000</v>
      </c>
      <c r="C14" s="14">
        <f>'Общие расходы'!C14</f>
        <v>130000</v>
      </c>
      <c r="D14" s="14">
        <f>'Общие расходы'!D14</f>
        <v>130000</v>
      </c>
      <c r="E14" s="14">
        <f>'Общие расходы'!E14</f>
        <v>130000</v>
      </c>
      <c r="F14" s="14">
        <f>'Общие расходы'!F14</f>
        <v>130000</v>
      </c>
      <c r="G14" s="14">
        <f>'Общие расходы'!G14</f>
        <v>130000</v>
      </c>
      <c r="H14" s="14">
        <f>'Общие расходы'!H14</f>
        <v>130000</v>
      </c>
      <c r="I14" s="14">
        <f>'Общие расходы'!I14</f>
        <v>130000</v>
      </c>
      <c r="J14" s="14">
        <f>'Общие расходы'!J14</f>
        <v>130000</v>
      </c>
      <c r="K14" s="14">
        <f>'Общие расходы'!K14</f>
        <v>130000</v>
      </c>
      <c r="L14" s="14">
        <f>'Общие расходы'!L14</f>
        <v>130000</v>
      </c>
      <c r="M14" s="14">
        <f>'Общие расходы'!M14</f>
        <v>130000</v>
      </c>
      <c r="N14" s="14">
        <f>'Общие расходы'!N14</f>
        <v>130000</v>
      </c>
      <c r="O14" s="14">
        <f>'Общие расходы'!O14</f>
        <v>130000</v>
      </c>
      <c r="P14" s="14">
        <f>'Общие расходы'!P14</f>
        <v>130000</v>
      </c>
      <c r="Q14" s="14">
        <f>'Общие расходы'!Q14</f>
        <v>130000</v>
      </c>
      <c r="R14" s="14">
        <f>'Общие расходы'!R14</f>
        <v>130000</v>
      </c>
      <c r="S14" s="14">
        <f>'Общие расходы'!S14</f>
        <v>130000</v>
      </c>
      <c r="T14" s="14">
        <f>'Общие расходы'!T14</f>
        <v>130000</v>
      </c>
      <c r="U14" s="14">
        <f>'Общие расходы'!U14</f>
        <v>130000</v>
      </c>
      <c r="V14" s="14">
        <f>'Общие расходы'!V14</f>
        <v>143000</v>
      </c>
      <c r="W14" s="14">
        <f>'Общие расходы'!W14</f>
        <v>143000</v>
      </c>
      <c r="X14" s="14">
        <f>'Общие расходы'!X14</f>
        <v>143000</v>
      </c>
      <c r="Y14" s="14">
        <f>'Общие расходы'!Y14</f>
        <v>143000</v>
      </c>
      <c r="Z14" s="14">
        <f>'Общие расходы'!Z14</f>
        <v>143000</v>
      </c>
      <c r="AA14" s="14">
        <f>'Общие расходы'!AA14</f>
        <v>143000</v>
      </c>
      <c r="AB14" s="14">
        <f>'Общие расходы'!AB14</f>
        <v>143000</v>
      </c>
      <c r="AC14" s="14">
        <f>'Общие расходы'!AC14</f>
        <v>143000</v>
      </c>
      <c r="AD14" s="14">
        <f>'Общие расходы'!AD14</f>
        <v>143000</v>
      </c>
      <c r="AE14" s="14">
        <f>'Общие расходы'!AE14</f>
        <v>143000</v>
      </c>
      <c r="AF14" s="14">
        <f>'Общие расходы'!AF14</f>
        <v>143000</v>
      </c>
      <c r="AG14" s="14">
        <f>'Общие расходы'!AG14</f>
        <v>143000</v>
      </c>
      <c r="AH14" s="14">
        <f>'Общие расходы'!AH14</f>
        <v>143000</v>
      </c>
      <c r="AI14" s="14">
        <f>'Общие расходы'!AI14</f>
        <v>143000</v>
      </c>
      <c r="AJ14" s="14">
        <f>'Общие расходы'!AJ14</f>
        <v>143000</v>
      </c>
      <c r="AK14" s="14">
        <f>'Общие расходы'!AK14</f>
        <v>143000</v>
      </c>
      <c r="AL14" s="14">
        <f>'Общие расходы'!AL14</f>
        <v>143000</v>
      </c>
      <c r="AM14" s="14">
        <f>'Общие расходы'!AM14</f>
        <v>143000</v>
      </c>
      <c r="AN14" s="14">
        <f>'Общие расходы'!AN14</f>
        <v>143000</v>
      </c>
      <c r="AO14" s="14">
        <f>'Общие расходы'!AO14</f>
        <v>143000</v>
      </c>
      <c r="AP14" s="15">
        <f>'Общие расходы'!AP14</f>
        <v>5460000</v>
      </c>
    </row>
    <row r="15" spans="1:42">
      <c r="A15" s="25" t="s">
        <v>110</v>
      </c>
      <c r="B15" s="14">
        <f>B14*30%</f>
        <v>39000</v>
      </c>
      <c r="C15" s="14">
        <f t="shared" ref="C15:R15" si="30">C14*30%</f>
        <v>39000</v>
      </c>
      <c r="D15" s="14">
        <f t="shared" si="30"/>
        <v>39000</v>
      </c>
      <c r="E15" s="14">
        <f t="shared" si="30"/>
        <v>39000</v>
      </c>
      <c r="F15" s="14">
        <f t="shared" si="30"/>
        <v>39000</v>
      </c>
      <c r="G15" s="14">
        <f t="shared" si="30"/>
        <v>39000</v>
      </c>
      <c r="H15" s="14">
        <f t="shared" si="30"/>
        <v>39000</v>
      </c>
      <c r="I15" s="14">
        <f t="shared" si="30"/>
        <v>39000</v>
      </c>
      <c r="J15" s="14">
        <f t="shared" si="30"/>
        <v>39000</v>
      </c>
      <c r="K15" s="14">
        <f t="shared" si="30"/>
        <v>39000</v>
      </c>
      <c r="L15" s="14">
        <f t="shared" si="30"/>
        <v>39000</v>
      </c>
      <c r="M15" s="14">
        <f t="shared" si="30"/>
        <v>39000</v>
      </c>
      <c r="N15" s="14">
        <f t="shared" si="30"/>
        <v>39000</v>
      </c>
      <c r="O15" s="14">
        <f t="shared" si="30"/>
        <v>39000</v>
      </c>
      <c r="P15" s="14">
        <f t="shared" si="30"/>
        <v>39000</v>
      </c>
      <c r="Q15" s="14">
        <f t="shared" si="30"/>
        <v>39000</v>
      </c>
      <c r="R15" s="14">
        <f t="shared" si="30"/>
        <v>39000</v>
      </c>
      <c r="S15" s="14">
        <f t="shared" ref="S15:AH15" si="31">S14*30%</f>
        <v>39000</v>
      </c>
      <c r="T15" s="14">
        <f t="shared" si="31"/>
        <v>39000</v>
      </c>
      <c r="U15" s="14">
        <f t="shared" si="31"/>
        <v>39000</v>
      </c>
      <c r="V15" s="14">
        <f t="shared" si="31"/>
        <v>42900</v>
      </c>
      <c r="W15" s="14">
        <f t="shared" si="31"/>
        <v>42900</v>
      </c>
      <c r="X15" s="14">
        <f t="shared" si="31"/>
        <v>42900</v>
      </c>
      <c r="Y15" s="14">
        <f t="shared" si="31"/>
        <v>42900</v>
      </c>
      <c r="Z15" s="14">
        <f t="shared" si="31"/>
        <v>42900</v>
      </c>
      <c r="AA15" s="14">
        <f t="shared" si="31"/>
        <v>42900</v>
      </c>
      <c r="AB15" s="14">
        <f t="shared" si="31"/>
        <v>42900</v>
      </c>
      <c r="AC15" s="14">
        <f t="shared" si="31"/>
        <v>42900</v>
      </c>
      <c r="AD15" s="14">
        <f t="shared" si="31"/>
        <v>42900</v>
      </c>
      <c r="AE15" s="14">
        <f t="shared" si="31"/>
        <v>42900</v>
      </c>
      <c r="AF15" s="14">
        <f t="shared" si="31"/>
        <v>42900</v>
      </c>
      <c r="AG15" s="14">
        <f t="shared" si="31"/>
        <v>42900</v>
      </c>
      <c r="AH15" s="14">
        <f t="shared" si="31"/>
        <v>42900</v>
      </c>
      <c r="AI15" s="14">
        <f t="shared" ref="AI15:AP15" si="32">AI14*30%</f>
        <v>42900</v>
      </c>
      <c r="AJ15" s="14">
        <f t="shared" si="32"/>
        <v>42900</v>
      </c>
      <c r="AK15" s="14">
        <f t="shared" si="32"/>
        <v>42900</v>
      </c>
      <c r="AL15" s="14">
        <f t="shared" si="32"/>
        <v>42900</v>
      </c>
      <c r="AM15" s="14">
        <f t="shared" si="32"/>
        <v>42900</v>
      </c>
      <c r="AN15" s="14">
        <f t="shared" si="32"/>
        <v>42900</v>
      </c>
      <c r="AO15" s="14">
        <f t="shared" si="32"/>
        <v>42900</v>
      </c>
      <c r="AP15" s="15">
        <f t="shared" si="32"/>
        <v>1638000</v>
      </c>
    </row>
    <row r="16" spans="1:42">
      <c r="A16" s="25" t="s">
        <v>112</v>
      </c>
      <c r="B16" s="14"/>
      <c r="C16" s="14"/>
      <c r="D16" s="14"/>
      <c r="E16" s="14"/>
      <c r="F16" s="14"/>
      <c r="G16" s="14"/>
      <c r="H16" s="14"/>
      <c r="I16" s="14"/>
      <c r="J16" s="14">
        <v>25000</v>
      </c>
      <c r="K16" s="14">
        <v>25000</v>
      </c>
      <c r="L16" s="14">
        <v>25000</v>
      </c>
      <c r="M16" s="14">
        <v>25000</v>
      </c>
      <c r="N16" s="14">
        <v>25000</v>
      </c>
      <c r="O16" s="14">
        <v>25000</v>
      </c>
      <c r="P16" s="14">
        <v>25000</v>
      </c>
      <c r="Q16" s="14">
        <v>25000</v>
      </c>
      <c r="R16" s="14">
        <v>25000</v>
      </c>
      <c r="S16" s="14">
        <v>25000</v>
      </c>
      <c r="T16" s="14">
        <v>25000</v>
      </c>
      <c r="U16" s="14">
        <v>25000</v>
      </c>
      <c r="V16" s="14">
        <v>25000</v>
      </c>
      <c r="W16" s="14">
        <v>25000</v>
      </c>
      <c r="X16" s="14">
        <v>25000</v>
      </c>
      <c r="Y16" s="14">
        <v>25000</v>
      </c>
      <c r="Z16" s="14">
        <v>25000</v>
      </c>
      <c r="AA16" s="14">
        <v>25000</v>
      </c>
      <c r="AB16" s="14">
        <v>25000</v>
      </c>
      <c r="AC16" s="14">
        <v>25000</v>
      </c>
      <c r="AD16" s="14">
        <v>25000</v>
      </c>
      <c r="AE16" s="14">
        <v>25000</v>
      </c>
      <c r="AF16" s="14">
        <v>25000</v>
      </c>
      <c r="AG16" s="14">
        <v>25000</v>
      </c>
      <c r="AH16" s="14">
        <v>25000</v>
      </c>
      <c r="AI16" s="14">
        <v>25000</v>
      </c>
      <c r="AJ16" s="14">
        <v>25000</v>
      </c>
      <c r="AK16" s="14">
        <v>25000</v>
      </c>
      <c r="AL16" s="14">
        <v>25000</v>
      </c>
      <c r="AM16" s="14">
        <v>25000</v>
      </c>
      <c r="AN16" s="14">
        <v>25000</v>
      </c>
      <c r="AO16" s="14">
        <v>25000</v>
      </c>
      <c r="AP16" s="15">
        <f>SUM(B16:AO16)</f>
        <v>800000</v>
      </c>
    </row>
    <row r="17" spans="1:43">
      <c r="A17" s="25" t="s">
        <v>111</v>
      </c>
      <c r="B17" s="14"/>
      <c r="C17" s="14"/>
      <c r="D17" s="14">
        <v>41666</v>
      </c>
      <c r="E17" s="14">
        <v>41666</v>
      </c>
      <c r="F17" s="14">
        <v>41666</v>
      </c>
      <c r="G17" s="14">
        <v>41666</v>
      </c>
      <c r="H17" s="14">
        <v>41666</v>
      </c>
      <c r="I17" s="14">
        <v>41666</v>
      </c>
      <c r="J17" s="14">
        <v>41666</v>
      </c>
      <c r="K17" s="14">
        <v>41666</v>
      </c>
      <c r="L17" s="14">
        <v>41666</v>
      </c>
      <c r="M17" s="14">
        <v>41666</v>
      </c>
      <c r="N17" s="14">
        <v>41666</v>
      </c>
      <c r="O17" s="14">
        <v>41666</v>
      </c>
      <c r="P17" s="14">
        <v>41666</v>
      </c>
      <c r="Q17" s="14">
        <v>41666</v>
      </c>
      <c r="R17" s="14">
        <v>41666</v>
      </c>
      <c r="S17" s="14">
        <v>41666</v>
      </c>
      <c r="T17" s="14">
        <v>41666</v>
      </c>
      <c r="U17" s="14">
        <v>41666</v>
      </c>
      <c r="V17" s="14">
        <v>41666</v>
      </c>
      <c r="W17" s="14">
        <v>41666</v>
      </c>
      <c r="X17" s="14">
        <v>41666</v>
      </c>
      <c r="Y17" s="14">
        <v>41666</v>
      </c>
      <c r="Z17" s="14">
        <v>41666</v>
      </c>
      <c r="AA17" s="14">
        <v>41666</v>
      </c>
      <c r="AB17" s="14">
        <v>41666</v>
      </c>
      <c r="AC17" s="14">
        <v>41666</v>
      </c>
      <c r="AD17" s="14">
        <v>41666</v>
      </c>
      <c r="AE17" s="14">
        <v>41666</v>
      </c>
      <c r="AF17" s="14">
        <v>41666</v>
      </c>
      <c r="AG17" s="14">
        <v>41666</v>
      </c>
      <c r="AH17" s="14">
        <v>41666</v>
      </c>
      <c r="AI17" s="14">
        <v>41666</v>
      </c>
      <c r="AJ17" s="14">
        <v>41666</v>
      </c>
      <c r="AK17" s="14">
        <v>41666</v>
      </c>
      <c r="AL17" s="14">
        <v>41666</v>
      </c>
      <c r="AM17" s="14">
        <v>41666</v>
      </c>
      <c r="AN17" s="14">
        <v>41666</v>
      </c>
      <c r="AO17" s="14">
        <v>41666</v>
      </c>
      <c r="AP17" s="15">
        <f t="shared" ref="AP17:AP21" si="33">SUM(B17:AO17)</f>
        <v>1583308</v>
      </c>
    </row>
    <row r="18" spans="1:43">
      <c r="A18" s="25" t="s">
        <v>113</v>
      </c>
      <c r="B18" s="14">
        <f>'Общие расходы'!B18</f>
        <v>0</v>
      </c>
      <c r="C18" s="14">
        <f>'Общие расходы'!C18</f>
        <v>5000000</v>
      </c>
      <c r="D18" s="14">
        <f>'Общие расходы'!D18</f>
        <v>0</v>
      </c>
      <c r="E18" s="14">
        <f>'Общие расходы'!E18</f>
        <v>0</v>
      </c>
      <c r="F18" s="14">
        <f>'Общие расходы'!F18</f>
        <v>0</v>
      </c>
      <c r="G18" s="14">
        <f>'Общие расходы'!G18</f>
        <v>0</v>
      </c>
      <c r="H18" s="14">
        <f>'Общие расходы'!H18</f>
        <v>0</v>
      </c>
      <c r="I18" s="14">
        <f>'Общие расходы'!I18</f>
        <v>0</v>
      </c>
      <c r="J18" s="14">
        <f>'Общие расходы'!J18</f>
        <v>0</v>
      </c>
      <c r="K18" s="14">
        <f>'Общие расходы'!K18</f>
        <v>0</v>
      </c>
      <c r="L18" s="14">
        <f>'Общие расходы'!L18</f>
        <v>0</v>
      </c>
      <c r="M18" s="14">
        <f>'Общие расходы'!M18</f>
        <v>0</v>
      </c>
      <c r="N18" s="14">
        <f>'Общие расходы'!N18</f>
        <v>0</v>
      </c>
      <c r="O18" s="14">
        <f>'Общие расходы'!O18</f>
        <v>5000000</v>
      </c>
      <c r="P18" s="14">
        <f>'Общие расходы'!P18</f>
        <v>0</v>
      </c>
      <c r="Q18" s="14">
        <f>'Общие расходы'!Q18</f>
        <v>0</v>
      </c>
      <c r="R18" s="14">
        <f>'Общие расходы'!R18</f>
        <v>0</v>
      </c>
      <c r="S18" s="14">
        <f>'Общие расходы'!S18</f>
        <v>0</v>
      </c>
      <c r="T18" s="14">
        <f>'Общие расходы'!T18</f>
        <v>0</v>
      </c>
      <c r="U18" s="14">
        <f>'Общие расходы'!U18</f>
        <v>0</v>
      </c>
      <c r="V18" s="14">
        <f>'Общие расходы'!V18</f>
        <v>0</v>
      </c>
      <c r="W18" s="14">
        <f>'Общие расходы'!W18</f>
        <v>0</v>
      </c>
      <c r="X18" s="14">
        <f>'Общие расходы'!X18</f>
        <v>0</v>
      </c>
      <c r="Y18" s="14">
        <f>'Общие расходы'!Y18</f>
        <v>0</v>
      </c>
      <c r="Z18" s="14">
        <f>'Общие расходы'!Z18</f>
        <v>0</v>
      </c>
      <c r="AA18" s="14">
        <f>'Общие расходы'!AA18</f>
        <v>5000000</v>
      </c>
      <c r="AB18" s="14">
        <f>'Общие расходы'!AB18</f>
        <v>0</v>
      </c>
      <c r="AC18" s="14">
        <f>'Общие расходы'!AC18</f>
        <v>0</v>
      </c>
      <c r="AD18" s="14">
        <f>'Общие расходы'!AD18</f>
        <v>0</v>
      </c>
      <c r="AE18" s="14">
        <f>'Общие расходы'!AE18</f>
        <v>0</v>
      </c>
      <c r="AF18" s="14">
        <f>'Общие расходы'!AF18</f>
        <v>0</v>
      </c>
      <c r="AG18" s="14">
        <f>'Общие расходы'!AG18</f>
        <v>0</v>
      </c>
      <c r="AH18" s="14">
        <f>'Общие расходы'!AH18</f>
        <v>0</v>
      </c>
      <c r="AI18" s="14">
        <f>'Общие расходы'!AI18</f>
        <v>0</v>
      </c>
      <c r="AJ18" s="14">
        <f>'Общие расходы'!AJ18</f>
        <v>0</v>
      </c>
      <c r="AK18" s="14">
        <f>'Общие расходы'!AK18</f>
        <v>0</v>
      </c>
      <c r="AL18" s="14">
        <f>'Общие расходы'!AL18</f>
        <v>0</v>
      </c>
      <c r="AM18" s="14">
        <f>'Общие расходы'!AM18</f>
        <v>5000000</v>
      </c>
      <c r="AN18" s="14">
        <f>'Общие расходы'!AN18</f>
        <v>0</v>
      </c>
      <c r="AO18" s="14">
        <f>'Общие расходы'!AO18</f>
        <v>0</v>
      </c>
      <c r="AP18" s="15">
        <f>'Общие расходы'!AP18</f>
        <v>20000000</v>
      </c>
    </row>
    <row r="19" spans="1:43">
      <c r="A19" s="25" t="s">
        <v>151</v>
      </c>
      <c r="B19" s="14">
        <f>'Общие расходы'!B19</f>
        <v>0</v>
      </c>
      <c r="C19" s="14">
        <f>'Общие расходы'!C19</f>
        <v>0</v>
      </c>
      <c r="D19" s="14">
        <f>'Общие расходы'!D19</f>
        <v>0</v>
      </c>
      <c r="E19" s="14">
        <f>'Общие расходы'!E19</f>
        <v>0</v>
      </c>
      <c r="F19" s="14">
        <f>'Общие расходы'!F19</f>
        <v>0</v>
      </c>
      <c r="G19" s="14">
        <f>'Общие расходы'!G19</f>
        <v>0</v>
      </c>
      <c r="H19" s="14">
        <f>'Общие расходы'!H19</f>
        <v>0</v>
      </c>
      <c r="I19" s="14">
        <f>'Общие расходы'!I19</f>
        <v>0</v>
      </c>
      <c r="J19" s="14">
        <f>'Общие расходы'!J19</f>
        <v>500000</v>
      </c>
      <c r="K19" s="14">
        <f>'Общие расходы'!K19</f>
        <v>0</v>
      </c>
      <c r="L19" s="14">
        <f>'Общие расходы'!L19</f>
        <v>0</v>
      </c>
      <c r="M19" s="14">
        <f>'Общие расходы'!M19</f>
        <v>0</v>
      </c>
      <c r="N19" s="14">
        <f>'Общие расходы'!N19</f>
        <v>0</v>
      </c>
      <c r="O19" s="14">
        <f>'Общие расходы'!O19</f>
        <v>0</v>
      </c>
      <c r="P19" s="14">
        <f>'Общие расходы'!P19</f>
        <v>0</v>
      </c>
      <c r="Q19" s="14">
        <f>'Общие расходы'!Q19</f>
        <v>0</v>
      </c>
      <c r="R19" s="14">
        <f>'Общие расходы'!R19</f>
        <v>0</v>
      </c>
      <c r="S19" s="14">
        <f>'Общие расходы'!S19</f>
        <v>0</v>
      </c>
      <c r="T19" s="14">
        <f>'Общие расходы'!T19</f>
        <v>0</v>
      </c>
      <c r="U19" s="14">
        <f>'Общие расходы'!U19</f>
        <v>0</v>
      </c>
      <c r="V19" s="14">
        <f>'Общие расходы'!V19</f>
        <v>500000</v>
      </c>
      <c r="W19" s="14">
        <f>'Общие расходы'!W19</f>
        <v>0</v>
      </c>
      <c r="X19" s="14">
        <f>'Общие расходы'!X19</f>
        <v>0</v>
      </c>
      <c r="Y19" s="14">
        <f>'Общие расходы'!Y19</f>
        <v>0</v>
      </c>
      <c r="Z19" s="14">
        <f>'Общие расходы'!Z19</f>
        <v>0</v>
      </c>
      <c r="AA19" s="14">
        <f>'Общие расходы'!AA19</f>
        <v>0</v>
      </c>
      <c r="AB19" s="14">
        <f>'Общие расходы'!AB19</f>
        <v>0</v>
      </c>
      <c r="AC19" s="14">
        <f>'Общие расходы'!AC19</f>
        <v>0</v>
      </c>
      <c r="AD19" s="14">
        <f>'Общие расходы'!AD19</f>
        <v>0</v>
      </c>
      <c r="AE19" s="14">
        <f>'Общие расходы'!AE19</f>
        <v>0</v>
      </c>
      <c r="AF19" s="14">
        <f>'Общие расходы'!AF19</f>
        <v>0</v>
      </c>
      <c r="AG19" s="14">
        <f>'Общие расходы'!AG19</f>
        <v>0</v>
      </c>
      <c r="AH19" s="14">
        <f>'Общие расходы'!AH19</f>
        <v>500000</v>
      </c>
      <c r="AI19" s="14">
        <f>'Общие расходы'!AI19</f>
        <v>0</v>
      </c>
      <c r="AJ19" s="14">
        <f>'Общие расходы'!AJ19</f>
        <v>0</v>
      </c>
      <c r="AK19" s="14">
        <f>'Общие расходы'!AK19</f>
        <v>0</v>
      </c>
      <c r="AL19" s="14">
        <f>'Общие расходы'!AL19</f>
        <v>0</v>
      </c>
      <c r="AM19" s="14">
        <f>'Общие расходы'!AM19</f>
        <v>0</v>
      </c>
      <c r="AN19" s="14">
        <f>'Общие расходы'!AN19</f>
        <v>0</v>
      </c>
      <c r="AO19" s="14">
        <f>'Общие расходы'!AO19</f>
        <v>0</v>
      </c>
      <c r="AP19" s="15">
        <f>'Общие расходы'!AP19</f>
        <v>1500000</v>
      </c>
    </row>
    <row r="20" spans="1:43">
      <c r="A20" s="25" t="s">
        <v>114</v>
      </c>
      <c r="B20" s="14"/>
      <c r="C20" s="14"/>
      <c r="D20" s="14"/>
      <c r="E20" s="14"/>
      <c r="F20" s="14"/>
      <c r="G20" s="14"/>
      <c r="H20" s="14"/>
      <c r="I20" s="14"/>
      <c r="J20" s="14">
        <f>('Общие расходы'!C33+'Общие расходы'!C36+'Общие расходы'!C39)*100</f>
        <v>260000</v>
      </c>
      <c r="K20" s="14">
        <f>('Общие расходы'!C48+'Общие расходы'!C51+'Общие расходы'!C44)*100</f>
        <v>458000</v>
      </c>
      <c r="L20" s="14"/>
      <c r="M20" s="14"/>
      <c r="N20" s="14"/>
      <c r="O20" s="14">
        <f>('Общие расходы'!C56+'Общие расходы'!C53)*100</f>
        <v>110000</v>
      </c>
      <c r="P20" s="14"/>
      <c r="Q20" s="14"/>
      <c r="R20" s="14"/>
      <c r="S20" s="14"/>
      <c r="T20" s="14"/>
      <c r="U20" s="14"/>
      <c r="V20" s="14">
        <f>('Общие расходы'!C33+'Общие расходы'!C36+'Общие расходы'!C39)*100</f>
        <v>260000</v>
      </c>
      <c r="W20" s="14">
        <f>('Общие расходы'!C48+'Общие расходы'!C51+'Общие расходы'!C44)*100</f>
        <v>458000</v>
      </c>
      <c r="X20" s="14"/>
      <c r="Y20" s="14"/>
      <c r="Z20" s="14"/>
      <c r="AA20" s="14">
        <f>('Общие расходы'!C56+'Общие расходы'!C53)*100</f>
        <v>110000</v>
      </c>
      <c r="AB20" s="14"/>
      <c r="AC20" s="14"/>
      <c r="AD20" s="14"/>
      <c r="AE20" s="14"/>
      <c r="AF20" s="14"/>
      <c r="AG20" s="14"/>
      <c r="AH20" s="14">
        <f>('Общие расходы'!C33+'Общие расходы'!C36+'Общие расходы'!C39)*100</f>
        <v>260000</v>
      </c>
      <c r="AI20" s="14">
        <f>('Общие расходы'!C48+'Общие расходы'!C51+'Общие расходы'!C44)*100</f>
        <v>458000</v>
      </c>
      <c r="AJ20" s="14"/>
      <c r="AK20" s="14"/>
      <c r="AL20" s="14"/>
      <c r="AM20" s="14">
        <f>('Общие расходы'!C56+'Общие расходы'!C53)*100</f>
        <v>110000</v>
      </c>
      <c r="AN20" s="14"/>
      <c r="AO20" s="14"/>
      <c r="AP20" s="15">
        <f t="shared" si="33"/>
        <v>2484000</v>
      </c>
    </row>
    <row r="21" spans="1:43">
      <c r="A21" s="25" t="s">
        <v>115</v>
      </c>
      <c r="B21" s="14"/>
      <c r="C21" s="14">
        <f>Капвложения_ОС!B27*2.79*360</f>
        <v>24557.58</v>
      </c>
      <c r="D21" s="14">
        <v>7500</v>
      </c>
      <c r="E21" s="14">
        <v>8900</v>
      </c>
      <c r="F21" s="14">
        <v>3000</v>
      </c>
      <c r="G21" s="14">
        <v>3000</v>
      </c>
      <c r="H21" s="14">
        <v>3000</v>
      </c>
      <c r="I21" s="14">
        <v>3000</v>
      </c>
      <c r="J21" s="14">
        <f>Капвложения_ОС!B27*2.79*360*0.5</f>
        <v>12278.79</v>
      </c>
      <c r="K21" s="14">
        <f>Капвложения_ОС!B27*2.79*360*0.5</f>
        <v>12278.79</v>
      </c>
      <c r="L21" s="14">
        <f>Капвложения_ОС!B27*2.79*360*0.5</f>
        <v>12278.79</v>
      </c>
      <c r="M21" s="14">
        <f>Капвложения_ОС!B27*2.79*360*0.5</f>
        <v>12278.79</v>
      </c>
      <c r="N21" s="14">
        <f>Капвложения_ОС!B27*2.79*360*0.5</f>
        <v>12278.79</v>
      </c>
      <c r="O21" s="14">
        <f>Капвложения_ОС!B27*2.79*360</f>
        <v>24557.58</v>
      </c>
      <c r="P21" s="14">
        <v>7500</v>
      </c>
      <c r="Q21" s="14">
        <v>7500</v>
      </c>
      <c r="R21" s="14">
        <v>3000</v>
      </c>
      <c r="S21" s="14">
        <v>3000</v>
      </c>
      <c r="T21" s="14">
        <v>3000</v>
      </c>
      <c r="U21" s="14">
        <v>3000</v>
      </c>
      <c r="V21" s="14">
        <f>Капвложения_ОС!B27*2.79*360*0.5</f>
        <v>12278.79</v>
      </c>
      <c r="W21" s="14">
        <f>Капвложения_ОС!B27*2.79*360*0.5</f>
        <v>12278.79</v>
      </c>
      <c r="X21" s="14">
        <f>Капвложения_ОС!B27*2.79*360*0.5</f>
        <v>12278.79</v>
      </c>
      <c r="Y21" s="14">
        <f>Капвложения_ОС!B27*2.79*360*0.5</f>
        <v>12278.79</v>
      </c>
      <c r="Z21" s="14">
        <f>Капвложения_ОС!B27*2.79*360*0.5</f>
        <v>12278.79</v>
      </c>
      <c r="AA21" s="14">
        <f>Капвложения_ОС!B27*2.79*360</f>
        <v>24557.58</v>
      </c>
      <c r="AB21" s="14">
        <v>7500</v>
      </c>
      <c r="AC21" s="14">
        <v>7500</v>
      </c>
      <c r="AD21" s="14">
        <v>3000</v>
      </c>
      <c r="AE21" s="14">
        <v>3000</v>
      </c>
      <c r="AF21" s="14">
        <v>3000</v>
      </c>
      <c r="AG21" s="14">
        <v>3000</v>
      </c>
      <c r="AH21" s="14">
        <f>Капвложения_ОС!B27*2.79*360*0.5</f>
        <v>12278.79</v>
      </c>
      <c r="AI21" s="14">
        <f>Капвложения_ОС!B27*2.79*360*0.5</f>
        <v>12278.79</v>
      </c>
      <c r="AJ21" s="14">
        <f>Капвложения_ОС!B27*2.79*360*0.5</f>
        <v>12278.79</v>
      </c>
      <c r="AK21" s="14">
        <f>Капвложения_ОС!B27*2.79*360*0.5</f>
        <v>12278.79</v>
      </c>
      <c r="AL21" s="14">
        <f>Капвложения_ОС!B27*2.79*360*0.5</f>
        <v>12278.79</v>
      </c>
      <c r="AM21" s="14">
        <f>Капвложения_ОС!B27*2.79*360</f>
        <v>24557.58</v>
      </c>
      <c r="AN21" s="14">
        <v>7500</v>
      </c>
      <c r="AO21" s="14">
        <v>7500</v>
      </c>
      <c r="AP21" s="15">
        <f t="shared" si="33"/>
        <v>379812.17</v>
      </c>
    </row>
    <row r="22" spans="1:43">
      <c r="A22" s="67" t="s">
        <v>116</v>
      </c>
      <c r="B22" s="16">
        <f>SUM(B14:B21)</f>
        <v>169000</v>
      </c>
      <c r="C22" s="16">
        <f t="shared" ref="C22:AO22" si="34">SUM(C14:C21)</f>
        <v>5193557.58</v>
      </c>
      <c r="D22" s="16">
        <f t="shared" si="34"/>
        <v>218166</v>
      </c>
      <c r="E22" s="16">
        <f t="shared" si="34"/>
        <v>219566</v>
      </c>
      <c r="F22" s="16">
        <f t="shared" si="34"/>
        <v>213666</v>
      </c>
      <c r="G22" s="16">
        <f t="shared" si="34"/>
        <v>213666</v>
      </c>
      <c r="H22" s="16">
        <f t="shared" si="34"/>
        <v>213666</v>
      </c>
      <c r="I22" s="16">
        <f t="shared" si="34"/>
        <v>213666</v>
      </c>
      <c r="J22" s="16">
        <f t="shared" si="34"/>
        <v>1007944.79</v>
      </c>
      <c r="K22" s="16">
        <f t="shared" si="34"/>
        <v>705944.79</v>
      </c>
      <c r="L22" s="16">
        <f t="shared" si="34"/>
        <v>247944.79</v>
      </c>
      <c r="M22" s="16">
        <f t="shared" si="34"/>
        <v>247944.79</v>
      </c>
      <c r="N22" s="16">
        <f t="shared" si="34"/>
        <v>247944.79</v>
      </c>
      <c r="O22" s="16">
        <f t="shared" si="34"/>
        <v>5370223.5800000001</v>
      </c>
      <c r="P22" s="16">
        <f t="shared" si="34"/>
        <v>243166</v>
      </c>
      <c r="Q22" s="16">
        <f t="shared" si="34"/>
        <v>243166</v>
      </c>
      <c r="R22" s="16">
        <f t="shared" si="34"/>
        <v>238666</v>
      </c>
      <c r="S22" s="16">
        <f t="shared" si="34"/>
        <v>238666</v>
      </c>
      <c r="T22" s="16">
        <f t="shared" si="34"/>
        <v>238666</v>
      </c>
      <c r="U22" s="16">
        <f t="shared" si="34"/>
        <v>238666</v>
      </c>
      <c r="V22" s="16">
        <f t="shared" si="34"/>
        <v>1024844.79</v>
      </c>
      <c r="W22" s="16">
        <f t="shared" si="34"/>
        <v>722844.79</v>
      </c>
      <c r="X22" s="16">
        <f t="shared" si="34"/>
        <v>264844.78999999998</v>
      </c>
      <c r="Y22" s="16">
        <f t="shared" si="34"/>
        <v>264844.78999999998</v>
      </c>
      <c r="Z22" s="16">
        <f t="shared" si="34"/>
        <v>264844.78999999998</v>
      </c>
      <c r="AA22" s="16">
        <f t="shared" si="34"/>
        <v>5387123.5800000001</v>
      </c>
      <c r="AB22" s="16">
        <f t="shared" si="34"/>
        <v>260066</v>
      </c>
      <c r="AC22" s="16">
        <f t="shared" si="34"/>
        <v>260066</v>
      </c>
      <c r="AD22" s="16">
        <f t="shared" si="34"/>
        <v>255566</v>
      </c>
      <c r="AE22" s="16">
        <f t="shared" si="34"/>
        <v>255566</v>
      </c>
      <c r="AF22" s="16">
        <f t="shared" si="34"/>
        <v>255566</v>
      </c>
      <c r="AG22" s="16">
        <f t="shared" si="34"/>
        <v>255566</v>
      </c>
      <c r="AH22" s="16">
        <f t="shared" si="34"/>
        <v>1024844.79</v>
      </c>
      <c r="AI22" s="16">
        <f t="shared" si="34"/>
        <v>722844.79</v>
      </c>
      <c r="AJ22" s="16">
        <f t="shared" si="34"/>
        <v>264844.78999999998</v>
      </c>
      <c r="AK22" s="16">
        <f t="shared" si="34"/>
        <v>264844.78999999998</v>
      </c>
      <c r="AL22" s="16">
        <f t="shared" si="34"/>
        <v>264844.78999999998</v>
      </c>
      <c r="AM22" s="16">
        <f t="shared" si="34"/>
        <v>5387123.5800000001</v>
      </c>
      <c r="AN22" s="16">
        <f t="shared" si="34"/>
        <v>260066</v>
      </c>
      <c r="AO22" s="16">
        <f t="shared" si="34"/>
        <v>260066</v>
      </c>
      <c r="AP22" s="16">
        <f>SUM(AP14:AP21)</f>
        <v>33845120.170000002</v>
      </c>
    </row>
    <row r="23" spans="1:43">
      <c r="A23" s="25" t="s">
        <v>38</v>
      </c>
      <c r="B23" s="14">
        <f>Амортизация!B17</f>
        <v>41522.916666666664</v>
      </c>
      <c r="C23" s="14">
        <f>Амортизация!C17</f>
        <v>41522.916666666664</v>
      </c>
      <c r="D23" s="14">
        <f>Амортизация!D17</f>
        <v>41522.916666666664</v>
      </c>
      <c r="E23" s="14">
        <f>Амортизация!E17</f>
        <v>41522.916666666664</v>
      </c>
      <c r="F23" s="14">
        <f>Амортизация!F17</f>
        <v>41522.916666666664</v>
      </c>
      <c r="G23" s="14">
        <f>Амортизация!G17</f>
        <v>41522.916666666664</v>
      </c>
      <c r="H23" s="14">
        <f>Амортизация!H17</f>
        <v>41522.916666666664</v>
      </c>
      <c r="I23" s="14">
        <f>Амортизация!I17</f>
        <v>41522.916666666664</v>
      </c>
      <c r="J23" s="14">
        <f>Амортизация!J17</f>
        <v>47564.583333333336</v>
      </c>
      <c r="K23" s="14">
        <f>Амортизация!K17</f>
        <v>47564.583333333336</v>
      </c>
      <c r="L23" s="14">
        <f>Амортизация!L17</f>
        <v>47564.583333333336</v>
      </c>
      <c r="M23" s="14">
        <f>Амортизация!M17</f>
        <v>47564.583333333336</v>
      </c>
      <c r="N23" s="14">
        <f>Амортизация!N17</f>
        <v>47564.583333333336</v>
      </c>
      <c r="O23" s="14">
        <f>Амортизация!O17</f>
        <v>47564.583333333336</v>
      </c>
      <c r="P23" s="14">
        <f>Амортизация!P17</f>
        <v>47564.583333333336</v>
      </c>
      <c r="Q23" s="14">
        <f>Амортизация!Q17</f>
        <v>47564.583333333336</v>
      </c>
      <c r="R23" s="14">
        <f>Амортизация!R17</f>
        <v>47564.583333333336</v>
      </c>
      <c r="S23" s="14">
        <f>Амортизация!S17</f>
        <v>47564.583333333336</v>
      </c>
      <c r="T23" s="14">
        <f>Амортизация!T17</f>
        <v>47564.583333333336</v>
      </c>
      <c r="U23" s="14">
        <f>Амортизация!U17</f>
        <v>47564.583333333336</v>
      </c>
      <c r="V23" s="14">
        <f>Амортизация!V17</f>
        <v>47564.583333333336</v>
      </c>
      <c r="W23" s="14">
        <f>Амортизация!W17</f>
        <v>47564.583333333336</v>
      </c>
      <c r="X23" s="14">
        <f>Амортизация!X17</f>
        <v>47564.583333333336</v>
      </c>
      <c r="Y23" s="14">
        <f>Амортизация!Y17</f>
        <v>47564.583333333336</v>
      </c>
      <c r="Z23" s="14">
        <f>Амортизация!Z17</f>
        <v>47564.583333333336</v>
      </c>
      <c r="AA23" s="14">
        <f>Амортизация!AA17</f>
        <v>47564.583333333336</v>
      </c>
      <c r="AB23" s="14">
        <f>Амортизация!AB17</f>
        <v>47564.583333333336</v>
      </c>
      <c r="AC23" s="14">
        <f>Амортизация!AC17</f>
        <v>47564.583333333336</v>
      </c>
      <c r="AD23" s="14">
        <f>Амортизация!AD17</f>
        <v>47564.583333333336</v>
      </c>
      <c r="AE23" s="14">
        <f>Амортизация!AE17</f>
        <v>47564.583333333336</v>
      </c>
      <c r="AF23" s="14">
        <f>Амортизация!AF17</f>
        <v>47564.583333333336</v>
      </c>
      <c r="AG23" s="14">
        <f>Амортизация!AG17</f>
        <v>47564.583333333336</v>
      </c>
      <c r="AH23" s="14">
        <f>Амортизация!AH17</f>
        <v>47564.583333333336</v>
      </c>
      <c r="AI23" s="14">
        <f>Амортизация!AI17</f>
        <v>47564.583333333336</v>
      </c>
      <c r="AJ23" s="14">
        <f>Амортизация!AJ17</f>
        <v>47564.583333333336</v>
      </c>
      <c r="AK23" s="14">
        <f>Амортизация!AK17</f>
        <v>47564.583333333336</v>
      </c>
      <c r="AL23" s="14">
        <f>Амортизация!AL17</f>
        <v>47564.583333333336</v>
      </c>
      <c r="AM23" s="14">
        <f>Амортизация!AM17</f>
        <v>47564.583333333336</v>
      </c>
      <c r="AN23" s="14">
        <f>Амортизация!AN17</f>
        <v>47564.583333333336</v>
      </c>
      <c r="AO23" s="14">
        <f>Амортизация!AO17</f>
        <v>47564.583333333336</v>
      </c>
      <c r="AP23" s="15">
        <f>Амортизация!AP17</f>
        <v>1854249.9999999991</v>
      </c>
    </row>
    <row r="24" spans="1:43">
      <c r="A24" s="67" t="s">
        <v>152</v>
      </c>
      <c r="B24" s="16">
        <f>B22+B13</f>
        <v>269000</v>
      </c>
      <c r="C24" s="16">
        <f t="shared" ref="C24:AP24" si="35">C22+C13</f>
        <v>15159057.58</v>
      </c>
      <c r="D24" s="16">
        <f t="shared" si="35"/>
        <v>218166</v>
      </c>
      <c r="E24" s="16">
        <f t="shared" si="35"/>
        <v>219566</v>
      </c>
      <c r="F24" s="16">
        <f t="shared" si="35"/>
        <v>213666</v>
      </c>
      <c r="G24" s="16">
        <f t="shared" si="35"/>
        <v>213666</v>
      </c>
      <c r="H24" s="16">
        <f t="shared" si="35"/>
        <v>213666</v>
      </c>
      <c r="I24" s="16">
        <f t="shared" si="35"/>
        <v>213666</v>
      </c>
      <c r="J24" s="16">
        <f t="shared" si="35"/>
        <v>2457944.79</v>
      </c>
      <c r="K24" s="16">
        <f t="shared" si="35"/>
        <v>705944.79</v>
      </c>
      <c r="L24" s="16">
        <f t="shared" si="35"/>
        <v>247944.79</v>
      </c>
      <c r="M24" s="16">
        <f t="shared" si="35"/>
        <v>247944.79</v>
      </c>
      <c r="N24" s="16">
        <f t="shared" si="35"/>
        <v>247944.79</v>
      </c>
      <c r="O24" s="16">
        <f t="shared" si="35"/>
        <v>5370223.5800000001</v>
      </c>
      <c r="P24" s="16">
        <f t="shared" si="35"/>
        <v>243166</v>
      </c>
      <c r="Q24" s="16">
        <f t="shared" si="35"/>
        <v>243166</v>
      </c>
      <c r="R24" s="16">
        <f t="shared" si="35"/>
        <v>238666</v>
      </c>
      <c r="S24" s="16">
        <f t="shared" si="35"/>
        <v>238666</v>
      </c>
      <c r="T24" s="16">
        <f t="shared" si="35"/>
        <v>238666</v>
      </c>
      <c r="U24" s="16">
        <f t="shared" si="35"/>
        <v>238666</v>
      </c>
      <c r="V24" s="16">
        <f t="shared" si="35"/>
        <v>1024844.79</v>
      </c>
      <c r="W24" s="16">
        <f t="shared" si="35"/>
        <v>722844.79</v>
      </c>
      <c r="X24" s="16">
        <f t="shared" si="35"/>
        <v>264844.78999999998</v>
      </c>
      <c r="Y24" s="16">
        <f t="shared" si="35"/>
        <v>264844.78999999998</v>
      </c>
      <c r="Z24" s="16">
        <f t="shared" si="35"/>
        <v>264844.78999999998</v>
      </c>
      <c r="AA24" s="16">
        <f t="shared" si="35"/>
        <v>5387123.5800000001</v>
      </c>
      <c r="AB24" s="16">
        <f t="shared" si="35"/>
        <v>260066</v>
      </c>
      <c r="AC24" s="16">
        <f t="shared" si="35"/>
        <v>260066</v>
      </c>
      <c r="AD24" s="16">
        <f t="shared" si="35"/>
        <v>255566</v>
      </c>
      <c r="AE24" s="16">
        <f t="shared" si="35"/>
        <v>255566</v>
      </c>
      <c r="AF24" s="16">
        <f t="shared" si="35"/>
        <v>255566</v>
      </c>
      <c r="AG24" s="16">
        <f t="shared" si="35"/>
        <v>255566</v>
      </c>
      <c r="AH24" s="16">
        <f t="shared" si="35"/>
        <v>1024844.79</v>
      </c>
      <c r="AI24" s="16">
        <f t="shared" si="35"/>
        <v>722844.79</v>
      </c>
      <c r="AJ24" s="16">
        <f t="shared" si="35"/>
        <v>264844.78999999998</v>
      </c>
      <c r="AK24" s="16">
        <f t="shared" si="35"/>
        <v>264844.78999999998</v>
      </c>
      <c r="AL24" s="16">
        <f t="shared" si="35"/>
        <v>264844.78999999998</v>
      </c>
      <c r="AM24" s="16">
        <f t="shared" si="35"/>
        <v>5387123.5800000001</v>
      </c>
      <c r="AN24" s="16">
        <f t="shared" si="35"/>
        <v>260066</v>
      </c>
      <c r="AO24" s="16">
        <f t="shared" si="35"/>
        <v>260066</v>
      </c>
      <c r="AP24" s="16">
        <f t="shared" si="35"/>
        <v>45360620.170000002</v>
      </c>
    </row>
    <row r="25" spans="1:43">
      <c r="A25" s="26" t="s">
        <v>153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</row>
    <row r="26" spans="1:43">
      <c r="A26" s="18" t="s">
        <v>92</v>
      </c>
      <c r="B26" s="14">
        <f>Доходы!B3</f>
        <v>0</v>
      </c>
      <c r="C26" s="14">
        <f>Доходы!C3</f>
        <v>0</v>
      </c>
      <c r="D26" s="14">
        <f>Доходы!D3</f>
        <v>7000000.0000000009</v>
      </c>
      <c r="E26" s="14">
        <f>Доходы!E3</f>
        <v>7000000.0000000009</v>
      </c>
      <c r="F26" s="14">
        <f>Доходы!F3</f>
        <v>0</v>
      </c>
      <c r="G26" s="14">
        <f>Доходы!G3</f>
        <v>0</v>
      </c>
      <c r="H26" s="14">
        <f>Доходы!H3</f>
        <v>0</v>
      </c>
      <c r="I26" s="14">
        <f>Доходы!I3</f>
        <v>0</v>
      </c>
      <c r="J26" s="14">
        <f>Доходы!J3</f>
        <v>0</v>
      </c>
      <c r="K26" s="14">
        <f>Доходы!K3</f>
        <v>0</v>
      </c>
      <c r="L26" s="14">
        <f>Доходы!L3</f>
        <v>0</v>
      </c>
      <c r="M26" s="14">
        <f>Доходы!M3</f>
        <v>0</v>
      </c>
      <c r="N26" s="14">
        <f>Доходы!N3</f>
        <v>0</v>
      </c>
      <c r="O26" s="14">
        <f>Доходы!O3</f>
        <v>0</v>
      </c>
      <c r="P26" s="14">
        <f>Доходы!P3</f>
        <v>18900000.000000007</v>
      </c>
      <c r="Q26" s="14">
        <f>Доходы!Q3</f>
        <v>18900000.000000007</v>
      </c>
      <c r="R26" s="14">
        <f>Доходы!R3</f>
        <v>18900000.000000007</v>
      </c>
      <c r="S26" s="14">
        <f>Доходы!S3</f>
        <v>18900000.000000007</v>
      </c>
      <c r="T26" s="14">
        <f>Доходы!T3</f>
        <v>0</v>
      </c>
      <c r="U26" s="14">
        <f>Доходы!U3</f>
        <v>0</v>
      </c>
      <c r="V26" s="14">
        <f>Доходы!V3</f>
        <v>0</v>
      </c>
      <c r="W26" s="14">
        <f>Доходы!W3</f>
        <v>0</v>
      </c>
      <c r="X26" s="14">
        <f>Доходы!X3</f>
        <v>0</v>
      </c>
      <c r="Y26" s="14">
        <f>Доходы!Y3</f>
        <v>0</v>
      </c>
      <c r="Z26" s="14">
        <f>Доходы!Z3</f>
        <v>0</v>
      </c>
      <c r="AA26" s="14">
        <f>Доходы!AA3</f>
        <v>0</v>
      </c>
      <c r="AB26" s="14">
        <f>Доходы!AB3</f>
        <v>18900000.000000007</v>
      </c>
      <c r="AC26" s="14">
        <f>Доходы!AC3</f>
        <v>18900000.000000007</v>
      </c>
      <c r="AD26" s="14">
        <f>Доходы!AD3</f>
        <v>18900000.000000007</v>
      </c>
      <c r="AE26" s="14">
        <f>Доходы!AE3</f>
        <v>18900000.000000007</v>
      </c>
      <c r="AF26" s="14">
        <f>Доходы!AF3</f>
        <v>0</v>
      </c>
      <c r="AG26" s="14">
        <f>Доходы!AG3</f>
        <v>0</v>
      </c>
      <c r="AH26" s="14">
        <f>Доходы!AH3</f>
        <v>0</v>
      </c>
      <c r="AI26" s="14">
        <f>Доходы!AI3</f>
        <v>0</v>
      </c>
      <c r="AJ26" s="14">
        <f>Доходы!AJ3</f>
        <v>0</v>
      </c>
      <c r="AK26" s="14">
        <f>Доходы!AK3</f>
        <v>0</v>
      </c>
      <c r="AL26" s="14">
        <f>Доходы!AL3</f>
        <v>0</v>
      </c>
      <c r="AM26" s="14">
        <f>Доходы!AM3</f>
        <v>0</v>
      </c>
      <c r="AN26" s="14">
        <f>Доходы!AN3</f>
        <v>18900000.000000007</v>
      </c>
      <c r="AO26" s="14">
        <f>Доходы!AO3</f>
        <v>18900000.000000007</v>
      </c>
      <c r="AP26" s="15">
        <f>Доходы!AP3</f>
        <v>203000000.00000003</v>
      </c>
    </row>
    <row r="27" spans="1:43">
      <c r="A27" s="18" t="s">
        <v>93</v>
      </c>
      <c r="B27" s="14">
        <f>Доходы!B4</f>
        <v>0</v>
      </c>
      <c r="C27" s="14">
        <f>Доходы!C4</f>
        <v>0</v>
      </c>
      <c r="D27" s="14">
        <f>Доходы!D4</f>
        <v>4859375</v>
      </c>
      <c r="E27" s="14">
        <f>Доходы!E4</f>
        <v>4859375</v>
      </c>
      <c r="F27" s="14">
        <f>Доходы!F4</f>
        <v>4859375</v>
      </c>
      <c r="G27" s="14">
        <f>Доходы!G4</f>
        <v>4859375</v>
      </c>
      <c r="H27" s="14">
        <f>Доходы!H4</f>
        <v>0</v>
      </c>
      <c r="I27" s="14">
        <f>Доходы!I4</f>
        <v>0</v>
      </c>
      <c r="J27" s="14">
        <f>Доходы!J4</f>
        <v>0</v>
      </c>
      <c r="K27" s="14">
        <f>Доходы!K4</f>
        <v>0</v>
      </c>
      <c r="L27" s="14">
        <f>Доходы!L4</f>
        <v>0</v>
      </c>
      <c r="M27" s="14">
        <f>Доходы!M4</f>
        <v>0</v>
      </c>
      <c r="N27" s="14">
        <f>Доходы!N4</f>
        <v>0</v>
      </c>
      <c r="O27" s="14">
        <f>Доходы!O4</f>
        <v>0</v>
      </c>
      <c r="P27" s="14">
        <f>Доходы!P4</f>
        <v>4697916.666666667</v>
      </c>
      <c r="Q27" s="14">
        <f>Доходы!Q4</f>
        <v>4697916.666666667</v>
      </c>
      <c r="R27" s="14">
        <f>Доходы!R4</f>
        <v>4697916.666666667</v>
      </c>
      <c r="S27" s="14">
        <f>Доходы!S4</f>
        <v>4697916.666666667</v>
      </c>
      <c r="T27" s="14">
        <f>Доходы!T4</f>
        <v>4697916.666666667</v>
      </c>
      <c r="U27" s="14">
        <f>Доходы!U4</f>
        <v>4697916.666666667</v>
      </c>
      <c r="V27" s="14">
        <f>Доходы!V4</f>
        <v>0</v>
      </c>
      <c r="W27" s="14">
        <f>Доходы!W4</f>
        <v>0</v>
      </c>
      <c r="X27" s="14">
        <f>Доходы!X4</f>
        <v>0</v>
      </c>
      <c r="Y27" s="14">
        <f>Доходы!Y4</f>
        <v>0</v>
      </c>
      <c r="Z27" s="14">
        <f>Доходы!Z4</f>
        <v>0</v>
      </c>
      <c r="AA27" s="14">
        <f>Доходы!AA4</f>
        <v>0</v>
      </c>
      <c r="AB27" s="14">
        <f>Доходы!AB4</f>
        <v>4697916.666666667</v>
      </c>
      <c r="AC27" s="14">
        <f>Доходы!AC4</f>
        <v>4697916.666666667</v>
      </c>
      <c r="AD27" s="14">
        <f>Доходы!AD4</f>
        <v>4697916.666666667</v>
      </c>
      <c r="AE27" s="14">
        <f>Доходы!AE4</f>
        <v>4697916.666666667</v>
      </c>
      <c r="AF27" s="14">
        <f>Доходы!AF4</f>
        <v>4697916.666666667</v>
      </c>
      <c r="AG27" s="14">
        <f>Доходы!AG4</f>
        <v>4697916.666666667</v>
      </c>
      <c r="AH27" s="14">
        <f>Доходы!AH4</f>
        <v>0</v>
      </c>
      <c r="AI27" s="14">
        <f>Доходы!AI4</f>
        <v>0</v>
      </c>
      <c r="AJ27" s="14">
        <f>Доходы!AJ4</f>
        <v>0</v>
      </c>
      <c r="AK27" s="14">
        <f>Доходы!AK4</f>
        <v>0</v>
      </c>
      <c r="AL27" s="14">
        <f>Доходы!AL4</f>
        <v>0</v>
      </c>
      <c r="AM27" s="14">
        <f>Доходы!AM4</f>
        <v>0</v>
      </c>
      <c r="AN27" s="14">
        <f>Доходы!AN4</f>
        <v>4697916.666666667</v>
      </c>
      <c r="AO27" s="14">
        <f>Доходы!AO4</f>
        <v>4697916.666666667</v>
      </c>
      <c r="AP27" s="15">
        <f>Доходы!AP4</f>
        <v>85208333.333333343</v>
      </c>
    </row>
    <row r="28" spans="1:43">
      <c r="A28" s="102" t="s">
        <v>18</v>
      </c>
      <c r="B28" s="16">
        <f>SUM(B26:B27)</f>
        <v>0</v>
      </c>
      <c r="C28" s="16">
        <f t="shared" ref="C28:AO28" si="36">SUM(C26:C27)</f>
        <v>0</v>
      </c>
      <c r="D28" s="16">
        <f t="shared" si="36"/>
        <v>11859375</v>
      </c>
      <c r="E28" s="16">
        <f t="shared" si="36"/>
        <v>11859375</v>
      </c>
      <c r="F28" s="16">
        <f t="shared" si="36"/>
        <v>4859375</v>
      </c>
      <c r="G28" s="16">
        <f t="shared" si="36"/>
        <v>4859375</v>
      </c>
      <c r="H28" s="16">
        <f t="shared" si="36"/>
        <v>0</v>
      </c>
      <c r="I28" s="16">
        <f t="shared" si="36"/>
        <v>0</v>
      </c>
      <c r="J28" s="16">
        <f t="shared" si="36"/>
        <v>0</v>
      </c>
      <c r="K28" s="16">
        <f t="shared" si="36"/>
        <v>0</v>
      </c>
      <c r="L28" s="16">
        <f t="shared" si="36"/>
        <v>0</v>
      </c>
      <c r="M28" s="16">
        <f t="shared" si="36"/>
        <v>0</v>
      </c>
      <c r="N28" s="16">
        <f t="shared" si="36"/>
        <v>0</v>
      </c>
      <c r="O28" s="16">
        <f t="shared" si="36"/>
        <v>0</v>
      </c>
      <c r="P28" s="16">
        <f t="shared" si="36"/>
        <v>23597916.666666675</v>
      </c>
      <c r="Q28" s="16">
        <f t="shared" si="36"/>
        <v>23597916.666666675</v>
      </c>
      <c r="R28" s="16">
        <f t="shared" si="36"/>
        <v>23597916.666666675</v>
      </c>
      <c r="S28" s="16">
        <f t="shared" si="36"/>
        <v>23597916.666666675</v>
      </c>
      <c r="T28" s="16">
        <f t="shared" si="36"/>
        <v>4697916.666666667</v>
      </c>
      <c r="U28" s="16">
        <f t="shared" si="36"/>
        <v>4697916.666666667</v>
      </c>
      <c r="V28" s="16">
        <f t="shared" si="36"/>
        <v>0</v>
      </c>
      <c r="W28" s="16">
        <f t="shared" si="36"/>
        <v>0</v>
      </c>
      <c r="X28" s="16">
        <f t="shared" si="36"/>
        <v>0</v>
      </c>
      <c r="Y28" s="16">
        <f t="shared" si="36"/>
        <v>0</v>
      </c>
      <c r="Z28" s="16">
        <f t="shared" si="36"/>
        <v>0</v>
      </c>
      <c r="AA28" s="16">
        <f t="shared" si="36"/>
        <v>0</v>
      </c>
      <c r="AB28" s="16">
        <f t="shared" si="36"/>
        <v>23597916.666666675</v>
      </c>
      <c r="AC28" s="16">
        <f t="shared" si="36"/>
        <v>23597916.666666675</v>
      </c>
      <c r="AD28" s="16">
        <f t="shared" si="36"/>
        <v>23597916.666666675</v>
      </c>
      <c r="AE28" s="16">
        <f t="shared" si="36"/>
        <v>23597916.666666675</v>
      </c>
      <c r="AF28" s="16">
        <f t="shared" si="36"/>
        <v>4697916.666666667</v>
      </c>
      <c r="AG28" s="16">
        <f t="shared" si="36"/>
        <v>4697916.666666667</v>
      </c>
      <c r="AH28" s="16">
        <f t="shared" si="36"/>
        <v>0</v>
      </c>
      <c r="AI28" s="16">
        <f t="shared" si="36"/>
        <v>0</v>
      </c>
      <c r="AJ28" s="16">
        <f t="shared" si="36"/>
        <v>0</v>
      </c>
      <c r="AK28" s="16">
        <f t="shared" si="36"/>
        <v>0</v>
      </c>
      <c r="AL28" s="16">
        <f t="shared" si="36"/>
        <v>0</v>
      </c>
      <c r="AM28" s="16">
        <f t="shared" si="36"/>
        <v>0</v>
      </c>
      <c r="AN28" s="16">
        <f t="shared" si="36"/>
        <v>23597916.666666675</v>
      </c>
      <c r="AO28" s="16">
        <f t="shared" si="36"/>
        <v>23597916.666666675</v>
      </c>
      <c r="AP28" s="16">
        <f>SUM(AP26:AP27)</f>
        <v>288208333.33333337</v>
      </c>
    </row>
    <row r="29" spans="1:43" s="29" customFormat="1">
      <c r="A29" s="36" t="s">
        <v>30</v>
      </c>
      <c r="B29" s="106">
        <f>B28-B24</f>
        <v>-269000</v>
      </c>
      <c r="C29" s="106">
        <f t="shared" ref="C29:AP29" si="37">C28-C24</f>
        <v>-15159057.58</v>
      </c>
      <c r="D29" s="106">
        <f t="shared" si="37"/>
        <v>11641209</v>
      </c>
      <c r="E29" s="106">
        <f t="shared" si="37"/>
        <v>11639809</v>
      </c>
      <c r="F29" s="106">
        <f t="shared" si="37"/>
        <v>4645709</v>
      </c>
      <c r="G29" s="106">
        <f t="shared" si="37"/>
        <v>4645709</v>
      </c>
      <c r="H29" s="106">
        <f t="shared" si="37"/>
        <v>-213666</v>
      </c>
      <c r="I29" s="106">
        <f t="shared" si="37"/>
        <v>-213666</v>
      </c>
      <c r="J29" s="106">
        <f t="shared" si="37"/>
        <v>-2457944.79</v>
      </c>
      <c r="K29" s="106">
        <f t="shared" si="37"/>
        <v>-705944.79</v>
      </c>
      <c r="L29" s="106">
        <f t="shared" si="37"/>
        <v>-247944.79</v>
      </c>
      <c r="M29" s="106">
        <f t="shared" si="37"/>
        <v>-247944.79</v>
      </c>
      <c r="N29" s="106">
        <f t="shared" si="37"/>
        <v>-247944.79</v>
      </c>
      <c r="O29" s="106">
        <f t="shared" si="37"/>
        <v>-5370223.5800000001</v>
      </c>
      <c r="P29" s="106">
        <f t="shared" si="37"/>
        <v>23354750.666666675</v>
      </c>
      <c r="Q29" s="106">
        <f t="shared" si="37"/>
        <v>23354750.666666675</v>
      </c>
      <c r="R29" s="106">
        <f t="shared" si="37"/>
        <v>23359250.666666675</v>
      </c>
      <c r="S29" s="106">
        <f t="shared" si="37"/>
        <v>23359250.666666675</v>
      </c>
      <c r="T29" s="106">
        <f t="shared" si="37"/>
        <v>4459250.666666667</v>
      </c>
      <c r="U29" s="106">
        <f t="shared" si="37"/>
        <v>4459250.666666667</v>
      </c>
      <c r="V29" s="106">
        <f t="shared" si="37"/>
        <v>-1024844.79</v>
      </c>
      <c r="W29" s="106">
        <f t="shared" si="37"/>
        <v>-722844.79</v>
      </c>
      <c r="X29" s="106">
        <f t="shared" si="37"/>
        <v>-264844.78999999998</v>
      </c>
      <c r="Y29" s="106">
        <f t="shared" si="37"/>
        <v>-264844.78999999998</v>
      </c>
      <c r="Z29" s="106">
        <f t="shared" si="37"/>
        <v>-264844.78999999998</v>
      </c>
      <c r="AA29" s="106">
        <f t="shared" si="37"/>
        <v>-5387123.5800000001</v>
      </c>
      <c r="AB29" s="106">
        <f t="shared" si="37"/>
        <v>23337850.666666675</v>
      </c>
      <c r="AC29" s="106">
        <f t="shared" si="37"/>
        <v>23337850.666666675</v>
      </c>
      <c r="AD29" s="106">
        <f t="shared" si="37"/>
        <v>23342350.666666675</v>
      </c>
      <c r="AE29" s="106">
        <f t="shared" si="37"/>
        <v>23342350.666666675</v>
      </c>
      <c r="AF29" s="106">
        <f t="shared" si="37"/>
        <v>4442350.666666667</v>
      </c>
      <c r="AG29" s="106">
        <f t="shared" si="37"/>
        <v>4442350.666666667</v>
      </c>
      <c r="AH29" s="106">
        <f t="shared" si="37"/>
        <v>-1024844.79</v>
      </c>
      <c r="AI29" s="106">
        <f t="shared" si="37"/>
        <v>-722844.79</v>
      </c>
      <c r="AJ29" s="106">
        <f t="shared" si="37"/>
        <v>-264844.78999999998</v>
      </c>
      <c r="AK29" s="106">
        <f t="shared" si="37"/>
        <v>-264844.78999999998</v>
      </c>
      <c r="AL29" s="106">
        <f t="shared" si="37"/>
        <v>-264844.78999999998</v>
      </c>
      <c r="AM29" s="106">
        <f t="shared" si="37"/>
        <v>-5387123.5800000001</v>
      </c>
      <c r="AN29" s="106">
        <f t="shared" si="37"/>
        <v>23337850.666666675</v>
      </c>
      <c r="AO29" s="106">
        <f t="shared" si="37"/>
        <v>23337850.666666675</v>
      </c>
      <c r="AP29" s="106">
        <f t="shared" si="37"/>
        <v>242847713.16333336</v>
      </c>
    </row>
    <row r="30" spans="1:43" s="29" customFormat="1">
      <c r="A30" s="25" t="s">
        <v>154</v>
      </c>
      <c r="B30" s="14">
        <f>B28*20%</f>
        <v>0</v>
      </c>
      <c r="C30" s="14">
        <f t="shared" ref="C30:AP30" si="38">C28*20%</f>
        <v>0</v>
      </c>
      <c r="D30" s="14">
        <f t="shared" si="38"/>
        <v>2371875</v>
      </c>
      <c r="E30" s="14">
        <f t="shared" si="38"/>
        <v>2371875</v>
      </c>
      <c r="F30" s="14">
        <f t="shared" si="38"/>
        <v>971875</v>
      </c>
      <c r="G30" s="14">
        <f t="shared" si="38"/>
        <v>971875</v>
      </c>
      <c r="H30" s="14">
        <f t="shared" si="38"/>
        <v>0</v>
      </c>
      <c r="I30" s="14">
        <f t="shared" si="38"/>
        <v>0</v>
      </c>
      <c r="J30" s="14">
        <f t="shared" si="38"/>
        <v>0</v>
      </c>
      <c r="K30" s="14">
        <f t="shared" si="38"/>
        <v>0</v>
      </c>
      <c r="L30" s="14">
        <f t="shared" si="38"/>
        <v>0</v>
      </c>
      <c r="M30" s="14">
        <f t="shared" si="38"/>
        <v>0</v>
      </c>
      <c r="N30" s="14">
        <f t="shared" si="38"/>
        <v>0</v>
      </c>
      <c r="O30" s="14">
        <f t="shared" si="38"/>
        <v>0</v>
      </c>
      <c r="P30" s="14">
        <f t="shared" si="38"/>
        <v>4719583.3333333349</v>
      </c>
      <c r="Q30" s="14">
        <f t="shared" si="38"/>
        <v>4719583.3333333349</v>
      </c>
      <c r="R30" s="14">
        <f t="shared" si="38"/>
        <v>4719583.3333333349</v>
      </c>
      <c r="S30" s="14">
        <f t="shared" si="38"/>
        <v>4719583.3333333349</v>
      </c>
      <c r="T30" s="14">
        <f t="shared" si="38"/>
        <v>939583.33333333349</v>
      </c>
      <c r="U30" s="14">
        <f t="shared" si="38"/>
        <v>939583.33333333349</v>
      </c>
      <c r="V30" s="14">
        <f t="shared" si="38"/>
        <v>0</v>
      </c>
      <c r="W30" s="14">
        <f t="shared" si="38"/>
        <v>0</v>
      </c>
      <c r="X30" s="14">
        <f t="shared" si="38"/>
        <v>0</v>
      </c>
      <c r="Y30" s="14">
        <f t="shared" si="38"/>
        <v>0</v>
      </c>
      <c r="Z30" s="14">
        <f t="shared" si="38"/>
        <v>0</v>
      </c>
      <c r="AA30" s="14">
        <f t="shared" si="38"/>
        <v>0</v>
      </c>
      <c r="AB30" s="14">
        <f t="shared" si="38"/>
        <v>4719583.3333333349</v>
      </c>
      <c r="AC30" s="14">
        <f t="shared" si="38"/>
        <v>4719583.3333333349</v>
      </c>
      <c r="AD30" s="14">
        <f t="shared" si="38"/>
        <v>4719583.3333333349</v>
      </c>
      <c r="AE30" s="14">
        <f t="shared" si="38"/>
        <v>4719583.3333333349</v>
      </c>
      <c r="AF30" s="14">
        <f t="shared" si="38"/>
        <v>939583.33333333349</v>
      </c>
      <c r="AG30" s="14">
        <f t="shared" si="38"/>
        <v>939583.33333333349</v>
      </c>
      <c r="AH30" s="14">
        <f t="shared" si="38"/>
        <v>0</v>
      </c>
      <c r="AI30" s="14">
        <f t="shared" si="38"/>
        <v>0</v>
      </c>
      <c r="AJ30" s="14">
        <f t="shared" si="38"/>
        <v>0</v>
      </c>
      <c r="AK30" s="14">
        <f t="shared" si="38"/>
        <v>0</v>
      </c>
      <c r="AL30" s="14">
        <f t="shared" si="38"/>
        <v>0</v>
      </c>
      <c r="AM30" s="14">
        <f t="shared" si="38"/>
        <v>0</v>
      </c>
      <c r="AN30" s="14">
        <f t="shared" si="38"/>
        <v>4719583.3333333349</v>
      </c>
      <c r="AO30" s="14">
        <f t="shared" si="38"/>
        <v>4719583.3333333349</v>
      </c>
      <c r="AP30" s="14">
        <f t="shared" si="38"/>
        <v>57641666.666666679</v>
      </c>
    </row>
    <row r="31" spans="1:43" s="29" customFormat="1">
      <c r="A31" s="25" t="s">
        <v>31</v>
      </c>
      <c r="B31" s="14">
        <f>B14*13%</f>
        <v>16900</v>
      </c>
      <c r="C31" s="14">
        <f t="shared" ref="C31:AP31" si="39">C14*13%</f>
        <v>16900</v>
      </c>
      <c r="D31" s="14">
        <f t="shared" si="39"/>
        <v>16900</v>
      </c>
      <c r="E31" s="14">
        <f t="shared" si="39"/>
        <v>16900</v>
      </c>
      <c r="F31" s="14">
        <f t="shared" si="39"/>
        <v>16900</v>
      </c>
      <c r="G31" s="14">
        <f t="shared" si="39"/>
        <v>16900</v>
      </c>
      <c r="H31" s="14">
        <f t="shared" si="39"/>
        <v>16900</v>
      </c>
      <c r="I31" s="14">
        <f t="shared" si="39"/>
        <v>16900</v>
      </c>
      <c r="J31" s="14">
        <f t="shared" si="39"/>
        <v>16900</v>
      </c>
      <c r="K31" s="14">
        <f t="shared" si="39"/>
        <v>16900</v>
      </c>
      <c r="L31" s="14">
        <f t="shared" si="39"/>
        <v>16900</v>
      </c>
      <c r="M31" s="14">
        <f t="shared" si="39"/>
        <v>16900</v>
      </c>
      <c r="N31" s="14">
        <f t="shared" si="39"/>
        <v>16900</v>
      </c>
      <c r="O31" s="14">
        <f t="shared" si="39"/>
        <v>16900</v>
      </c>
      <c r="P31" s="14">
        <f t="shared" si="39"/>
        <v>16900</v>
      </c>
      <c r="Q31" s="14">
        <f t="shared" si="39"/>
        <v>16900</v>
      </c>
      <c r="R31" s="14">
        <f t="shared" si="39"/>
        <v>16900</v>
      </c>
      <c r="S31" s="14">
        <f t="shared" si="39"/>
        <v>16900</v>
      </c>
      <c r="T31" s="14">
        <f t="shared" si="39"/>
        <v>16900</v>
      </c>
      <c r="U31" s="14">
        <f t="shared" si="39"/>
        <v>16900</v>
      </c>
      <c r="V31" s="14">
        <f t="shared" si="39"/>
        <v>18590</v>
      </c>
      <c r="W31" s="14">
        <f t="shared" si="39"/>
        <v>18590</v>
      </c>
      <c r="X31" s="14">
        <f t="shared" si="39"/>
        <v>18590</v>
      </c>
      <c r="Y31" s="14">
        <f t="shared" si="39"/>
        <v>18590</v>
      </c>
      <c r="Z31" s="14">
        <f t="shared" si="39"/>
        <v>18590</v>
      </c>
      <c r="AA31" s="14">
        <f t="shared" si="39"/>
        <v>18590</v>
      </c>
      <c r="AB31" s="14">
        <f t="shared" si="39"/>
        <v>18590</v>
      </c>
      <c r="AC31" s="14">
        <f t="shared" si="39"/>
        <v>18590</v>
      </c>
      <c r="AD31" s="14">
        <f t="shared" si="39"/>
        <v>18590</v>
      </c>
      <c r="AE31" s="14">
        <f t="shared" si="39"/>
        <v>18590</v>
      </c>
      <c r="AF31" s="14">
        <f t="shared" si="39"/>
        <v>18590</v>
      </c>
      <c r="AG31" s="14">
        <f t="shared" si="39"/>
        <v>18590</v>
      </c>
      <c r="AH31" s="14">
        <f t="shared" si="39"/>
        <v>18590</v>
      </c>
      <c r="AI31" s="14">
        <f t="shared" si="39"/>
        <v>18590</v>
      </c>
      <c r="AJ31" s="14">
        <f t="shared" si="39"/>
        <v>18590</v>
      </c>
      <c r="AK31" s="14">
        <f t="shared" si="39"/>
        <v>18590</v>
      </c>
      <c r="AL31" s="14">
        <f t="shared" si="39"/>
        <v>18590</v>
      </c>
      <c r="AM31" s="14">
        <f t="shared" si="39"/>
        <v>18590</v>
      </c>
      <c r="AN31" s="14">
        <f t="shared" si="39"/>
        <v>18590</v>
      </c>
      <c r="AO31" s="14">
        <f t="shared" si="39"/>
        <v>18590</v>
      </c>
      <c r="AP31" s="14">
        <f t="shared" si="39"/>
        <v>709800</v>
      </c>
      <c r="AQ31" s="123"/>
    </row>
    <row r="32" spans="1:43" s="35" customFormat="1">
      <c r="A32" s="104" t="s">
        <v>43</v>
      </c>
      <c r="B32" s="107">
        <f>B28-B24-B31+B23</f>
        <v>-244377.08333333334</v>
      </c>
      <c r="C32" s="107">
        <f t="shared" ref="C32:AP32" si="40">C28-C24-C31+C23</f>
        <v>-15134434.663333334</v>
      </c>
      <c r="D32" s="107">
        <f t="shared" si="40"/>
        <v>11665831.916666666</v>
      </c>
      <c r="E32" s="107">
        <f t="shared" si="40"/>
        <v>11664431.916666666</v>
      </c>
      <c r="F32" s="107">
        <f t="shared" si="40"/>
        <v>4670331.916666667</v>
      </c>
      <c r="G32" s="107">
        <f t="shared" si="40"/>
        <v>4670331.916666667</v>
      </c>
      <c r="H32" s="107">
        <f t="shared" si="40"/>
        <v>-189043.08333333334</v>
      </c>
      <c r="I32" s="107">
        <f t="shared" si="40"/>
        <v>-189043.08333333334</v>
      </c>
      <c r="J32" s="107">
        <f t="shared" si="40"/>
        <v>-2427280.2066666665</v>
      </c>
      <c r="K32" s="107">
        <f t="shared" si="40"/>
        <v>-675280.20666666667</v>
      </c>
      <c r="L32" s="107">
        <f t="shared" si="40"/>
        <v>-217280.20666666669</v>
      </c>
      <c r="M32" s="107">
        <f t="shared" si="40"/>
        <v>-217280.20666666669</v>
      </c>
      <c r="N32" s="107">
        <f t="shared" si="40"/>
        <v>-217280.20666666669</v>
      </c>
      <c r="O32" s="107">
        <f t="shared" si="40"/>
        <v>-5339558.9966666671</v>
      </c>
      <c r="P32" s="107">
        <f t="shared" si="40"/>
        <v>23385415.250000007</v>
      </c>
      <c r="Q32" s="107">
        <f t="shared" si="40"/>
        <v>23385415.250000007</v>
      </c>
      <c r="R32" s="107">
        <f t="shared" si="40"/>
        <v>23389915.250000007</v>
      </c>
      <c r="S32" s="107">
        <f t="shared" si="40"/>
        <v>23389915.250000007</v>
      </c>
      <c r="T32" s="107">
        <f t="shared" si="40"/>
        <v>4489915.25</v>
      </c>
      <c r="U32" s="107">
        <f t="shared" si="40"/>
        <v>4489915.25</v>
      </c>
      <c r="V32" s="107">
        <f t="shared" si="40"/>
        <v>-995870.20666666667</v>
      </c>
      <c r="W32" s="107">
        <f t="shared" si="40"/>
        <v>-693870.20666666667</v>
      </c>
      <c r="X32" s="107">
        <f t="shared" si="40"/>
        <v>-235870.20666666664</v>
      </c>
      <c r="Y32" s="107">
        <f t="shared" si="40"/>
        <v>-235870.20666666664</v>
      </c>
      <c r="Z32" s="107">
        <f t="shared" si="40"/>
        <v>-235870.20666666664</v>
      </c>
      <c r="AA32" s="107">
        <f t="shared" si="40"/>
        <v>-5358148.9966666671</v>
      </c>
      <c r="AB32" s="107">
        <f t="shared" si="40"/>
        <v>23366825.250000007</v>
      </c>
      <c r="AC32" s="107">
        <f t="shared" si="40"/>
        <v>23366825.250000007</v>
      </c>
      <c r="AD32" s="107">
        <f t="shared" si="40"/>
        <v>23371325.250000007</v>
      </c>
      <c r="AE32" s="107">
        <f t="shared" si="40"/>
        <v>23371325.250000007</v>
      </c>
      <c r="AF32" s="107">
        <f t="shared" si="40"/>
        <v>4471325.25</v>
      </c>
      <c r="AG32" s="107">
        <f t="shared" si="40"/>
        <v>4471325.25</v>
      </c>
      <c r="AH32" s="107">
        <f t="shared" si="40"/>
        <v>-995870.20666666667</v>
      </c>
      <c r="AI32" s="107">
        <f t="shared" si="40"/>
        <v>-693870.20666666667</v>
      </c>
      <c r="AJ32" s="107">
        <f t="shared" si="40"/>
        <v>-235870.20666666664</v>
      </c>
      <c r="AK32" s="107">
        <f t="shared" si="40"/>
        <v>-235870.20666666664</v>
      </c>
      <c r="AL32" s="107">
        <f t="shared" si="40"/>
        <v>-235870.20666666664</v>
      </c>
      <c r="AM32" s="107">
        <f t="shared" si="40"/>
        <v>-5358148.9966666671</v>
      </c>
      <c r="AN32" s="107">
        <f t="shared" si="40"/>
        <v>23366825.250000007</v>
      </c>
      <c r="AO32" s="107">
        <f t="shared" si="40"/>
        <v>23366825.250000007</v>
      </c>
      <c r="AP32" s="107">
        <f t="shared" si="40"/>
        <v>243992163.16333336</v>
      </c>
    </row>
    <row r="33" spans="1:42" s="35" customFormat="1">
      <c r="A33" s="105" t="s">
        <v>32</v>
      </c>
      <c r="B33" s="108">
        <f>B32-B30</f>
        <v>-244377.08333333334</v>
      </c>
      <c r="C33" s="108">
        <f t="shared" ref="C33:AP33" si="41">C32-C30</f>
        <v>-15134434.663333334</v>
      </c>
      <c r="D33" s="108">
        <f t="shared" si="41"/>
        <v>9293956.916666666</v>
      </c>
      <c r="E33" s="108">
        <f t="shared" si="41"/>
        <v>9292556.916666666</v>
      </c>
      <c r="F33" s="108">
        <f t="shared" si="41"/>
        <v>3698456.916666667</v>
      </c>
      <c r="G33" s="108">
        <f t="shared" si="41"/>
        <v>3698456.916666667</v>
      </c>
      <c r="H33" s="108">
        <f t="shared" si="41"/>
        <v>-189043.08333333334</v>
      </c>
      <c r="I33" s="108">
        <f t="shared" si="41"/>
        <v>-189043.08333333334</v>
      </c>
      <c r="J33" s="108">
        <f t="shared" si="41"/>
        <v>-2427280.2066666665</v>
      </c>
      <c r="K33" s="108">
        <f t="shared" si="41"/>
        <v>-675280.20666666667</v>
      </c>
      <c r="L33" s="108">
        <f t="shared" si="41"/>
        <v>-217280.20666666669</v>
      </c>
      <c r="M33" s="108">
        <f t="shared" si="41"/>
        <v>-217280.20666666669</v>
      </c>
      <c r="N33" s="108">
        <f t="shared" si="41"/>
        <v>-217280.20666666669</v>
      </c>
      <c r="O33" s="108">
        <f t="shared" si="41"/>
        <v>-5339558.9966666671</v>
      </c>
      <c r="P33" s="108">
        <f t="shared" si="41"/>
        <v>18665831.916666672</v>
      </c>
      <c r="Q33" s="108">
        <f t="shared" si="41"/>
        <v>18665831.916666672</v>
      </c>
      <c r="R33" s="108">
        <f t="shared" si="41"/>
        <v>18670331.916666672</v>
      </c>
      <c r="S33" s="108">
        <f t="shared" si="41"/>
        <v>18670331.916666672</v>
      </c>
      <c r="T33" s="108">
        <f t="shared" si="41"/>
        <v>3550331.9166666665</v>
      </c>
      <c r="U33" s="108">
        <f t="shared" si="41"/>
        <v>3550331.9166666665</v>
      </c>
      <c r="V33" s="108">
        <f t="shared" si="41"/>
        <v>-995870.20666666667</v>
      </c>
      <c r="W33" s="108">
        <f t="shared" si="41"/>
        <v>-693870.20666666667</v>
      </c>
      <c r="X33" s="108">
        <f t="shared" si="41"/>
        <v>-235870.20666666664</v>
      </c>
      <c r="Y33" s="108">
        <f t="shared" si="41"/>
        <v>-235870.20666666664</v>
      </c>
      <c r="Z33" s="108">
        <f t="shared" si="41"/>
        <v>-235870.20666666664</v>
      </c>
      <c r="AA33" s="108">
        <f t="shared" si="41"/>
        <v>-5358148.9966666671</v>
      </c>
      <c r="AB33" s="108">
        <f t="shared" si="41"/>
        <v>18647241.916666672</v>
      </c>
      <c r="AC33" s="108">
        <f t="shared" si="41"/>
        <v>18647241.916666672</v>
      </c>
      <c r="AD33" s="108">
        <f t="shared" si="41"/>
        <v>18651741.916666672</v>
      </c>
      <c r="AE33" s="108">
        <f t="shared" si="41"/>
        <v>18651741.916666672</v>
      </c>
      <c r="AF33" s="108">
        <f t="shared" si="41"/>
        <v>3531741.9166666665</v>
      </c>
      <c r="AG33" s="108">
        <f t="shared" si="41"/>
        <v>3531741.9166666665</v>
      </c>
      <c r="AH33" s="108">
        <f t="shared" si="41"/>
        <v>-995870.20666666667</v>
      </c>
      <c r="AI33" s="108">
        <f t="shared" si="41"/>
        <v>-693870.20666666667</v>
      </c>
      <c r="AJ33" s="108">
        <f t="shared" si="41"/>
        <v>-235870.20666666664</v>
      </c>
      <c r="AK33" s="108">
        <f t="shared" si="41"/>
        <v>-235870.20666666664</v>
      </c>
      <c r="AL33" s="108">
        <f t="shared" si="41"/>
        <v>-235870.20666666664</v>
      </c>
      <c r="AM33" s="108">
        <f t="shared" si="41"/>
        <v>-5358148.9966666671</v>
      </c>
      <c r="AN33" s="108">
        <f t="shared" si="41"/>
        <v>18647241.916666672</v>
      </c>
      <c r="AO33" s="108">
        <f t="shared" si="41"/>
        <v>18647241.916666672</v>
      </c>
      <c r="AP33" s="108">
        <f t="shared" si="41"/>
        <v>186350496.49666667</v>
      </c>
    </row>
    <row r="37" spans="1:42">
      <c r="A37" s="118" t="s">
        <v>64</v>
      </c>
      <c r="B37" s="113">
        <f>F1</f>
        <v>2019</v>
      </c>
      <c r="C37" s="113">
        <f>R1</f>
        <v>2020</v>
      </c>
      <c r="D37" s="113">
        <f>AD1</f>
        <v>2021</v>
      </c>
      <c r="E37" s="113">
        <f>AO1</f>
        <v>2022</v>
      </c>
      <c r="F37" s="113" t="s">
        <v>65</v>
      </c>
    </row>
    <row r="38" spans="1:42">
      <c r="A38" s="119"/>
      <c r="B38" s="113"/>
      <c r="C38" s="113"/>
      <c r="D38" s="113"/>
      <c r="E38" s="113"/>
      <c r="F38" s="113"/>
    </row>
    <row r="39" spans="1:42">
      <c r="A39" s="84" t="s">
        <v>15</v>
      </c>
      <c r="B39" s="14">
        <f>SUM(B3:F3)</f>
        <v>100000</v>
      </c>
      <c r="C39" s="14">
        <f>SUM(G3:R3)</f>
        <v>0</v>
      </c>
      <c r="D39" s="14">
        <f>SUM(S3:AD3)</f>
        <v>0</v>
      </c>
      <c r="E39" s="14">
        <f>SUM(AE3:AO3)</f>
        <v>0</v>
      </c>
      <c r="F39" s="14">
        <f t="shared" ref="F39:F69" si="42">SUM(B39:E39)</f>
        <v>100000</v>
      </c>
    </row>
    <row r="40" spans="1:42">
      <c r="A40" s="18" t="s">
        <v>99</v>
      </c>
      <c r="B40" s="14">
        <f t="shared" ref="B40:B69" si="43">SUM(B4:F4)</f>
        <v>240500</v>
      </c>
      <c r="C40" s="14">
        <f t="shared" ref="C40:C69" si="44">SUM(G4:R4)</f>
        <v>0</v>
      </c>
      <c r="D40" s="14">
        <f t="shared" ref="D40:D68" si="45">SUM(S4:AD4)</f>
        <v>0</v>
      </c>
      <c r="E40" s="14">
        <f t="shared" ref="E40:E69" si="46">SUM(AE4:AO4)</f>
        <v>0</v>
      </c>
      <c r="F40" s="14">
        <f t="shared" si="42"/>
        <v>240500</v>
      </c>
    </row>
    <row r="41" spans="1:42">
      <c r="A41" s="18" t="s">
        <v>100</v>
      </c>
      <c r="B41" s="14">
        <f t="shared" si="43"/>
        <v>358000</v>
      </c>
      <c r="C41" s="14">
        <f t="shared" si="44"/>
        <v>0</v>
      </c>
      <c r="D41" s="14">
        <f t="shared" si="45"/>
        <v>0</v>
      </c>
      <c r="E41" s="14">
        <f t="shared" si="46"/>
        <v>0</v>
      </c>
      <c r="F41" s="14">
        <f t="shared" si="42"/>
        <v>358000</v>
      </c>
    </row>
    <row r="42" spans="1:42">
      <c r="A42" s="18" t="s">
        <v>101</v>
      </c>
      <c r="B42" s="14">
        <f t="shared" si="43"/>
        <v>592000</v>
      </c>
      <c r="C42" s="14">
        <f t="shared" si="44"/>
        <v>0</v>
      </c>
      <c r="D42" s="14">
        <f t="shared" si="45"/>
        <v>0</v>
      </c>
      <c r="E42" s="14">
        <f t="shared" si="46"/>
        <v>0</v>
      </c>
      <c r="F42" s="14">
        <f t="shared" si="42"/>
        <v>592000</v>
      </c>
    </row>
    <row r="43" spans="1:42">
      <c r="A43" s="18" t="s">
        <v>102</v>
      </c>
      <c r="B43" s="14">
        <f t="shared" si="43"/>
        <v>1800000</v>
      </c>
      <c r="C43" s="14">
        <f t="shared" si="44"/>
        <v>0</v>
      </c>
      <c r="D43" s="14">
        <f t="shared" si="45"/>
        <v>0</v>
      </c>
      <c r="E43" s="14">
        <f t="shared" si="46"/>
        <v>0</v>
      </c>
      <c r="F43" s="14">
        <f t="shared" si="42"/>
        <v>1800000</v>
      </c>
    </row>
    <row r="44" spans="1:42" ht="30">
      <c r="A44" s="18" t="s">
        <v>103</v>
      </c>
      <c r="B44" s="14">
        <f t="shared" si="43"/>
        <v>675000</v>
      </c>
      <c r="C44" s="14">
        <f t="shared" si="44"/>
        <v>0</v>
      </c>
      <c r="D44" s="14">
        <f t="shared" si="45"/>
        <v>0</v>
      </c>
      <c r="E44" s="14">
        <f t="shared" si="46"/>
        <v>0</v>
      </c>
      <c r="F44" s="14">
        <f t="shared" si="42"/>
        <v>675000</v>
      </c>
    </row>
    <row r="45" spans="1:42">
      <c r="A45" s="18" t="s">
        <v>104</v>
      </c>
      <c r="B45" s="14">
        <f t="shared" si="43"/>
        <v>3900000</v>
      </c>
      <c r="C45" s="14">
        <f t="shared" si="44"/>
        <v>0</v>
      </c>
      <c r="D45" s="14">
        <f t="shared" si="45"/>
        <v>0</v>
      </c>
      <c r="E45" s="14">
        <f t="shared" si="46"/>
        <v>0</v>
      </c>
      <c r="F45" s="14">
        <f t="shared" si="42"/>
        <v>3900000</v>
      </c>
    </row>
    <row r="46" spans="1:42" ht="30">
      <c r="A46" s="18" t="s">
        <v>105</v>
      </c>
      <c r="B46" s="14">
        <f t="shared" si="43"/>
        <v>2400000</v>
      </c>
      <c r="C46" s="14">
        <f t="shared" si="44"/>
        <v>0</v>
      </c>
      <c r="D46" s="14">
        <f t="shared" si="45"/>
        <v>0</v>
      </c>
      <c r="E46" s="14">
        <f t="shared" si="46"/>
        <v>0</v>
      </c>
      <c r="F46" s="14">
        <f t="shared" si="42"/>
        <v>2400000</v>
      </c>
    </row>
    <row r="47" spans="1:42">
      <c r="A47" s="18" t="s">
        <v>106</v>
      </c>
      <c r="B47" s="14">
        <f t="shared" si="43"/>
        <v>0</v>
      </c>
      <c r="C47" s="14">
        <f t="shared" si="44"/>
        <v>500000</v>
      </c>
      <c r="D47" s="14">
        <f t="shared" si="45"/>
        <v>0</v>
      </c>
      <c r="E47" s="14">
        <f t="shared" si="46"/>
        <v>0</v>
      </c>
      <c r="F47" s="14">
        <f t="shared" si="42"/>
        <v>500000</v>
      </c>
    </row>
    <row r="48" spans="1:42">
      <c r="A48" s="18" t="s">
        <v>107</v>
      </c>
      <c r="B48" s="14">
        <f t="shared" si="43"/>
        <v>0</v>
      </c>
      <c r="C48" s="14">
        <f t="shared" si="44"/>
        <v>950000</v>
      </c>
      <c r="D48" s="14">
        <f t="shared" si="45"/>
        <v>0</v>
      </c>
      <c r="E48" s="14">
        <f t="shared" si="46"/>
        <v>0</v>
      </c>
      <c r="F48" s="14">
        <f t="shared" si="42"/>
        <v>950000</v>
      </c>
    </row>
    <row r="49" spans="1:6">
      <c r="A49" s="24" t="s">
        <v>109</v>
      </c>
      <c r="B49" s="16">
        <f t="shared" si="43"/>
        <v>10065500</v>
      </c>
      <c r="C49" s="16">
        <f t="shared" si="44"/>
        <v>1450000</v>
      </c>
      <c r="D49" s="16">
        <f t="shared" si="45"/>
        <v>0</v>
      </c>
      <c r="E49" s="16">
        <f t="shared" si="46"/>
        <v>0</v>
      </c>
      <c r="F49" s="16">
        <f t="shared" si="42"/>
        <v>11515500</v>
      </c>
    </row>
    <row r="50" spans="1:6">
      <c r="A50" s="31" t="s">
        <v>17</v>
      </c>
      <c r="B50" s="14">
        <f t="shared" si="43"/>
        <v>650000</v>
      </c>
      <c r="C50" s="14">
        <f t="shared" si="44"/>
        <v>1560000</v>
      </c>
      <c r="D50" s="14">
        <f t="shared" si="45"/>
        <v>1677000</v>
      </c>
      <c r="E50" s="14">
        <f t="shared" si="46"/>
        <v>1573000</v>
      </c>
      <c r="F50" s="14">
        <f t="shared" si="42"/>
        <v>5460000</v>
      </c>
    </row>
    <row r="51" spans="1:6">
      <c r="A51" s="25" t="s">
        <v>110</v>
      </c>
      <c r="B51" s="14">
        <f t="shared" si="43"/>
        <v>195000</v>
      </c>
      <c r="C51" s="14">
        <f t="shared" si="44"/>
        <v>468000</v>
      </c>
      <c r="D51" s="14">
        <f t="shared" si="45"/>
        <v>503100</v>
      </c>
      <c r="E51" s="14">
        <f t="shared" si="46"/>
        <v>471900</v>
      </c>
      <c r="F51" s="14">
        <f t="shared" si="42"/>
        <v>1638000</v>
      </c>
    </row>
    <row r="52" spans="1:6">
      <c r="A52" s="25" t="s">
        <v>112</v>
      </c>
      <c r="B52" s="14">
        <f t="shared" si="43"/>
        <v>0</v>
      </c>
      <c r="C52" s="14">
        <f t="shared" si="44"/>
        <v>225000</v>
      </c>
      <c r="D52" s="14">
        <f t="shared" si="45"/>
        <v>300000</v>
      </c>
      <c r="E52" s="14">
        <f t="shared" si="46"/>
        <v>275000</v>
      </c>
      <c r="F52" s="14">
        <f t="shared" si="42"/>
        <v>800000</v>
      </c>
    </row>
    <row r="53" spans="1:6">
      <c r="A53" s="25" t="s">
        <v>111</v>
      </c>
      <c r="B53" s="14">
        <f t="shared" si="43"/>
        <v>124998</v>
      </c>
      <c r="C53" s="14">
        <f t="shared" si="44"/>
        <v>499992</v>
      </c>
      <c r="D53" s="14">
        <f t="shared" si="45"/>
        <v>499992</v>
      </c>
      <c r="E53" s="14">
        <f t="shared" si="46"/>
        <v>458326</v>
      </c>
      <c r="F53" s="14">
        <f t="shared" si="42"/>
        <v>1583308</v>
      </c>
    </row>
    <row r="54" spans="1:6">
      <c r="A54" s="25" t="s">
        <v>113</v>
      </c>
      <c r="B54" s="14">
        <f t="shared" si="43"/>
        <v>5000000</v>
      </c>
      <c r="C54" s="14">
        <f t="shared" si="44"/>
        <v>5000000</v>
      </c>
      <c r="D54" s="14">
        <f t="shared" si="45"/>
        <v>5000000</v>
      </c>
      <c r="E54" s="14">
        <f t="shared" si="46"/>
        <v>5000000</v>
      </c>
      <c r="F54" s="14">
        <f t="shared" si="42"/>
        <v>20000000</v>
      </c>
    </row>
    <row r="55" spans="1:6">
      <c r="A55" s="25" t="s">
        <v>151</v>
      </c>
      <c r="B55" s="14">
        <f t="shared" si="43"/>
        <v>0</v>
      </c>
      <c r="C55" s="14">
        <f t="shared" si="44"/>
        <v>500000</v>
      </c>
      <c r="D55" s="14">
        <f t="shared" si="45"/>
        <v>500000</v>
      </c>
      <c r="E55" s="14">
        <f t="shared" si="46"/>
        <v>500000</v>
      </c>
      <c r="F55" s="14">
        <f t="shared" si="42"/>
        <v>1500000</v>
      </c>
    </row>
    <row r="56" spans="1:6">
      <c r="A56" s="25" t="s">
        <v>114</v>
      </c>
      <c r="B56" s="14">
        <f t="shared" si="43"/>
        <v>0</v>
      </c>
      <c r="C56" s="14">
        <f t="shared" si="44"/>
        <v>828000</v>
      </c>
      <c r="D56" s="14">
        <f t="shared" si="45"/>
        <v>828000</v>
      </c>
      <c r="E56" s="14">
        <f t="shared" si="46"/>
        <v>828000</v>
      </c>
      <c r="F56" s="14">
        <f t="shared" si="42"/>
        <v>2484000</v>
      </c>
    </row>
    <row r="57" spans="1:6">
      <c r="A57" s="25" t="s">
        <v>115</v>
      </c>
      <c r="B57" s="14">
        <f t="shared" si="43"/>
        <v>43957.58</v>
      </c>
      <c r="C57" s="14">
        <f t="shared" si="44"/>
        <v>112951.53000000001</v>
      </c>
      <c r="D57" s="14">
        <f t="shared" si="45"/>
        <v>112951.53000000001</v>
      </c>
      <c r="E57" s="14">
        <f t="shared" si="46"/>
        <v>109951.53000000001</v>
      </c>
      <c r="F57" s="14">
        <f t="shared" si="42"/>
        <v>379812.17000000004</v>
      </c>
    </row>
    <row r="58" spans="1:6">
      <c r="A58" s="67" t="s">
        <v>116</v>
      </c>
      <c r="B58" s="16">
        <f t="shared" si="43"/>
        <v>6013955.5800000001</v>
      </c>
      <c r="C58" s="16">
        <f t="shared" si="44"/>
        <v>9193943.5300000012</v>
      </c>
      <c r="D58" s="16">
        <f t="shared" si="45"/>
        <v>9421043.5300000012</v>
      </c>
      <c r="E58" s="16">
        <f t="shared" si="46"/>
        <v>9216177.5300000012</v>
      </c>
      <c r="F58" s="16">
        <f t="shared" si="42"/>
        <v>33845120.170000002</v>
      </c>
    </row>
    <row r="59" spans="1:6">
      <c r="A59" s="25" t="s">
        <v>38</v>
      </c>
      <c r="B59" s="14">
        <f t="shared" si="43"/>
        <v>207614.58333333331</v>
      </c>
      <c r="C59" s="14">
        <f t="shared" si="44"/>
        <v>552649.99999999988</v>
      </c>
      <c r="D59" s="14">
        <f t="shared" si="45"/>
        <v>570774.99999999988</v>
      </c>
      <c r="E59" s="14">
        <f t="shared" si="46"/>
        <v>523210.41666666657</v>
      </c>
      <c r="F59" s="14">
        <f t="shared" si="42"/>
        <v>1854249.9999999995</v>
      </c>
    </row>
    <row r="60" spans="1:6">
      <c r="A60" s="67" t="s">
        <v>152</v>
      </c>
      <c r="B60" s="89">
        <f t="shared" si="43"/>
        <v>16079455.58</v>
      </c>
      <c r="C60" s="89">
        <f t="shared" si="44"/>
        <v>10643943.530000001</v>
      </c>
      <c r="D60" s="89">
        <f t="shared" si="45"/>
        <v>9421043.5300000012</v>
      </c>
      <c r="E60" s="89">
        <f t="shared" si="46"/>
        <v>9216177.5300000012</v>
      </c>
      <c r="F60" s="89">
        <f t="shared" si="42"/>
        <v>45360620.170000002</v>
      </c>
    </row>
    <row r="61" spans="1:6">
      <c r="A61" s="26" t="s">
        <v>153</v>
      </c>
      <c r="B61" s="33">
        <f t="shared" si="43"/>
        <v>0</v>
      </c>
      <c r="C61" s="33">
        <f t="shared" si="44"/>
        <v>0</v>
      </c>
      <c r="D61" s="33">
        <f t="shared" si="45"/>
        <v>0</v>
      </c>
      <c r="E61" s="33">
        <f t="shared" si="46"/>
        <v>0</v>
      </c>
      <c r="F61" s="33">
        <f t="shared" si="42"/>
        <v>0</v>
      </c>
    </row>
    <row r="62" spans="1:6">
      <c r="A62" s="18" t="s">
        <v>92</v>
      </c>
      <c r="B62" s="14">
        <f t="shared" si="43"/>
        <v>14000000.000000002</v>
      </c>
      <c r="C62" s="14">
        <f t="shared" si="44"/>
        <v>56700000.000000022</v>
      </c>
      <c r="D62" s="14">
        <f t="shared" si="45"/>
        <v>75600000.00000003</v>
      </c>
      <c r="E62" s="14">
        <f t="shared" si="46"/>
        <v>56700000.000000022</v>
      </c>
      <c r="F62" s="14">
        <f t="shared" si="42"/>
        <v>203000000.00000009</v>
      </c>
    </row>
    <row r="63" spans="1:6">
      <c r="A63" s="18" t="s">
        <v>93</v>
      </c>
      <c r="B63" s="14">
        <f t="shared" si="43"/>
        <v>14578125</v>
      </c>
      <c r="C63" s="14">
        <f t="shared" si="44"/>
        <v>18953125.000000004</v>
      </c>
      <c r="D63" s="14">
        <f t="shared" si="45"/>
        <v>28187500.000000004</v>
      </c>
      <c r="E63" s="14">
        <f t="shared" si="46"/>
        <v>23489583.333333336</v>
      </c>
      <c r="F63" s="14">
        <f t="shared" si="42"/>
        <v>85208333.333333343</v>
      </c>
    </row>
    <row r="64" spans="1:6">
      <c r="A64" s="102" t="s">
        <v>18</v>
      </c>
      <c r="B64" s="16">
        <f t="shared" si="43"/>
        <v>28578125</v>
      </c>
      <c r="C64" s="16">
        <f t="shared" si="44"/>
        <v>75653125.00000003</v>
      </c>
      <c r="D64" s="16">
        <f t="shared" si="45"/>
        <v>103787500.00000003</v>
      </c>
      <c r="E64" s="16">
        <f t="shared" si="46"/>
        <v>80189583.333333358</v>
      </c>
      <c r="F64" s="16">
        <f t="shared" si="42"/>
        <v>288208333.33333343</v>
      </c>
    </row>
    <row r="65" spans="1:6">
      <c r="A65" s="36" t="s">
        <v>30</v>
      </c>
      <c r="B65" s="109">
        <f t="shared" si="43"/>
        <v>12498669.42</v>
      </c>
      <c r="C65" s="109">
        <f t="shared" si="44"/>
        <v>65009181.470000029</v>
      </c>
      <c r="D65" s="109">
        <f t="shared" si="45"/>
        <v>94366456.470000029</v>
      </c>
      <c r="E65" s="109">
        <f t="shared" si="46"/>
        <v>70973405.803333357</v>
      </c>
      <c r="F65" s="109">
        <f t="shared" si="42"/>
        <v>242847713.16333342</v>
      </c>
    </row>
    <row r="66" spans="1:6">
      <c r="A66" s="25" t="s">
        <v>154</v>
      </c>
      <c r="B66" s="14">
        <f t="shared" si="43"/>
        <v>5715625</v>
      </c>
      <c r="C66" s="14">
        <f t="shared" si="44"/>
        <v>15130625.000000004</v>
      </c>
      <c r="D66" s="14">
        <f t="shared" si="45"/>
        <v>20757500.000000007</v>
      </c>
      <c r="E66" s="14">
        <f t="shared" si="46"/>
        <v>16037916.666666672</v>
      </c>
      <c r="F66" s="14">
        <f t="shared" si="42"/>
        <v>57641666.666666687</v>
      </c>
    </row>
    <row r="67" spans="1:6">
      <c r="A67" s="25" t="s">
        <v>31</v>
      </c>
      <c r="B67" s="14">
        <f t="shared" si="43"/>
        <v>84500</v>
      </c>
      <c r="C67" s="14">
        <f t="shared" si="44"/>
        <v>202800</v>
      </c>
      <c r="D67" s="14">
        <f t="shared" si="45"/>
        <v>218010</v>
      </c>
      <c r="E67" s="14">
        <f t="shared" si="46"/>
        <v>204490</v>
      </c>
      <c r="F67" s="14">
        <f t="shared" si="42"/>
        <v>709800</v>
      </c>
    </row>
    <row r="68" spans="1:6">
      <c r="A68" s="104" t="s">
        <v>43</v>
      </c>
      <c r="B68" s="107">
        <f t="shared" si="43"/>
        <v>12621784.00333333</v>
      </c>
      <c r="C68" s="107">
        <f t="shared" si="44"/>
        <v>65359031.470000021</v>
      </c>
      <c r="D68" s="107">
        <f t="shared" si="45"/>
        <v>94719221.470000029</v>
      </c>
      <c r="E68" s="107">
        <f t="shared" si="46"/>
        <v>71292126.220000029</v>
      </c>
      <c r="F68" s="107">
        <f t="shared" si="42"/>
        <v>243992163.16333342</v>
      </c>
    </row>
    <row r="69" spans="1:6">
      <c r="A69" s="105" t="s">
        <v>32</v>
      </c>
      <c r="B69" s="108">
        <f t="shared" si="43"/>
        <v>6906159.0033333311</v>
      </c>
      <c r="C69" s="108">
        <f t="shared" si="44"/>
        <v>50228406.470000014</v>
      </c>
      <c r="D69" s="108">
        <f>SUM(S33:AD33)</f>
        <v>73961721.470000029</v>
      </c>
      <c r="E69" s="108">
        <f t="shared" si="46"/>
        <v>55254209.55333335</v>
      </c>
      <c r="F69" s="108">
        <f t="shared" si="42"/>
        <v>186350496.49666673</v>
      </c>
    </row>
  </sheetData>
  <mergeCells count="7">
    <mergeCell ref="A37:A38"/>
    <mergeCell ref="AP1:AP2"/>
    <mergeCell ref="B37:B38"/>
    <mergeCell ref="C37:C38"/>
    <mergeCell ref="D37:D38"/>
    <mergeCell ref="E37:E38"/>
    <mergeCell ref="F37:F3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"/>
  <sheetViews>
    <sheetView workbookViewId="0">
      <selection activeCell="AN9" sqref="AN9"/>
    </sheetView>
  </sheetViews>
  <sheetFormatPr baseColWidth="10" defaultRowHeight="15" x14ac:dyDescent="0"/>
  <cols>
    <col min="1" max="1" width="27.83203125" bestFit="1" customWidth="1"/>
    <col min="2" max="6" width="11.33203125" bestFit="1" customWidth="1"/>
    <col min="7" max="7" width="12.33203125" bestFit="1" customWidth="1"/>
    <col min="8" max="8" width="14.6640625" bestFit="1" customWidth="1"/>
    <col min="9" max="9" width="11.33203125" bestFit="1" customWidth="1"/>
    <col min="10" max="12" width="11.6640625" bestFit="1" customWidth="1"/>
    <col min="13" max="13" width="11.33203125" bestFit="1" customWidth="1"/>
    <col min="15" max="15" width="11.6640625" bestFit="1" customWidth="1"/>
  </cols>
  <sheetData>
    <row r="1" spans="1:42" s="35" customFormat="1">
      <c r="A1" s="69" t="s">
        <v>64</v>
      </c>
      <c r="B1" s="69">
        <f>'План продаж в кол-ве'!B1</f>
        <v>2019</v>
      </c>
      <c r="C1" s="69">
        <f>'План продаж в кол-ве'!C1</f>
        <v>2019</v>
      </c>
      <c r="D1" s="69">
        <f>'План продаж в кол-ве'!D1</f>
        <v>2019</v>
      </c>
      <c r="E1" s="69">
        <f>'План продаж в кол-ве'!E1</f>
        <v>2019</v>
      </c>
      <c r="F1" s="69">
        <f>'План продаж в кол-ве'!F1</f>
        <v>2019</v>
      </c>
      <c r="G1" s="66">
        <f>'План продаж в кол-ве'!G1</f>
        <v>2020</v>
      </c>
      <c r="H1" s="66">
        <f>'План продаж в кол-ве'!H1</f>
        <v>2020</v>
      </c>
      <c r="I1" s="66">
        <f>'План продаж в кол-ве'!I1</f>
        <v>2020</v>
      </c>
      <c r="J1" s="66">
        <f>'План продаж в кол-ве'!J1</f>
        <v>2020</v>
      </c>
      <c r="K1" s="66">
        <f>'План продаж в кол-ве'!K1</f>
        <v>2020</v>
      </c>
      <c r="L1" s="66">
        <f>'План продаж в кол-ве'!L1</f>
        <v>2020</v>
      </c>
      <c r="M1" s="66">
        <f>'План продаж в кол-ве'!M1</f>
        <v>2020</v>
      </c>
      <c r="N1" s="66">
        <f>'План продаж в кол-ве'!N1</f>
        <v>2020</v>
      </c>
      <c r="O1" s="66">
        <f>'План продаж в кол-ве'!O1</f>
        <v>2020</v>
      </c>
      <c r="P1" s="66">
        <f>'План продаж в кол-ве'!P1</f>
        <v>2020</v>
      </c>
      <c r="Q1" s="66">
        <f>'План продаж в кол-ве'!Q1</f>
        <v>2020</v>
      </c>
      <c r="R1" s="66">
        <f>'План продаж в кол-ве'!R1</f>
        <v>2020</v>
      </c>
      <c r="S1" s="66">
        <f>'План продаж в кол-ве'!S1</f>
        <v>2021</v>
      </c>
      <c r="T1" s="66">
        <f>'План продаж в кол-ве'!T1</f>
        <v>2021</v>
      </c>
      <c r="U1" s="66">
        <f>'План продаж в кол-ве'!U1</f>
        <v>2021</v>
      </c>
      <c r="V1" s="66">
        <f>'План продаж в кол-ве'!V1</f>
        <v>2021</v>
      </c>
      <c r="W1" s="66">
        <f>'План продаж в кол-ве'!W1</f>
        <v>2021</v>
      </c>
      <c r="X1" s="66">
        <f>'План продаж в кол-ве'!X1</f>
        <v>2021</v>
      </c>
      <c r="Y1" s="66">
        <f>'План продаж в кол-ве'!Y1</f>
        <v>2021</v>
      </c>
      <c r="Z1" s="66">
        <f>'План продаж в кол-ве'!Z1</f>
        <v>2021</v>
      </c>
      <c r="AA1" s="66">
        <f>'План продаж в кол-ве'!AA1</f>
        <v>2021</v>
      </c>
      <c r="AB1" s="66">
        <f>'План продаж в кол-ве'!AB1</f>
        <v>2021</v>
      </c>
      <c r="AC1" s="66">
        <f>'План продаж в кол-ве'!AC1</f>
        <v>2021</v>
      </c>
      <c r="AD1" s="66">
        <f>'План продаж в кол-ве'!AD1</f>
        <v>2021</v>
      </c>
      <c r="AE1" s="66">
        <f>'План продаж в кол-ве'!AE1</f>
        <v>2022</v>
      </c>
      <c r="AF1" s="66">
        <f>'План продаж в кол-ве'!AF1</f>
        <v>2022</v>
      </c>
      <c r="AG1" s="66">
        <f>'План продаж в кол-ве'!AG1</f>
        <v>2022</v>
      </c>
      <c r="AH1" s="66">
        <f>'План продаж в кол-ве'!AH1</f>
        <v>2022</v>
      </c>
      <c r="AI1" s="66">
        <f>'План продаж в кол-ве'!AI1</f>
        <v>2022</v>
      </c>
      <c r="AJ1" s="66">
        <f>'План продаж в кол-ве'!AJ1</f>
        <v>2022</v>
      </c>
      <c r="AK1" s="66">
        <f>'План продаж в кол-ве'!AK1</f>
        <v>2022</v>
      </c>
      <c r="AL1" s="66">
        <f>'План продаж в кол-ве'!AL1</f>
        <v>2022</v>
      </c>
      <c r="AM1" s="66">
        <f>'План продаж в кол-ве'!AM1</f>
        <v>2022</v>
      </c>
      <c r="AN1" s="66">
        <f>'План продаж в кол-ве'!AN1</f>
        <v>2022</v>
      </c>
      <c r="AO1" s="66">
        <f>'План продаж в кол-ве'!AO1</f>
        <v>2022</v>
      </c>
      <c r="AP1" s="121" t="s">
        <v>65</v>
      </c>
    </row>
    <row r="2" spans="1:42" s="35" customFormat="1">
      <c r="A2" s="69" t="s">
        <v>1</v>
      </c>
      <c r="B2" s="44">
        <f>'План продаж в кол-ве'!B2</f>
        <v>43678</v>
      </c>
      <c r="C2" s="44">
        <f>'План продаж в кол-ве'!C2</f>
        <v>43709</v>
      </c>
      <c r="D2" s="44">
        <f>'План продаж в кол-ве'!D2</f>
        <v>43739</v>
      </c>
      <c r="E2" s="44">
        <f>'План продаж в кол-ве'!E2</f>
        <v>43770</v>
      </c>
      <c r="F2" s="44">
        <f>'План продаж в кол-ве'!F2</f>
        <v>43800</v>
      </c>
      <c r="G2" s="51">
        <f>'План продаж в кол-ве'!G2</f>
        <v>43831</v>
      </c>
      <c r="H2" s="51">
        <f>'План продаж в кол-ве'!H2</f>
        <v>43862</v>
      </c>
      <c r="I2" s="51">
        <f>'План продаж в кол-ве'!I2</f>
        <v>43891</v>
      </c>
      <c r="J2" s="51">
        <f>'План продаж в кол-ве'!J2</f>
        <v>43922</v>
      </c>
      <c r="K2" s="51">
        <f>'План продаж в кол-ве'!K2</f>
        <v>43952</v>
      </c>
      <c r="L2" s="51">
        <f>'План продаж в кол-ве'!L2</f>
        <v>43983</v>
      </c>
      <c r="M2" s="51">
        <f>'План продаж в кол-ве'!M2</f>
        <v>44013</v>
      </c>
      <c r="N2" s="51">
        <f>'План продаж в кол-ве'!N2</f>
        <v>44044</v>
      </c>
      <c r="O2" s="51">
        <f>'План продаж в кол-ве'!O2</f>
        <v>44075</v>
      </c>
      <c r="P2" s="51">
        <f>'План продаж в кол-ве'!P2</f>
        <v>44105</v>
      </c>
      <c r="Q2" s="51">
        <f>'План продаж в кол-ве'!Q2</f>
        <v>44136</v>
      </c>
      <c r="R2" s="51">
        <f>'План продаж в кол-ве'!R2</f>
        <v>44166</v>
      </c>
      <c r="S2" s="51">
        <f>'План продаж в кол-ве'!S2</f>
        <v>44197</v>
      </c>
      <c r="T2" s="51">
        <f>'План продаж в кол-ве'!T2</f>
        <v>44228</v>
      </c>
      <c r="U2" s="51">
        <f>'План продаж в кол-ве'!U2</f>
        <v>44256</v>
      </c>
      <c r="V2" s="51">
        <f>'План продаж в кол-ве'!V2</f>
        <v>44287</v>
      </c>
      <c r="W2" s="51">
        <f>'План продаж в кол-ве'!W2</f>
        <v>44317</v>
      </c>
      <c r="X2" s="51">
        <f>'План продаж в кол-ве'!X2</f>
        <v>44348</v>
      </c>
      <c r="Y2" s="51">
        <f>'План продаж в кол-ве'!Y2</f>
        <v>44378</v>
      </c>
      <c r="Z2" s="51">
        <f>'План продаж в кол-ве'!Z2</f>
        <v>44409</v>
      </c>
      <c r="AA2" s="51">
        <f>'План продаж в кол-ве'!AA2</f>
        <v>44440</v>
      </c>
      <c r="AB2" s="51">
        <f>'План продаж в кол-ве'!AB2</f>
        <v>44470</v>
      </c>
      <c r="AC2" s="51">
        <f>'План продаж в кол-ве'!AC2</f>
        <v>44501</v>
      </c>
      <c r="AD2" s="51">
        <f>'План продаж в кол-ве'!AD2</f>
        <v>44531</v>
      </c>
      <c r="AE2" s="51">
        <f>'План продаж в кол-ве'!AE2</f>
        <v>44562</v>
      </c>
      <c r="AF2" s="51">
        <f>'План продаж в кол-ве'!AF2</f>
        <v>44593</v>
      </c>
      <c r="AG2" s="51">
        <f>'План продаж в кол-ве'!AG2</f>
        <v>44621</v>
      </c>
      <c r="AH2" s="51">
        <f>'План продаж в кол-ве'!AH2</f>
        <v>44652</v>
      </c>
      <c r="AI2" s="51">
        <f>'План продаж в кол-ве'!AI2</f>
        <v>44682</v>
      </c>
      <c r="AJ2" s="51">
        <f>'План продаж в кол-ве'!AJ2</f>
        <v>44713</v>
      </c>
      <c r="AK2" s="51">
        <f>'План продаж в кол-ве'!AK2</f>
        <v>44743</v>
      </c>
      <c r="AL2" s="51">
        <f>'План продаж в кол-ве'!AL2</f>
        <v>44774</v>
      </c>
      <c r="AM2" s="51">
        <f>'План продаж в кол-ве'!AM2</f>
        <v>44805</v>
      </c>
      <c r="AN2" s="51">
        <f>'План продаж в кол-ве'!AN2</f>
        <v>44835</v>
      </c>
      <c r="AO2" s="51">
        <f>'План продаж в кол-ве'!AO2</f>
        <v>44866</v>
      </c>
      <c r="AP2" s="121"/>
    </row>
    <row r="3" spans="1:42" s="35" customFormat="1">
      <c r="A3" s="69" t="s">
        <v>66</v>
      </c>
      <c r="B3" s="53">
        <f>C2-B2</f>
        <v>31</v>
      </c>
      <c r="C3" s="53">
        <f t="shared" ref="C3:M3" si="0">D2-C2</f>
        <v>30</v>
      </c>
      <c r="D3" s="53">
        <f t="shared" si="0"/>
        <v>31</v>
      </c>
      <c r="E3" s="53">
        <f t="shared" si="0"/>
        <v>30</v>
      </c>
      <c r="F3" s="53">
        <f t="shared" si="0"/>
        <v>31</v>
      </c>
      <c r="G3" s="68">
        <f t="shared" si="0"/>
        <v>31</v>
      </c>
      <c r="H3" s="68">
        <f t="shared" si="0"/>
        <v>29</v>
      </c>
      <c r="I3" s="68">
        <f t="shared" si="0"/>
        <v>31</v>
      </c>
      <c r="J3" s="68">
        <f t="shared" si="0"/>
        <v>30</v>
      </c>
      <c r="K3" s="68">
        <f t="shared" si="0"/>
        <v>31</v>
      </c>
      <c r="L3" s="68">
        <f t="shared" si="0"/>
        <v>30</v>
      </c>
      <c r="M3" s="68">
        <f t="shared" si="0"/>
        <v>31</v>
      </c>
      <c r="N3" s="68">
        <f t="shared" ref="N3" si="1">O2-N2</f>
        <v>31</v>
      </c>
      <c r="O3" s="68">
        <f t="shared" ref="O3" si="2">P2-O2</f>
        <v>30</v>
      </c>
      <c r="P3" s="68">
        <f t="shared" ref="P3" si="3">Q2-P2</f>
        <v>31</v>
      </c>
      <c r="Q3" s="68">
        <f t="shared" ref="Q3" si="4">R2-Q2</f>
        <v>30</v>
      </c>
      <c r="R3" s="68">
        <f t="shared" ref="R3" si="5">S2-R2</f>
        <v>31</v>
      </c>
      <c r="S3" s="68">
        <f t="shared" ref="S3" si="6">T2-S2</f>
        <v>31</v>
      </c>
      <c r="T3" s="68">
        <f t="shared" ref="T3" si="7">U2-T2</f>
        <v>28</v>
      </c>
      <c r="U3" s="68">
        <f t="shared" ref="U3" si="8">V2-U2</f>
        <v>31</v>
      </c>
      <c r="V3" s="68">
        <f t="shared" ref="V3" si="9">W2-V2</f>
        <v>30</v>
      </c>
      <c r="W3" s="68">
        <f t="shared" ref="W3" si="10">X2-W2</f>
        <v>31</v>
      </c>
      <c r="X3" s="68">
        <f t="shared" ref="X3" si="11">Y2-X2</f>
        <v>30</v>
      </c>
      <c r="Y3" s="68">
        <f t="shared" ref="Y3" si="12">Z2-Y2</f>
        <v>31</v>
      </c>
      <c r="Z3" s="68">
        <f t="shared" ref="Z3" si="13">AA2-Z2</f>
        <v>31</v>
      </c>
      <c r="AA3" s="68">
        <f t="shared" ref="AA3" si="14">AB2-AA2</f>
        <v>30</v>
      </c>
      <c r="AB3" s="68">
        <f t="shared" ref="AB3" si="15">AC2-AB2</f>
        <v>31</v>
      </c>
      <c r="AC3" s="68">
        <f t="shared" ref="AC3" si="16">AD2-AC2</f>
        <v>30</v>
      </c>
      <c r="AD3" s="68">
        <f t="shared" ref="AD3" si="17">AE2-AD2</f>
        <v>31</v>
      </c>
      <c r="AE3" s="68">
        <f t="shared" ref="AE3" si="18">AF2-AE2</f>
        <v>31</v>
      </c>
      <c r="AF3" s="68">
        <f t="shared" ref="AF3" si="19">AG2-AF2</f>
        <v>28</v>
      </c>
      <c r="AG3" s="68">
        <f t="shared" ref="AG3" si="20">AH2-AG2</f>
        <v>31</v>
      </c>
      <c r="AH3" s="68">
        <f t="shared" ref="AH3" si="21">AI2-AH2</f>
        <v>30</v>
      </c>
      <c r="AI3" s="68">
        <f t="shared" ref="AI3" si="22">AJ2-AI2</f>
        <v>31</v>
      </c>
      <c r="AJ3" s="68">
        <f t="shared" ref="AJ3" si="23">AK2-AJ2</f>
        <v>30</v>
      </c>
      <c r="AK3" s="68">
        <f t="shared" ref="AK3" si="24">AL2-AK2</f>
        <v>31</v>
      </c>
      <c r="AL3" s="68">
        <f t="shared" ref="AL3" si="25">AM2-AL2</f>
        <v>31</v>
      </c>
      <c r="AM3" s="68">
        <f t="shared" ref="AM3" si="26">AN2-AM2</f>
        <v>30</v>
      </c>
      <c r="AN3" s="68">
        <f t="shared" ref="AN3" si="27">AO2-AN2</f>
        <v>31</v>
      </c>
      <c r="AO3" s="68">
        <v>30</v>
      </c>
      <c r="AP3" s="121"/>
    </row>
    <row r="4" spans="1:42">
      <c r="A4" s="25" t="s">
        <v>33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54">
        <v>7</v>
      </c>
      <c r="I4" s="54">
        <v>8</v>
      </c>
      <c r="J4" s="54">
        <v>9</v>
      </c>
      <c r="K4" s="54">
        <v>10</v>
      </c>
      <c r="L4" s="54">
        <v>11</v>
      </c>
      <c r="M4" s="54">
        <v>12</v>
      </c>
      <c r="N4" s="54">
        <v>13</v>
      </c>
      <c r="O4" s="54">
        <v>14</v>
      </c>
      <c r="P4" s="54">
        <v>15</v>
      </c>
      <c r="Q4" s="54">
        <v>16</v>
      </c>
      <c r="R4" s="54">
        <v>17</v>
      </c>
      <c r="S4" s="54">
        <v>18</v>
      </c>
      <c r="T4" s="54">
        <v>19</v>
      </c>
      <c r="U4" s="54">
        <v>20</v>
      </c>
      <c r="V4" s="54">
        <v>21</v>
      </c>
      <c r="W4" s="54">
        <v>22</v>
      </c>
      <c r="X4" s="54">
        <v>23</v>
      </c>
      <c r="Y4" s="54">
        <v>24</v>
      </c>
      <c r="Z4" s="54">
        <v>25</v>
      </c>
      <c r="AA4" s="54">
        <v>26</v>
      </c>
      <c r="AB4" s="54">
        <v>27</v>
      </c>
      <c r="AC4" s="54">
        <v>28</v>
      </c>
      <c r="AD4" s="54">
        <v>29</v>
      </c>
      <c r="AE4" s="54">
        <v>30</v>
      </c>
      <c r="AF4" s="54">
        <v>31</v>
      </c>
      <c r="AG4" s="54">
        <v>32</v>
      </c>
      <c r="AH4" s="54">
        <v>33</v>
      </c>
      <c r="AI4" s="54">
        <v>34</v>
      </c>
      <c r="AJ4" s="54">
        <v>35</v>
      </c>
      <c r="AK4" s="54">
        <v>36</v>
      </c>
      <c r="AL4" s="54">
        <v>37</v>
      </c>
      <c r="AM4" s="54">
        <v>38</v>
      </c>
      <c r="AN4" s="54">
        <v>39</v>
      </c>
      <c r="AO4" s="54">
        <v>40</v>
      </c>
      <c r="AP4" s="121"/>
    </row>
    <row r="5" spans="1:42">
      <c r="A5" s="25" t="s">
        <v>34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f>Доходы!H5*$B$13/H3</f>
        <v>0</v>
      </c>
      <c r="I5" s="14">
        <f>Доходы!I5*$B$13/I3</f>
        <v>0</v>
      </c>
      <c r="J5" s="14">
        <f>Доходы!J5*$B$13/J3</f>
        <v>0</v>
      </c>
      <c r="K5" s="14">
        <f>Доходы!K5*$B$13/K3</f>
        <v>0</v>
      </c>
      <c r="L5" s="14">
        <f>Доходы!L5*$B$13/L3</f>
        <v>0</v>
      </c>
      <c r="M5" s="14">
        <f>Доходы!M5*$B$13/M3</f>
        <v>0</v>
      </c>
      <c r="N5" s="14">
        <f>Доходы!N5*$B$13/N3</f>
        <v>0</v>
      </c>
      <c r="O5" s="14">
        <f>SUMIF(B2:N2,N2,B5:N5)</f>
        <v>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>
      <c r="A6" s="25" t="s">
        <v>35</v>
      </c>
      <c r="B6" s="14">
        <f>(Прибыль!B24-Прибыль!B23+Прибыль!B30)*СОК!$B$13/СОК!$B$3</f>
        <v>220139.11290322582</v>
      </c>
      <c r="C6" s="14">
        <f>(Прибыль!C24-Прибыль!C23+Прибыль!C30)*СОК!$B$13/СОК!$B$3</f>
        <v>14629872.254838711</v>
      </c>
      <c r="D6" s="14">
        <f>(Прибыль!D24-Прибыль!D23+Прибыль!D30)*СОК!$B$13/СОК!$B$3</f>
        <v>2466307.8225806453</v>
      </c>
      <c r="E6" s="14">
        <f>(Прибыль!E24-Прибыль!E23+Прибыль!E30)*СОК!$B$13/СОК!$B$3</f>
        <v>2467662.6612903224</v>
      </c>
      <c r="F6" s="14">
        <f>(Прибыль!F24-Прибыль!F23+Прибыль!F30)*СОК!$B$13/СОК!$B$3</f>
        <v>1107114.2741935484</v>
      </c>
      <c r="G6" s="14">
        <f>(Прибыль!G24-Прибыль!G23+Прибыль!G30)*СОК!$B$13/СОК!$B$3</f>
        <v>1107114.2741935484</v>
      </c>
      <c r="H6" s="14">
        <f>(Прибыль!H24-Прибыль!H23+Прибыль!H30)*СОК!$B$13/СОК!$B$3</f>
        <v>166590.0806451613</v>
      </c>
      <c r="I6" s="14">
        <f>(Прибыль!I24-Прибыль!I23+Прибыль!I30)*СОК!$B$13/СОК!$B$3</f>
        <v>166590.0806451613</v>
      </c>
      <c r="J6" s="14">
        <f>(Прибыль!J24-Прибыль!J23+Прибыль!J30)*СОК!$B$13/СОК!$B$3</f>
        <v>2332626.0064516128</v>
      </c>
      <c r="K6" s="14">
        <f>(Прибыль!K24-Прибыль!K23+Прибыль!K30)*СОК!$B$13/СОК!$B$3</f>
        <v>637142.13548387098</v>
      </c>
      <c r="L6" s="14">
        <f>(Прибыль!L24-Прибыль!L23+Прибыль!L30)*СОК!$B$13/СОК!$B$3</f>
        <v>193916.32903225807</v>
      </c>
      <c r="M6" s="14">
        <f>(Прибыль!M24-Прибыль!M23+Прибыль!M30)*СОК!$B$13/СОК!$B$3</f>
        <v>193916.32903225807</v>
      </c>
      <c r="N6" s="14">
        <f>(Прибыль!N24-Прибыль!N23+Прибыль!N30)*СОК!$B$13/СОК!$B$3</f>
        <v>193916.32903225807</v>
      </c>
      <c r="O6" s="14">
        <f>(Прибыль!O24-Прибыль!O23+Прибыль!O30)*СОК!$B$13/СОК!$B$3</f>
        <v>5150960.3193548387</v>
      </c>
      <c r="P6" s="14">
        <f>(Прибыль!P24-Прибыль!P23+Прибыль!P30)*СОК!$B$13/СОК!$B$3</f>
        <v>4756630.4032258084</v>
      </c>
      <c r="Q6" s="14">
        <f>(Прибыль!Q24-Прибыль!Q23+Прибыль!Q30)*СОК!$B$13/СОК!$B$3</f>
        <v>4756630.4032258084</v>
      </c>
      <c r="R6" s="14">
        <f>(Прибыль!R24-Прибыль!R23+Прибыль!R30)*СОК!$B$13/СОК!$B$3</f>
        <v>4752275.5645161308</v>
      </c>
      <c r="S6" s="14">
        <f>(Прибыль!S24-Прибыль!S23+Прибыль!S30)*СОК!$B$13/СОК!$B$3</f>
        <v>4752275.5645161308</v>
      </c>
      <c r="T6" s="14">
        <f>(Прибыль!T24-Прибыль!T23+Прибыль!T30)*СОК!$B$13/СОК!$B$3</f>
        <v>1094211.048387097</v>
      </c>
      <c r="U6" s="14">
        <f>(Прибыль!U24-Прибыль!U23+Прибыль!U30)*СОК!$B$13/СОК!$B$3</f>
        <v>1094211.048387097</v>
      </c>
      <c r="V6" s="14">
        <f>(Прибыль!V24-Прибыль!V23+Прибыль!V30)*СОК!$B$13/СОК!$B$3</f>
        <v>945755.03870967741</v>
      </c>
      <c r="W6" s="14">
        <f>(Прибыль!W24-Прибыль!W23+Прибыль!W30)*СОК!$B$13/СОК!$B$3</f>
        <v>653496.97419354832</v>
      </c>
      <c r="X6" s="14">
        <f>(Прибыль!X24-Прибыль!X23+Прибыль!X30)*СОК!$B$13/СОК!$B$3</f>
        <v>210271.16774193547</v>
      </c>
      <c r="Y6" s="14">
        <f>(Прибыль!Y24-Прибыль!Y23+Прибыль!Y30)*СОК!$B$13/СОК!$B$3</f>
        <v>210271.16774193547</v>
      </c>
      <c r="Z6" s="14">
        <f>(Прибыль!Z24-Прибыль!Z23+Прибыль!Z30)*СОК!$B$13/СОК!$B$3</f>
        <v>210271.16774193547</v>
      </c>
      <c r="AA6" s="14">
        <f>(Прибыль!AA24-Прибыль!AA23+Прибыль!AA30)*СОК!$B$13/СОК!$B$3</f>
        <v>5167315.1580645163</v>
      </c>
      <c r="AB6" s="14">
        <f>(Прибыль!AB24-Прибыль!AB23+Прибыль!AB30)*СОК!$B$13/СОК!$B$3</f>
        <v>4772985.241935486</v>
      </c>
      <c r="AC6" s="14">
        <f>(Прибыль!AC24-Прибыль!AC23+Прибыль!AC30)*СОК!$B$13/СОК!$B$3</f>
        <v>4772985.241935486</v>
      </c>
      <c r="AD6" s="14">
        <f>(Прибыль!AD24-Прибыль!AD23+Прибыль!AD30)*СОК!$B$13/СОК!$B$3</f>
        <v>4768630.4032258084</v>
      </c>
      <c r="AE6" s="14">
        <f>(Прибыль!AE24-Прибыль!AE23+Прибыль!AE30)*СОК!$B$13/СОК!$B$3</f>
        <v>4768630.4032258084</v>
      </c>
      <c r="AF6" s="14">
        <f>(Прибыль!AF24-Прибыль!AF23+Прибыль!AF30)*СОК!$B$13/СОК!$B$3</f>
        <v>1110565.8870967745</v>
      </c>
      <c r="AG6" s="14">
        <f>(Прибыль!AG24-Прибыль!AG23+Прибыль!AG30)*СОК!$B$13/СОК!$B$3</f>
        <v>1110565.8870967745</v>
      </c>
      <c r="AH6" s="14">
        <f>(Прибыль!AH24-Прибыль!AH23+Прибыль!AH30)*СОК!$B$13/СОК!$B$3</f>
        <v>945755.03870967741</v>
      </c>
      <c r="AI6" s="14">
        <f>(Прибыль!AI24-Прибыль!AI23+Прибыль!AI30)*СОК!$B$13/СОК!$B$3</f>
        <v>653496.97419354832</v>
      </c>
      <c r="AJ6" s="14">
        <f>(Прибыль!AJ24-Прибыль!AJ23+Прибыль!AJ30)*СОК!$B$13/СОК!$B$3</f>
        <v>210271.16774193547</v>
      </c>
      <c r="AK6" s="14">
        <f>(Прибыль!AK24-Прибыль!AK23+Прибыль!AK30)*СОК!$B$13/СОК!$B$3</f>
        <v>210271.16774193547</v>
      </c>
      <c r="AL6" s="14">
        <f>(Прибыль!AL24-Прибыль!AL23+Прибыль!AL30)*СОК!$B$13/СОК!$B$3</f>
        <v>210271.16774193547</v>
      </c>
      <c r="AM6" s="14">
        <f>(Прибыль!AM24-Прибыль!AM23+Прибыль!AM30)*СОК!$B$13/СОК!$B$3</f>
        <v>5167315.1580645163</v>
      </c>
      <c r="AN6" s="14">
        <f>(Прибыль!AN24-Прибыль!AN23+Прибыль!AN30)*СОК!$B$13/СОК!$B$3</f>
        <v>4772985.241935486</v>
      </c>
      <c r="AO6" s="14">
        <f>(Прибыль!AO24-Прибыль!AO23+Прибыль!AO30)*СОК!$B$13/СОК!$B$3</f>
        <v>4772985.241935486</v>
      </c>
      <c r="AP6" s="3"/>
    </row>
    <row r="7" spans="1:42">
      <c r="A7" s="25" t="s">
        <v>36</v>
      </c>
      <c r="B7" s="14">
        <f>B5-B6</f>
        <v>-220139.11290322582</v>
      </c>
      <c r="C7" s="14">
        <f t="shared" ref="C7:M7" si="28">C5-C6</f>
        <v>-14629872.254838711</v>
      </c>
      <c r="D7" s="14">
        <f t="shared" si="28"/>
        <v>-2466307.8225806453</v>
      </c>
      <c r="E7" s="14">
        <f t="shared" si="28"/>
        <v>-2467662.6612903224</v>
      </c>
      <c r="F7" s="14">
        <f t="shared" si="28"/>
        <v>-1107114.2741935484</v>
      </c>
      <c r="G7" s="14">
        <f t="shared" si="28"/>
        <v>-1107114.2741935484</v>
      </c>
      <c r="H7" s="14">
        <f t="shared" si="28"/>
        <v>-166590.0806451613</v>
      </c>
      <c r="I7" s="55">
        <f t="shared" si="28"/>
        <v>-166590.0806451613</v>
      </c>
      <c r="J7" s="14">
        <f t="shared" si="28"/>
        <v>-2332626.0064516128</v>
      </c>
      <c r="K7" s="14">
        <f t="shared" si="28"/>
        <v>-637142.13548387098</v>
      </c>
      <c r="L7" s="14">
        <f t="shared" si="28"/>
        <v>-193916.32903225807</v>
      </c>
      <c r="M7" s="14">
        <f t="shared" si="28"/>
        <v>-193916.32903225807</v>
      </c>
      <c r="N7" s="14">
        <f>N5-N6</f>
        <v>-193916.32903225807</v>
      </c>
      <c r="O7" s="14">
        <f>O5-O6</f>
        <v>-5150960.3193548387</v>
      </c>
      <c r="P7" s="14">
        <f t="shared" ref="P7:AO7" si="29">P5-P6</f>
        <v>-4756630.4032258084</v>
      </c>
      <c r="Q7" s="14">
        <f t="shared" si="29"/>
        <v>-4756630.4032258084</v>
      </c>
      <c r="R7" s="14">
        <f t="shared" si="29"/>
        <v>-4752275.5645161308</v>
      </c>
      <c r="S7" s="14">
        <f t="shared" si="29"/>
        <v>-4752275.5645161308</v>
      </c>
      <c r="T7" s="14">
        <f t="shared" si="29"/>
        <v>-1094211.048387097</v>
      </c>
      <c r="U7" s="14">
        <f t="shared" si="29"/>
        <v>-1094211.048387097</v>
      </c>
      <c r="V7" s="14">
        <f t="shared" si="29"/>
        <v>-945755.03870967741</v>
      </c>
      <c r="W7" s="14">
        <f t="shared" si="29"/>
        <v>-653496.97419354832</v>
      </c>
      <c r="X7" s="14">
        <f t="shared" si="29"/>
        <v>-210271.16774193547</v>
      </c>
      <c r="Y7" s="14">
        <f t="shared" si="29"/>
        <v>-210271.16774193547</v>
      </c>
      <c r="Z7" s="14">
        <f t="shared" si="29"/>
        <v>-210271.16774193547</v>
      </c>
      <c r="AA7" s="14">
        <f t="shared" si="29"/>
        <v>-5167315.1580645163</v>
      </c>
      <c r="AB7" s="14">
        <f t="shared" si="29"/>
        <v>-4772985.241935486</v>
      </c>
      <c r="AC7" s="14">
        <f t="shared" si="29"/>
        <v>-4772985.241935486</v>
      </c>
      <c r="AD7" s="14">
        <f t="shared" si="29"/>
        <v>-4768630.4032258084</v>
      </c>
      <c r="AE7" s="14">
        <f t="shared" si="29"/>
        <v>-4768630.4032258084</v>
      </c>
      <c r="AF7" s="14">
        <f t="shared" si="29"/>
        <v>-1110565.8870967745</v>
      </c>
      <c r="AG7" s="14">
        <f t="shared" si="29"/>
        <v>-1110565.8870967745</v>
      </c>
      <c r="AH7" s="14">
        <f t="shared" si="29"/>
        <v>-945755.03870967741</v>
      </c>
      <c r="AI7" s="14">
        <f t="shared" si="29"/>
        <v>-653496.97419354832</v>
      </c>
      <c r="AJ7" s="14">
        <f t="shared" si="29"/>
        <v>-210271.16774193547</v>
      </c>
      <c r="AK7" s="14">
        <f t="shared" si="29"/>
        <v>-210271.16774193547</v>
      </c>
      <c r="AL7" s="14">
        <f t="shared" si="29"/>
        <v>-210271.16774193547</v>
      </c>
      <c r="AM7" s="14">
        <f t="shared" si="29"/>
        <v>-5167315.1580645163</v>
      </c>
      <c r="AN7" s="14">
        <f t="shared" si="29"/>
        <v>-4772985.241935486</v>
      </c>
      <c r="AO7" s="14">
        <f t="shared" si="29"/>
        <v>-4772985.241935486</v>
      </c>
      <c r="AP7" s="3"/>
    </row>
    <row r="8" spans="1:42">
      <c r="A8" s="25" t="s">
        <v>37</v>
      </c>
      <c r="B8" s="14">
        <f>B7</f>
        <v>-220139.11290322582</v>
      </c>
      <c r="C8" s="14">
        <f>C7-B7</f>
        <v>-14409733.141935484</v>
      </c>
      <c r="D8" s="14">
        <f t="shared" ref="D8:K8" si="30">D7-C7</f>
        <v>12163564.432258066</v>
      </c>
      <c r="E8" s="14">
        <f t="shared" si="30"/>
        <v>-1354.8387096771039</v>
      </c>
      <c r="F8" s="14">
        <f t="shared" si="30"/>
        <v>1360548.3870967741</v>
      </c>
      <c r="G8" s="14">
        <f t="shared" si="30"/>
        <v>0</v>
      </c>
      <c r="H8" s="14">
        <f t="shared" si="30"/>
        <v>940524.19354838703</v>
      </c>
      <c r="I8" s="14">
        <f t="shared" si="30"/>
        <v>0</v>
      </c>
      <c r="J8" s="14">
        <f t="shared" si="30"/>
        <v>-2166035.9258064516</v>
      </c>
      <c r="K8" s="14">
        <f t="shared" si="30"/>
        <v>1695483.8709677418</v>
      </c>
      <c r="L8" s="14">
        <f>L7-K7</f>
        <v>443225.80645161291</v>
      </c>
      <c r="M8" s="14">
        <f>M7-L7</f>
        <v>0</v>
      </c>
      <c r="N8" s="14">
        <f t="shared" ref="N8:O8" si="31">N7-M7</f>
        <v>0</v>
      </c>
      <c r="O8" s="14">
        <f t="shared" si="31"/>
        <v>-4957043.9903225806</v>
      </c>
      <c r="P8" s="14">
        <f>P7-O7</f>
        <v>394329.91612903029</v>
      </c>
      <c r="Q8" s="14">
        <f t="shared" ref="Q8:AO8" si="32">Q7-P7</f>
        <v>0</v>
      </c>
      <c r="R8" s="14">
        <f t="shared" si="32"/>
        <v>4354.8387096775696</v>
      </c>
      <c r="S8" s="14">
        <f t="shared" si="32"/>
        <v>0</v>
      </c>
      <c r="T8" s="14">
        <f t="shared" si="32"/>
        <v>3658064.5161290336</v>
      </c>
      <c r="U8" s="14">
        <f t="shared" si="32"/>
        <v>0</v>
      </c>
      <c r="V8" s="14">
        <f t="shared" si="32"/>
        <v>148456.00967741956</v>
      </c>
      <c r="W8" s="14">
        <f t="shared" si="32"/>
        <v>292258.06451612909</v>
      </c>
      <c r="X8" s="14">
        <f t="shared" si="32"/>
        <v>443225.80645161285</v>
      </c>
      <c r="Y8" s="14">
        <f t="shared" si="32"/>
        <v>0</v>
      </c>
      <c r="Z8" s="14">
        <f t="shared" si="32"/>
        <v>0</v>
      </c>
      <c r="AA8" s="14">
        <f t="shared" si="32"/>
        <v>-4957043.9903225806</v>
      </c>
      <c r="AB8" s="14">
        <f t="shared" si="32"/>
        <v>394329.91612903029</v>
      </c>
      <c r="AC8" s="14">
        <f t="shared" si="32"/>
        <v>0</v>
      </c>
      <c r="AD8" s="14">
        <f t="shared" si="32"/>
        <v>4354.8387096775696</v>
      </c>
      <c r="AE8" s="14">
        <f t="shared" si="32"/>
        <v>0</v>
      </c>
      <c r="AF8" s="14">
        <f t="shared" si="32"/>
        <v>3658064.5161290336</v>
      </c>
      <c r="AG8" s="14">
        <f t="shared" si="32"/>
        <v>0</v>
      </c>
      <c r="AH8" s="14">
        <f t="shared" si="32"/>
        <v>164810.84838709712</v>
      </c>
      <c r="AI8" s="14">
        <f t="shared" si="32"/>
        <v>292258.06451612909</v>
      </c>
      <c r="AJ8" s="14">
        <f t="shared" si="32"/>
        <v>443225.80645161285</v>
      </c>
      <c r="AK8" s="14">
        <f t="shared" si="32"/>
        <v>0</v>
      </c>
      <c r="AL8" s="14">
        <f t="shared" si="32"/>
        <v>0</v>
      </c>
      <c r="AM8" s="14">
        <f t="shared" si="32"/>
        <v>-4957043.9903225806</v>
      </c>
      <c r="AN8" s="14">
        <f>AN7-AM7</f>
        <v>394329.91612903029</v>
      </c>
      <c r="AO8" s="14">
        <f t="shared" si="32"/>
        <v>0</v>
      </c>
      <c r="AP8" s="3"/>
    </row>
    <row r="12" spans="1:42">
      <c r="A12" s="25" t="s">
        <v>67</v>
      </c>
      <c r="B12" s="25"/>
    </row>
    <row r="13" spans="1:42">
      <c r="A13" s="25" t="s">
        <v>34</v>
      </c>
      <c r="B13" s="25">
        <v>30</v>
      </c>
    </row>
    <row r="14" spans="1:42">
      <c r="A14" s="25" t="s">
        <v>68</v>
      </c>
      <c r="B14" s="25">
        <v>30</v>
      </c>
    </row>
  </sheetData>
  <mergeCells count="1">
    <mergeCell ref="AP1:AP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"/>
  <sheetViews>
    <sheetView workbookViewId="0">
      <selection activeCell="B11" sqref="B11"/>
    </sheetView>
  </sheetViews>
  <sheetFormatPr baseColWidth="10" defaultRowHeight="15" x14ac:dyDescent="0"/>
  <cols>
    <col min="1" max="1" width="34.83203125" customWidth="1"/>
    <col min="2" max="2" width="13.1640625" bestFit="1" customWidth="1"/>
    <col min="3" max="3" width="13.83203125" bestFit="1" customWidth="1"/>
    <col min="4" max="6" width="13.1640625" bestFit="1" customWidth="1"/>
    <col min="7" max="7" width="14.1640625" bestFit="1" customWidth="1"/>
    <col min="8" max="15" width="18.5" bestFit="1" customWidth="1"/>
    <col min="16" max="17" width="15.5" bestFit="1" customWidth="1"/>
    <col min="18" max="27" width="11" bestFit="1" customWidth="1"/>
    <col min="28" max="29" width="15.5" bestFit="1" customWidth="1"/>
    <col min="30" max="39" width="11" bestFit="1" customWidth="1"/>
    <col min="40" max="41" width="15.5" bestFit="1" customWidth="1"/>
    <col min="42" max="42" width="16.5" bestFit="1" customWidth="1"/>
  </cols>
  <sheetData>
    <row r="1" spans="1:42" s="35" customFormat="1">
      <c r="A1" s="9"/>
      <c r="B1" s="9">
        <f>Прибыль!B1</f>
        <v>2019</v>
      </c>
      <c r="C1" s="9">
        <f>Прибыль!C1</f>
        <v>2019</v>
      </c>
      <c r="D1" s="9">
        <f>Прибыль!D1</f>
        <v>2019</v>
      </c>
      <c r="E1" s="9">
        <f>Прибыль!E1</f>
        <v>2019</v>
      </c>
      <c r="F1" s="9">
        <f>Прибыль!F1</f>
        <v>2019</v>
      </c>
      <c r="G1" s="9">
        <f>Прибыль!G1</f>
        <v>2020</v>
      </c>
      <c r="H1" s="9">
        <f>Прибыль!H1</f>
        <v>2020</v>
      </c>
      <c r="I1" s="9">
        <f>Прибыль!I1</f>
        <v>2020</v>
      </c>
      <c r="J1" s="9">
        <f>Прибыль!J1</f>
        <v>2020</v>
      </c>
      <c r="K1" s="9">
        <f>Прибыль!K1</f>
        <v>2020</v>
      </c>
      <c r="L1" s="9">
        <f>Прибыль!L1</f>
        <v>2020</v>
      </c>
      <c r="M1" s="9">
        <f>Прибыль!M1</f>
        <v>2020</v>
      </c>
      <c r="N1" s="9">
        <f>Прибыль!N1</f>
        <v>2020</v>
      </c>
      <c r="O1" s="69">
        <f>Прибыль!O1</f>
        <v>2020</v>
      </c>
      <c r="P1" s="69">
        <f>Прибыль!P1</f>
        <v>2020</v>
      </c>
      <c r="Q1" s="69">
        <f>Прибыль!Q1</f>
        <v>2020</v>
      </c>
      <c r="R1" s="69">
        <f>Прибыль!R1</f>
        <v>2020</v>
      </c>
      <c r="S1" s="69">
        <f>Прибыль!S1</f>
        <v>2021</v>
      </c>
      <c r="T1" s="69">
        <f>Прибыль!T1</f>
        <v>2021</v>
      </c>
      <c r="U1" s="69">
        <f>Прибыль!U1</f>
        <v>2021</v>
      </c>
      <c r="V1" s="69">
        <f>Прибыль!V1</f>
        <v>2021</v>
      </c>
      <c r="W1" s="69">
        <f>Прибыль!W1</f>
        <v>2021</v>
      </c>
      <c r="X1" s="69">
        <f>Прибыль!X1</f>
        <v>2021</v>
      </c>
      <c r="Y1" s="69">
        <f>Прибыль!Y1</f>
        <v>2021</v>
      </c>
      <c r="Z1" s="69">
        <f>Прибыль!Z1</f>
        <v>2021</v>
      </c>
      <c r="AA1" s="69">
        <f>Прибыль!AA1</f>
        <v>2021</v>
      </c>
      <c r="AB1" s="69">
        <f>Прибыль!AB1</f>
        <v>2021</v>
      </c>
      <c r="AC1" s="69">
        <f>Прибыль!AC1</f>
        <v>2021</v>
      </c>
      <c r="AD1" s="69">
        <f>Прибыль!AD1</f>
        <v>2021</v>
      </c>
      <c r="AE1" s="69">
        <f>Прибыль!AE1</f>
        <v>2022</v>
      </c>
      <c r="AF1" s="69">
        <f>Прибыль!AF1</f>
        <v>2022</v>
      </c>
      <c r="AG1" s="69">
        <f>Прибыль!AG1</f>
        <v>2022</v>
      </c>
      <c r="AH1" s="69">
        <f>Прибыль!AH1</f>
        <v>2022</v>
      </c>
      <c r="AI1" s="69">
        <f>Прибыль!AI1</f>
        <v>2022</v>
      </c>
      <c r="AJ1" s="69">
        <f>Прибыль!AJ1</f>
        <v>2022</v>
      </c>
      <c r="AK1" s="69">
        <f>Прибыль!AK1</f>
        <v>2022</v>
      </c>
      <c r="AL1" s="69">
        <f>Прибыль!AL1</f>
        <v>2022</v>
      </c>
      <c r="AM1" s="69">
        <f>Прибыль!AM1</f>
        <v>2022</v>
      </c>
      <c r="AN1" s="69">
        <f>Прибыль!AN1</f>
        <v>2022</v>
      </c>
      <c r="AO1" s="69">
        <f>Прибыль!AO1</f>
        <v>2022</v>
      </c>
      <c r="AP1" s="121" t="str">
        <f>Прибыль!AP1</f>
        <v>ИТОГ</v>
      </c>
    </row>
    <row r="2" spans="1:42" s="35" customFormat="1">
      <c r="A2" s="48" t="s">
        <v>0</v>
      </c>
      <c r="B2" s="45">
        <f>Прибыль!B2</f>
        <v>43678</v>
      </c>
      <c r="C2" s="45">
        <f>Прибыль!C2</f>
        <v>43709</v>
      </c>
      <c r="D2" s="45">
        <f>Прибыль!D2</f>
        <v>43739</v>
      </c>
      <c r="E2" s="45">
        <f>Прибыль!E2</f>
        <v>43770</v>
      </c>
      <c r="F2" s="45">
        <f>Прибыль!F2</f>
        <v>43800</v>
      </c>
      <c r="G2" s="45">
        <f>Прибыль!G2</f>
        <v>43831</v>
      </c>
      <c r="H2" s="45">
        <f>Прибыль!H2</f>
        <v>43862</v>
      </c>
      <c r="I2" s="45">
        <f>Прибыль!I2</f>
        <v>43891</v>
      </c>
      <c r="J2" s="45">
        <f>Прибыль!J2</f>
        <v>43922</v>
      </c>
      <c r="K2" s="45">
        <f>Прибыль!K2</f>
        <v>43952</v>
      </c>
      <c r="L2" s="45">
        <f>Прибыль!L2</f>
        <v>43983</v>
      </c>
      <c r="M2" s="45">
        <f>Прибыль!M2</f>
        <v>44013</v>
      </c>
      <c r="N2" s="45">
        <f>Прибыль!N2</f>
        <v>44044</v>
      </c>
      <c r="O2" s="45">
        <f>Прибыль!O2</f>
        <v>44075</v>
      </c>
      <c r="P2" s="45">
        <f>Прибыль!P2</f>
        <v>44105</v>
      </c>
      <c r="Q2" s="45">
        <f>Прибыль!Q2</f>
        <v>44136</v>
      </c>
      <c r="R2" s="45">
        <f>Прибыль!R2</f>
        <v>44166</v>
      </c>
      <c r="S2" s="45">
        <f>Прибыль!S2</f>
        <v>44197</v>
      </c>
      <c r="T2" s="45">
        <f>Прибыль!T2</f>
        <v>44228</v>
      </c>
      <c r="U2" s="45">
        <f>Прибыль!U2</f>
        <v>44256</v>
      </c>
      <c r="V2" s="45">
        <f>Прибыль!V2</f>
        <v>44287</v>
      </c>
      <c r="W2" s="45">
        <f>Прибыль!W2</f>
        <v>44317</v>
      </c>
      <c r="X2" s="45">
        <f>Прибыль!X2</f>
        <v>44348</v>
      </c>
      <c r="Y2" s="45">
        <f>Прибыль!Y2</f>
        <v>44378</v>
      </c>
      <c r="Z2" s="45">
        <f>Прибыль!Z2</f>
        <v>44409</v>
      </c>
      <c r="AA2" s="45">
        <f>Прибыль!AA2</f>
        <v>44440</v>
      </c>
      <c r="AB2" s="45">
        <f>Прибыль!AB2</f>
        <v>44470</v>
      </c>
      <c r="AC2" s="45">
        <f>Прибыль!AC2</f>
        <v>44501</v>
      </c>
      <c r="AD2" s="45">
        <f>Прибыль!AD2</f>
        <v>44531</v>
      </c>
      <c r="AE2" s="45">
        <f>Прибыль!AE2</f>
        <v>44562</v>
      </c>
      <c r="AF2" s="45">
        <f>Прибыль!AF2</f>
        <v>44593</v>
      </c>
      <c r="AG2" s="45">
        <f>Прибыль!AG2</f>
        <v>44621</v>
      </c>
      <c r="AH2" s="45">
        <f>Прибыль!AH2</f>
        <v>44652</v>
      </c>
      <c r="AI2" s="45">
        <f>Прибыль!AI2</f>
        <v>44682</v>
      </c>
      <c r="AJ2" s="45">
        <f>Прибыль!AJ2</f>
        <v>44713</v>
      </c>
      <c r="AK2" s="45">
        <f>Прибыль!AK2</f>
        <v>44743</v>
      </c>
      <c r="AL2" s="45">
        <f>Прибыль!AL2</f>
        <v>44774</v>
      </c>
      <c r="AM2" s="45">
        <f>Прибыль!AM2</f>
        <v>44805</v>
      </c>
      <c r="AN2" s="45">
        <f>Прибыль!AN2</f>
        <v>44835</v>
      </c>
      <c r="AO2" s="45">
        <f>Прибыль!AO2</f>
        <v>44866</v>
      </c>
      <c r="AP2" s="121"/>
    </row>
    <row r="3" spans="1:42">
      <c r="A3" s="36" t="s">
        <v>27</v>
      </c>
      <c r="B3" s="38">
        <f>Доходы!B5</f>
        <v>0</v>
      </c>
      <c r="C3" s="38">
        <f>Доходы!C5</f>
        <v>0</v>
      </c>
      <c r="D3" s="38">
        <f>Доходы!D5</f>
        <v>11859375</v>
      </c>
      <c r="E3" s="38">
        <f>Доходы!E5</f>
        <v>11859375</v>
      </c>
      <c r="F3" s="38">
        <f>Доходы!F5</f>
        <v>4859375</v>
      </c>
      <c r="G3" s="38">
        <f>Доходы!G5</f>
        <v>4859375</v>
      </c>
      <c r="H3" s="38">
        <f>Доходы!H5</f>
        <v>0</v>
      </c>
      <c r="I3" s="38">
        <f>Доходы!I5</f>
        <v>0</v>
      </c>
      <c r="J3" s="38">
        <f>Доходы!J5</f>
        <v>0</v>
      </c>
      <c r="K3" s="38">
        <f>Доходы!K5</f>
        <v>0</v>
      </c>
      <c r="L3" s="38">
        <f>Доходы!L5</f>
        <v>0</v>
      </c>
      <c r="M3" s="38">
        <f>Доходы!M5</f>
        <v>0</v>
      </c>
      <c r="N3" s="38">
        <f>Доходы!N5</f>
        <v>0</v>
      </c>
      <c r="O3" s="38">
        <f>Доходы!O5</f>
        <v>0</v>
      </c>
      <c r="P3" s="14">
        <f>Доходы!P5</f>
        <v>23597916.666666675</v>
      </c>
      <c r="Q3" s="14">
        <f>Доходы!Q5</f>
        <v>23597916.666666675</v>
      </c>
      <c r="R3" s="14">
        <f>Доходы!R5</f>
        <v>23597916.666666675</v>
      </c>
      <c r="S3" s="14">
        <f>Доходы!S5</f>
        <v>23597916.666666675</v>
      </c>
      <c r="T3" s="14">
        <f>Доходы!T5</f>
        <v>4697916.666666667</v>
      </c>
      <c r="U3" s="14">
        <f>Доходы!U5</f>
        <v>4697916.666666667</v>
      </c>
      <c r="V3" s="14">
        <f>Доходы!V5</f>
        <v>0</v>
      </c>
      <c r="W3" s="14">
        <f>Доходы!W5</f>
        <v>0</v>
      </c>
      <c r="X3" s="14">
        <f>Доходы!X5</f>
        <v>0</v>
      </c>
      <c r="Y3" s="14">
        <f>Доходы!Y5</f>
        <v>0</v>
      </c>
      <c r="Z3" s="14">
        <f>Доходы!Z5</f>
        <v>0</v>
      </c>
      <c r="AA3" s="14">
        <f>Доходы!AA5</f>
        <v>0</v>
      </c>
      <c r="AB3" s="14">
        <f>Доходы!AB5</f>
        <v>23597916.666666675</v>
      </c>
      <c r="AC3" s="14">
        <f>Доходы!AC5</f>
        <v>23597916.666666675</v>
      </c>
      <c r="AD3" s="14">
        <f>Доходы!AD5</f>
        <v>23597916.666666675</v>
      </c>
      <c r="AE3" s="14">
        <f>Доходы!AE5</f>
        <v>23597916.666666675</v>
      </c>
      <c r="AF3" s="14">
        <f>Доходы!AF5</f>
        <v>4697916.666666667</v>
      </c>
      <c r="AG3" s="14">
        <f>Доходы!AG5</f>
        <v>4697916.666666667</v>
      </c>
      <c r="AH3" s="14">
        <f>Доходы!AH5</f>
        <v>0</v>
      </c>
      <c r="AI3" s="14">
        <f>Доходы!AI5</f>
        <v>0</v>
      </c>
      <c r="AJ3" s="14">
        <f>Доходы!AJ5</f>
        <v>0</v>
      </c>
      <c r="AK3" s="14">
        <f>Доходы!AK5</f>
        <v>0</v>
      </c>
      <c r="AL3" s="14">
        <f>Доходы!AL5</f>
        <v>0</v>
      </c>
      <c r="AM3" s="14">
        <f>Доходы!AM5</f>
        <v>0</v>
      </c>
      <c r="AN3" s="14">
        <f>Доходы!AN5</f>
        <v>23597916.666666675</v>
      </c>
      <c r="AO3" s="14">
        <f>Доходы!AO5</f>
        <v>23597916.666666675</v>
      </c>
      <c r="AP3" s="14">
        <f>Доходы!AP5</f>
        <v>288208333.33333337</v>
      </c>
    </row>
    <row r="4" spans="1:42">
      <c r="A4" s="25" t="s">
        <v>39</v>
      </c>
      <c r="B4" s="37">
        <f>'Общие расходы'!B24</f>
        <v>269000</v>
      </c>
      <c r="C4" s="37">
        <f>'Общие расходы'!C24</f>
        <v>15159057.58</v>
      </c>
      <c r="D4" s="37">
        <f>'Общие расходы'!D24</f>
        <v>218166</v>
      </c>
      <c r="E4" s="37">
        <f>'Общие расходы'!E24</f>
        <v>219566</v>
      </c>
      <c r="F4" s="37">
        <f>'Общие расходы'!F24</f>
        <v>213666</v>
      </c>
      <c r="G4" s="37">
        <f>'Общие расходы'!G24</f>
        <v>213666</v>
      </c>
      <c r="H4" s="37">
        <f>'Общие расходы'!H24</f>
        <v>213666</v>
      </c>
      <c r="I4" s="37">
        <f>'Общие расходы'!I24</f>
        <v>213666</v>
      </c>
      <c r="J4" s="37">
        <f>'Общие расходы'!J24</f>
        <v>2457944.79</v>
      </c>
      <c r="K4" s="37">
        <f>'Общие расходы'!K24</f>
        <v>705944.79</v>
      </c>
      <c r="L4" s="37">
        <f>'Общие расходы'!L24</f>
        <v>247944.79</v>
      </c>
      <c r="M4" s="37">
        <f>'Общие расходы'!M24</f>
        <v>247944.79</v>
      </c>
      <c r="N4" s="37">
        <f>'Общие расходы'!N24</f>
        <v>247944.79</v>
      </c>
      <c r="O4" s="37">
        <f>'Общие расходы'!O24</f>
        <v>5370223.5800000001</v>
      </c>
      <c r="P4" s="37">
        <f>'Общие расходы'!P24</f>
        <v>243166</v>
      </c>
      <c r="Q4" s="37">
        <f>'Общие расходы'!Q24</f>
        <v>243166</v>
      </c>
      <c r="R4" s="37">
        <f>'Общие расходы'!R24</f>
        <v>238666</v>
      </c>
      <c r="S4" s="37">
        <f>'Общие расходы'!S24</f>
        <v>238666</v>
      </c>
      <c r="T4" s="37">
        <f>'Общие расходы'!T24</f>
        <v>238666</v>
      </c>
      <c r="U4" s="37">
        <f>'Общие расходы'!U24</f>
        <v>238666</v>
      </c>
      <c r="V4" s="37">
        <f>'Общие расходы'!V24</f>
        <v>1024844.79</v>
      </c>
      <c r="W4" s="37">
        <f>'Общие расходы'!W24</f>
        <v>722844.79</v>
      </c>
      <c r="X4" s="37">
        <f>'Общие расходы'!X24</f>
        <v>264844.78999999998</v>
      </c>
      <c r="Y4" s="37">
        <f>'Общие расходы'!Y24</f>
        <v>264844.78999999998</v>
      </c>
      <c r="Z4" s="37">
        <f>'Общие расходы'!Z24</f>
        <v>264844.78999999998</v>
      </c>
      <c r="AA4" s="37">
        <f>'Общие расходы'!AA24</f>
        <v>5387123.5800000001</v>
      </c>
      <c r="AB4" s="37">
        <f>'Общие расходы'!AB24</f>
        <v>260066</v>
      </c>
      <c r="AC4" s="37">
        <f>'Общие расходы'!AC24</f>
        <v>260066</v>
      </c>
      <c r="AD4" s="37">
        <f>'Общие расходы'!AD24</f>
        <v>255566</v>
      </c>
      <c r="AE4" s="37">
        <f>'Общие расходы'!AE24</f>
        <v>255566</v>
      </c>
      <c r="AF4" s="37">
        <f>'Общие расходы'!AF24</f>
        <v>255566</v>
      </c>
      <c r="AG4" s="37">
        <f>'Общие расходы'!AG24</f>
        <v>255566</v>
      </c>
      <c r="AH4" s="37">
        <f>'Общие расходы'!AH24</f>
        <v>1024844.79</v>
      </c>
      <c r="AI4" s="37">
        <f>'Общие расходы'!AI24</f>
        <v>722844.79</v>
      </c>
      <c r="AJ4" s="37">
        <f>'Общие расходы'!AJ24</f>
        <v>264844.78999999998</v>
      </c>
      <c r="AK4" s="37">
        <f>'Общие расходы'!AK24</f>
        <v>264844.78999999998</v>
      </c>
      <c r="AL4" s="37">
        <f>'Общие расходы'!AL24</f>
        <v>264844.78999999998</v>
      </c>
      <c r="AM4" s="37">
        <f>'Общие расходы'!AM24</f>
        <v>5387123.5800000001</v>
      </c>
      <c r="AN4" s="37">
        <f>'Общие расходы'!AN24</f>
        <v>260066</v>
      </c>
      <c r="AO4" s="37">
        <f>'Общие расходы'!AO24</f>
        <v>260066</v>
      </c>
      <c r="AP4" s="37">
        <f>'Общие расходы'!AP24</f>
        <v>45360620.170000002</v>
      </c>
    </row>
    <row r="5" spans="1:42">
      <c r="A5" s="36" t="s">
        <v>40</v>
      </c>
      <c r="B5" s="38">
        <f t="shared" ref="B5:G5" si="0">B3-B4</f>
        <v>-269000</v>
      </c>
      <c r="C5" s="38">
        <f t="shared" si="0"/>
        <v>-15159057.58</v>
      </c>
      <c r="D5" s="38">
        <f t="shared" si="0"/>
        <v>11641209</v>
      </c>
      <c r="E5" s="38">
        <f t="shared" si="0"/>
        <v>11639809</v>
      </c>
      <c r="F5" s="38">
        <f t="shared" si="0"/>
        <v>4645709</v>
      </c>
      <c r="G5" s="38">
        <f t="shared" si="0"/>
        <v>4645709</v>
      </c>
      <c r="H5" s="38">
        <f>H3-H4</f>
        <v>-213666</v>
      </c>
      <c r="I5" s="38">
        <f t="shared" ref="I5:O5" si="1">I3-I4</f>
        <v>-213666</v>
      </c>
      <c r="J5" s="38">
        <f t="shared" si="1"/>
        <v>-2457944.79</v>
      </c>
      <c r="K5" s="38">
        <f t="shared" si="1"/>
        <v>-705944.79</v>
      </c>
      <c r="L5" s="38">
        <f t="shared" si="1"/>
        <v>-247944.79</v>
      </c>
      <c r="M5" s="38">
        <f t="shared" si="1"/>
        <v>-247944.79</v>
      </c>
      <c r="N5" s="38">
        <f t="shared" si="1"/>
        <v>-247944.79</v>
      </c>
      <c r="O5" s="38">
        <f t="shared" si="1"/>
        <v>-5370223.5800000001</v>
      </c>
      <c r="P5" s="38">
        <f t="shared" ref="P5:AP5" si="2">P3-P4</f>
        <v>23354750.666666675</v>
      </c>
      <c r="Q5" s="38">
        <f t="shared" si="2"/>
        <v>23354750.666666675</v>
      </c>
      <c r="R5" s="38">
        <f t="shared" si="2"/>
        <v>23359250.666666675</v>
      </c>
      <c r="S5" s="38">
        <f t="shared" si="2"/>
        <v>23359250.666666675</v>
      </c>
      <c r="T5" s="38">
        <f t="shared" si="2"/>
        <v>4459250.666666667</v>
      </c>
      <c r="U5" s="38">
        <f t="shared" si="2"/>
        <v>4459250.666666667</v>
      </c>
      <c r="V5" s="38">
        <f t="shared" si="2"/>
        <v>-1024844.79</v>
      </c>
      <c r="W5" s="38">
        <f t="shared" si="2"/>
        <v>-722844.79</v>
      </c>
      <c r="X5" s="38">
        <f t="shared" si="2"/>
        <v>-264844.78999999998</v>
      </c>
      <c r="Y5" s="38">
        <f t="shared" si="2"/>
        <v>-264844.78999999998</v>
      </c>
      <c r="Z5" s="38">
        <f t="shared" si="2"/>
        <v>-264844.78999999998</v>
      </c>
      <c r="AA5" s="38">
        <f t="shared" si="2"/>
        <v>-5387123.5800000001</v>
      </c>
      <c r="AB5" s="38">
        <f t="shared" si="2"/>
        <v>23337850.666666675</v>
      </c>
      <c r="AC5" s="38">
        <f t="shared" si="2"/>
        <v>23337850.666666675</v>
      </c>
      <c r="AD5" s="38">
        <f t="shared" si="2"/>
        <v>23342350.666666675</v>
      </c>
      <c r="AE5" s="38">
        <f t="shared" si="2"/>
        <v>23342350.666666675</v>
      </c>
      <c r="AF5" s="38">
        <f t="shared" si="2"/>
        <v>4442350.666666667</v>
      </c>
      <c r="AG5" s="38">
        <f t="shared" si="2"/>
        <v>4442350.666666667</v>
      </c>
      <c r="AH5" s="38">
        <f t="shared" si="2"/>
        <v>-1024844.79</v>
      </c>
      <c r="AI5" s="38">
        <f t="shared" si="2"/>
        <v>-722844.79</v>
      </c>
      <c r="AJ5" s="38">
        <f t="shared" si="2"/>
        <v>-264844.78999999998</v>
      </c>
      <c r="AK5" s="38">
        <f t="shared" si="2"/>
        <v>-264844.78999999998</v>
      </c>
      <c r="AL5" s="38">
        <f t="shared" si="2"/>
        <v>-264844.78999999998</v>
      </c>
      <c r="AM5" s="38">
        <f t="shared" si="2"/>
        <v>-5387123.5800000001</v>
      </c>
      <c r="AN5" s="38">
        <f t="shared" si="2"/>
        <v>23337850.666666675</v>
      </c>
      <c r="AO5" s="38">
        <f t="shared" si="2"/>
        <v>23337850.666666675</v>
      </c>
      <c r="AP5" s="38">
        <f t="shared" si="2"/>
        <v>242847713.16333336</v>
      </c>
    </row>
    <row r="6" spans="1:42">
      <c r="A6" s="9" t="s">
        <v>41</v>
      </c>
      <c r="B6" s="37">
        <f t="shared" ref="B6:G6" si="3">B5</f>
        <v>-269000</v>
      </c>
      <c r="C6" s="37">
        <f t="shared" si="3"/>
        <v>-15159057.58</v>
      </c>
      <c r="D6" s="37">
        <f t="shared" si="3"/>
        <v>11641209</v>
      </c>
      <c r="E6" s="37">
        <f t="shared" si="3"/>
        <v>11639809</v>
      </c>
      <c r="F6" s="37">
        <f t="shared" si="3"/>
        <v>4645709</v>
      </c>
      <c r="G6" s="37">
        <f t="shared" si="3"/>
        <v>4645709</v>
      </c>
      <c r="H6" s="37">
        <f>H5</f>
        <v>-213666</v>
      </c>
      <c r="I6" s="37">
        <f t="shared" ref="I6:O6" si="4">I5</f>
        <v>-213666</v>
      </c>
      <c r="J6" s="37">
        <f t="shared" si="4"/>
        <v>-2457944.79</v>
      </c>
      <c r="K6" s="37">
        <f t="shared" si="4"/>
        <v>-705944.79</v>
      </c>
      <c r="L6" s="37">
        <f t="shared" si="4"/>
        <v>-247944.79</v>
      </c>
      <c r="M6" s="37">
        <f t="shared" si="4"/>
        <v>-247944.79</v>
      </c>
      <c r="N6" s="37">
        <f t="shared" si="4"/>
        <v>-247944.79</v>
      </c>
      <c r="O6" s="37">
        <f t="shared" si="4"/>
        <v>-5370223.5800000001</v>
      </c>
      <c r="P6" s="37">
        <f t="shared" ref="P6:AP6" si="5">P5</f>
        <v>23354750.666666675</v>
      </c>
      <c r="Q6" s="37">
        <f t="shared" si="5"/>
        <v>23354750.666666675</v>
      </c>
      <c r="R6" s="37">
        <f t="shared" si="5"/>
        <v>23359250.666666675</v>
      </c>
      <c r="S6" s="37">
        <f t="shared" si="5"/>
        <v>23359250.666666675</v>
      </c>
      <c r="T6" s="37">
        <f t="shared" si="5"/>
        <v>4459250.666666667</v>
      </c>
      <c r="U6" s="37">
        <f t="shared" si="5"/>
        <v>4459250.666666667</v>
      </c>
      <c r="V6" s="37">
        <f t="shared" si="5"/>
        <v>-1024844.79</v>
      </c>
      <c r="W6" s="37">
        <f t="shared" si="5"/>
        <v>-722844.79</v>
      </c>
      <c r="X6" s="37">
        <f t="shared" si="5"/>
        <v>-264844.78999999998</v>
      </c>
      <c r="Y6" s="37">
        <f t="shared" si="5"/>
        <v>-264844.78999999998</v>
      </c>
      <c r="Z6" s="37">
        <f t="shared" si="5"/>
        <v>-264844.78999999998</v>
      </c>
      <c r="AA6" s="37">
        <f t="shared" si="5"/>
        <v>-5387123.5800000001</v>
      </c>
      <c r="AB6" s="37">
        <f t="shared" si="5"/>
        <v>23337850.666666675</v>
      </c>
      <c r="AC6" s="37">
        <f t="shared" si="5"/>
        <v>23337850.666666675</v>
      </c>
      <c r="AD6" s="37">
        <f t="shared" si="5"/>
        <v>23342350.666666675</v>
      </c>
      <c r="AE6" s="37">
        <f t="shared" si="5"/>
        <v>23342350.666666675</v>
      </c>
      <c r="AF6" s="37">
        <f t="shared" si="5"/>
        <v>4442350.666666667</v>
      </c>
      <c r="AG6" s="37">
        <f t="shared" si="5"/>
        <v>4442350.666666667</v>
      </c>
      <c r="AH6" s="37">
        <f t="shared" si="5"/>
        <v>-1024844.79</v>
      </c>
      <c r="AI6" s="37">
        <f t="shared" si="5"/>
        <v>-722844.79</v>
      </c>
      <c r="AJ6" s="37">
        <f t="shared" si="5"/>
        <v>-264844.78999999998</v>
      </c>
      <c r="AK6" s="37">
        <f t="shared" si="5"/>
        <v>-264844.78999999998</v>
      </c>
      <c r="AL6" s="37">
        <f t="shared" si="5"/>
        <v>-264844.78999999998</v>
      </c>
      <c r="AM6" s="37">
        <f t="shared" si="5"/>
        <v>-5387123.5800000001</v>
      </c>
      <c r="AN6" s="37">
        <f t="shared" si="5"/>
        <v>23337850.666666675</v>
      </c>
      <c r="AO6" s="37">
        <f t="shared" si="5"/>
        <v>23337850.666666675</v>
      </c>
      <c r="AP6" s="37">
        <f t="shared" si="5"/>
        <v>242847713.16333336</v>
      </c>
    </row>
    <row r="7" spans="1:42">
      <c r="A7" s="25" t="s">
        <v>42</v>
      </c>
      <c r="B7" s="32" t="e">
        <f>B6/B3</f>
        <v>#DIV/0!</v>
      </c>
      <c r="C7" s="32" t="e">
        <f t="shared" ref="C7:E7" si="6">C6/C3</f>
        <v>#DIV/0!</v>
      </c>
      <c r="D7" s="32">
        <f t="shared" si="6"/>
        <v>0.98160392094861659</v>
      </c>
      <c r="E7" s="32">
        <f t="shared" si="6"/>
        <v>0.98148587088274042</v>
      </c>
      <c r="F7" s="32">
        <f t="shared" ref="F7" si="7">F6/F3</f>
        <v>0.95603014790996788</v>
      </c>
      <c r="G7" s="32">
        <f t="shared" ref="G7:H7" si="8">G6/G3</f>
        <v>0.95603014790996788</v>
      </c>
      <c r="H7" s="32" t="e">
        <f t="shared" si="8"/>
        <v>#DIV/0!</v>
      </c>
      <c r="I7" s="32" t="e">
        <f t="shared" ref="I7" si="9">I6/I3</f>
        <v>#DIV/0!</v>
      </c>
      <c r="J7" s="32" t="e">
        <f t="shared" ref="J7:K7" si="10">J6/J3</f>
        <v>#DIV/0!</v>
      </c>
      <c r="K7" s="32" t="e">
        <f t="shared" si="10"/>
        <v>#DIV/0!</v>
      </c>
      <c r="L7" s="32" t="e">
        <f t="shared" ref="L7" si="11">L6/L3</f>
        <v>#DIV/0!</v>
      </c>
      <c r="M7" s="32" t="e">
        <f t="shared" ref="M7:N7" si="12">M6/M3</f>
        <v>#DIV/0!</v>
      </c>
      <c r="N7" s="32" t="e">
        <f t="shared" si="12"/>
        <v>#DIV/0!</v>
      </c>
      <c r="O7" s="32" t="e">
        <f t="shared" ref="O7" si="13">O6/O3</f>
        <v>#DIV/0!</v>
      </c>
      <c r="P7" s="32">
        <f t="shared" ref="P7:Q7" si="14">P6/P3</f>
        <v>0.9896954462788029</v>
      </c>
      <c r="Q7" s="32">
        <f t="shared" si="14"/>
        <v>0.9896954462788029</v>
      </c>
      <c r="R7" s="32">
        <f t="shared" ref="R7" si="15">R6/R3</f>
        <v>0.98988614107883821</v>
      </c>
      <c r="S7" s="32">
        <f t="shared" ref="S7:T7" si="16">S6/S3</f>
        <v>0.98988614107883821</v>
      </c>
      <c r="T7" s="32">
        <f t="shared" si="16"/>
        <v>0.94919748115299341</v>
      </c>
      <c r="U7" s="32">
        <f t="shared" ref="U7" si="17">U6/U3</f>
        <v>0.94919748115299341</v>
      </c>
      <c r="V7" s="32" t="e">
        <f t="shared" ref="V7:W7" si="18">V6/V3</f>
        <v>#DIV/0!</v>
      </c>
      <c r="W7" s="32" t="e">
        <f t="shared" si="18"/>
        <v>#DIV/0!</v>
      </c>
      <c r="X7" s="32" t="e">
        <f t="shared" ref="X7" si="19">X6/X3</f>
        <v>#DIV/0!</v>
      </c>
      <c r="Y7" s="32" t="e">
        <f t="shared" ref="Y7:Z7" si="20">Y6/Y3</f>
        <v>#DIV/0!</v>
      </c>
      <c r="Z7" s="32" t="e">
        <f t="shared" si="20"/>
        <v>#DIV/0!</v>
      </c>
      <c r="AA7" s="32" t="e">
        <f t="shared" ref="AA7" si="21">AA6/AA3</f>
        <v>#DIV/0!</v>
      </c>
      <c r="AB7" s="32">
        <f t="shared" ref="AB7:AC7" si="22">AB6/AB3</f>
        <v>0.98897928136311464</v>
      </c>
      <c r="AC7" s="32">
        <f t="shared" si="22"/>
        <v>0.98897928136311464</v>
      </c>
      <c r="AD7" s="32">
        <f t="shared" ref="AD7" si="23">AD6/AD3</f>
        <v>0.98916997616314994</v>
      </c>
      <c r="AE7" s="32">
        <f t="shared" ref="AE7:AF7" si="24">AE6/AE3</f>
        <v>0.98916997616314994</v>
      </c>
      <c r="AF7" s="32">
        <f t="shared" si="24"/>
        <v>0.94560014190687358</v>
      </c>
      <c r="AG7" s="32">
        <f t="shared" ref="AG7" si="25">AG6/AG3</f>
        <v>0.94560014190687358</v>
      </c>
      <c r="AH7" s="32" t="e">
        <f t="shared" ref="AH7:AI7" si="26">AH6/AH3</f>
        <v>#DIV/0!</v>
      </c>
      <c r="AI7" s="32" t="e">
        <f t="shared" si="26"/>
        <v>#DIV/0!</v>
      </c>
      <c r="AJ7" s="32" t="e">
        <f t="shared" ref="AJ7" si="27">AJ6/AJ3</f>
        <v>#DIV/0!</v>
      </c>
      <c r="AK7" s="32" t="e">
        <f t="shared" ref="AK7:AL7" si="28">AK6/AK3</f>
        <v>#DIV/0!</v>
      </c>
      <c r="AL7" s="32" t="e">
        <f t="shared" si="28"/>
        <v>#DIV/0!</v>
      </c>
      <c r="AM7" s="32" t="e">
        <f t="shared" ref="AM7" si="29">AM6/AM3</f>
        <v>#DIV/0!</v>
      </c>
      <c r="AN7" s="32">
        <f t="shared" ref="AN7:AO7" si="30">AN6/AN3</f>
        <v>0.98897928136311464</v>
      </c>
      <c r="AO7" s="32">
        <f t="shared" si="30"/>
        <v>0.98897928136311464</v>
      </c>
      <c r="AP7" s="32">
        <f t="shared" ref="AP7" si="31">AP6/AP3</f>
        <v>0.84261169812346393</v>
      </c>
    </row>
    <row r="8" spans="1:42">
      <c r="A8" s="36" t="s">
        <v>43</v>
      </c>
      <c r="B8" s="38">
        <f>Прибыль!B32</f>
        <v>-244377.08333333334</v>
      </c>
      <c r="C8" s="38">
        <f>Прибыль!C32</f>
        <v>-15134434.663333334</v>
      </c>
      <c r="D8" s="38">
        <f>Прибыль!D32</f>
        <v>11665831.916666666</v>
      </c>
      <c r="E8" s="38">
        <f>Прибыль!E32</f>
        <v>11664431.916666666</v>
      </c>
      <c r="F8" s="38">
        <f>Прибыль!F32</f>
        <v>4670331.916666667</v>
      </c>
      <c r="G8" s="38">
        <f>Прибыль!G32</f>
        <v>4670331.916666667</v>
      </c>
      <c r="H8" s="38">
        <f>Прибыль!H32</f>
        <v>-189043.08333333334</v>
      </c>
      <c r="I8" s="38">
        <f>Прибыль!I32</f>
        <v>-189043.08333333334</v>
      </c>
      <c r="J8" s="38">
        <f>Прибыль!J32</f>
        <v>-2427280.2066666665</v>
      </c>
      <c r="K8" s="38">
        <f>Прибыль!K32</f>
        <v>-675280.20666666667</v>
      </c>
      <c r="L8" s="38">
        <f>Прибыль!L32</f>
        <v>-217280.20666666669</v>
      </c>
      <c r="M8" s="38">
        <f>Прибыль!M32</f>
        <v>-217280.20666666669</v>
      </c>
      <c r="N8" s="38">
        <f>Прибыль!N32</f>
        <v>-217280.20666666669</v>
      </c>
      <c r="O8" s="38">
        <f>Прибыль!O32</f>
        <v>-5339558.9966666671</v>
      </c>
      <c r="P8" s="38">
        <f>Прибыль!P32</f>
        <v>23385415.250000007</v>
      </c>
      <c r="Q8" s="38">
        <f>Прибыль!Q32</f>
        <v>23385415.250000007</v>
      </c>
      <c r="R8" s="38">
        <f>Прибыль!R32</f>
        <v>23389915.250000007</v>
      </c>
      <c r="S8" s="38">
        <f>Прибыль!S32</f>
        <v>23389915.250000007</v>
      </c>
      <c r="T8" s="38">
        <f>Прибыль!T32</f>
        <v>4489915.25</v>
      </c>
      <c r="U8" s="38">
        <f>Прибыль!U32</f>
        <v>4489915.25</v>
      </c>
      <c r="V8" s="38">
        <f>Прибыль!V32</f>
        <v>-995870.20666666667</v>
      </c>
      <c r="W8" s="38">
        <f>Прибыль!W32</f>
        <v>-693870.20666666667</v>
      </c>
      <c r="X8" s="38">
        <f>Прибыль!X32</f>
        <v>-235870.20666666664</v>
      </c>
      <c r="Y8" s="38">
        <f>Прибыль!Y32</f>
        <v>-235870.20666666664</v>
      </c>
      <c r="Z8" s="38">
        <f>Прибыль!Z32</f>
        <v>-235870.20666666664</v>
      </c>
      <c r="AA8" s="38">
        <f>Прибыль!AA32</f>
        <v>-5358148.9966666671</v>
      </c>
      <c r="AB8" s="38">
        <f>Прибыль!AB32</f>
        <v>23366825.250000007</v>
      </c>
      <c r="AC8" s="38">
        <f>Прибыль!AC32</f>
        <v>23366825.250000007</v>
      </c>
      <c r="AD8" s="38">
        <f>Прибыль!AD32</f>
        <v>23371325.250000007</v>
      </c>
      <c r="AE8" s="38">
        <f>Прибыль!AE32</f>
        <v>23371325.250000007</v>
      </c>
      <c r="AF8" s="38">
        <f>Прибыль!AF32</f>
        <v>4471325.25</v>
      </c>
      <c r="AG8" s="38">
        <f>Прибыль!AG32</f>
        <v>4471325.25</v>
      </c>
      <c r="AH8" s="38">
        <f>Прибыль!AH32</f>
        <v>-995870.20666666667</v>
      </c>
      <c r="AI8" s="38">
        <f>Прибыль!AI32</f>
        <v>-693870.20666666667</v>
      </c>
      <c r="AJ8" s="38">
        <f>Прибыль!AJ32</f>
        <v>-235870.20666666664</v>
      </c>
      <c r="AK8" s="38">
        <f>Прибыль!AK32</f>
        <v>-235870.20666666664</v>
      </c>
      <c r="AL8" s="38">
        <f>Прибыль!AL32</f>
        <v>-235870.20666666664</v>
      </c>
      <c r="AM8" s="38">
        <f>Прибыль!AM32</f>
        <v>-5358148.9966666671</v>
      </c>
      <c r="AN8" s="38">
        <f>Прибыль!AN32</f>
        <v>23366825.250000007</v>
      </c>
      <c r="AO8" s="38">
        <f>Прибыль!AO32</f>
        <v>23366825.250000007</v>
      </c>
      <c r="AP8" s="38">
        <f>Прибыль!AP32</f>
        <v>243992163.16333336</v>
      </c>
    </row>
    <row r="9" spans="1:42">
      <c r="A9" s="25" t="s">
        <v>44</v>
      </c>
      <c r="B9" s="37">
        <f>Прибыль!B30</f>
        <v>0</v>
      </c>
      <c r="C9" s="37">
        <f>Прибыль!C30</f>
        <v>0</v>
      </c>
      <c r="D9" s="37">
        <f>Прибыль!D30</f>
        <v>2371875</v>
      </c>
      <c r="E9" s="37">
        <f>Прибыль!E30</f>
        <v>2371875</v>
      </c>
      <c r="F9" s="37">
        <f>Прибыль!F30</f>
        <v>971875</v>
      </c>
      <c r="G9" s="37">
        <f>Прибыль!G30</f>
        <v>971875</v>
      </c>
      <c r="H9" s="37">
        <f>Прибыль!H30</f>
        <v>0</v>
      </c>
      <c r="I9" s="37">
        <f>Прибыль!I30</f>
        <v>0</v>
      </c>
      <c r="J9" s="37">
        <f>Прибыль!J30</f>
        <v>0</v>
      </c>
      <c r="K9" s="37">
        <f>Прибыль!K30</f>
        <v>0</v>
      </c>
      <c r="L9" s="37">
        <f>Прибыль!L30</f>
        <v>0</v>
      </c>
      <c r="M9" s="37">
        <f>Прибыль!M30</f>
        <v>0</v>
      </c>
      <c r="N9" s="37">
        <f>Прибыль!N30</f>
        <v>0</v>
      </c>
      <c r="O9" s="37">
        <f>Прибыль!O30</f>
        <v>0</v>
      </c>
      <c r="P9" s="37">
        <f>Прибыль!P30</f>
        <v>4719583.3333333349</v>
      </c>
      <c r="Q9" s="37">
        <f>Прибыль!Q30</f>
        <v>4719583.3333333349</v>
      </c>
      <c r="R9" s="37">
        <f>Прибыль!R30</f>
        <v>4719583.3333333349</v>
      </c>
      <c r="S9" s="37">
        <f>Прибыль!S30</f>
        <v>4719583.3333333349</v>
      </c>
      <c r="T9" s="37">
        <f>Прибыль!T30</f>
        <v>939583.33333333349</v>
      </c>
      <c r="U9" s="37">
        <f>Прибыль!U30</f>
        <v>939583.33333333349</v>
      </c>
      <c r="V9" s="37">
        <f>Прибыль!V30</f>
        <v>0</v>
      </c>
      <c r="W9" s="37">
        <f>Прибыль!W30</f>
        <v>0</v>
      </c>
      <c r="X9" s="37">
        <f>Прибыль!X30</f>
        <v>0</v>
      </c>
      <c r="Y9" s="37">
        <f>Прибыль!Y30</f>
        <v>0</v>
      </c>
      <c r="Z9" s="37">
        <f>Прибыль!Z30</f>
        <v>0</v>
      </c>
      <c r="AA9" s="37">
        <f>Прибыль!AA30</f>
        <v>0</v>
      </c>
      <c r="AB9" s="37">
        <f>Прибыль!AB30</f>
        <v>4719583.3333333349</v>
      </c>
      <c r="AC9" s="37">
        <f>Прибыль!AC30</f>
        <v>4719583.3333333349</v>
      </c>
      <c r="AD9" s="37">
        <f>Прибыль!AD30</f>
        <v>4719583.3333333349</v>
      </c>
      <c r="AE9" s="37">
        <f>Прибыль!AE30</f>
        <v>4719583.3333333349</v>
      </c>
      <c r="AF9" s="37">
        <f>Прибыль!AF30</f>
        <v>939583.33333333349</v>
      </c>
      <c r="AG9" s="37">
        <f>Прибыль!AG30</f>
        <v>939583.33333333349</v>
      </c>
      <c r="AH9" s="37">
        <f>Прибыль!AH30</f>
        <v>0</v>
      </c>
      <c r="AI9" s="37">
        <f>Прибыль!AI30</f>
        <v>0</v>
      </c>
      <c r="AJ9" s="37">
        <f>Прибыль!AJ30</f>
        <v>0</v>
      </c>
      <c r="AK9" s="37">
        <f>Прибыль!AK30</f>
        <v>0</v>
      </c>
      <c r="AL9" s="37">
        <f>Прибыль!AL30</f>
        <v>0</v>
      </c>
      <c r="AM9" s="37">
        <f>Прибыль!AM30</f>
        <v>0</v>
      </c>
      <c r="AN9" s="37">
        <f>Прибыль!AN30</f>
        <v>4719583.3333333349</v>
      </c>
      <c r="AO9" s="37">
        <f>Прибыль!AO30</f>
        <v>4719583.3333333349</v>
      </c>
      <c r="AP9" s="37">
        <f>Прибыль!AP30</f>
        <v>57641666.666666679</v>
      </c>
    </row>
    <row r="10" spans="1:42">
      <c r="A10" s="25" t="s">
        <v>32</v>
      </c>
      <c r="B10" s="37">
        <f t="shared" ref="B10:AP10" si="32">B8-B9</f>
        <v>-244377.08333333334</v>
      </c>
      <c r="C10" s="37">
        <f t="shared" si="32"/>
        <v>-15134434.663333334</v>
      </c>
      <c r="D10" s="37">
        <f t="shared" si="32"/>
        <v>9293956.916666666</v>
      </c>
      <c r="E10" s="37">
        <f t="shared" si="32"/>
        <v>9292556.916666666</v>
      </c>
      <c r="F10" s="37">
        <f t="shared" si="32"/>
        <v>3698456.916666667</v>
      </c>
      <c r="G10" s="37">
        <f t="shared" si="32"/>
        <v>3698456.916666667</v>
      </c>
      <c r="H10" s="37">
        <f t="shared" si="32"/>
        <v>-189043.08333333334</v>
      </c>
      <c r="I10" s="37">
        <f t="shared" si="32"/>
        <v>-189043.08333333334</v>
      </c>
      <c r="J10" s="37">
        <f t="shared" si="32"/>
        <v>-2427280.2066666665</v>
      </c>
      <c r="K10" s="37">
        <f t="shared" si="32"/>
        <v>-675280.20666666667</v>
      </c>
      <c r="L10" s="37">
        <f t="shared" si="32"/>
        <v>-217280.20666666669</v>
      </c>
      <c r="M10" s="37">
        <f t="shared" si="32"/>
        <v>-217280.20666666669</v>
      </c>
      <c r="N10" s="37">
        <f t="shared" si="32"/>
        <v>-217280.20666666669</v>
      </c>
      <c r="O10" s="37">
        <f t="shared" si="32"/>
        <v>-5339558.9966666671</v>
      </c>
      <c r="P10" s="37">
        <f t="shared" si="32"/>
        <v>18665831.916666672</v>
      </c>
      <c r="Q10" s="37">
        <f t="shared" si="32"/>
        <v>18665831.916666672</v>
      </c>
      <c r="R10" s="37">
        <f t="shared" si="32"/>
        <v>18670331.916666672</v>
      </c>
      <c r="S10" s="37">
        <f t="shared" si="32"/>
        <v>18670331.916666672</v>
      </c>
      <c r="T10" s="37">
        <f t="shared" si="32"/>
        <v>3550331.9166666665</v>
      </c>
      <c r="U10" s="37">
        <f t="shared" si="32"/>
        <v>3550331.9166666665</v>
      </c>
      <c r="V10" s="37">
        <f t="shared" si="32"/>
        <v>-995870.20666666667</v>
      </c>
      <c r="W10" s="37">
        <f t="shared" si="32"/>
        <v>-693870.20666666667</v>
      </c>
      <c r="X10" s="37">
        <f t="shared" si="32"/>
        <v>-235870.20666666664</v>
      </c>
      <c r="Y10" s="37">
        <f t="shared" si="32"/>
        <v>-235870.20666666664</v>
      </c>
      <c r="Z10" s="37">
        <f t="shared" si="32"/>
        <v>-235870.20666666664</v>
      </c>
      <c r="AA10" s="37">
        <f t="shared" si="32"/>
        <v>-5358148.9966666671</v>
      </c>
      <c r="AB10" s="37">
        <f t="shared" si="32"/>
        <v>18647241.916666672</v>
      </c>
      <c r="AC10" s="37">
        <f t="shared" si="32"/>
        <v>18647241.916666672</v>
      </c>
      <c r="AD10" s="37">
        <f t="shared" si="32"/>
        <v>18651741.916666672</v>
      </c>
      <c r="AE10" s="37">
        <f t="shared" si="32"/>
        <v>18651741.916666672</v>
      </c>
      <c r="AF10" s="37">
        <f t="shared" si="32"/>
        <v>3531741.9166666665</v>
      </c>
      <c r="AG10" s="37">
        <f t="shared" si="32"/>
        <v>3531741.9166666665</v>
      </c>
      <c r="AH10" s="37">
        <f t="shared" si="32"/>
        <v>-995870.20666666667</v>
      </c>
      <c r="AI10" s="37">
        <f t="shared" si="32"/>
        <v>-693870.20666666667</v>
      </c>
      <c r="AJ10" s="37">
        <f t="shared" si="32"/>
        <v>-235870.20666666664</v>
      </c>
      <c r="AK10" s="37">
        <f t="shared" si="32"/>
        <v>-235870.20666666664</v>
      </c>
      <c r="AL10" s="37">
        <f t="shared" si="32"/>
        <v>-235870.20666666664</v>
      </c>
      <c r="AM10" s="37">
        <f t="shared" si="32"/>
        <v>-5358148.9966666671</v>
      </c>
      <c r="AN10" s="37">
        <f t="shared" si="32"/>
        <v>18647241.916666672</v>
      </c>
      <c r="AO10" s="37">
        <f t="shared" si="32"/>
        <v>18647241.916666672</v>
      </c>
      <c r="AP10" s="37">
        <f t="shared" si="32"/>
        <v>186350496.49666667</v>
      </c>
    </row>
    <row r="11" spans="1:42">
      <c r="A11" s="25" t="s">
        <v>45</v>
      </c>
      <c r="B11" s="32" t="e">
        <f>B10/B3</f>
        <v>#DIV/0!</v>
      </c>
      <c r="C11" s="32" t="e">
        <f t="shared" ref="C11:AP11" si="33">C10/C3</f>
        <v>#DIV/0!</v>
      </c>
      <c r="D11" s="32">
        <f t="shared" si="33"/>
        <v>0.78368016161616161</v>
      </c>
      <c r="E11" s="32">
        <f t="shared" si="33"/>
        <v>0.78356211155028543</v>
      </c>
      <c r="F11" s="32">
        <f t="shared" si="33"/>
        <v>0.76109724330117901</v>
      </c>
      <c r="G11" s="32">
        <f t="shared" si="33"/>
        <v>0.76109724330117901</v>
      </c>
      <c r="H11" s="32" t="e">
        <f t="shared" si="33"/>
        <v>#DIV/0!</v>
      </c>
      <c r="I11" s="32" t="e">
        <f t="shared" si="33"/>
        <v>#DIV/0!</v>
      </c>
      <c r="J11" s="32" t="e">
        <f t="shared" si="33"/>
        <v>#DIV/0!</v>
      </c>
      <c r="K11" s="32" t="e">
        <f t="shared" si="33"/>
        <v>#DIV/0!</v>
      </c>
      <c r="L11" s="32" t="e">
        <f t="shared" si="33"/>
        <v>#DIV/0!</v>
      </c>
      <c r="M11" s="32" t="e">
        <f t="shared" si="33"/>
        <v>#DIV/0!</v>
      </c>
      <c r="N11" s="32" t="e">
        <f t="shared" si="33"/>
        <v>#DIV/0!</v>
      </c>
      <c r="O11" s="32" t="e">
        <f t="shared" si="33"/>
        <v>#DIV/0!</v>
      </c>
      <c r="P11" s="32">
        <f t="shared" si="33"/>
        <v>0.79099490774256198</v>
      </c>
      <c r="Q11" s="32">
        <f t="shared" si="33"/>
        <v>0.79099490774256198</v>
      </c>
      <c r="R11" s="32">
        <f t="shared" si="33"/>
        <v>0.79118560254259729</v>
      </c>
      <c r="S11" s="32">
        <f t="shared" si="33"/>
        <v>0.79118560254259729</v>
      </c>
      <c r="T11" s="32">
        <f t="shared" si="33"/>
        <v>0.75572475388026594</v>
      </c>
      <c r="U11" s="32">
        <f t="shared" si="33"/>
        <v>0.75572475388026594</v>
      </c>
      <c r="V11" s="32" t="e">
        <f t="shared" si="33"/>
        <v>#DIV/0!</v>
      </c>
      <c r="W11" s="32" t="e">
        <f t="shared" si="33"/>
        <v>#DIV/0!</v>
      </c>
      <c r="X11" s="32" t="e">
        <f t="shared" si="33"/>
        <v>#DIV/0!</v>
      </c>
      <c r="Y11" s="32" t="e">
        <f t="shared" si="33"/>
        <v>#DIV/0!</v>
      </c>
      <c r="Z11" s="32" t="e">
        <f t="shared" si="33"/>
        <v>#DIV/0!</v>
      </c>
      <c r="AA11" s="32" t="e">
        <f t="shared" si="33"/>
        <v>#DIV/0!</v>
      </c>
      <c r="AB11" s="32">
        <f t="shared" si="33"/>
        <v>0.79020712633530499</v>
      </c>
      <c r="AC11" s="32">
        <f t="shared" si="33"/>
        <v>0.79020712633530499</v>
      </c>
      <c r="AD11" s="32">
        <f t="shared" si="33"/>
        <v>0.79039782113534029</v>
      </c>
      <c r="AE11" s="32">
        <f t="shared" si="33"/>
        <v>0.79039782113534029</v>
      </c>
      <c r="AF11" s="32">
        <f t="shared" si="33"/>
        <v>0.75176768070953426</v>
      </c>
      <c r="AG11" s="32">
        <f t="shared" si="33"/>
        <v>0.75176768070953426</v>
      </c>
      <c r="AH11" s="32" t="e">
        <f t="shared" si="33"/>
        <v>#DIV/0!</v>
      </c>
      <c r="AI11" s="32" t="e">
        <f t="shared" si="33"/>
        <v>#DIV/0!</v>
      </c>
      <c r="AJ11" s="32" t="e">
        <f t="shared" si="33"/>
        <v>#DIV/0!</v>
      </c>
      <c r="AK11" s="32" t="e">
        <f t="shared" si="33"/>
        <v>#DIV/0!</v>
      </c>
      <c r="AL11" s="32" t="e">
        <f t="shared" si="33"/>
        <v>#DIV/0!</v>
      </c>
      <c r="AM11" s="32" t="e">
        <f t="shared" si="33"/>
        <v>#DIV/0!</v>
      </c>
      <c r="AN11" s="32">
        <f t="shared" si="33"/>
        <v>0.79020712633530499</v>
      </c>
      <c r="AO11" s="32">
        <f t="shared" si="33"/>
        <v>0.79020712633530499</v>
      </c>
      <c r="AP11" s="32">
        <f t="shared" si="33"/>
        <v>0.64658261036865683</v>
      </c>
    </row>
    <row r="12" spans="1:42">
      <c r="A12" s="9" t="s">
        <v>38</v>
      </c>
      <c r="B12" s="37">
        <f>Амортизация!B17</f>
        <v>41522.916666666664</v>
      </c>
      <c r="C12" s="37">
        <f>Амортизация!C17</f>
        <v>41522.916666666664</v>
      </c>
      <c r="D12" s="37">
        <f>Амортизация!D17</f>
        <v>41522.916666666664</v>
      </c>
      <c r="E12" s="37">
        <f>Амортизация!E17</f>
        <v>41522.916666666664</v>
      </c>
      <c r="F12" s="37">
        <f>Амортизация!F17</f>
        <v>41522.916666666664</v>
      </c>
      <c r="G12" s="37">
        <f>Амортизация!G17</f>
        <v>41522.916666666664</v>
      </c>
      <c r="H12" s="37">
        <f>Амортизация!H17</f>
        <v>41522.916666666664</v>
      </c>
      <c r="I12" s="37">
        <f>Амортизация!I17</f>
        <v>41522.916666666664</v>
      </c>
      <c r="J12" s="37">
        <f>Амортизация!J17</f>
        <v>47564.583333333336</v>
      </c>
      <c r="K12" s="37">
        <f>Амортизация!K17</f>
        <v>47564.583333333336</v>
      </c>
      <c r="L12" s="37">
        <f>Амортизация!L17</f>
        <v>47564.583333333336</v>
      </c>
      <c r="M12" s="37">
        <f>Амортизация!M17</f>
        <v>47564.583333333336</v>
      </c>
      <c r="N12" s="37">
        <f>Амортизация!N17</f>
        <v>47564.583333333336</v>
      </c>
      <c r="O12" s="37">
        <f>Амортизация!O17</f>
        <v>47564.583333333336</v>
      </c>
      <c r="P12" s="37">
        <f>Амортизация!P17</f>
        <v>47564.583333333336</v>
      </c>
      <c r="Q12" s="37">
        <f>Амортизация!Q17</f>
        <v>47564.583333333336</v>
      </c>
      <c r="R12" s="37">
        <f>Амортизация!R17</f>
        <v>47564.583333333336</v>
      </c>
      <c r="S12" s="37">
        <f>Амортизация!S17</f>
        <v>47564.583333333336</v>
      </c>
      <c r="T12" s="37">
        <f>Амортизация!T17</f>
        <v>47564.583333333336</v>
      </c>
      <c r="U12" s="37">
        <f>Амортизация!U17</f>
        <v>47564.583333333336</v>
      </c>
      <c r="V12" s="37">
        <f>Амортизация!V17</f>
        <v>47564.583333333336</v>
      </c>
      <c r="W12" s="37">
        <f>Амортизация!W17</f>
        <v>47564.583333333336</v>
      </c>
      <c r="X12" s="37">
        <f>Амортизация!X17</f>
        <v>47564.583333333336</v>
      </c>
      <c r="Y12" s="37">
        <f>Амортизация!Y17</f>
        <v>47564.583333333336</v>
      </c>
      <c r="Z12" s="37">
        <f>Амортизация!Z17</f>
        <v>47564.583333333336</v>
      </c>
      <c r="AA12" s="37">
        <f>Амортизация!AA17</f>
        <v>47564.583333333336</v>
      </c>
      <c r="AB12" s="37">
        <f>Амортизация!AB17</f>
        <v>47564.583333333336</v>
      </c>
      <c r="AC12" s="37">
        <f>Амортизация!AC17</f>
        <v>47564.583333333336</v>
      </c>
      <c r="AD12" s="37">
        <f>Амортизация!AD17</f>
        <v>47564.583333333336</v>
      </c>
      <c r="AE12" s="37">
        <f>Амортизация!AE17</f>
        <v>47564.583333333336</v>
      </c>
      <c r="AF12" s="37">
        <f>Амортизация!AF17</f>
        <v>47564.583333333336</v>
      </c>
      <c r="AG12" s="37">
        <f>Амортизация!AG17</f>
        <v>47564.583333333336</v>
      </c>
      <c r="AH12" s="37">
        <f>Амортизация!AH17</f>
        <v>47564.583333333336</v>
      </c>
      <c r="AI12" s="37">
        <f>Амортизация!AI17</f>
        <v>47564.583333333336</v>
      </c>
      <c r="AJ12" s="37">
        <f>Амортизация!AJ17</f>
        <v>47564.583333333336</v>
      </c>
      <c r="AK12" s="37">
        <f>Амортизация!AK17</f>
        <v>47564.583333333336</v>
      </c>
      <c r="AL12" s="37">
        <f>Амортизация!AL17</f>
        <v>47564.583333333336</v>
      </c>
      <c r="AM12" s="37">
        <f>Амортизация!AM17</f>
        <v>47564.583333333336</v>
      </c>
      <c r="AN12" s="37">
        <f>Амортизация!AN17</f>
        <v>47564.583333333336</v>
      </c>
      <c r="AO12" s="37">
        <f>Амортизация!AO17</f>
        <v>47564.583333333336</v>
      </c>
      <c r="AP12" s="37">
        <f>Амортизация!AP17</f>
        <v>1854249.9999999991</v>
      </c>
    </row>
    <row r="13" spans="1:42">
      <c r="A13" s="9" t="s">
        <v>30</v>
      </c>
      <c r="B13" s="37">
        <f>Прибыль!B29</f>
        <v>-269000</v>
      </c>
      <c r="C13" s="37">
        <f>Прибыль!C29</f>
        <v>-15159057.58</v>
      </c>
      <c r="D13" s="37">
        <f>Прибыль!D29</f>
        <v>11641209</v>
      </c>
      <c r="E13" s="37">
        <f>Прибыль!E29</f>
        <v>11639809</v>
      </c>
      <c r="F13" s="37">
        <f>Прибыль!F29</f>
        <v>4645709</v>
      </c>
      <c r="G13" s="37">
        <f>Прибыль!G29</f>
        <v>4645709</v>
      </c>
      <c r="H13" s="37">
        <f>Прибыль!H29</f>
        <v>-213666</v>
      </c>
      <c r="I13" s="37">
        <f>Прибыль!I29</f>
        <v>-213666</v>
      </c>
      <c r="J13" s="37">
        <f>Прибыль!J29</f>
        <v>-2457944.79</v>
      </c>
      <c r="K13" s="37">
        <f>Прибыль!K29</f>
        <v>-705944.79</v>
      </c>
      <c r="L13" s="37">
        <f>Прибыль!L29</f>
        <v>-247944.79</v>
      </c>
      <c r="M13" s="37">
        <f>Прибыль!M29</f>
        <v>-247944.79</v>
      </c>
      <c r="N13" s="37">
        <f>Прибыль!N29</f>
        <v>-247944.79</v>
      </c>
      <c r="O13" s="37">
        <f>Прибыль!O29</f>
        <v>-5370223.5800000001</v>
      </c>
      <c r="P13" s="37">
        <f>Прибыль!P29</f>
        <v>23354750.666666675</v>
      </c>
      <c r="Q13" s="37">
        <f>Прибыль!Q29</f>
        <v>23354750.666666675</v>
      </c>
      <c r="R13" s="37">
        <f>Прибыль!R29</f>
        <v>23359250.666666675</v>
      </c>
      <c r="S13" s="37">
        <f>Прибыль!S29</f>
        <v>23359250.666666675</v>
      </c>
      <c r="T13" s="37">
        <f>Прибыль!T29</f>
        <v>4459250.666666667</v>
      </c>
      <c r="U13" s="37">
        <f>Прибыль!U29</f>
        <v>4459250.666666667</v>
      </c>
      <c r="V13" s="37">
        <f>Прибыль!V29</f>
        <v>-1024844.79</v>
      </c>
      <c r="W13" s="37">
        <f>Прибыль!W29</f>
        <v>-722844.79</v>
      </c>
      <c r="X13" s="37">
        <f>Прибыль!X29</f>
        <v>-264844.78999999998</v>
      </c>
      <c r="Y13" s="37">
        <f>Прибыль!Y29</f>
        <v>-264844.78999999998</v>
      </c>
      <c r="Z13" s="37">
        <f>Прибыль!Z29</f>
        <v>-264844.78999999998</v>
      </c>
      <c r="AA13" s="37">
        <f>Прибыль!AA29</f>
        <v>-5387123.5800000001</v>
      </c>
      <c r="AB13" s="37">
        <f>Прибыль!AB29</f>
        <v>23337850.666666675</v>
      </c>
      <c r="AC13" s="37">
        <f>Прибыль!AC29</f>
        <v>23337850.666666675</v>
      </c>
      <c r="AD13" s="37">
        <f>Прибыль!AD29</f>
        <v>23342350.666666675</v>
      </c>
      <c r="AE13" s="37">
        <f>Прибыль!AE29</f>
        <v>23342350.666666675</v>
      </c>
      <c r="AF13" s="37">
        <f>Прибыль!AF29</f>
        <v>4442350.666666667</v>
      </c>
      <c r="AG13" s="37">
        <f>Прибыль!AG29</f>
        <v>4442350.666666667</v>
      </c>
      <c r="AH13" s="37">
        <f>Прибыль!AH29</f>
        <v>-1024844.79</v>
      </c>
      <c r="AI13" s="37">
        <f>Прибыль!AI29</f>
        <v>-722844.79</v>
      </c>
      <c r="AJ13" s="37">
        <f>Прибыль!AJ29</f>
        <v>-264844.78999999998</v>
      </c>
      <c r="AK13" s="37">
        <f>Прибыль!AK29</f>
        <v>-264844.78999999998</v>
      </c>
      <c r="AL13" s="37">
        <f>Прибыль!AL29</f>
        <v>-264844.78999999998</v>
      </c>
      <c r="AM13" s="37">
        <f>Прибыль!AM29</f>
        <v>-5387123.5800000001</v>
      </c>
      <c r="AN13" s="37">
        <f>Прибыль!AN29</f>
        <v>23337850.666666675</v>
      </c>
      <c r="AO13" s="37">
        <f>Прибыль!AO29</f>
        <v>23337850.666666675</v>
      </c>
      <c r="AP13" s="37">
        <f>Прибыль!AP29</f>
        <v>242847713.16333336</v>
      </c>
    </row>
    <row r="14" spans="1:42">
      <c r="A14" s="25" t="s">
        <v>46</v>
      </c>
      <c r="B14" s="32" t="e">
        <f>B13/B3</f>
        <v>#DIV/0!</v>
      </c>
      <c r="C14" s="32" t="e">
        <f t="shared" ref="C14:AP14" si="34">C13/C3</f>
        <v>#DIV/0!</v>
      </c>
      <c r="D14" s="32">
        <f t="shared" si="34"/>
        <v>0.98160392094861659</v>
      </c>
      <c r="E14" s="32">
        <f t="shared" si="34"/>
        <v>0.98148587088274042</v>
      </c>
      <c r="F14" s="32">
        <f t="shared" si="34"/>
        <v>0.95603014790996788</v>
      </c>
      <c r="G14" s="32">
        <f t="shared" si="34"/>
        <v>0.95603014790996788</v>
      </c>
      <c r="H14" s="32" t="e">
        <f t="shared" si="34"/>
        <v>#DIV/0!</v>
      </c>
      <c r="I14" s="32" t="e">
        <f t="shared" si="34"/>
        <v>#DIV/0!</v>
      </c>
      <c r="J14" s="32" t="e">
        <f t="shared" si="34"/>
        <v>#DIV/0!</v>
      </c>
      <c r="K14" s="32" t="e">
        <f t="shared" si="34"/>
        <v>#DIV/0!</v>
      </c>
      <c r="L14" s="32" t="e">
        <f t="shared" si="34"/>
        <v>#DIV/0!</v>
      </c>
      <c r="M14" s="32" t="e">
        <f t="shared" si="34"/>
        <v>#DIV/0!</v>
      </c>
      <c r="N14" s="32" t="e">
        <f t="shared" si="34"/>
        <v>#DIV/0!</v>
      </c>
      <c r="O14" s="32" t="e">
        <f t="shared" si="34"/>
        <v>#DIV/0!</v>
      </c>
      <c r="P14" s="32">
        <f t="shared" si="34"/>
        <v>0.9896954462788029</v>
      </c>
      <c r="Q14" s="32">
        <f t="shared" si="34"/>
        <v>0.9896954462788029</v>
      </c>
      <c r="R14" s="32">
        <f t="shared" si="34"/>
        <v>0.98988614107883821</v>
      </c>
      <c r="S14" s="32">
        <f t="shared" si="34"/>
        <v>0.98988614107883821</v>
      </c>
      <c r="T14" s="32">
        <f t="shared" si="34"/>
        <v>0.94919748115299341</v>
      </c>
      <c r="U14" s="32">
        <f t="shared" si="34"/>
        <v>0.94919748115299341</v>
      </c>
      <c r="V14" s="32" t="e">
        <f t="shared" si="34"/>
        <v>#DIV/0!</v>
      </c>
      <c r="W14" s="32" t="e">
        <f t="shared" si="34"/>
        <v>#DIV/0!</v>
      </c>
      <c r="X14" s="32" t="e">
        <f t="shared" si="34"/>
        <v>#DIV/0!</v>
      </c>
      <c r="Y14" s="32" t="e">
        <f t="shared" si="34"/>
        <v>#DIV/0!</v>
      </c>
      <c r="Z14" s="32" t="e">
        <f t="shared" si="34"/>
        <v>#DIV/0!</v>
      </c>
      <c r="AA14" s="32" t="e">
        <f t="shared" si="34"/>
        <v>#DIV/0!</v>
      </c>
      <c r="AB14" s="32">
        <f t="shared" si="34"/>
        <v>0.98897928136311464</v>
      </c>
      <c r="AC14" s="32">
        <f t="shared" si="34"/>
        <v>0.98897928136311464</v>
      </c>
      <c r="AD14" s="32">
        <f t="shared" si="34"/>
        <v>0.98916997616314994</v>
      </c>
      <c r="AE14" s="32">
        <f t="shared" si="34"/>
        <v>0.98916997616314994</v>
      </c>
      <c r="AF14" s="32">
        <f t="shared" si="34"/>
        <v>0.94560014190687358</v>
      </c>
      <c r="AG14" s="32">
        <f t="shared" si="34"/>
        <v>0.94560014190687358</v>
      </c>
      <c r="AH14" s="32" t="e">
        <f t="shared" si="34"/>
        <v>#DIV/0!</v>
      </c>
      <c r="AI14" s="32" t="e">
        <f t="shared" si="34"/>
        <v>#DIV/0!</v>
      </c>
      <c r="AJ14" s="32" t="e">
        <f t="shared" si="34"/>
        <v>#DIV/0!</v>
      </c>
      <c r="AK14" s="32" t="e">
        <f t="shared" si="34"/>
        <v>#DIV/0!</v>
      </c>
      <c r="AL14" s="32" t="e">
        <f t="shared" si="34"/>
        <v>#DIV/0!</v>
      </c>
      <c r="AM14" s="32" t="e">
        <f t="shared" si="34"/>
        <v>#DIV/0!</v>
      </c>
      <c r="AN14" s="32">
        <f t="shared" si="34"/>
        <v>0.98897928136311464</v>
      </c>
      <c r="AO14" s="32">
        <f t="shared" si="34"/>
        <v>0.98897928136311464</v>
      </c>
      <c r="AP14" s="32">
        <f t="shared" si="34"/>
        <v>0.84261169812346393</v>
      </c>
    </row>
    <row r="15" spans="1:42">
      <c r="A15" s="25" t="s">
        <v>47</v>
      </c>
      <c r="B15" s="37">
        <f>B8</f>
        <v>-244377.08333333334</v>
      </c>
      <c r="C15" s="37">
        <f t="shared" ref="C15:AP15" si="35">C8</f>
        <v>-15134434.663333334</v>
      </c>
      <c r="D15" s="37">
        <f t="shared" si="35"/>
        <v>11665831.916666666</v>
      </c>
      <c r="E15" s="37">
        <f t="shared" si="35"/>
        <v>11664431.916666666</v>
      </c>
      <c r="F15" s="37">
        <f t="shared" si="35"/>
        <v>4670331.916666667</v>
      </c>
      <c r="G15" s="37">
        <f t="shared" si="35"/>
        <v>4670331.916666667</v>
      </c>
      <c r="H15" s="37">
        <f t="shared" si="35"/>
        <v>-189043.08333333334</v>
      </c>
      <c r="I15" s="37">
        <f t="shared" si="35"/>
        <v>-189043.08333333334</v>
      </c>
      <c r="J15" s="37">
        <f t="shared" si="35"/>
        <v>-2427280.2066666665</v>
      </c>
      <c r="K15" s="37">
        <f t="shared" si="35"/>
        <v>-675280.20666666667</v>
      </c>
      <c r="L15" s="37">
        <f t="shared" si="35"/>
        <v>-217280.20666666669</v>
      </c>
      <c r="M15" s="37">
        <f t="shared" si="35"/>
        <v>-217280.20666666669</v>
      </c>
      <c r="N15" s="37">
        <f t="shared" si="35"/>
        <v>-217280.20666666669</v>
      </c>
      <c r="O15" s="37">
        <f t="shared" si="35"/>
        <v>-5339558.9966666671</v>
      </c>
      <c r="P15" s="37">
        <f t="shared" si="35"/>
        <v>23385415.250000007</v>
      </c>
      <c r="Q15" s="37">
        <f t="shared" si="35"/>
        <v>23385415.250000007</v>
      </c>
      <c r="R15" s="37">
        <f t="shared" si="35"/>
        <v>23389915.250000007</v>
      </c>
      <c r="S15" s="37">
        <f t="shared" si="35"/>
        <v>23389915.250000007</v>
      </c>
      <c r="T15" s="37">
        <f t="shared" si="35"/>
        <v>4489915.25</v>
      </c>
      <c r="U15" s="37">
        <f t="shared" si="35"/>
        <v>4489915.25</v>
      </c>
      <c r="V15" s="37">
        <f t="shared" si="35"/>
        <v>-995870.20666666667</v>
      </c>
      <c r="W15" s="37">
        <f t="shared" si="35"/>
        <v>-693870.20666666667</v>
      </c>
      <c r="X15" s="37">
        <f t="shared" si="35"/>
        <v>-235870.20666666664</v>
      </c>
      <c r="Y15" s="37">
        <f t="shared" si="35"/>
        <v>-235870.20666666664</v>
      </c>
      <c r="Z15" s="37">
        <f t="shared" si="35"/>
        <v>-235870.20666666664</v>
      </c>
      <c r="AA15" s="37">
        <f t="shared" si="35"/>
        <v>-5358148.9966666671</v>
      </c>
      <c r="AB15" s="37">
        <f t="shared" si="35"/>
        <v>23366825.250000007</v>
      </c>
      <c r="AC15" s="37">
        <f t="shared" si="35"/>
        <v>23366825.250000007</v>
      </c>
      <c r="AD15" s="37">
        <f t="shared" si="35"/>
        <v>23371325.250000007</v>
      </c>
      <c r="AE15" s="37">
        <f t="shared" si="35"/>
        <v>23371325.250000007</v>
      </c>
      <c r="AF15" s="37">
        <f t="shared" si="35"/>
        <v>4471325.25</v>
      </c>
      <c r="AG15" s="37">
        <f t="shared" si="35"/>
        <v>4471325.25</v>
      </c>
      <c r="AH15" s="37">
        <f t="shared" si="35"/>
        <v>-995870.20666666667</v>
      </c>
      <c r="AI15" s="37">
        <f t="shared" si="35"/>
        <v>-693870.20666666667</v>
      </c>
      <c r="AJ15" s="37">
        <f t="shared" si="35"/>
        <v>-235870.20666666664</v>
      </c>
      <c r="AK15" s="37">
        <f t="shared" si="35"/>
        <v>-235870.20666666664</v>
      </c>
      <c r="AL15" s="37">
        <f t="shared" si="35"/>
        <v>-235870.20666666664</v>
      </c>
      <c r="AM15" s="37">
        <f t="shared" si="35"/>
        <v>-5358148.9966666671</v>
      </c>
      <c r="AN15" s="37">
        <f t="shared" si="35"/>
        <v>23366825.250000007</v>
      </c>
      <c r="AO15" s="37">
        <f t="shared" si="35"/>
        <v>23366825.250000007</v>
      </c>
      <c r="AP15" s="37">
        <f t="shared" si="35"/>
        <v>243992163.16333336</v>
      </c>
    </row>
    <row r="16" spans="1:42">
      <c r="A16" s="25" t="s">
        <v>48</v>
      </c>
      <c r="B16" s="37" t="e">
        <f>B15/B3</f>
        <v>#DIV/0!</v>
      </c>
      <c r="C16" s="37" t="e">
        <f t="shared" ref="C16:AP16" si="36">C15/C3</f>
        <v>#DIV/0!</v>
      </c>
      <c r="D16" s="37">
        <f t="shared" si="36"/>
        <v>0.98368016161616156</v>
      </c>
      <c r="E16" s="37">
        <f t="shared" si="36"/>
        <v>0.98356211155028539</v>
      </c>
      <c r="F16" s="37">
        <f t="shared" si="36"/>
        <v>0.96109724330117907</v>
      </c>
      <c r="G16" s="37">
        <f t="shared" si="36"/>
        <v>0.96109724330117907</v>
      </c>
      <c r="H16" s="37" t="e">
        <f t="shared" si="36"/>
        <v>#DIV/0!</v>
      </c>
      <c r="I16" s="37" t="e">
        <f t="shared" si="36"/>
        <v>#DIV/0!</v>
      </c>
      <c r="J16" s="37" t="e">
        <f t="shared" si="36"/>
        <v>#DIV/0!</v>
      </c>
      <c r="K16" s="37" t="e">
        <f t="shared" si="36"/>
        <v>#DIV/0!</v>
      </c>
      <c r="L16" s="37" t="e">
        <f t="shared" si="36"/>
        <v>#DIV/0!</v>
      </c>
      <c r="M16" s="37" t="e">
        <f t="shared" si="36"/>
        <v>#DIV/0!</v>
      </c>
      <c r="N16" s="37" t="e">
        <f t="shared" si="36"/>
        <v>#DIV/0!</v>
      </c>
      <c r="O16" s="37" t="e">
        <f t="shared" si="36"/>
        <v>#DIV/0!</v>
      </c>
      <c r="P16" s="37">
        <f t="shared" si="36"/>
        <v>0.99099490774256194</v>
      </c>
      <c r="Q16" s="37">
        <f t="shared" si="36"/>
        <v>0.99099490774256194</v>
      </c>
      <c r="R16" s="37">
        <f t="shared" si="36"/>
        <v>0.99118560254259724</v>
      </c>
      <c r="S16" s="37">
        <f t="shared" si="36"/>
        <v>0.99118560254259724</v>
      </c>
      <c r="T16" s="37">
        <f t="shared" si="36"/>
        <v>0.95572475388026601</v>
      </c>
      <c r="U16" s="37">
        <f t="shared" si="36"/>
        <v>0.95572475388026601</v>
      </c>
      <c r="V16" s="37" t="e">
        <f t="shared" si="36"/>
        <v>#DIV/0!</v>
      </c>
      <c r="W16" s="37" t="e">
        <f t="shared" si="36"/>
        <v>#DIV/0!</v>
      </c>
      <c r="X16" s="37" t="e">
        <f t="shared" si="36"/>
        <v>#DIV/0!</v>
      </c>
      <c r="Y16" s="37" t="e">
        <f t="shared" si="36"/>
        <v>#DIV/0!</v>
      </c>
      <c r="Z16" s="37" t="e">
        <f t="shared" si="36"/>
        <v>#DIV/0!</v>
      </c>
      <c r="AA16" s="37" t="e">
        <f t="shared" si="36"/>
        <v>#DIV/0!</v>
      </c>
      <c r="AB16" s="37">
        <f t="shared" si="36"/>
        <v>0.99020712633530494</v>
      </c>
      <c r="AC16" s="37">
        <f t="shared" si="36"/>
        <v>0.99020712633530494</v>
      </c>
      <c r="AD16" s="37">
        <f t="shared" si="36"/>
        <v>0.99039782113534025</v>
      </c>
      <c r="AE16" s="37">
        <f t="shared" si="36"/>
        <v>0.99039782113534025</v>
      </c>
      <c r="AF16" s="37">
        <f t="shared" si="36"/>
        <v>0.95176768070953432</v>
      </c>
      <c r="AG16" s="37">
        <f t="shared" si="36"/>
        <v>0.95176768070953432</v>
      </c>
      <c r="AH16" s="37" t="e">
        <f t="shared" si="36"/>
        <v>#DIV/0!</v>
      </c>
      <c r="AI16" s="37" t="e">
        <f t="shared" si="36"/>
        <v>#DIV/0!</v>
      </c>
      <c r="AJ16" s="37" t="e">
        <f t="shared" si="36"/>
        <v>#DIV/0!</v>
      </c>
      <c r="AK16" s="37" t="e">
        <f t="shared" si="36"/>
        <v>#DIV/0!</v>
      </c>
      <c r="AL16" s="37" t="e">
        <f t="shared" si="36"/>
        <v>#DIV/0!</v>
      </c>
      <c r="AM16" s="37" t="e">
        <f t="shared" si="36"/>
        <v>#DIV/0!</v>
      </c>
      <c r="AN16" s="37">
        <f t="shared" si="36"/>
        <v>0.99020712633530494</v>
      </c>
      <c r="AO16" s="37">
        <f t="shared" si="36"/>
        <v>0.99020712633530494</v>
      </c>
      <c r="AP16" s="37">
        <f t="shared" si="36"/>
        <v>0.8465826103686569</v>
      </c>
    </row>
    <row r="19" spans="1:41">
      <c r="A19" s="4"/>
      <c r="B19" s="56">
        <f t="shared" ref="B19:N19" si="37">B2</f>
        <v>43678</v>
      </c>
      <c r="C19" s="56">
        <f t="shared" si="37"/>
        <v>43709</v>
      </c>
      <c r="D19" s="56">
        <f t="shared" si="37"/>
        <v>43739</v>
      </c>
      <c r="E19" s="56">
        <f t="shared" si="37"/>
        <v>43770</v>
      </c>
      <c r="F19" s="56">
        <f t="shared" si="37"/>
        <v>43800</v>
      </c>
      <c r="G19" s="56">
        <f t="shared" si="37"/>
        <v>43831</v>
      </c>
      <c r="H19" s="56">
        <f t="shared" si="37"/>
        <v>43862</v>
      </c>
      <c r="I19" s="56">
        <f t="shared" si="37"/>
        <v>43891</v>
      </c>
      <c r="J19" s="56">
        <f t="shared" si="37"/>
        <v>43922</v>
      </c>
      <c r="K19" s="56">
        <f t="shared" si="37"/>
        <v>43952</v>
      </c>
      <c r="L19" s="56">
        <f t="shared" si="37"/>
        <v>43983</v>
      </c>
      <c r="M19" s="56">
        <f t="shared" si="37"/>
        <v>44013</v>
      </c>
      <c r="N19" s="56">
        <f t="shared" si="37"/>
        <v>44044</v>
      </c>
      <c r="O19" s="56">
        <f t="shared" ref="O19:AO19" si="38">O2</f>
        <v>44075</v>
      </c>
      <c r="P19" s="56">
        <f t="shared" si="38"/>
        <v>44105</v>
      </c>
      <c r="Q19" s="56">
        <f t="shared" si="38"/>
        <v>44136</v>
      </c>
      <c r="R19" s="56">
        <f t="shared" si="38"/>
        <v>44166</v>
      </c>
      <c r="S19" s="56">
        <f t="shared" si="38"/>
        <v>44197</v>
      </c>
      <c r="T19" s="56">
        <f t="shared" si="38"/>
        <v>44228</v>
      </c>
      <c r="U19" s="56">
        <f t="shared" si="38"/>
        <v>44256</v>
      </c>
      <c r="V19" s="56">
        <f t="shared" si="38"/>
        <v>44287</v>
      </c>
      <c r="W19" s="56">
        <f t="shared" si="38"/>
        <v>44317</v>
      </c>
      <c r="X19" s="56">
        <f t="shared" si="38"/>
        <v>44348</v>
      </c>
      <c r="Y19" s="56">
        <f t="shared" si="38"/>
        <v>44378</v>
      </c>
      <c r="Z19" s="56">
        <f t="shared" si="38"/>
        <v>44409</v>
      </c>
      <c r="AA19" s="56">
        <f t="shared" si="38"/>
        <v>44440</v>
      </c>
      <c r="AB19" s="56">
        <f t="shared" si="38"/>
        <v>44470</v>
      </c>
      <c r="AC19" s="56">
        <f t="shared" si="38"/>
        <v>44501</v>
      </c>
      <c r="AD19" s="56">
        <f t="shared" si="38"/>
        <v>44531</v>
      </c>
      <c r="AE19" s="56">
        <f t="shared" si="38"/>
        <v>44562</v>
      </c>
      <c r="AF19" s="56">
        <f t="shared" si="38"/>
        <v>44593</v>
      </c>
      <c r="AG19" s="56">
        <f t="shared" si="38"/>
        <v>44621</v>
      </c>
      <c r="AH19" s="56">
        <f t="shared" si="38"/>
        <v>44652</v>
      </c>
      <c r="AI19" s="56">
        <f t="shared" si="38"/>
        <v>44682</v>
      </c>
      <c r="AJ19" s="56">
        <f t="shared" si="38"/>
        <v>44713</v>
      </c>
      <c r="AK19" s="56">
        <f t="shared" si="38"/>
        <v>44743</v>
      </c>
      <c r="AL19" s="56">
        <f t="shared" si="38"/>
        <v>44774</v>
      </c>
      <c r="AM19" s="56">
        <f t="shared" si="38"/>
        <v>44805</v>
      </c>
      <c r="AN19" s="56">
        <f t="shared" si="38"/>
        <v>44835</v>
      </c>
      <c r="AO19" s="56">
        <f t="shared" si="38"/>
        <v>44866</v>
      </c>
    </row>
    <row r="20" spans="1:41">
      <c r="A20" s="4" t="s">
        <v>32</v>
      </c>
      <c r="B20" s="58">
        <f>B10</f>
        <v>-244377.08333333334</v>
      </c>
      <c r="C20" s="58">
        <f t="shared" ref="C20:N20" si="39">C10</f>
        <v>-15134434.663333334</v>
      </c>
      <c r="D20" s="58">
        <f t="shared" si="39"/>
        <v>9293956.916666666</v>
      </c>
      <c r="E20" s="58">
        <f t="shared" si="39"/>
        <v>9292556.916666666</v>
      </c>
      <c r="F20" s="58">
        <f t="shared" si="39"/>
        <v>3698456.916666667</v>
      </c>
      <c r="G20" s="58">
        <f t="shared" si="39"/>
        <v>3698456.916666667</v>
      </c>
      <c r="H20" s="58">
        <f t="shared" si="39"/>
        <v>-189043.08333333334</v>
      </c>
      <c r="I20" s="58">
        <f t="shared" si="39"/>
        <v>-189043.08333333334</v>
      </c>
      <c r="J20" s="58">
        <f t="shared" si="39"/>
        <v>-2427280.2066666665</v>
      </c>
      <c r="K20" s="58">
        <f t="shared" si="39"/>
        <v>-675280.20666666667</v>
      </c>
      <c r="L20" s="58">
        <f t="shared" si="39"/>
        <v>-217280.20666666669</v>
      </c>
      <c r="M20" s="58">
        <f t="shared" si="39"/>
        <v>-217280.20666666669</v>
      </c>
      <c r="N20" s="58">
        <f t="shared" si="39"/>
        <v>-217280.20666666669</v>
      </c>
      <c r="O20" s="58">
        <f t="shared" ref="O20:AO20" si="40">O10</f>
        <v>-5339558.9966666671</v>
      </c>
      <c r="P20" s="58">
        <f t="shared" si="40"/>
        <v>18665831.916666672</v>
      </c>
      <c r="Q20" s="58">
        <f t="shared" si="40"/>
        <v>18665831.916666672</v>
      </c>
      <c r="R20" s="58">
        <f t="shared" si="40"/>
        <v>18670331.916666672</v>
      </c>
      <c r="S20" s="58">
        <f t="shared" si="40"/>
        <v>18670331.916666672</v>
      </c>
      <c r="T20" s="58">
        <f t="shared" si="40"/>
        <v>3550331.9166666665</v>
      </c>
      <c r="U20" s="58">
        <f t="shared" si="40"/>
        <v>3550331.9166666665</v>
      </c>
      <c r="V20" s="58">
        <f t="shared" si="40"/>
        <v>-995870.20666666667</v>
      </c>
      <c r="W20" s="58">
        <f t="shared" si="40"/>
        <v>-693870.20666666667</v>
      </c>
      <c r="X20" s="58">
        <f t="shared" si="40"/>
        <v>-235870.20666666664</v>
      </c>
      <c r="Y20" s="58">
        <f t="shared" si="40"/>
        <v>-235870.20666666664</v>
      </c>
      <c r="Z20" s="58">
        <f t="shared" si="40"/>
        <v>-235870.20666666664</v>
      </c>
      <c r="AA20" s="58">
        <f t="shared" si="40"/>
        <v>-5358148.9966666671</v>
      </c>
      <c r="AB20" s="58">
        <f t="shared" si="40"/>
        <v>18647241.916666672</v>
      </c>
      <c r="AC20" s="58">
        <f t="shared" si="40"/>
        <v>18647241.916666672</v>
      </c>
      <c r="AD20" s="58">
        <f t="shared" si="40"/>
        <v>18651741.916666672</v>
      </c>
      <c r="AE20" s="58">
        <f t="shared" si="40"/>
        <v>18651741.916666672</v>
      </c>
      <c r="AF20" s="58">
        <f t="shared" si="40"/>
        <v>3531741.9166666665</v>
      </c>
      <c r="AG20" s="58">
        <f t="shared" si="40"/>
        <v>3531741.9166666665</v>
      </c>
      <c r="AH20" s="58">
        <f t="shared" si="40"/>
        <v>-995870.20666666667</v>
      </c>
      <c r="AI20" s="58">
        <f t="shared" si="40"/>
        <v>-693870.20666666667</v>
      </c>
      <c r="AJ20" s="58">
        <f t="shared" si="40"/>
        <v>-235870.20666666664</v>
      </c>
      <c r="AK20" s="58">
        <f t="shared" si="40"/>
        <v>-235870.20666666664</v>
      </c>
      <c r="AL20" s="58">
        <f t="shared" si="40"/>
        <v>-235870.20666666664</v>
      </c>
      <c r="AM20" s="58">
        <f t="shared" si="40"/>
        <v>-5358148.9966666671</v>
      </c>
      <c r="AN20" s="58">
        <f t="shared" si="40"/>
        <v>18647241.916666672</v>
      </c>
      <c r="AO20" s="58">
        <f t="shared" si="40"/>
        <v>18647241.916666672</v>
      </c>
    </row>
    <row r="21" spans="1:41">
      <c r="A21" s="4" t="s">
        <v>30</v>
      </c>
      <c r="B21" s="58">
        <f>B13</f>
        <v>-269000</v>
      </c>
      <c r="C21" s="58">
        <f t="shared" ref="C21:N21" si="41">C13</f>
        <v>-15159057.58</v>
      </c>
      <c r="D21" s="58">
        <f t="shared" si="41"/>
        <v>11641209</v>
      </c>
      <c r="E21" s="58">
        <f t="shared" si="41"/>
        <v>11639809</v>
      </c>
      <c r="F21" s="58">
        <f t="shared" si="41"/>
        <v>4645709</v>
      </c>
      <c r="G21" s="58">
        <f t="shared" si="41"/>
        <v>4645709</v>
      </c>
      <c r="H21" s="58">
        <f t="shared" si="41"/>
        <v>-213666</v>
      </c>
      <c r="I21" s="58">
        <f t="shared" si="41"/>
        <v>-213666</v>
      </c>
      <c r="J21" s="58">
        <f t="shared" si="41"/>
        <v>-2457944.79</v>
      </c>
      <c r="K21" s="58">
        <f t="shared" si="41"/>
        <v>-705944.79</v>
      </c>
      <c r="L21" s="58">
        <f t="shared" si="41"/>
        <v>-247944.79</v>
      </c>
      <c r="M21" s="58">
        <f t="shared" si="41"/>
        <v>-247944.79</v>
      </c>
      <c r="N21" s="58">
        <f t="shared" si="41"/>
        <v>-247944.79</v>
      </c>
      <c r="O21" s="58">
        <f t="shared" ref="O21:AO21" si="42">O13</f>
        <v>-5370223.5800000001</v>
      </c>
      <c r="P21" s="58">
        <f t="shared" si="42"/>
        <v>23354750.666666675</v>
      </c>
      <c r="Q21" s="58">
        <f t="shared" si="42"/>
        <v>23354750.666666675</v>
      </c>
      <c r="R21" s="58">
        <f t="shared" si="42"/>
        <v>23359250.666666675</v>
      </c>
      <c r="S21" s="58">
        <f t="shared" si="42"/>
        <v>23359250.666666675</v>
      </c>
      <c r="T21" s="58">
        <f t="shared" si="42"/>
        <v>4459250.666666667</v>
      </c>
      <c r="U21" s="58">
        <f t="shared" si="42"/>
        <v>4459250.666666667</v>
      </c>
      <c r="V21" s="58">
        <f t="shared" si="42"/>
        <v>-1024844.79</v>
      </c>
      <c r="W21" s="58">
        <f t="shared" si="42"/>
        <v>-722844.79</v>
      </c>
      <c r="X21" s="58">
        <f t="shared" si="42"/>
        <v>-264844.78999999998</v>
      </c>
      <c r="Y21" s="58">
        <f t="shared" si="42"/>
        <v>-264844.78999999998</v>
      </c>
      <c r="Z21" s="58">
        <f t="shared" si="42"/>
        <v>-264844.78999999998</v>
      </c>
      <c r="AA21" s="58">
        <f t="shared" si="42"/>
        <v>-5387123.5800000001</v>
      </c>
      <c r="AB21" s="58">
        <f t="shared" si="42"/>
        <v>23337850.666666675</v>
      </c>
      <c r="AC21" s="58">
        <f t="shared" si="42"/>
        <v>23337850.666666675</v>
      </c>
      <c r="AD21" s="58">
        <f t="shared" si="42"/>
        <v>23342350.666666675</v>
      </c>
      <c r="AE21" s="58">
        <f t="shared" si="42"/>
        <v>23342350.666666675</v>
      </c>
      <c r="AF21" s="58">
        <f t="shared" si="42"/>
        <v>4442350.666666667</v>
      </c>
      <c r="AG21" s="58">
        <f t="shared" si="42"/>
        <v>4442350.666666667</v>
      </c>
      <c r="AH21" s="58">
        <f t="shared" si="42"/>
        <v>-1024844.79</v>
      </c>
      <c r="AI21" s="58">
        <f t="shared" si="42"/>
        <v>-722844.79</v>
      </c>
      <c r="AJ21" s="58">
        <f t="shared" si="42"/>
        <v>-264844.78999999998</v>
      </c>
      <c r="AK21" s="58">
        <f t="shared" si="42"/>
        <v>-264844.78999999998</v>
      </c>
      <c r="AL21" s="58">
        <f t="shared" si="42"/>
        <v>-264844.78999999998</v>
      </c>
      <c r="AM21" s="58">
        <f t="shared" si="42"/>
        <v>-5387123.5800000001</v>
      </c>
      <c r="AN21" s="58">
        <f t="shared" si="42"/>
        <v>23337850.666666675</v>
      </c>
      <c r="AO21" s="58">
        <f t="shared" si="42"/>
        <v>23337850.666666675</v>
      </c>
    </row>
    <row r="22" spans="1:41">
      <c r="A22" s="4" t="s">
        <v>47</v>
      </c>
      <c r="B22" s="58">
        <f>B15</f>
        <v>-244377.08333333334</v>
      </c>
      <c r="C22" s="58">
        <f t="shared" ref="C22:N22" si="43">C15</f>
        <v>-15134434.663333334</v>
      </c>
      <c r="D22" s="58">
        <f t="shared" si="43"/>
        <v>11665831.916666666</v>
      </c>
      <c r="E22" s="58">
        <f t="shared" si="43"/>
        <v>11664431.916666666</v>
      </c>
      <c r="F22" s="58">
        <f t="shared" si="43"/>
        <v>4670331.916666667</v>
      </c>
      <c r="G22" s="58">
        <f t="shared" si="43"/>
        <v>4670331.916666667</v>
      </c>
      <c r="H22" s="58">
        <f t="shared" si="43"/>
        <v>-189043.08333333334</v>
      </c>
      <c r="I22" s="58">
        <f t="shared" si="43"/>
        <v>-189043.08333333334</v>
      </c>
      <c r="J22" s="58">
        <f t="shared" si="43"/>
        <v>-2427280.2066666665</v>
      </c>
      <c r="K22" s="58">
        <f t="shared" si="43"/>
        <v>-675280.20666666667</v>
      </c>
      <c r="L22" s="58">
        <f t="shared" si="43"/>
        <v>-217280.20666666669</v>
      </c>
      <c r="M22" s="58">
        <f t="shared" si="43"/>
        <v>-217280.20666666669</v>
      </c>
      <c r="N22" s="58">
        <f t="shared" si="43"/>
        <v>-217280.20666666669</v>
      </c>
      <c r="O22" s="58">
        <f t="shared" ref="O22:AO22" si="44">O15</f>
        <v>-5339558.9966666671</v>
      </c>
      <c r="P22" s="58">
        <f t="shared" si="44"/>
        <v>23385415.250000007</v>
      </c>
      <c r="Q22" s="58">
        <f t="shared" si="44"/>
        <v>23385415.250000007</v>
      </c>
      <c r="R22" s="58">
        <f t="shared" si="44"/>
        <v>23389915.250000007</v>
      </c>
      <c r="S22" s="58">
        <f t="shared" si="44"/>
        <v>23389915.250000007</v>
      </c>
      <c r="T22" s="58">
        <f t="shared" si="44"/>
        <v>4489915.25</v>
      </c>
      <c r="U22" s="58">
        <f t="shared" si="44"/>
        <v>4489915.25</v>
      </c>
      <c r="V22" s="58">
        <f t="shared" si="44"/>
        <v>-995870.20666666667</v>
      </c>
      <c r="W22" s="58">
        <f t="shared" si="44"/>
        <v>-693870.20666666667</v>
      </c>
      <c r="X22" s="58">
        <f t="shared" si="44"/>
        <v>-235870.20666666664</v>
      </c>
      <c r="Y22" s="58">
        <f t="shared" si="44"/>
        <v>-235870.20666666664</v>
      </c>
      <c r="Z22" s="58">
        <f t="shared" si="44"/>
        <v>-235870.20666666664</v>
      </c>
      <c r="AA22" s="58">
        <f t="shared" si="44"/>
        <v>-5358148.9966666671</v>
      </c>
      <c r="AB22" s="58">
        <f t="shared" si="44"/>
        <v>23366825.250000007</v>
      </c>
      <c r="AC22" s="58">
        <f t="shared" si="44"/>
        <v>23366825.250000007</v>
      </c>
      <c r="AD22" s="58">
        <f t="shared" si="44"/>
        <v>23371325.250000007</v>
      </c>
      <c r="AE22" s="58">
        <f t="shared" si="44"/>
        <v>23371325.250000007</v>
      </c>
      <c r="AF22" s="58">
        <f t="shared" si="44"/>
        <v>4471325.25</v>
      </c>
      <c r="AG22" s="58">
        <f t="shared" si="44"/>
        <v>4471325.25</v>
      </c>
      <c r="AH22" s="58">
        <f t="shared" si="44"/>
        <v>-995870.20666666667</v>
      </c>
      <c r="AI22" s="58">
        <f t="shared" si="44"/>
        <v>-693870.20666666667</v>
      </c>
      <c r="AJ22" s="58">
        <f t="shared" si="44"/>
        <v>-235870.20666666664</v>
      </c>
      <c r="AK22" s="58">
        <f t="shared" si="44"/>
        <v>-235870.20666666664</v>
      </c>
      <c r="AL22" s="58">
        <f t="shared" si="44"/>
        <v>-235870.20666666664</v>
      </c>
      <c r="AM22" s="58">
        <f t="shared" si="44"/>
        <v>-5358148.9966666671</v>
      </c>
      <c r="AN22" s="58">
        <f t="shared" si="44"/>
        <v>23366825.250000007</v>
      </c>
      <c r="AO22" s="58">
        <f t="shared" si="44"/>
        <v>23366825.250000007</v>
      </c>
    </row>
  </sheetData>
  <mergeCells count="1">
    <mergeCell ref="AP1:AP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Старт проекта</vt:lpstr>
      <vt:lpstr>План продаж в кол-ве</vt:lpstr>
      <vt:lpstr>Капвложения_ОС</vt:lpstr>
      <vt:lpstr>Общие расходы</vt:lpstr>
      <vt:lpstr>Амортизация</vt:lpstr>
      <vt:lpstr>Доходы</vt:lpstr>
      <vt:lpstr>Прибыль</vt:lpstr>
      <vt:lpstr>СОК</vt:lpstr>
      <vt:lpstr>ОПУ</vt:lpstr>
      <vt:lpstr>CF и NPV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2019-05-20T10:09:30Z</dcterms:created>
  <dcterms:modified xsi:type="dcterms:W3CDTF">2019-07-09T07:01:32Z</dcterms:modified>
</cp:coreProperties>
</file>