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Ex1.xml" ContentType="application/vnd.ms-office.chartex+xml"/>
  <Override PartName="/xl/charts/style29.xml" ContentType="application/vnd.ms-office.chartstyle+xml"/>
  <Override PartName="/xl/charts/colors29.xml" ContentType="application/vnd.ms-office.chartcolorstyle+xml"/>
  <Override PartName="/xl/charts/chart29.xml" ContentType="application/vnd.openxmlformats-officedocument.drawingml.chart+xml"/>
  <Override PartName="/xl/charts/style30.xml" ContentType="application/vnd.ms-office.chartstyle+xml"/>
  <Override PartName="/xl/charts/colors30.xml" ContentType="application/vnd.ms-office.chartcolorstyle+xml"/>
  <Override PartName="/xl/charts/chart30.xml" ContentType="application/vnd.openxmlformats-officedocument.drawingml.chart+xml"/>
  <Override PartName="/xl/charts/style31.xml" ContentType="application/vnd.ms-office.chartstyle+xml"/>
  <Override PartName="/xl/charts/colors31.xml" ContentType="application/vnd.ms-office.chartcolorstyle+xml"/>
  <Override PartName="/xl/charts/chart31.xml" ContentType="application/vnd.openxmlformats-officedocument.drawingml.chart+xml"/>
  <Override PartName="/xl/charts/style32.xml" ContentType="application/vnd.ms-office.chartstyle+xml"/>
  <Override PartName="/xl/charts/colors32.xml" ContentType="application/vnd.ms-office.chartcolorstyle+xml"/>
  <Override PartName="/xl/charts/chart32.xml" ContentType="application/vnd.openxmlformats-officedocument.drawingml.chart+xml"/>
  <Override PartName="/xl/charts/style33.xml" ContentType="application/vnd.ms-office.chartstyle+xml"/>
  <Override PartName="/xl/charts/colors33.xml" ContentType="application/vnd.ms-office.chartcolorstyle+xml"/>
  <Override PartName="/xl/charts/chart33.xml" ContentType="application/vnd.openxmlformats-officedocument.drawingml.chart+xml"/>
  <Override PartName="/xl/charts/style34.xml" ContentType="application/vnd.ms-office.chartstyle+xml"/>
  <Override PartName="/xl/charts/colors34.xml" ContentType="application/vnd.ms-office.chartcolorstyle+xml"/>
  <Override PartName="/xl/charts/chart34.xml" ContentType="application/vnd.openxmlformats-officedocument.drawingml.chart+xml"/>
  <Override PartName="/xl/charts/style35.xml" ContentType="application/vnd.ms-office.chartstyle+xml"/>
  <Override PartName="/xl/charts/colors35.xml" ContentType="application/vnd.ms-office.chartcolorstyle+xml"/>
  <Override PartName="/xl/charts/chart35.xml" ContentType="application/vnd.openxmlformats-officedocument.drawingml.chart+xml"/>
  <Override PartName="/xl/charts/style36.xml" ContentType="application/vnd.ms-office.chartstyle+xml"/>
  <Override PartName="/xl/charts/colors36.xml" ContentType="application/vnd.ms-office.chartcolorstyle+xml"/>
  <Override PartName="/xl/charts/chart36.xml" ContentType="application/vnd.openxmlformats-officedocument.drawingml.chart+xml"/>
  <Override PartName="/xl/charts/style37.xml" ContentType="application/vnd.ms-office.chartstyle+xml"/>
  <Override PartName="/xl/charts/colors37.xml" ContentType="application/vnd.ms-office.chartcolorstyle+xml"/>
  <Override PartName="/xl/charts/chart37.xml" ContentType="application/vnd.openxmlformats-officedocument.drawingml.chart+xml"/>
  <Override PartName="/xl/charts/style38.xml" ContentType="application/vnd.ms-office.chartstyle+xml"/>
  <Override PartName="/xl/charts/colors38.xml" ContentType="application/vnd.ms-office.chartcolorstyle+xml"/>
  <Override PartName="/xl/charts/chart38.xml" ContentType="application/vnd.openxmlformats-officedocument.drawingml.chart+xml"/>
  <Override PartName="/xl/charts/style39.xml" ContentType="application/vnd.ms-office.chartstyle+xml"/>
  <Override PartName="/xl/charts/colors39.xml" ContentType="application/vnd.ms-office.chartcolorstyle+xml"/>
  <Override PartName="/xl/charts/chart39.xml" ContentType="application/vnd.openxmlformats-officedocument.drawingml.chart+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5"/>
  <workbookPr hidePivotFieldList="1"/>
  <mc:AlternateContent xmlns:mc="http://schemas.openxmlformats.org/markup-compatibility/2006">
    <mc:Choice Requires="x15">
      <x15ac:absPath xmlns:x15ac="http://schemas.microsoft.com/office/spreadsheetml/2010/11/ac" url="/Users/mihail/Downloads/"/>
    </mc:Choice>
  </mc:AlternateContent>
  <xr:revisionPtr revIDLastSave="0" documentId="13_ncr:1_{5E50666B-4780-3D47-B79A-88451F384E6C}" xr6:coauthVersionLast="43" xr6:coauthVersionMax="43" xr10:uidLastSave="{00000000-0000-0000-0000-000000000000}"/>
  <bookViews>
    <workbookView xWindow="0" yWindow="500" windowWidth="23260" windowHeight="12580" tabRatio="845" activeTab="10" xr2:uid="{00000000-000D-0000-FFFF-FFFF00000000}"/>
  </bookViews>
  <sheets>
    <sheet name="График Погашения ИИ" sheetId="21" state="hidden" r:id="rId1"/>
    <sheet name="Либерти" sheetId="41" state="hidden" r:id="rId2"/>
    <sheet name="Айдаред" sheetId="44" state="hidden" r:id="rId3"/>
    <sheet name="Василиса" sheetId="45" state="hidden" r:id="rId4"/>
    <sheet name="Вильямс Прайт" sheetId="46" state="hidden" r:id="rId5"/>
    <sheet name="Женева" sheetId="47" state="hidden" r:id="rId6"/>
    <sheet name="Любава" sheetId="48" state="hidden" r:id="rId7"/>
    <sheet name="Прикубанское" sheetId="49" state="hidden" r:id="rId8"/>
    <sheet name="Талида" sheetId="50" state="hidden" r:id="rId9"/>
    <sheet name="Мутсу" sheetId="51" state="hidden" r:id="rId10"/>
    <sheet name="Консолидация " sheetId="132" r:id="rId11"/>
    <sheet name="План производства" sheetId="121" r:id="rId12"/>
    <sheet name="Financial Model_Quarter" sheetId="127" r:id="rId13"/>
    <sheet name="Financial Model" sheetId="62" r:id="rId14"/>
    <sheet name="Интеринвест" sheetId="130" r:id="rId15"/>
    <sheet name="Новозаведенское" sheetId="131" r:id="rId16"/>
    <sheet name="Распределение урожая" sheetId="124" r:id="rId17"/>
    <sheet name="Продажи_ИИ 16-1кв20" sheetId="86" r:id="rId18"/>
    <sheet name="Продажи_НЗ 16-1кв20" sheetId="87" r:id="rId19"/>
    <sheet name="Динамика продаж" sheetId="101" r:id="rId20"/>
    <sheet name="CapEx_Группа" sheetId="106" r:id="rId21"/>
    <sheet name="График погашения_СВОД" sheetId="102" r:id="rId22"/>
    <sheet name="ИИ_КП_1 пол 20" sheetId="114" r:id="rId23"/>
    <sheet name="ИИ _График погашения осн долг_" sheetId="115" r:id="rId24"/>
    <sheet name=" НЗ 2020 1е полуг" sheetId="116" r:id="rId25"/>
    <sheet name="НЗ 2020 на 31.08.20" sheetId="117" r:id="rId26"/>
    <sheet name="Capex_ИИ" sheetId="107" r:id="rId27"/>
    <sheet name="Capex_Нз" sheetId="108" r:id="rId28"/>
    <sheet name="План по НЗ" sheetId="109" r:id="rId29"/>
    <sheet name="For Pres" sheetId="2"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_____wrn2" localSheetId="0" hidden="1">{"glc1",#N/A,FALSE,"GLC";"glc2",#N/A,FALSE,"GLC";"glc3",#N/A,FALSE,"GLC";"glc4",#N/A,FALSE,"GLC";"glc5",#N/A,FALSE,"GLC"}</definedName>
    <definedName name="______wrn2" localSheetId="10" hidden="1">{"glc1",#N/A,FALSE,"GLC";"glc2",#N/A,FALSE,"GLC";"glc3",#N/A,FALSE,"GLC";"glc4",#N/A,FALSE,"GLC";"glc5",#N/A,FALSE,"GLC"}</definedName>
    <definedName name="______wrn2" localSheetId="17" hidden="1">{"glc1",#N/A,FALSE,"GLC";"glc2",#N/A,FALSE,"GLC";"glc3",#N/A,FALSE,"GLC";"glc4",#N/A,FALSE,"GLC";"glc5",#N/A,FALSE,"GLC"}</definedName>
    <definedName name="______wrn2" localSheetId="18" hidden="1">{"glc1",#N/A,FALSE,"GLC";"glc2",#N/A,FALSE,"GLC";"glc3",#N/A,FALSE,"GLC";"glc4",#N/A,FALSE,"GLC";"glc5",#N/A,FALSE,"GLC"}</definedName>
    <definedName name="______wrn2" localSheetId="13" hidden="1">{"glc1",#N/A,FALSE,"GLC";"glc2",#N/A,FALSE,"GLC";"glc3",#N/A,FALSE,"GLC";"glc4",#N/A,FALSE,"GLC";"glc5",#N/A,FALSE,"GLC"}</definedName>
    <definedName name="______wrn2" localSheetId="12" hidden="1">{"glc1",#N/A,FALSE,"GLC";"glc2",#N/A,FALSE,"GLC";"glc3",#N/A,FALSE,"GLC";"glc4",#N/A,FALSE,"GLC";"glc5",#N/A,FALSE,"GLC"}</definedName>
    <definedName name="______wrn2" hidden="1">{"glc1",#N/A,FALSE,"GLC";"glc2",#N/A,FALSE,"GLC";"glc3",#N/A,FALSE,"GLC";"glc4",#N/A,FALSE,"GLC";"glc5",#N/A,FALSE,"GLC"}</definedName>
    <definedName name="______wrn222" localSheetId="0" hidden="1">{"glc1",#N/A,FALSE,"GLC";"glc2",#N/A,FALSE,"GLC";"glc3",#N/A,FALSE,"GLC";"glc4",#N/A,FALSE,"GLC";"glc5",#N/A,FALSE,"GLC"}</definedName>
    <definedName name="______wrn222" localSheetId="10" hidden="1">{"glc1",#N/A,FALSE,"GLC";"glc2",#N/A,FALSE,"GLC";"glc3",#N/A,FALSE,"GLC";"glc4",#N/A,FALSE,"GLC";"glc5",#N/A,FALSE,"GLC"}</definedName>
    <definedName name="______wrn222" localSheetId="17" hidden="1">{"glc1",#N/A,FALSE,"GLC";"glc2",#N/A,FALSE,"GLC";"glc3",#N/A,FALSE,"GLC";"glc4",#N/A,FALSE,"GLC";"glc5",#N/A,FALSE,"GLC"}</definedName>
    <definedName name="______wrn222" localSheetId="18" hidden="1">{"glc1",#N/A,FALSE,"GLC";"glc2",#N/A,FALSE,"GLC";"glc3",#N/A,FALSE,"GLC";"glc4",#N/A,FALSE,"GLC";"glc5",#N/A,FALSE,"GLC"}</definedName>
    <definedName name="______wrn222" localSheetId="13" hidden="1">{"glc1",#N/A,FALSE,"GLC";"glc2",#N/A,FALSE,"GLC";"glc3",#N/A,FALSE,"GLC";"glc4",#N/A,FALSE,"GLC";"glc5",#N/A,FALSE,"GLC"}</definedName>
    <definedName name="______wrn222" localSheetId="12" hidden="1">{"glc1",#N/A,FALSE,"GLC";"glc2",#N/A,FALSE,"GLC";"glc3",#N/A,FALSE,"GLC";"glc4",#N/A,FALSE,"GLC";"glc5",#N/A,FALSE,"GLC"}</definedName>
    <definedName name="______wrn222" hidden="1">{"glc1",#N/A,FALSE,"GLC";"glc2",#N/A,FALSE,"GLC";"glc3",#N/A,FALSE,"GLC";"glc4",#N/A,FALSE,"GLC";"glc5",#N/A,FALSE,"GLC"}</definedName>
    <definedName name="_____wrn2" localSheetId="0" hidden="1">{"glc1",#N/A,FALSE,"GLC";"glc2",#N/A,FALSE,"GLC";"glc3",#N/A,FALSE,"GLC";"glc4",#N/A,FALSE,"GLC";"glc5",#N/A,FALSE,"GLC"}</definedName>
    <definedName name="_____wrn2" localSheetId="10" hidden="1">{"glc1",#N/A,FALSE,"GLC";"glc2",#N/A,FALSE,"GLC";"glc3",#N/A,FALSE,"GLC";"glc4",#N/A,FALSE,"GLC";"glc5",#N/A,FALSE,"GLC"}</definedName>
    <definedName name="_____wrn2" localSheetId="17" hidden="1">{"glc1",#N/A,FALSE,"GLC";"glc2",#N/A,FALSE,"GLC";"glc3",#N/A,FALSE,"GLC";"glc4",#N/A,FALSE,"GLC";"glc5",#N/A,FALSE,"GLC"}</definedName>
    <definedName name="_____wrn2" localSheetId="18" hidden="1">{"glc1",#N/A,FALSE,"GLC";"glc2",#N/A,FALSE,"GLC";"glc3",#N/A,FALSE,"GLC";"glc4",#N/A,FALSE,"GLC";"glc5",#N/A,FALSE,"GLC"}</definedName>
    <definedName name="_____wrn2" localSheetId="13" hidden="1">{"glc1",#N/A,FALSE,"GLC";"glc2",#N/A,FALSE,"GLC";"glc3",#N/A,FALSE,"GLC";"glc4",#N/A,FALSE,"GLC";"glc5",#N/A,FALSE,"GLC"}</definedName>
    <definedName name="_____wrn2" localSheetId="12" hidden="1">{"glc1",#N/A,FALSE,"GLC";"glc2",#N/A,FALSE,"GLC";"glc3",#N/A,FALSE,"GLC";"glc4",#N/A,FALSE,"GLC";"glc5",#N/A,FALSE,"GLC"}</definedName>
    <definedName name="_____wrn2" hidden="1">{"glc1",#N/A,FALSE,"GLC";"glc2",#N/A,FALSE,"GLC";"glc3",#N/A,FALSE,"GLC";"glc4",#N/A,FALSE,"GLC";"glc5",#N/A,FALSE,"GLC"}</definedName>
    <definedName name="_____wrn222" localSheetId="0" hidden="1">{"glc1",#N/A,FALSE,"GLC";"glc2",#N/A,FALSE,"GLC";"glc3",#N/A,FALSE,"GLC";"glc4",#N/A,FALSE,"GLC";"glc5",#N/A,FALSE,"GLC"}</definedName>
    <definedName name="_____wrn222" localSheetId="10" hidden="1">{"glc1",#N/A,FALSE,"GLC";"glc2",#N/A,FALSE,"GLC";"glc3",#N/A,FALSE,"GLC";"glc4",#N/A,FALSE,"GLC";"glc5",#N/A,FALSE,"GLC"}</definedName>
    <definedName name="_____wrn222" localSheetId="17" hidden="1">{"glc1",#N/A,FALSE,"GLC";"glc2",#N/A,FALSE,"GLC";"glc3",#N/A,FALSE,"GLC";"glc4",#N/A,FALSE,"GLC";"glc5",#N/A,FALSE,"GLC"}</definedName>
    <definedName name="_____wrn222" localSheetId="18" hidden="1">{"glc1",#N/A,FALSE,"GLC";"glc2",#N/A,FALSE,"GLC";"glc3",#N/A,FALSE,"GLC";"glc4",#N/A,FALSE,"GLC";"glc5",#N/A,FALSE,"GLC"}</definedName>
    <definedName name="_____wrn222" localSheetId="13" hidden="1">{"glc1",#N/A,FALSE,"GLC";"glc2",#N/A,FALSE,"GLC";"glc3",#N/A,FALSE,"GLC";"glc4",#N/A,FALSE,"GLC";"glc5",#N/A,FALSE,"GLC"}</definedName>
    <definedName name="_____wrn222" localSheetId="12" hidden="1">{"glc1",#N/A,FALSE,"GLC";"glc2",#N/A,FALSE,"GLC";"glc3",#N/A,FALSE,"GLC";"glc4",#N/A,FALSE,"GLC";"glc5",#N/A,FALSE,"GLC"}</definedName>
    <definedName name="_____wrn222" hidden="1">{"glc1",#N/A,FALSE,"GLC";"glc2",#N/A,FALSE,"GLC";"glc3",#N/A,FALSE,"GLC";"glc4",#N/A,FALSE,"GLC";"glc5",#N/A,FALSE,"GLC"}</definedName>
    <definedName name="____wrn2" localSheetId="0" hidden="1">{"glc1",#N/A,FALSE,"GLC";"glc2",#N/A,FALSE,"GLC";"glc3",#N/A,FALSE,"GLC";"glc4",#N/A,FALSE,"GLC";"glc5",#N/A,FALSE,"GLC"}</definedName>
    <definedName name="____wrn2" localSheetId="10" hidden="1">{"glc1",#N/A,FALSE,"GLC";"glc2",#N/A,FALSE,"GLC";"glc3",#N/A,FALSE,"GLC";"glc4",#N/A,FALSE,"GLC";"glc5",#N/A,FALSE,"GLC"}</definedName>
    <definedName name="____wrn2" localSheetId="17" hidden="1">{"glc1",#N/A,FALSE,"GLC";"glc2",#N/A,FALSE,"GLC";"glc3",#N/A,FALSE,"GLC";"glc4",#N/A,FALSE,"GLC";"glc5",#N/A,FALSE,"GLC"}</definedName>
    <definedName name="____wrn2" localSheetId="18" hidden="1">{"glc1",#N/A,FALSE,"GLC";"glc2",#N/A,FALSE,"GLC";"glc3",#N/A,FALSE,"GLC";"glc4",#N/A,FALSE,"GLC";"glc5",#N/A,FALSE,"GLC"}</definedName>
    <definedName name="____wrn2" localSheetId="13" hidden="1">{"glc1",#N/A,FALSE,"GLC";"glc2",#N/A,FALSE,"GLC";"glc3",#N/A,FALSE,"GLC";"glc4",#N/A,FALSE,"GLC";"glc5",#N/A,FALSE,"GLC"}</definedName>
    <definedName name="____wrn2" localSheetId="12" hidden="1">{"glc1",#N/A,FALSE,"GLC";"glc2",#N/A,FALSE,"GLC";"glc3",#N/A,FALSE,"GLC";"glc4",#N/A,FALSE,"GLC";"glc5",#N/A,FALSE,"GLC"}</definedName>
    <definedName name="____wrn2" hidden="1">{"glc1",#N/A,FALSE,"GLC";"glc2",#N/A,FALSE,"GLC";"glc3",#N/A,FALSE,"GLC";"glc4",#N/A,FALSE,"GLC";"glc5",#N/A,FALSE,"GLC"}</definedName>
    <definedName name="____wrn222" localSheetId="0" hidden="1">{"glc1",#N/A,FALSE,"GLC";"glc2",#N/A,FALSE,"GLC";"glc3",#N/A,FALSE,"GLC";"glc4",#N/A,FALSE,"GLC";"glc5",#N/A,FALSE,"GLC"}</definedName>
    <definedName name="____wrn222" localSheetId="10" hidden="1">{"glc1",#N/A,FALSE,"GLC";"glc2",#N/A,FALSE,"GLC";"glc3",#N/A,FALSE,"GLC";"glc4",#N/A,FALSE,"GLC";"glc5",#N/A,FALSE,"GLC"}</definedName>
    <definedName name="____wrn222" localSheetId="17" hidden="1">{"glc1",#N/A,FALSE,"GLC";"glc2",#N/A,FALSE,"GLC";"glc3",#N/A,FALSE,"GLC";"glc4",#N/A,FALSE,"GLC";"glc5",#N/A,FALSE,"GLC"}</definedName>
    <definedName name="____wrn222" localSheetId="18" hidden="1">{"glc1",#N/A,FALSE,"GLC";"glc2",#N/A,FALSE,"GLC";"glc3",#N/A,FALSE,"GLC";"glc4",#N/A,FALSE,"GLC";"glc5",#N/A,FALSE,"GLC"}</definedName>
    <definedName name="____wrn222" localSheetId="13" hidden="1">{"glc1",#N/A,FALSE,"GLC";"glc2",#N/A,FALSE,"GLC";"glc3",#N/A,FALSE,"GLC";"glc4",#N/A,FALSE,"GLC";"glc5",#N/A,FALSE,"GLC"}</definedName>
    <definedName name="____wrn222" localSheetId="12" hidden="1">{"glc1",#N/A,FALSE,"GLC";"glc2",#N/A,FALSE,"GLC";"glc3",#N/A,FALSE,"GLC";"glc4",#N/A,FALSE,"GLC";"glc5",#N/A,FALSE,"GLC"}</definedName>
    <definedName name="____wrn222" hidden="1">{"glc1",#N/A,FALSE,"GLC";"glc2",#N/A,FALSE,"GLC";"glc3",#N/A,FALSE,"GLC";"glc4",#N/A,FALSE,"GLC";"glc5",#N/A,FALSE,"GLC"}</definedName>
    <definedName name="___wrn2" localSheetId="0" hidden="1">{"glc1",#N/A,FALSE,"GLC";"glc2",#N/A,FALSE,"GLC";"glc3",#N/A,FALSE,"GLC";"glc4",#N/A,FALSE,"GLC";"glc5",#N/A,FALSE,"GLC"}</definedName>
    <definedName name="___wrn2" localSheetId="10" hidden="1">{"glc1",#N/A,FALSE,"GLC";"glc2",#N/A,FALSE,"GLC";"glc3",#N/A,FALSE,"GLC";"glc4",#N/A,FALSE,"GLC";"glc5",#N/A,FALSE,"GLC"}</definedName>
    <definedName name="___wrn2" localSheetId="17" hidden="1">{"glc1",#N/A,FALSE,"GLC";"glc2",#N/A,FALSE,"GLC";"glc3",#N/A,FALSE,"GLC";"glc4",#N/A,FALSE,"GLC";"glc5",#N/A,FALSE,"GLC"}</definedName>
    <definedName name="___wrn2" localSheetId="18" hidden="1">{"glc1",#N/A,FALSE,"GLC";"glc2",#N/A,FALSE,"GLC";"glc3",#N/A,FALSE,"GLC";"glc4",#N/A,FALSE,"GLC";"glc5",#N/A,FALSE,"GLC"}</definedName>
    <definedName name="___wrn2" localSheetId="13" hidden="1">{"glc1",#N/A,FALSE,"GLC";"glc2",#N/A,FALSE,"GLC";"glc3",#N/A,FALSE,"GLC";"glc4",#N/A,FALSE,"GLC";"glc5",#N/A,FALSE,"GLC"}</definedName>
    <definedName name="___wrn2" localSheetId="12" hidden="1">{"glc1",#N/A,FALSE,"GLC";"glc2",#N/A,FALSE,"GLC";"glc3",#N/A,FALSE,"GLC";"glc4",#N/A,FALSE,"GLC";"glc5",#N/A,FALSE,"GLC"}</definedName>
    <definedName name="___wrn2" hidden="1">{"glc1",#N/A,FALSE,"GLC";"glc2",#N/A,FALSE,"GLC";"glc3",#N/A,FALSE,"GLC";"glc4",#N/A,FALSE,"GLC";"glc5",#N/A,FALSE,"GLC"}</definedName>
    <definedName name="___wrn222" localSheetId="0" hidden="1">{"glc1",#N/A,FALSE,"GLC";"glc2",#N/A,FALSE,"GLC";"glc3",#N/A,FALSE,"GLC";"glc4",#N/A,FALSE,"GLC";"glc5",#N/A,FALSE,"GLC"}</definedName>
    <definedName name="___wrn222" localSheetId="10" hidden="1">{"glc1",#N/A,FALSE,"GLC";"glc2",#N/A,FALSE,"GLC";"glc3",#N/A,FALSE,"GLC";"glc4",#N/A,FALSE,"GLC";"glc5",#N/A,FALSE,"GLC"}</definedName>
    <definedName name="___wrn222" localSheetId="17" hidden="1">{"glc1",#N/A,FALSE,"GLC";"glc2",#N/A,FALSE,"GLC";"glc3",#N/A,FALSE,"GLC";"glc4",#N/A,FALSE,"GLC";"glc5",#N/A,FALSE,"GLC"}</definedName>
    <definedName name="___wrn222" localSheetId="18" hidden="1">{"glc1",#N/A,FALSE,"GLC";"glc2",#N/A,FALSE,"GLC";"glc3",#N/A,FALSE,"GLC";"glc4",#N/A,FALSE,"GLC";"glc5",#N/A,FALSE,"GLC"}</definedName>
    <definedName name="___wrn222" localSheetId="13" hidden="1">{"glc1",#N/A,FALSE,"GLC";"glc2",#N/A,FALSE,"GLC";"glc3",#N/A,FALSE,"GLC";"glc4",#N/A,FALSE,"GLC";"glc5",#N/A,FALSE,"GLC"}</definedName>
    <definedName name="___wrn222" localSheetId="12" hidden="1">{"glc1",#N/A,FALSE,"GLC";"glc2",#N/A,FALSE,"GLC";"glc3",#N/A,FALSE,"GLC";"glc4",#N/A,FALSE,"GLC";"glc5",#N/A,FALSE,"GLC"}</definedName>
    <definedName name="___wrn222" hidden="1">{"glc1",#N/A,FALSE,"GLC";"glc2",#N/A,FALSE,"GLC";"glc3",#N/A,FALSE,"GLC";"glc4",#N/A,FALSE,"GLC";"glc5",#N/A,FALSE,"GLC"}</definedName>
    <definedName name="__IntlFixup" hidden="1">TRUE</definedName>
    <definedName name="__wrn2" localSheetId="0" hidden="1">{"glc1",#N/A,FALSE,"GLC";"glc2",#N/A,FALSE,"GLC";"glc3",#N/A,FALSE,"GLC";"glc4",#N/A,FALSE,"GLC";"glc5",#N/A,FALSE,"GLC"}</definedName>
    <definedName name="__wrn2" localSheetId="10" hidden="1">{"glc1",#N/A,FALSE,"GLC";"glc2",#N/A,FALSE,"GLC";"glc3",#N/A,FALSE,"GLC";"glc4",#N/A,FALSE,"GLC";"glc5",#N/A,FALSE,"GLC"}</definedName>
    <definedName name="__wrn2" localSheetId="17" hidden="1">{"glc1",#N/A,FALSE,"GLC";"glc2",#N/A,FALSE,"GLC";"glc3",#N/A,FALSE,"GLC";"glc4",#N/A,FALSE,"GLC";"glc5",#N/A,FALSE,"GLC"}</definedName>
    <definedName name="__wrn2" localSheetId="18" hidden="1">{"glc1",#N/A,FALSE,"GLC";"glc2",#N/A,FALSE,"GLC";"glc3",#N/A,FALSE,"GLC";"glc4",#N/A,FALSE,"GLC";"glc5",#N/A,FALSE,"GLC"}</definedName>
    <definedName name="__wrn2" localSheetId="13" hidden="1">{"glc1",#N/A,FALSE,"GLC";"glc2",#N/A,FALSE,"GLC";"glc3",#N/A,FALSE,"GLC";"glc4",#N/A,FALSE,"GLC";"glc5",#N/A,FALSE,"GLC"}</definedName>
    <definedName name="__wrn2" localSheetId="12" hidden="1">{"glc1",#N/A,FALSE,"GLC";"glc2",#N/A,FALSE,"GLC";"glc3",#N/A,FALSE,"GLC";"glc4",#N/A,FALSE,"GLC";"glc5",#N/A,FALSE,"GLC"}</definedName>
    <definedName name="__wrn2" hidden="1">{"glc1",#N/A,FALSE,"GLC";"glc2",#N/A,FALSE,"GLC";"glc3",#N/A,FALSE,"GLC";"glc4",#N/A,FALSE,"GLC";"glc5",#N/A,FALSE,"GLC"}</definedName>
    <definedName name="__wrn222" localSheetId="0" hidden="1">{"glc1",#N/A,FALSE,"GLC";"glc2",#N/A,FALSE,"GLC";"glc3",#N/A,FALSE,"GLC";"glc4",#N/A,FALSE,"GLC";"glc5",#N/A,FALSE,"GLC"}</definedName>
    <definedName name="__wrn222" localSheetId="10" hidden="1">{"glc1",#N/A,FALSE,"GLC";"glc2",#N/A,FALSE,"GLC";"glc3",#N/A,FALSE,"GLC";"glc4",#N/A,FALSE,"GLC";"glc5",#N/A,FALSE,"GLC"}</definedName>
    <definedName name="__wrn222" localSheetId="17" hidden="1">{"glc1",#N/A,FALSE,"GLC";"glc2",#N/A,FALSE,"GLC";"glc3",#N/A,FALSE,"GLC";"glc4",#N/A,FALSE,"GLC";"glc5",#N/A,FALSE,"GLC"}</definedName>
    <definedName name="__wrn222" localSheetId="18" hidden="1">{"glc1",#N/A,FALSE,"GLC";"glc2",#N/A,FALSE,"GLC";"glc3",#N/A,FALSE,"GLC";"glc4",#N/A,FALSE,"GLC";"glc5",#N/A,FALSE,"GLC"}</definedName>
    <definedName name="__wrn222" localSheetId="13" hidden="1">{"glc1",#N/A,FALSE,"GLC";"glc2",#N/A,FALSE,"GLC";"glc3",#N/A,FALSE,"GLC";"glc4",#N/A,FALSE,"GLC";"glc5",#N/A,FALSE,"GLC"}</definedName>
    <definedName name="__wrn222" localSheetId="12" hidden="1">{"glc1",#N/A,FALSE,"GLC";"glc2",#N/A,FALSE,"GLC";"glc3",#N/A,FALSE,"GLC";"glc4",#N/A,FALSE,"GLC";"glc5",#N/A,FALSE,"GLC"}</definedName>
    <definedName name="__wrn222" hidden="1">{"glc1",#N/A,FALSE,"GLC";"glc2",#N/A,FALSE,"GLC";"glc3",#N/A,FALSE,"GLC";"glc4",#N/A,FALSE,"GLC";"glc5",#N/A,FALSE,"GLC"}</definedName>
    <definedName name="_1__123Graph_AChart_1A" localSheetId="0" hidden="1">#REF!</definedName>
    <definedName name="_1__123Graph_AChart_1A" localSheetId="10" hidden="1">#REF!</definedName>
    <definedName name="_1__123Graph_AChart_1A" localSheetId="17" hidden="1">#REF!</definedName>
    <definedName name="_1__123Graph_AChart_1A" localSheetId="18" hidden="1">#REF!</definedName>
    <definedName name="_1__123Graph_AChart_1A" localSheetId="13" hidden="1">#REF!</definedName>
    <definedName name="_1__123Graph_AChart_1A" localSheetId="12" hidden="1">#REF!</definedName>
    <definedName name="_1__123Graph_AChart_1A" hidden="1">#REF!</definedName>
    <definedName name="_2__123Graph_ACHART_4" localSheetId="0" hidden="1">#REF!</definedName>
    <definedName name="_2__123Graph_ACHART_4" localSheetId="10" hidden="1">#REF!</definedName>
    <definedName name="_2__123Graph_ACHART_4" localSheetId="13" hidden="1">#REF!</definedName>
    <definedName name="_2__123Graph_ACHART_4" localSheetId="12" hidden="1">#REF!</definedName>
    <definedName name="_2__123Graph_ACHART_4" hidden="1">#REF!</definedName>
    <definedName name="_3__123Graph_BChart_1A" localSheetId="0" hidden="1">#REF!</definedName>
    <definedName name="_3__123Graph_BChart_1A" localSheetId="10" hidden="1">#REF!</definedName>
    <definedName name="_3__123Graph_BChart_1A" localSheetId="13" hidden="1">#REF!</definedName>
    <definedName name="_3__123Graph_BChart_1A" localSheetId="12" hidden="1">#REF!</definedName>
    <definedName name="_3__123Graph_BChart_1A" hidden="1">#REF!</definedName>
    <definedName name="_4__123Graph_XCHART_3" localSheetId="10" hidden="1">#REF!</definedName>
    <definedName name="_4__123Graph_XCHART_3" localSheetId="13" hidden="1">#REF!</definedName>
    <definedName name="_4__123Graph_XCHART_3" localSheetId="12" hidden="1">#REF!</definedName>
    <definedName name="_4__123Graph_XCHART_3" hidden="1">#REF!</definedName>
    <definedName name="_5__123Graph_XCHART_4" localSheetId="10" hidden="1">#REF!</definedName>
    <definedName name="_5__123Graph_XCHART_4" localSheetId="13" hidden="1">#REF!</definedName>
    <definedName name="_5__123Graph_XCHART_4" localSheetId="12" hidden="1">#REF!</definedName>
    <definedName name="_5__123Graph_XCHART_4" hidden="1">#REF!</definedName>
    <definedName name="_Fill" localSheetId="10" hidden="1">#REF!</definedName>
    <definedName name="_Fill" localSheetId="13" hidden="1">#REF!</definedName>
    <definedName name="_Fill" localSheetId="12" hidden="1">#REF!</definedName>
    <definedName name="_Fill" hidden="1">#REF!</definedName>
    <definedName name="_Order1" hidden="1">0</definedName>
    <definedName name="_UNDO_UPS_" localSheetId="10" hidden="1">'[1]ИИ + АТ Ф1'!#REF!</definedName>
    <definedName name="_UNDO_UPS_" localSheetId="13" hidden="1">'[2]ИИ + АТ Ф1'!#REF!</definedName>
    <definedName name="_UNDO_UPS_" localSheetId="12" hidden="1">'[2]ИИ + АТ Ф1'!#REF!</definedName>
    <definedName name="_UNDO_UPS_" hidden="1">'[1]ИИ + АТ Ф1'!#REF!</definedName>
    <definedName name="_UNDO_UPS_SEL_" localSheetId="10" hidden="1">'[1]ИИ + АТ Ф1'!#REF!</definedName>
    <definedName name="_UNDO_UPS_SEL_" localSheetId="13" hidden="1">'[2]ИИ + АТ Ф1'!#REF!</definedName>
    <definedName name="_UNDO_UPS_SEL_" localSheetId="12" hidden="1">'[2]ИИ + АТ Ф1'!#REF!</definedName>
    <definedName name="_UNDO_UPS_SEL_" hidden="1">'[1]ИИ + АТ Ф1'!#REF!</definedName>
    <definedName name="_UNDO31X31X_" localSheetId="10" hidden="1">'[1]ИИ + АТ Ф1'!#REF!</definedName>
    <definedName name="_UNDO31X31X_" localSheetId="13" hidden="1">'[2]ИИ + АТ Ф1'!#REF!</definedName>
    <definedName name="_UNDO31X31X_" localSheetId="12" hidden="1">'[2]ИИ + АТ Ф1'!#REF!</definedName>
    <definedName name="_UNDO31X31X_" hidden="1">'[1]ИИ + АТ Ф1'!#REF!</definedName>
    <definedName name="_wrn2" localSheetId="0" hidden="1">{"glc1",#N/A,FALSE,"GLC";"glc2",#N/A,FALSE,"GLC";"glc3",#N/A,FALSE,"GLC";"glc4",#N/A,FALSE,"GLC";"glc5",#N/A,FALSE,"GLC"}</definedName>
    <definedName name="_wrn2" localSheetId="10" hidden="1">{"glc1",#N/A,FALSE,"GLC";"glc2",#N/A,FALSE,"GLC";"glc3",#N/A,FALSE,"GLC";"glc4",#N/A,FALSE,"GLC";"glc5",#N/A,FALSE,"GLC"}</definedName>
    <definedName name="_wrn2" localSheetId="17" hidden="1">{"glc1",#N/A,FALSE,"GLC";"glc2",#N/A,FALSE,"GLC";"glc3",#N/A,FALSE,"GLC";"glc4",#N/A,FALSE,"GLC";"glc5",#N/A,FALSE,"GLC"}</definedName>
    <definedName name="_wrn2" localSheetId="18" hidden="1">{"glc1",#N/A,FALSE,"GLC";"glc2",#N/A,FALSE,"GLC";"glc3",#N/A,FALSE,"GLC";"glc4",#N/A,FALSE,"GLC";"glc5",#N/A,FALSE,"GLC"}</definedName>
    <definedName name="_wrn2" localSheetId="13" hidden="1">{"glc1",#N/A,FALSE,"GLC";"glc2",#N/A,FALSE,"GLC";"glc3",#N/A,FALSE,"GLC";"glc4",#N/A,FALSE,"GLC";"glc5",#N/A,FALSE,"GLC"}</definedName>
    <definedName name="_wrn2" localSheetId="12" hidden="1">{"glc1",#N/A,FALSE,"GLC";"glc2",#N/A,FALSE,"GLC";"glc3",#N/A,FALSE,"GLC";"glc4",#N/A,FALSE,"GLC";"glc5",#N/A,FALSE,"GLC"}</definedName>
    <definedName name="_wrn2" hidden="1">{"glc1",#N/A,FALSE,"GLC";"glc2",#N/A,FALSE,"GLC";"glc3",#N/A,FALSE,"GLC";"glc4",#N/A,FALSE,"GLC";"glc5",#N/A,FALSE,"GLC"}</definedName>
    <definedName name="_wrn222" localSheetId="0" hidden="1">{"glc1",#N/A,FALSE,"GLC";"glc2",#N/A,FALSE,"GLC";"glc3",#N/A,FALSE,"GLC";"glc4",#N/A,FALSE,"GLC";"glc5",#N/A,FALSE,"GLC"}</definedName>
    <definedName name="_wrn222" localSheetId="10" hidden="1">{"glc1",#N/A,FALSE,"GLC";"glc2",#N/A,FALSE,"GLC";"glc3",#N/A,FALSE,"GLC";"glc4",#N/A,FALSE,"GLC";"glc5",#N/A,FALSE,"GLC"}</definedName>
    <definedName name="_wrn222" localSheetId="17" hidden="1">{"glc1",#N/A,FALSE,"GLC";"glc2",#N/A,FALSE,"GLC";"glc3",#N/A,FALSE,"GLC";"glc4",#N/A,FALSE,"GLC";"glc5",#N/A,FALSE,"GLC"}</definedName>
    <definedName name="_wrn222" localSheetId="18" hidden="1">{"glc1",#N/A,FALSE,"GLC";"glc2",#N/A,FALSE,"GLC";"glc3",#N/A,FALSE,"GLC";"glc4",#N/A,FALSE,"GLC";"glc5",#N/A,FALSE,"GLC"}</definedName>
    <definedName name="_wrn222" localSheetId="13" hidden="1">{"glc1",#N/A,FALSE,"GLC";"glc2",#N/A,FALSE,"GLC";"glc3",#N/A,FALSE,"GLC";"glc4",#N/A,FALSE,"GLC";"glc5",#N/A,FALSE,"GLC"}</definedName>
    <definedName name="_wrn222" localSheetId="12" hidden="1">{"glc1",#N/A,FALSE,"GLC";"glc2",#N/A,FALSE,"GLC";"glc3",#N/A,FALSE,"GLC";"glc4",#N/A,FALSE,"GLC";"glc5",#N/A,FALSE,"GLC"}</definedName>
    <definedName name="_wrn222" hidden="1">{"glc1",#N/A,FALSE,"GLC";"glc2",#N/A,FALSE,"GLC";"glc3",#N/A,FALSE,"GLC";"glc4",#N/A,FALSE,"GLC";"glc5",#N/A,FALSE,"GLC"}</definedName>
    <definedName name="_xlchart.v1.0" hidden="1">'For Pres'!$C$348:$C$353</definedName>
    <definedName name="_xlchart.v1.1" hidden="1">'For Pres'!$F$348:$F$353</definedName>
    <definedName name="аудит" localSheetId="0">#REF!</definedName>
    <definedName name="аудит" localSheetId="23">#REF!</definedName>
    <definedName name="аудит" localSheetId="13">#REF!</definedName>
    <definedName name="аудит" localSheetId="12">#REF!</definedName>
    <definedName name="аудит">#REF!</definedName>
    <definedName name="вввввввв" localSheetId="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8"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с" localSheetId="0" hidden="1">{#N/A,#N/A,FALSE,"Aging Summary";#N/A,#N/A,FALSE,"Ratio Analysis";#N/A,#N/A,FALSE,"Test 120 Day Accts";#N/A,#N/A,FALSE,"Tickmarks"}</definedName>
    <definedName name="вс" localSheetId="10" hidden="1">{#N/A,#N/A,FALSE,"Aging Summary";#N/A,#N/A,FALSE,"Ratio Analysis";#N/A,#N/A,FALSE,"Test 120 Day Accts";#N/A,#N/A,FALSE,"Tickmarks"}</definedName>
    <definedName name="вс" localSheetId="17" hidden="1">{#N/A,#N/A,FALSE,"Aging Summary";#N/A,#N/A,FALSE,"Ratio Analysis";#N/A,#N/A,FALSE,"Test 120 Day Accts";#N/A,#N/A,FALSE,"Tickmarks"}</definedName>
    <definedName name="вс" localSheetId="18" hidden="1">{#N/A,#N/A,FALSE,"Aging Summary";#N/A,#N/A,FALSE,"Ratio Analysis";#N/A,#N/A,FALSE,"Test 120 Day Accts";#N/A,#N/A,FALSE,"Tickmarks"}</definedName>
    <definedName name="вс" localSheetId="13" hidden="1">{#N/A,#N/A,FALSE,"Aging Summary";#N/A,#N/A,FALSE,"Ratio Analysis";#N/A,#N/A,FALSE,"Test 120 Day Accts";#N/A,#N/A,FALSE,"Tickmarks"}</definedName>
    <definedName name="вс" localSheetId="12" hidden="1">{#N/A,#N/A,FALSE,"Aging Summary";#N/A,#N/A,FALSE,"Ratio Analysis";#N/A,#N/A,FALSE,"Test 120 Day Accts";#N/A,#N/A,FALSE,"Tickmarks"}</definedName>
    <definedName name="вс" hidden="1">{#N/A,#N/A,FALSE,"Aging Summary";#N/A,#N/A,FALSE,"Ratio Analysis";#N/A,#N/A,FALSE,"Test 120 Day Accts";#N/A,#N/A,FALSE,"Tickmarks"}</definedName>
    <definedName name="год_мсфо">'[3]Фин отчетность МСФО'!$D$14</definedName>
    <definedName name="Долги" localSheetId="23">#REF!</definedName>
    <definedName name="Долги" localSheetId="10">#REF!</definedName>
    <definedName name="Долги" localSheetId="17">#REF!</definedName>
    <definedName name="Долги" localSheetId="18">#REF!</definedName>
    <definedName name="Долги" localSheetId="13">#REF!</definedName>
    <definedName name="Долги" localSheetId="12">#REF!</definedName>
    <definedName name="Долги">#REF!</definedName>
    <definedName name="долги2" localSheetId="23">#REF!</definedName>
    <definedName name="долги2" localSheetId="10">#REF!</definedName>
    <definedName name="долги2" localSheetId="17">#REF!</definedName>
    <definedName name="долги2" localSheetId="18">#REF!</definedName>
    <definedName name="долги2" localSheetId="13">#REF!</definedName>
    <definedName name="долги2" localSheetId="12">#REF!</definedName>
    <definedName name="долги2">#REF!</definedName>
    <definedName name="Квартал_мсфо">'[3]Фин отчетность МСФО'!$C$14</definedName>
    <definedName name="Конс2" hidden="1">{"glc1",#N/A,FALSE,"GLC";"glc2",#N/A,FALSE,"GLC";"glc3",#N/A,FALSE,"GLC";"glc4",#N/A,FALSE,"GLC";"glc5",#N/A,FALSE,"GLC"}</definedName>
    <definedName name="Лиц" localSheetId="23">#REF!</definedName>
    <definedName name="Лиц" localSheetId="10">#REF!</definedName>
    <definedName name="Лиц" localSheetId="17">#REF!</definedName>
    <definedName name="Лиц" localSheetId="18">#REF!</definedName>
    <definedName name="Лиц" localSheetId="13">#REF!</definedName>
    <definedName name="Лиц" localSheetId="12">#REF!</definedName>
    <definedName name="Лиц">#REF!</definedName>
    <definedName name="ннн" hidden="1">#REF!</definedName>
    <definedName name="_xlnm.Print_Area" localSheetId="23">'ИИ _График погашения осн долг_'!$C$2:$L$39</definedName>
    <definedName name="_xlnm.Print_Area" localSheetId="14">Интеринвест!$A$1:$AM$24</definedName>
    <definedName name="_xlnm.Print_Area" localSheetId="10">'Консолидация '!$A$1:$Q$77</definedName>
    <definedName name="_xlnm.Print_Area" localSheetId="15">Новозаведенское!$A$1:$AK$96</definedName>
    <definedName name="_xlnm.Print_Area" localSheetId="17">'Продажи_ИИ 16-1кв20'!$A$3:$U$95</definedName>
    <definedName name="_xlnm.Print_Area" localSheetId="18">'Продажи_НЗ 16-1кв20'!$A$3:$U$95</definedName>
    <definedName name="_xlnm.Print_Area" localSheetId="13">'Financial Model'!$B$1:$M$54</definedName>
    <definedName name="_xlnm.Print_Area" localSheetId="12">'Financial Model_Quarter'!$B$1:$AK$89</definedName>
    <definedName name="папа" localSheetId="0" hidden="1">{"konoplin - Личное представление",#N/A,TRUE,"ФинПлан_1кв";"konoplin - Личное представление",#N/A,TRUE,"ФинПлан_2кв"}</definedName>
    <definedName name="папа" localSheetId="10" hidden="1">{"konoplin - Личное представление",#N/A,TRUE,"ФинПлан_1кв";"konoplin - Личное представление",#N/A,TRUE,"ФинПлан_2кв"}</definedName>
    <definedName name="папа" localSheetId="17" hidden="1">{"konoplin - Личное представление",#N/A,TRUE,"ФинПлан_1кв";"konoplin - Личное представление",#N/A,TRUE,"ФинПлан_2кв"}</definedName>
    <definedName name="папа" localSheetId="18" hidden="1">{"konoplin - Личное представление",#N/A,TRUE,"ФинПлан_1кв";"konoplin - Личное представление",#N/A,TRUE,"ФинПлан_2кв"}</definedName>
    <definedName name="папа" localSheetId="13" hidden="1">{"konoplin - Личное представление",#N/A,TRUE,"ФинПлан_1кв";"konoplin - Личное представление",#N/A,TRUE,"ФинПлан_2кв"}</definedName>
    <definedName name="папа" localSheetId="12"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Рестр" localSheetId="23">#REF!</definedName>
    <definedName name="Рестр" localSheetId="10">#REF!</definedName>
    <definedName name="Рестр" localSheetId="17">#REF!</definedName>
    <definedName name="Рестр" localSheetId="18">#REF!</definedName>
    <definedName name="Рестр" localSheetId="13">#REF!</definedName>
    <definedName name="Рестр" localSheetId="12">#REF!</definedName>
    <definedName name="Рестр">#REF!</definedName>
    <definedName name="Учред" localSheetId="23">#REF!</definedName>
    <definedName name="Учред" localSheetId="10">#REF!</definedName>
    <definedName name="Учред" localSheetId="17">#REF!</definedName>
    <definedName name="Учред" localSheetId="18">#REF!</definedName>
    <definedName name="Учред" localSheetId="13">#REF!</definedName>
    <definedName name="Учред" localSheetId="12">#REF!</definedName>
    <definedName name="Учред">#REF!</definedName>
    <definedName name="ф" localSheetId="0" hidden="1">{"konoplin - Личное представление",#N/A,TRUE,"ФинПлан_1кв";"konoplin - Личное представление",#N/A,TRUE,"ФинПлан_2кв"}</definedName>
    <definedName name="ф" localSheetId="10" hidden="1">{"konoplin - Личное представление",#N/A,TRUE,"ФинПлан_1кв";"konoplin - Личное представление",#N/A,TRUE,"ФинПлан_2кв"}</definedName>
    <definedName name="ф" localSheetId="17" hidden="1">{"konoplin - Личное представление",#N/A,TRUE,"ФинПлан_1кв";"konoplin - Личное представление",#N/A,TRUE,"ФинПлан_2кв"}</definedName>
    <definedName name="ф" localSheetId="18" hidden="1">{"konoplin - Личное представление",#N/A,TRUE,"ФинПлан_1кв";"konoplin - Личное представление",#N/A,TRUE,"ФинПлан_2кв"}</definedName>
    <definedName name="ф" localSheetId="13" hidden="1">{"konoplin - Личное представление",#N/A,TRUE,"ФинПлан_1кв";"konoplin - Личное представление",#N/A,TRUE,"ФинПлан_2кв"}</definedName>
    <definedName name="ф" localSheetId="12"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ЦБ" localSheetId="23">#REF!</definedName>
    <definedName name="ЦБ" localSheetId="10">#REF!</definedName>
    <definedName name="ЦБ" localSheetId="17">#REF!</definedName>
    <definedName name="ЦБ" localSheetId="18">#REF!</definedName>
    <definedName name="ЦБ" localSheetId="13">#REF!</definedName>
    <definedName name="ЦБ" localSheetId="12">#REF!</definedName>
    <definedName name="ЦБ">#REF!</definedName>
    <definedName name="цццццццц" localSheetId="0" hidden="1">#REF!</definedName>
    <definedName name="цццццццц" localSheetId="10" hidden="1">#REF!</definedName>
    <definedName name="цццццццц" localSheetId="17" hidden="1">#REF!</definedName>
    <definedName name="цццццццц" localSheetId="18" hidden="1">#REF!</definedName>
    <definedName name="цццццццц" localSheetId="13" hidden="1">#REF!</definedName>
    <definedName name="цццццццц" localSheetId="12" hidden="1">#REF!</definedName>
    <definedName name="цццццццц" hidden="1">#REF!</definedName>
    <definedName name="aaa" localSheetId="10" hidden="1">{#N/A,#N/A,FALSE,"REC";#N/A,#N/A,FALSE,"ASSETS";#N/A,#N/A,FALSE,"LIABILITIES";#N/A,#N/A,FALSE,"P&amp;L";#N/A,#N/A,FALSE,"FUNDS";#N/A,#N/A,FALSE,"CASH";#N/A,#N/A,FALSE,"1,2";#N/A,#N/A,FALSE,"3";#N/A,#N/A,FALSE,"4";#N/A,#N/A,FALSE,"5,6,7";#N/A,#N/A,FALSE,"8,9"}</definedName>
    <definedName name="aaa" localSheetId="17" hidden="1">{#N/A,#N/A,FALSE,"REC";#N/A,#N/A,FALSE,"ASSETS";#N/A,#N/A,FALSE,"LIABILITIES";#N/A,#N/A,FALSE,"P&amp;L";#N/A,#N/A,FALSE,"FUNDS";#N/A,#N/A,FALSE,"CASH";#N/A,#N/A,FALSE,"1,2";#N/A,#N/A,FALSE,"3";#N/A,#N/A,FALSE,"4";#N/A,#N/A,FALSE,"5,6,7";#N/A,#N/A,FALSE,"8,9"}</definedName>
    <definedName name="aaa" localSheetId="18" hidden="1">{#N/A,#N/A,FALSE,"REC";#N/A,#N/A,FALSE,"ASSETS";#N/A,#N/A,FALSE,"LIABILITIES";#N/A,#N/A,FALSE,"P&amp;L";#N/A,#N/A,FALSE,"FUNDS";#N/A,#N/A,FALSE,"CASH";#N/A,#N/A,FALSE,"1,2";#N/A,#N/A,FALSE,"3";#N/A,#N/A,FALSE,"4";#N/A,#N/A,FALSE,"5,6,7";#N/A,#N/A,FALSE,"8,9"}</definedName>
    <definedName name="aaa" localSheetId="13" hidden="1">{#N/A,#N/A,FALSE,"REC";#N/A,#N/A,FALSE,"ASSETS";#N/A,#N/A,FALSE,"LIABILITIES";#N/A,#N/A,FALSE,"P&amp;L";#N/A,#N/A,FALSE,"FUNDS";#N/A,#N/A,FALSE,"CASH";#N/A,#N/A,FALSE,"1,2";#N/A,#N/A,FALSE,"3";#N/A,#N/A,FALSE,"4";#N/A,#N/A,FALSE,"5,6,7";#N/A,#N/A,FALSE,"8,9"}</definedName>
    <definedName name="aaa" localSheetId="12" hidden="1">{#N/A,#N/A,FALSE,"REC";#N/A,#N/A,FALSE,"ASSETS";#N/A,#N/A,FALSE,"LIABILITIES";#N/A,#N/A,FALSE,"P&amp;L";#N/A,#N/A,FALSE,"FUNDS";#N/A,#N/A,FALSE,"CASH";#N/A,#N/A,FALSE,"1,2";#N/A,#N/A,FALSE,"3";#N/A,#N/A,FALSE,"4";#N/A,#N/A,FALSE,"5,6,7";#N/A,#N/A,FALSE,"8,9"}</definedName>
    <definedName name="aaa" hidden="1">{#N/A,#N/A,FALSE,"REC";#N/A,#N/A,FALSE,"ASSETS";#N/A,#N/A,FALSE,"LIABILITIES";#N/A,#N/A,FALSE,"P&amp;L";#N/A,#N/A,FALSE,"FUNDS";#N/A,#N/A,FALSE,"CASH";#N/A,#N/A,FALSE,"1,2";#N/A,#N/A,FALSE,"3";#N/A,#N/A,FALSE,"4";#N/A,#N/A,FALSE,"5,6,7";#N/A,#N/A,FALSE,"8,9"}</definedName>
    <definedName name="aaaaaaaa" localSheetId="0" hidden="1">#REF!</definedName>
    <definedName name="aaaaaaaa" localSheetId="10" hidden="1">#REF!</definedName>
    <definedName name="aaaaaaaa" localSheetId="17" hidden="1">#REF!</definedName>
    <definedName name="aaaaaaaa" localSheetId="18" hidden="1">#REF!</definedName>
    <definedName name="aaaaaaaa" localSheetId="13" hidden="1">#REF!</definedName>
    <definedName name="aaaaaaaa" localSheetId="12" hidden="1">#REF!</definedName>
    <definedName name="aaaaaaaa" hidden="1">#REF!</definedName>
    <definedName name="aaaaaaaaa" localSheetId="0" hidden="1">#REF!</definedName>
    <definedName name="aaaaaaaaa" localSheetId="10" hidden="1">#REF!</definedName>
    <definedName name="aaaaaaaaa" localSheetId="13" hidden="1">#REF!</definedName>
    <definedName name="aaaaaaaaa" localSheetId="12" hidden="1">#REF!</definedName>
    <definedName name="aaaaaaaaa" hidden="1">#REF!</definedName>
    <definedName name="aaaaaaaaaaa" localSheetId="0" hidden="1">#REF!</definedName>
    <definedName name="aaaaaaaaaaa" localSheetId="10" hidden="1">#REF!</definedName>
    <definedName name="aaaaaaaaaaa" localSheetId="13" hidden="1">#REF!</definedName>
    <definedName name="aaaaaaaaaaa" localSheetId="12" hidden="1">#REF!</definedName>
    <definedName name="aaaaaaaaaaa" hidden="1">#REF!</definedName>
    <definedName name="aaaaaaaaaaa2" localSheetId="10" hidden="1">#REF!</definedName>
    <definedName name="aaaaaaaaaaa2" localSheetId="13" hidden="1">#REF!</definedName>
    <definedName name="aaaaaaaaaaa2" localSheetId="12" hidden="1">#REF!</definedName>
    <definedName name="aaaaaaaaaaa2" hidden="1">#REF!</definedName>
    <definedName name="aaaaaaaaaaaaa" localSheetId="10" hidden="1">#REF!</definedName>
    <definedName name="aaaaaaaaaaaaa" localSheetId="13" hidden="1">#REF!</definedName>
    <definedName name="aaaaaaaaaaaaa" localSheetId="12" hidden="1">#REF!</definedName>
    <definedName name="aaaaaaaaaaaaa" hidden="1">#REF!</definedName>
    <definedName name="abs" localSheetId="10" hidden="1">{#N/A,#N/A,FALSE,"REC";#N/A,#N/A,FALSE,"ASSETS";#N/A,#N/A,FALSE,"LIABILITIES";#N/A,#N/A,FALSE,"P&amp;L";#N/A,#N/A,FALSE,"FUNDS";#N/A,#N/A,FALSE,"CASH";#N/A,#N/A,FALSE,"1,2";#N/A,#N/A,FALSE,"3";#N/A,#N/A,FALSE,"4";#N/A,#N/A,FALSE,"5,6,7";#N/A,#N/A,FALSE,"8,9"}</definedName>
    <definedName name="abs" localSheetId="17" hidden="1">{#N/A,#N/A,FALSE,"REC";#N/A,#N/A,FALSE,"ASSETS";#N/A,#N/A,FALSE,"LIABILITIES";#N/A,#N/A,FALSE,"P&amp;L";#N/A,#N/A,FALSE,"FUNDS";#N/A,#N/A,FALSE,"CASH";#N/A,#N/A,FALSE,"1,2";#N/A,#N/A,FALSE,"3";#N/A,#N/A,FALSE,"4";#N/A,#N/A,FALSE,"5,6,7";#N/A,#N/A,FALSE,"8,9"}</definedName>
    <definedName name="abs" localSheetId="18" hidden="1">{#N/A,#N/A,FALSE,"REC";#N/A,#N/A,FALSE,"ASSETS";#N/A,#N/A,FALSE,"LIABILITIES";#N/A,#N/A,FALSE,"P&amp;L";#N/A,#N/A,FALSE,"FUNDS";#N/A,#N/A,FALSE,"CASH";#N/A,#N/A,FALSE,"1,2";#N/A,#N/A,FALSE,"3";#N/A,#N/A,FALSE,"4";#N/A,#N/A,FALSE,"5,6,7";#N/A,#N/A,FALSE,"8,9"}</definedName>
    <definedName name="abs" localSheetId="13" hidden="1">{#N/A,#N/A,FALSE,"REC";#N/A,#N/A,FALSE,"ASSETS";#N/A,#N/A,FALSE,"LIABILITIES";#N/A,#N/A,FALSE,"P&amp;L";#N/A,#N/A,FALSE,"FUNDS";#N/A,#N/A,FALSE,"CASH";#N/A,#N/A,FALSE,"1,2";#N/A,#N/A,FALSE,"3";#N/A,#N/A,FALSE,"4";#N/A,#N/A,FALSE,"5,6,7";#N/A,#N/A,FALSE,"8,9"}</definedName>
    <definedName name="abs" localSheetId="12" hidden="1">{#N/A,#N/A,FALSE,"REC";#N/A,#N/A,FALSE,"ASSETS";#N/A,#N/A,FALSE,"LIABILITIES";#N/A,#N/A,FALSE,"P&amp;L";#N/A,#N/A,FALSE,"FUNDS";#N/A,#N/A,FALSE,"CASH";#N/A,#N/A,FALSE,"1,2";#N/A,#N/A,FALSE,"3";#N/A,#N/A,FALSE,"4";#N/A,#N/A,FALSE,"5,6,7";#N/A,#N/A,FALSE,"8,9"}</definedName>
    <definedName name="abs" hidden="1">{#N/A,#N/A,FALSE,"REC";#N/A,#N/A,FALSE,"ASSETS";#N/A,#N/A,FALSE,"LIABILITIES";#N/A,#N/A,FALSE,"P&amp;L";#N/A,#N/A,FALSE,"FUNDS";#N/A,#N/A,FALSE,"CASH";#N/A,#N/A,FALSE,"1,2";#N/A,#N/A,FALSE,"3";#N/A,#N/A,FALSE,"4";#N/A,#N/A,FALSE,"5,6,7";#N/A,#N/A,FALSE,"8,9"}</definedName>
    <definedName name="AccessDatabase" hidden="1">"C:\My Documents\vlad\Var_2\can270398v2t05.mdb"</definedName>
    <definedName name="anscount" hidden="1">1</definedName>
    <definedName name="AS2DocOpenMode" hidden="1">"AS2DocumentEdit"</definedName>
    <definedName name="base_currency_2">'[4]1.2.1'!$H$270</definedName>
    <definedName name="BEx3O85IKWARA6NCJOLRBRJFMEWW" localSheetId="0" hidden="1">[5]Balance_sheet!#REF!</definedName>
    <definedName name="BEx3O85IKWARA6NCJOLRBRJFMEWW" localSheetId="10" hidden="1">[5]Balance_sheet!#REF!</definedName>
    <definedName name="BEx3O85IKWARA6NCJOLRBRJFMEWW" localSheetId="17" hidden="1">[5]Balance_sheet!#REF!</definedName>
    <definedName name="BEx3O85IKWARA6NCJOLRBRJFMEWW" localSheetId="18" hidden="1">[5]Balance_sheet!#REF!</definedName>
    <definedName name="BEx3O85IKWARA6NCJOLRBRJFMEWW" localSheetId="13" hidden="1">[5]Balance_sheet!#REF!</definedName>
    <definedName name="BEx3O85IKWARA6NCJOLRBRJFMEWW" localSheetId="12" hidden="1">[5]Balance_sheet!#REF!</definedName>
    <definedName name="BEx3O85IKWARA6NCJOLRBRJFMEWW" hidden="1">[5]Balance_sheet!#REF!</definedName>
    <definedName name="BEx5MLQZM68YQSKARVWTTPINFQ2C" localSheetId="0" hidden="1">[5]Balance_sheet!#REF!</definedName>
    <definedName name="BEx5MLQZM68YQSKARVWTTPINFQ2C" localSheetId="10" hidden="1">[5]Balance_sheet!#REF!</definedName>
    <definedName name="BEx5MLQZM68YQSKARVWTTPINFQ2C" localSheetId="17" hidden="1">[5]Balance_sheet!#REF!</definedName>
    <definedName name="BEx5MLQZM68YQSKARVWTTPINFQ2C" localSheetId="18" hidden="1">[5]Balance_sheet!#REF!</definedName>
    <definedName name="BEx5MLQZM68YQSKARVWTTPINFQ2C" localSheetId="13" hidden="1">[5]Balance_sheet!#REF!</definedName>
    <definedName name="BEx5MLQZM68YQSKARVWTTPINFQ2C" localSheetId="12" hidden="1">[5]Balance_sheet!#REF!</definedName>
    <definedName name="BEx5MLQZM68YQSKARVWTTPINFQ2C" hidden="1">[5]Balance_sheet!#REF!</definedName>
    <definedName name="BExERWCEBKQRYWRQLYJ4UCMMKTHG" localSheetId="0" hidden="1">[5]Balance_sheet!#REF!</definedName>
    <definedName name="BExERWCEBKQRYWRQLYJ4UCMMKTHG" localSheetId="10" hidden="1">[5]Balance_sheet!#REF!</definedName>
    <definedName name="BExERWCEBKQRYWRQLYJ4UCMMKTHG" localSheetId="13" hidden="1">[5]Balance_sheet!#REF!</definedName>
    <definedName name="BExERWCEBKQRYWRQLYJ4UCMMKTHG" localSheetId="12" hidden="1">[5]Balance_sheet!#REF!</definedName>
    <definedName name="BExERWCEBKQRYWRQLYJ4UCMMKTHG" hidden="1">[5]Balance_sheet!#REF!</definedName>
    <definedName name="BExMBYPQDG9AYDQ5E8IECVFREPO6" localSheetId="0" hidden="1">[5]Balance_sheet!#REF!</definedName>
    <definedName name="BExMBYPQDG9AYDQ5E8IECVFREPO6" localSheetId="10" hidden="1">[5]Balance_sheet!#REF!</definedName>
    <definedName name="BExMBYPQDG9AYDQ5E8IECVFREPO6" localSheetId="13" hidden="1">[5]Balance_sheet!#REF!</definedName>
    <definedName name="BExMBYPQDG9AYDQ5E8IECVFREPO6" localSheetId="12" hidden="1">[5]Balance_sheet!#REF!</definedName>
    <definedName name="BExMBYPQDG9AYDQ5E8IECVFREPO6" hidden="1">[5]Balance_sheet!#REF!</definedName>
    <definedName name="BExQ9ZLYHWABXAA9NJDW8ZS0UQ9P" localSheetId="0" hidden="1">[5]Balance_sheet!#REF!</definedName>
    <definedName name="BExQ9ZLYHWABXAA9NJDW8ZS0UQ9P" localSheetId="10" hidden="1">[5]Balance_sheet!#REF!</definedName>
    <definedName name="BExQ9ZLYHWABXAA9NJDW8ZS0UQ9P" localSheetId="13" hidden="1">[5]Balance_sheet!#REF!</definedName>
    <definedName name="BExQ9ZLYHWABXAA9NJDW8ZS0UQ9P" localSheetId="12" hidden="1">[5]Balance_sheet!#REF!</definedName>
    <definedName name="BExQ9ZLYHWABXAA9NJDW8ZS0UQ9P" hidden="1">[5]Balance_sheet!#REF!</definedName>
    <definedName name="BExTUY9WNSJ91GV8CP0SKJTEIV82" localSheetId="10" hidden="1">[5]Balance_sheet!#REF!</definedName>
    <definedName name="BExTUY9WNSJ91GV8CP0SKJTEIV82" localSheetId="13" hidden="1">[5]Balance_sheet!#REF!</definedName>
    <definedName name="BExTUY9WNSJ91GV8CP0SKJTEIV82" localSheetId="12" hidden="1">[5]Balance_sheet!#REF!</definedName>
    <definedName name="BExTUY9WNSJ91GV8CP0SKJTEIV82" hidden="1">[5]Balance_sheet!#REF!</definedName>
    <definedName name="BLPH1" hidden="1">'[6]Read me first'!$D$15</definedName>
    <definedName name="BLPH13" localSheetId="0" hidden="1">'[7]Oil&amp;Gas'!#REF!</definedName>
    <definedName name="BLPH13" localSheetId="10" hidden="1">'[7]Oil&amp;Gas'!#REF!</definedName>
    <definedName name="BLPH13" localSheetId="17" hidden="1">'[7]Oil&amp;Gas'!#REF!</definedName>
    <definedName name="BLPH13" localSheetId="18" hidden="1">'[7]Oil&amp;Gas'!#REF!</definedName>
    <definedName name="BLPH13" localSheetId="13" hidden="1">'[7]Oil&amp;Gas'!#REF!</definedName>
    <definedName name="BLPH13" localSheetId="12" hidden="1">'[7]Oil&amp;Gas'!#REF!</definedName>
    <definedName name="BLPH13" hidden="1">'[7]Oil&amp;Gas'!#REF!</definedName>
    <definedName name="BLPH14" localSheetId="0" hidden="1">'[7]Oil&amp;Gas'!#REF!</definedName>
    <definedName name="BLPH14" localSheetId="10" hidden="1">'[7]Oil&amp;Gas'!#REF!</definedName>
    <definedName name="BLPH14" localSheetId="17" hidden="1">'[7]Oil&amp;Gas'!#REF!</definedName>
    <definedName name="BLPH14" localSheetId="18" hidden="1">'[7]Oil&amp;Gas'!#REF!</definedName>
    <definedName name="BLPH14" localSheetId="13" hidden="1">'[7]Oil&amp;Gas'!#REF!</definedName>
    <definedName name="BLPH14" localSheetId="12" hidden="1">'[7]Oil&amp;Gas'!#REF!</definedName>
    <definedName name="BLPH14" hidden="1">'[7]Oil&amp;Gas'!#REF!</definedName>
    <definedName name="BLPH15" localSheetId="0" hidden="1">'[7]Oil&amp;Gas'!#REF!</definedName>
    <definedName name="BLPH15" localSheetId="10" hidden="1">'[7]Oil&amp;Gas'!#REF!</definedName>
    <definedName name="BLPH15" localSheetId="13" hidden="1">'[7]Oil&amp;Gas'!#REF!</definedName>
    <definedName name="BLPH15" localSheetId="12" hidden="1">'[7]Oil&amp;Gas'!#REF!</definedName>
    <definedName name="BLPH15" hidden="1">'[7]Oil&amp;Gas'!#REF!</definedName>
    <definedName name="BLPH16" localSheetId="0" hidden="1">'[7]Oil&amp;Gas'!#REF!</definedName>
    <definedName name="BLPH16" localSheetId="10" hidden="1">'[7]Oil&amp;Gas'!#REF!</definedName>
    <definedName name="BLPH16" localSheetId="13" hidden="1">'[7]Oil&amp;Gas'!#REF!</definedName>
    <definedName name="BLPH16" localSheetId="12" hidden="1">'[7]Oil&amp;Gas'!#REF!</definedName>
    <definedName name="BLPH16" hidden="1">'[7]Oil&amp;Gas'!#REF!</definedName>
    <definedName name="BLPH17" localSheetId="10" hidden="1">'[7]Oil&amp;Gas'!#REF!</definedName>
    <definedName name="BLPH17" localSheetId="13" hidden="1">'[7]Oil&amp;Gas'!#REF!</definedName>
    <definedName name="BLPH17" localSheetId="12" hidden="1">'[7]Oil&amp;Gas'!#REF!</definedName>
    <definedName name="BLPH17" hidden="1">'[7]Oil&amp;Gas'!#REF!</definedName>
    <definedName name="BLPH18" localSheetId="10" hidden="1">'[7]Oil&amp;Gas'!#REF!</definedName>
    <definedName name="BLPH18" localSheetId="13" hidden="1">'[7]Oil&amp;Gas'!#REF!</definedName>
    <definedName name="BLPH18" localSheetId="12" hidden="1">'[7]Oil&amp;Gas'!#REF!</definedName>
    <definedName name="BLPH18" hidden="1">'[7]Oil&amp;Gas'!#REF!</definedName>
    <definedName name="BLPH2" hidden="1">'[6]Read me first'!$Z$15</definedName>
    <definedName name="Currencies">[3]Предпосылки!$B$611:$B$613</definedName>
    <definedName name="Date_factIFRS">'[3]Фин отчетность МСФО'!$Q$15</definedName>
    <definedName name="Date_shiftIFRS">'[3]Фин отчетность МСФО'!$R$15</definedName>
    <definedName name="dddddd" localSheetId="0" hidden="1">#REF!</definedName>
    <definedName name="dddddd" localSheetId="10" hidden="1">#REF!</definedName>
    <definedName name="dddddd" localSheetId="17" hidden="1">#REF!</definedName>
    <definedName name="dddddd" localSheetId="18" hidden="1">#REF!</definedName>
    <definedName name="dddddd" localSheetId="13" hidden="1">#REF!</definedName>
    <definedName name="dddddd" localSheetId="12" hidden="1">#REF!</definedName>
    <definedName name="dddddd" hidden="1">#REF!</definedName>
    <definedName name="ddddddd" localSheetId="0" hidden="1">#REF!</definedName>
    <definedName name="ddddddd" localSheetId="10" hidden="1">#REF!</definedName>
    <definedName name="ddddddd" localSheetId="13" hidden="1">#REF!</definedName>
    <definedName name="ddddddd" localSheetId="12" hidden="1">#REF!</definedName>
    <definedName name="ddddddd" hidden="1">#REF!</definedName>
    <definedName name="ddddddddddd" localSheetId="0" hidden="1">#REF!</definedName>
    <definedName name="ddddddddddd" localSheetId="10" hidden="1">#REF!</definedName>
    <definedName name="ddddddddddd" localSheetId="13" hidden="1">#REF!</definedName>
    <definedName name="ddddddddddd" localSheetId="12" hidden="1">#REF!</definedName>
    <definedName name="ddddddddddd" hidden="1">#REF!</definedName>
    <definedName name="DME" localSheetId="10" hidden="1">#REF!</definedName>
    <definedName name="DME" localSheetId="13" hidden="1">#REF!</definedName>
    <definedName name="DME" localSheetId="12" hidden="1">#REF!</definedName>
    <definedName name="DME" hidden="1">#REF!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OVER_SHARES" hidden="1">"c1349"</definedName>
    <definedName name="IQ_BV_SHARE" hidden="1">"c100"</definedName>
    <definedName name="IQ_BV_SHARE_ACT_OR_EST_THOM" hidden="1">"c5312"</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THOM" hidden="1">"c5546"</definedName>
    <definedName name="IQ_CAPEX_BNK" hidden="1">"c110"</definedName>
    <definedName name="IQ_CAPEX_BR" hidden="1">"c111"</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_THOM" hidden="1">"c5646"</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THOM" hidden="1">"c5301"</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THOM" hidden="1">"c5302"</definedName>
    <definedName name="IQ_DPS_EST" hidden="1">"c1674"</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THOM" hidden="1">"c5303"</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EST_REUT" hidden="1">"c5389"</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EST" hidden="1">"c1744"</definedName>
    <definedName name="IQ_EPS_REPORTED_EST_BOTTOM_UP_CIQ" hidden="1">"c12029"</definedName>
    <definedName name="IQ_EPS_REPORTED_EST_CIQ" hidden="1">"c4730"</definedName>
    <definedName name="IQ_EPS_REPORTED_EST_REUT" hidden="1">"c5396"</definedName>
    <definedName name="IQ_EPS_REPORTED_EST_THOM" hidden="1">"c5140"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 hidden="1">"c4376"</definedName>
    <definedName name="IQ_EPS_SBC_ACT_OR_EST_CIQ" hidden="1">"c4901"</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FPS" hidden="1">"c1673"</definedName>
    <definedName name="IQ_EST_ACT_CFPS_THOM" hidden="1">"c4012"</definedName>
    <definedName name="IQ_EST_ACT_DPS" hidden="1">"c1680"</definedName>
    <definedName name="IQ_EST_ACT_DPS_THOM" hidden="1">"c4019"</definedName>
    <definedName name="IQ_EST_ACT_EBIT" hidden="1">"c1687"</definedName>
    <definedName name="IQ_EST_ACT_EBIT_THOM" hidden="1">"c5111"</definedName>
    <definedName name="IQ_EST_ACT_EBITDA" hidden="1">"c1664"</definedName>
    <definedName name="IQ_EST_ACT_EBITDA_CIQ" hidden="1">"c3667"</definedName>
    <definedName name="IQ_EST_ACT_EBITDA_THOM" hidden="1">"c3998"</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THOM" hidden="1">"c5294"</definedName>
    <definedName name="IQ_EST_ACT_FFO" hidden="1">"c1666"</definedName>
    <definedName name="IQ_EST_ACT_FFO_THOM" hidden="1">"c4005"</definedName>
    <definedName name="IQ_EST_ACT_GROSS_MARGIN" hidden="1">"c5553"</definedName>
    <definedName name="IQ_EST_ACT_GROSS_MARGIN_THOM" hidden="1">"c5561"</definedName>
    <definedName name="IQ_EST_ACT_NAV" hidden="1">"c1757"</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THOM" hidden="1">"c5132"</definedName>
    <definedName name="IQ_EST_ACT_OPER_INC" hidden="1">"c1694"</definedName>
    <definedName name="IQ_EST_ACT_OPER_INC_THOM" hidden="1">"c5118"</definedName>
    <definedName name="IQ_EST_ACT_PRETAX_INC" hidden="1">"c1701"</definedName>
    <definedName name="IQ_EST_ACT_PRETAX_INC_THOM" hidden="1">"c5125"</definedName>
    <definedName name="IQ_EST_ACT_RECURRING_PROFIT" hidden="1">"c4411"</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DIFF" hidden="1">"c1869"</definedName>
    <definedName name="IQ_EST_FFO_DIFF_THOM" hidden="1">"c5186"</definedName>
    <definedName name="IQ_EST_FFO_GROWTH_1YR" hidden="1">"c1770"</definedName>
    <definedName name="IQ_EST_FFO_GROWTH_1YR_THOM" hidden="1">"c5170"</definedName>
    <definedName name="IQ_EST_FFO_GROWTH_2YR" hidden="1">"c1771"</definedName>
    <definedName name="IQ_EST_FFO_GROWTH_2YR_THOM" hidden="1">"c5171"</definedName>
    <definedName name="IQ_EST_FFO_GROWTH_Q_1YR" hidden="1">"c1772"</definedName>
    <definedName name="IQ_EST_FFO_GROWTH_Q_1YR_THOM" hidden="1">"c5172"</definedName>
    <definedName name="IQ_EST_FFO_SEQ_GROWTH_Q" hidden="1">"c1773"</definedName>
    <definedName name="IQ_EST_FFO_SEQ_GROWTH_Q_THOM" hidden="1">"c5173"</definedName>
    <definedName name="IQ_EST_FFO_SURPRISE_PERCENT" hidden="1">"c1870"</definedName>
    <definedName name="IQ_EST_FFO_SURPRISE_PERCENT_THOM" hidden="1">"c5187"</definedName>
    <definedName name="IQ_EST_FOOTNOTE" hidden="1">"c4540"</definedName>
    <definedName name="IQ_EST_FOOTNOTE_CIQ" hidden="1">"c12022"</definedName>
    <definedName name="IQ_EST_FOOTNOTE_THOM" hidden="1">"c5313"</definedName>
    <definedName name="IQ_EST_NEXT_EARNINGS_DATE" hidden="1">"c13591"</definedName>
    <definedName name="IQ_EST_NI_DIFF" hidden="1">"c1885"</definedName>
    <definedName name="IQ_EST_NI_DIFF_THOM" hidden="1">"c5198"</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SURPRISE_PERCENT" hidden="1">"c1880"</definedName>
    <definedName name="IQ_EST_PRE_TAX_SURPRISE_PERCENT_THOM" hidden="1">"c5197"</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 hidden="1">"c4435"</definedName>
    <definedName name="IQ_FFO_ADJ_ACT_OR_EST_CIQ" hidden="1">"c4960"</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THOM" hidden="1">"c3999"</definedName>
    <definedName name="IQ_FFO_GUIDANCE_CIQ" hidden="1">"c4968"</definedName>
    <definedName name="IQ_FFO_GUIDANCE_CIQ_COL" hidden="1">"c11615"</definedName>
    <definedName name="IQ_FFO_HIGH_EST" hidden="1">"c419"</definedName>
    <definedName name="IQ_FFO_HIGH_EST_THOM" hidden="1">"c4001"</definedName>
    <definedName name="IQ_FFO_HIGH_GUIDANCE_CIQ" hidden="1">"c4596"</definedName>
    <definedName name="IQ_FFO_HIGH_GUIDANCE_CIQ_COL" hidden="1">"c11245"</definedName>
    <definedName name="IQ_FFO_LOW_EST" hidden="1">"c420"</definedName>
    <definedName name="IQ_FFO_LOW_EST_THOM" hidden="1">"c4002"</definedName>
    <definedName name="IQ_FFO_LOW_GUIDANCE_CIQ" hidden="1">"c4636"</definedName>
    <definedName name="IQ_FFO_LOW_GUIDANCE_CIQ_COL" hidden="1">"c11285"</definedName>
    <definedName name="IQ_FFO_MEDIAN_EST" hidden="1">"c1665"</definedName>
    <definedName name="IQ_FFO_MEDIAN_EST_THOM" hidden="1">"c4000"</definedName>
    <definedName name="IQ_FFO_NUM_EST" hidden="1">"c421"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THOM" hidden="1">"c4004"</definedName>
    <definedName name="IQ_FFO_TOTAL_REVENUE" hidden="1">"c16060"</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REUT" hidden="1">"c6799"</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_THOM" hidden="1">"c5562"</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"10/31/2017 08:13:48"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RE" hidden="1">"c16011"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THOM" hidden="1">"c5309"</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GUIDANCE_CIQ" hidden="1">"c5009"</definedName>
    <definedName name="IQ_NI_GW_GUIDANCE_CIQ_COL" hidden="1">"c11656"</definedName>
    <definedName name="IQ_NI_GW_HIGH_GUIDANCE_CIQ" hidden="1">"c4590"</definedName>
    <definedName name="IQ_NI_GW_HIGH_GUIDANCE_CIQ_COL" hidden="1">"c11239"</definedName>
    <definedName name="IQ_NI_GW_LOW_GUIDANCE_CIQ" hidden="1">"c4630"</definedName>
    <definedName name="IQ_NI_GW_LOW_GUIDANCE_CIQ_COL" hidden="1">"c11279"</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SBC_ACT_OR_EST" hidden="1">"c4474"</definedName>
    <definedName name="IQ_NI_SBC_ACT_OR_EST_CIQ" hidden="1">"c5012"</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_THOM" hidden="1">"c5304"</definedName>
    <definedName name="IQ_OPER_INC_BR" hidden="1">"c850"</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WEEK" hidden="1">"c1823"</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TARGET_REUT" hidden="1">"c3631"</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DATE" hidden="1">"c1069"</definedName>
    <definedName name="IQ_PRICING_DATE" hidden="1">"c1613"</definedName>
    <definedName name="IQ_PRIMARY_EPS_TYPE" hidden="1">"c4498"</definedName>
    <definedName name="IQ_PRIMARY_EPS_TYPE_CIQ" hidden="1">"c5036"</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 hidden="1">"c4508"</definedName>
    <definedName name="IQ_RECURRING_PROFIT_SHARE_ACT_OR_EST_CIQ" hidden="1">"c5046"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_THOM" hidden="1">"c5310"</definedName>
    <definedName name="IQ_RETURN_ASSETS_BANK" hidden="1">"c1114"</definedName>
    <definedName name="IQ_RETURN_ASSETS_BROK" hidden="1">"c1115"</definedName>
    <definedName name="IQ_RETURN_ASSETS_EST" hidden="1">"c3529"</definedName>
    <definedName name="IQ_RETURN_ASSETS_EST_THOM" hidden="1">"c4034"</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_THOM" hidden="1">"c5311"</definedName>
    <definedName name="IQ_RETURN_EQUITY_BANK" hidden="1">"c1119"</definedName>
    <definedName name="IQ_RETURN_EQUITY_BROK" hidden="1">"c1120"</definedName>
    <definedName name="IQ_RETURN_EQUITY_EST" hidden="1">"c3535"</definedName>
    <definedName name="IQ_RETURN_EQUITY_EST_THOM" hidden="1">"c5479"</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EST_REUT" hidden="1">"c3634"</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39752.4561689815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I24" hidden="1">"$I$25:$I$39"</definedName>
    <definedName name="IQRJ24" hidden="1">"$J$25:$J$41"</definedName>
    <definedName name="IQRK24" hidden="1">"$K$25:$K$41"</definedName>
    <definedName name="IQRL24" hidden="1">"$L$25:$L$41"</definedName>
    <definedName name="limcount" hidden="1">1</definedName>
    <definedName name="List_credit">[3]Вход!$Y$3:$Y$4</definedName>
    <definedName name="List_fuel">[3]Вход!$X$3:$X$8</definedName>
    <definedName name="List_products">[3]Вход!$W$3:$W$13</definedName>
    <definedName name="List_Raw">[3]Вход!$AA$3:$AA$13</definedName>
    <definedName name="List_years">[3]Вход!$Z$3:$Z$22</definedName>
    <definedName name="MaxidateIFRS">'[3]Фин отчетность МСФО'!$Q$32</definedName>
    <definedName name="NA">[3]Предпосылки!$K$254</definedName>
    <definedName name="SAPBEXhrIndnt" hidden="1">"Wide"</definedName>
    <definedName name="SAPsysID" hidden="1">"708C5W7SBKP804JT78WJ0JNKI"</definedName>
    <definedName name="SAPwbID" hidden="1">"ARS"</definedName>
    <definedName name="sencount" hidden="1">1</definedName>
    <definedName name="vur" localSheetId="0" hidden="1">#REF!</definedName>
    <definedName name="vur" localSheetId="10" hidden="1">#REF!</definedName>
    <definedName name="vur" localSheetId="17" hidden="1">#REF!</definedName>
    <definedName name="vur" localSheetId="18" hidden="1">#REF!</definedName>
    <definedName name="vur" localSheetId="13" hidden="1">#REF!</definedName>
    <definedName name="vur" localSheetId="12" hidden="1">#REF!</definedName>
    <definedName name="vur" hidden="1">#REF!</definedName>
    <definedName name="vural" localSheetId="0" hidden="1">#REF!</definedName>
    <definedName name="vural" localSheetId="10" hidden="1">#REF!</definedName>
    <definedName name="vural" localSheetId="13" hidden="1">#REF!</definedName>
    <definedName name="vural" localSheetId="12" hidden="1">#REF!</definedName>
    <definedName name="vural" hidden="1">#REF!</definedName>
    <definedName name="wrn" localSheetId="0" hidden="1">{"glc1",#N/A,FALSE,"GLC";"glc2",#N/A,FALSE,"GLC";"glc3",#N/A,FALSE,"GLC";"glc4",#N/A,FALSE,"GLC";"glc5",#N/A,FALSE,"GLC"}</definedName>
    <definedName name="wrn" localSheetId="10" hidden="1">{"glc1",#N/A,FALSE,"GLC";"glc2",#N/A,FALSE,"GLC";"glc3",#N/A,FALSE,"GLC";"glc4",#N/A,FALSE,"GLC";"glc5",#N/A,FALSE,"GLC"}</definedName>
    <definedName name="wrn" localSheetId="17" hidden="1">{"glc1",#N/A,FALSE,"GLC";"glc2",#N/A,FALSE,"GLC";"glc3",#N/A,FALSE,"GLC";"glc4",#N/A,FALSE,"GLC";"glc5",#N/A,FALSE,"GLC"}</definedName>
    <definedName name="wrn" localSheetId="18" hidden="1">{"glc1",#N/A,FALSE,"GLC";"glc2",#N/A,FALSE,"GLC";"glc3",#N/A,FALSE,"GLC";"glc4",#N/A,FALSE,"GLC";"glc5",#N/A,FALSE,"GLC"}</definedName>
    <definedName name="wrn" localSheetId="13" hidden="1">{"glc1",#N/A,FALSE,"GLC";"glc2",#N/A,FALSE,"GLC";"glc3",#N/A,FALSE,"GLC";"glc4",#N/A,FALSE,"GLC";"glc5",#N/A,FALSE,"GLC"}</definedName>
    <definedName name="wrn" localSheetId="12" hidden="1">{"glc1",#N/A,FALSE,"GLC";"glc2",#N/A,FALSE,"GLC";"glc3",#N/A,FALSE,"GLC";"glc4",#N/A,FALSE,"GLC";"glc5",#N/A,FALSE,"GLC"}</definedName>
    <definedName name="wrn" hidden="1">{"glc1",#N/A,FALSE,"GLC";"glc2",#N/A,FALSE,"GLC";"glc3",#N/A,FALSE,"GLC";"glc4",#N/A,FALSE,"GLC";"glc5",#N/A,FALSE,"GLC"}</definedName>
    <definedName name="wrn.1." localSheetId="0" hidden="1">{"konoplin - Личное представление",#N/A,TRUE,"ФинПлан_1кв";"konoplin - Личное представление",#N/A,TRUE,"ФинПлан_2кв"}</definedName>
    <definedName name="wrn.1." localSheetId="10" hidden="1">{"konoplin - Личное представление",#N/A,TRUE,"ФинПлан_1кв";"konoplin - Личное представление",#N/A,TRUE,"ФинПлан_2кв"}</definedName>
    <definedName name="wrn.1." localSheetId="17" hidden="1">{"konoplin - Личное представление",#N/A,TRUE,"ФинПлан_1кв";"konoplin - Личное представление",#N/A,TRUE,"ФинПлан_2кв"}</definedName>
    <definedName name="wrn.1." localSheetId="18" hidden="1">{"konoplin - Личное представление",#N/A,TRUE,"ФинПлан_1кв";"konoplin - Личное представление",#N/A,TRUE,"ФинПлан_2кв"}</definedName>
    <definedName name="wrn.1." localSheetId="13" hidden="1">{"konoplin - Личное представление",#N/A,TRUE,"ФинПлан_1кв";"konoplin - Личное представление",#N/A,TRUE,"ФинПлан_2кв"}</definedName>
    <definedName name="wrn.1." localSheetId="12"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Aging._.and._.Trend._.Analysis." localSheetId="0"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0" hidden="1">{#N/A,#N/A,FALSE,"Aging Summary";#N/A,#N/A,FALSE,"Ratio Analysis";#N/A,#N/A,FALSE,"Test 120 Day Accts";#N/A,#N/A,FALSE,"Tickmarks"}</definedName>
    <definedName name="wrn.Aging.and._Trend._.Analysis.2" localSheetId="10" hidden="1">{#N/A,#N/A,FALSE,"Aging Summary";#N/A,#N/A,FALSE,"Ratio Analysis";#N/A,#N/A,FALSE,"Test 120 Day Accts";#N/A,#N/A,FALSE,"Tickmarks"}</definedName>
    <definedName name="wrn.Aging.and._Trend._.Analysis.2" localSheetId="17" hidden="1">{#N/A,#N/A,FALSE,"Aging Summary";#N/A,#N/A,FALSE,"Ratio Analysis";#N/A,#N/A,FALSE,"Test 120 Day Accts";#N/A,#N/A,FALSE,"Tickmarks"}</definedName>
    <definedName name="wrn.Aging.and._Trend._.Analysis.2" localSheetId="18" hidden="1">{#N/A,#N/A,FALSE,"Aging Summary";#N/A,#N/A,FALSE,"Ratio Analysis";#N/A,#N/A,FALSE,"Test 120 Day Accts";#N/A,#N/A,FALSE,"Tickmarks"}</definedName>
    <definedName name="wrn.Aging.and._Trend._.Analysis.2" localSheetId="13" hidden="1">{#N/A,#N/A,FALSE,"Aging Summary";#N/A,#N/A,FALSE,"Ratio Analysis";#N/A,#N/A,FALSE,"Test 120 Day Accts";#N/A,#N/A,FALSE,"Tickmarks"}</definedName>
    <definedName name="wrn.Aging.and._Trend._.Analysis.2" localSheetId="12"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0" hidden="1">{"assets",#N/A,FALSE,"historicBS";"liab",#N/A,FALSE,"historicBS";"is",#N/A,FALSE,"historicIS";"ratios",#N/A,FALSE,"ratios"}</definedName>
    <definedName name="wrn.basicfin." localSheetId="10" hidden="1">{"assets",#N/A,FALSE,"historicBS";"liab",#N/A,FALSE,"historicBS";"is",#N/A,FALSE,"historicIS";"ratios",#N/A,FALSE,"ratios"}</definedName>
    <definedName name="wrn.basicfin." localSheetId="17" hidden="1">{"assets",#N/A,FALSE,"historicBS";"liab",#N/A,FALSE,"historicBS";"is",#N/A,FALSE,"historicIS";"ratios",#N/A,FALSE,"ratios"}</definedName>
    <definedName name="wrn.basicfin." localSheetId="18" hidden="1">{"assets",#N/A,FALSE,"historicBS";"liab",#N/A,FALSE,"historicBS";"is",#N/A,FALSE,"historicIS";"ratios",#N/A,FALSE,"ratios"}</definedName>
    <definedName name="wrn.basicfin." localSheetId="13" hidden="1">{"assets",#N/A,FALSE,"historicBS";"liab",#N/A,FALSE,"historicBS";"is",#N/A,FALSE,"historicIS";"ratios",#N/A,FALSE,"ratios"}</definedName>
    <definedName name="wrn.basicfin." localSheetId="12" hidden="1">{"assets",#N/A,FALSE,"historicBS";"liab",#N/A,FALSE,"historicBS";"is",#N/A,FALSE,"historicIS";"ratios",#N/A,FALSE,"ratios"}</definedName>
    <definedName name="wrn.basicfin." hidden="1">{"assets",#N/A,FALSE,"historicBS";"liab",#N/A,FALSE,"historicBS";"is",#N/A,FALSE,"historicIS";"ratios",#N/A,FALSE,"ratios"}</definedName>
    <definedName name="wrn.basicfin.2" localSheetId="0" hidden="1">{"assets",#N/A,FALSE,"historicBS";"liab",#N/A,FALSE,"historicBS";"is",#N/A,FALSE,"historicIS";"ratios",#N/A,FALSE,"ratios"}</definedName>
    <definedName name="wrn.basicfin.2" localSheetId="10" hidden="1">{"assets",#N/A,FALSE,"historicBS";"liab",#N/A,FALSE,"historicBS";"is",#N/A,FALSE,"historicIS";"ratios",#N/A,FALSE,"ratios"}</definedName>
    <definedName name="wrn.basicfin.2" localSheetId="17" hidden="1">{"assets",#N/A,FALSE,"historicBS";"liab",#N/A,FALSE,"historicBS";"is",#N/A,FALSE,"historicIS";"ratios",#N/A,FALSE,"ratios"}</definedName>
    <definedName name="wrn.basicfin.2" localSheetId="18" hidden="1">{"assets",#N/A,FALSE,"historicBS";"liab",#N/A,FALSE,"historicBS";"is",#N/A,FALSE,"historicIS";"ratios",#N/A,FALSE,"ratios"}</definedName>
    <definedName name="wrn.basicfin.2" localSheetId="13" hidden="1">{"assets",#N/A,FALSE,"historicBS";"liab",#N/A,FALSE,"historicBS";"is",#N/A,FALSE,"historicIS";"ratios",#N/A,FALSE,"ratios"}</definedName>
    <definedName name="wrn.basicfin.2" localSheetId="12" hidden="1">{"assets",#N/A,FALSE,"historicBS";"liab",#N/A,FALSE,"historicBS";"is",#N/A,FALSE,"historicIS";"ratios",#N/A,FALSE,"ratios"}</definedName>
    <definedName name="wrn.basicfin.2" hidden="1">{"assets",#N/A,FALSE,"historicBS";"liab",#N/A,FALSE,"historicBS";"is",#N/A,FALSE,"historicIS";"ratios",#N/A,FALSE,"ratios"}</definedName>
    <definedName name="wrn.glc." localSheetId="0" hidden="1">{"glcbs",#N/A,FALSE,"GLCBS";"glccsbs",#N/A,FALSE,"GLCCSBS";"glcis",#N/A,FALSE,"GLCIS";"glccsis",#N/A,FALSE,"GLCCSIS";"glcrat1",#N/A,FALSE,"GLC-ratios1"}</definedName>
    <definedName name="wrn.glc." localSheetId="10" hidden="1">{"glcbs",#N/A,FALSE,"GLCBS";"glccsbs",#N/A,FALSE,"GLCCSBS";"glcis",#N/A,FALSE,"GLCIS";"glccsis",#N/A,FALSE,"GLCCSIS";"glcrat1",#N/A,FALSE,"GLC-ratios1"}</definedName>
    <definedName name="wrn.glc." localSheetId="17" hidden="1">{"glcbs",#N/A,FALSE,"GLCBS";"glccsbs",#N/A,FALSE,"GLCCSBS";"glcis",#N/A,FALSE,"GLCIS";"glccsis",#N/A,FALSE,"GLCCSIS";"glcrat1",#N/A,FALSE,"GLC-ratios1"}</definedName>
    <definedName name="wrn.glc." localSheetId="18" hidden="1">{"glcbs",#N/A,FALSE,"GLCBS";"glccsbs",#N/A,FALSE,"GLCCSBS";"glcis",#N/A,FALSE,"GLCIS";"glccsis",#N/A,FALSE,"GLCCSIS";"glcrat1",#N/A,FALSE,"GLC-ratios1"}</definedName>
    <definedName name="wrn.glc." localSheetId="13" hidden="1">{"glcbs",#N/A,FALSE,"GLCBS";"glccsbs",#N/A,FALSE,"GLCCSBS";"glcis",#N/A,FALSE,"GLCIS";"glccsis",#N/A,FALSE,"GLCCSIS";"glcrat1",#N/A,FALSE,"GLC-ratios1"}</definedName>
    <definedName name="wrn.glc." localSheetId="12"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0" hidden="1">{"glc1",#N/A,FALSE,"GLC";"glc2",#N/A,FALSE,"GLC";"glc3",#N/A,FALSE,"GLC";"glc4",#N/A,FALSE,"GLC";"glc5",#N/A,FALSE,"GLC"}</definedName>
    <definedName name="wrn.glcpromonte." localSheetId="10" hidden="1">{"glc1",#N/A,FALSE,"GLC";"glc2",#N/A,FALSE,"GLC";"glc3",#N/A,FALSE,"GLC";"glc4",#N/A,FALSE,"GLC";"glc5",#N/A,FALSE,"GLC"}</definedName>
    <definedName name="wrn.glcpromonte." localSheetId="17" hidden="1">{"glc1",#N/A,FALSE,"GLC";"glc2",#N/A,FALSE,"GLC";"glc3",#N/A,FALSE,"GLC";"glc4",#N/A,FALSE,"GLC";"glc5",#N/A,FALSE,"GLC"}</definedName>
    <definedName name="wrn.glcpromonte." localSheetId="18" hidden="1">{"glc1",#N/A,FALSE,"GLC";"glc2",#N/A,FALSE,"GLC";"glc3",#N/A,FALSE,"GLC";"glc4",#N/A,FALSE,"GLC";"glc5",#N/A,FALSE,"GLC"}</definedName>
    <definedName name="wrn.glcpromonte." localSheetId="13" hidden="1">{"glc1",#N/A,FALSE,"GLC";"glc2",#N/A,FALSE,"GLC";"glc3",#N/A,FALSE,"GLC";"glc4",#N/A,FALSE,"GLC";"glc5",#N/A,FALSE,"GLC"}</definedName>
    <definedName name="wrn.glcpromonte." localSheetId="12" hidden="1">{"glc1",#N/A,FALSE,"GLC";"glc2",#N/A,FALSE,"GLC";"glc3",#N/A,FALSE,"GLC";"glc4",#N/A,FALSE,"GLC";"glc5",#N/A,FALSE,"GLC"}</definedName>
    <definedName name="wrn.glcpromonte." hidden="1">{"glc1",#N/A,FALSE,"GLC";"glc2",#N/A,FALSE,"GLC";"glc3",#N/A,FALSE,"GLC";"glc4",#N/A,FALSE,"GLC";"glc5",#N/A,FALSE,"GLC"}</definedName>
    <definedName name="wrn.print." localSheetId="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8"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SVERKA." localSheetId="10" hidden="1">{#N/A,#N/A,FALSE,"REC";#N/A,#N/A,FALSE,"ASSETS";#N/A,#N/A,FALSE,"LIABILITIES";#N/A,#N/A,FALSE,"P&amp;L";#N/A,#N/A,FALSE,"FUNDS";#N/A,#N/A,FALSE,"CASH";#N/A,#N/A,FALSE,"1,2";#N/A,#N/A,FALSE,"3";#N/A,#N/A,FALSE,"4";#N/A,#N/A,FALSE,"5,6,7";#N/A,#N/A,FALSE,"8,9"}</definedName>
    <definedName name="wrn.SVERKA." localSheetId="17" hidden="1">{#N/A,#N/A,FALSE,"REC";#N/A,#N/A,FALSE,"ASSETS";#N/A,#N/A,FALSE,"LIABILITIES";#N/A,#N/A,FALSE,"P&amp;L";#N/A,#N/A,FALSE,"FUNDS";#N/A,#N/A,FALSE,"CASH";#N/A,#N/A,FALSE,"1,2";#N/A,#N/A,FALSE,"3";#N/A,#N/A,FALSE,"4";#N/A,#N/A,FALSE,"5,6,7";#N/A,#N/A,FALSE,"8,9"}</definedName>
    <definedName name="wrn.SVERKA." localSheetId="18" hidden="1">{#N/A,#N/A,FALSE,"REC";#N/A,#N/A,FALSE,"ASSETS";#N/A,#N/A,FALSE,"LIABILITIES";#N/A,#N/A,FALSE,"P&amp;L";#N/A,#N/A,FALSE,"FUNDS";#N/A,#N/A,FALSE,"CASH";#N/A,#N/A,FALSE,"1,2";#N/A,#N/A,FALSE,"3";#N/A,#N/A,FALSE,"4";#N/A,#N/A,FALSE,"5,6,7";#N/A,#N/A,FALSE,"8,9"}</definedName>
    <definedName name="wrn.SVERKA." localSheetId="13" hidden="1">{#N/A,#N/A,FALSE,"REC";#N/A,#N/A,FALSE,"ASSETS";#N/A,#N/A,FALSE,"LIABILITIES";#N/A,#N/A,FALSE,"P&amp;L";#N/A,#N/A,FALSE,"FUNDS";#N/A,#N/A,FALSE,"CASH";#N/A,#N/A,FALSE,"1,2";#N/A,#N/A,FALSE,"3";#N/A,#N/A,FALSE,"4";#N/A,#N/A,FALSE,"5,6,7";#N/A,#N/A,FALSE,"8,9"}</definedName>
    <definedName name="wrn.SVERKA." localSheetId="12"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sverka1" localSheetId="10" hidden="1">{#N/A,#N/A,FALSE,"REC";#N/A,#N/A,FALSE,"ASSETS";#N/A,#N/A,FALSE,"LIABILITIES";#N/A,#N/A,FALSE,"P&amp;L";#N/A,#N/A,FALSE,"FUNDS";#N/A,#N/A,FALSE,"CASH";#N/A,#N/A,FALSE,"1,2";#N/A,#N/A,FALSE,"3";#N/A,#N/A,FALSE,"4";#N/A,#N/A,FALSE,"5,6,7";#N/A,#N/A,FALSE,"8,9"}</definedName>
    <definedName name="wrn.sverka1" localSheetId="17" hidden="1">{#N/A,#N/A,FALSE,"REC";#N/A,#N/A,FALSE,"ASSETS";#N/A,#N/A,FALSE,"LIABILITIES";#N/A,#N/A,FALSE,"P&amp;L";#N/A,#N/A,FALSE,"FUNDS";#N/A,#N/A,FALSE,"CASH";#N/A,#N/A,FALSE,"1,2";#N/A,#N/A,FALSE,"3";#N/A,#N/A,FALSE,"4";#N/A,#N/A,FALSE,"5,6,7";#N/A,#N/A,FALSE,"8,9"}</definedName>
    <definedName name="wrn.sverka1" localSheetId="18" hidden="1">{#N/A,#N/A,FALSE,"REC";#N/A,#N/A,FALSE,"ASSETS";#N/A,#N/A,FALSE,"LIABILITIES";#N/A,#N/A,FALSE,"P&amp;L";#N/A,#N/A,FALSE,"FUNDS";#N/A,#N/A,FALSE,"CASH";#N/A,#N/A,FALSE,"1,2";#N/A,#N/A,FALSE,"3";#N/A,#N/A,FALSE,"4";#N/A,#N/A,FALSE,"5,6,7";#N/A,#N/A,FALSE,"8,9"}</definedName>
    <definedName name="wrn.sverka1" localSheetId="13" hidden="1">{#N/A,#N/A,FALSE,"REC";#N/A,#N/A,FALSE,"ASSETS";#N/A,#N/A,FALSE,"LIABILITIES";#N/A,#N/A,FALSE,"P&amp;L";#N/A,#N/A,FALSE,"FUNDS";#N/A,#N/A,FALSE,"CASH";#N/A,#N/A,FALSE,"1,2";#N/A,#N/A,FALSE,"3";#N/A,#N/A,FALSE,"4";#N/A,#N/A,FALSE,"5,6,7";#N/A,#N/A,FALSE,"8,9"}</definedName>
    <definedName name="wrn.sverka1" localSheetId="12" hidden="1">{#N/A,#N/A,FALSE,"REC";#N/A,#N/A,FALSE,"ASSETS";#N/A,#N/A,FALSE,"LIABILITIES";#N/A,#N/A,FALSE,"P&amp;L";#N/A,#N/A,FALSE,"FUNDS";#N/A,#N/A,FALSE,"CASH";#N/A,#N/A,FALSE,"1,2";#N/A,#N/A,FALSE,"3";#N/A,#N/A,FALSE,"4";#N/A,#N/A,FALSE,"5,6,7";#N/A,#N/A,FALSE,"8,9"}</definedName>
    <definedName name="wrn.sverka1" hidden="1">{#N/A,#N/A,FALSE,"REC";#N/A,#N/A,FALSE,"ASSETS";#N/A,#N/A,FALSE,"LIABILITIES";#N/A,#N/A,FALSE,"P&amp;L";#N/A,#N/A,FALSE,"FUNDS";#N/A,#N/A,FALSE,"CASH";#N/A,#N/A,FALSE,"1,2";#N/A,#N/A,FALSE,"3";#N/A,#N/A,FALSE,"4";#N/A,#N/A,FALSE,"5,6,7";#N/A,#N/A,FALSE,"8,9"}</definedName>
    <definedName name="yas" localSheetId="0" hidden="1">#REF!</definedName>
    <definedName name="yas" localSheetId="10" hidden="1">#REF!</definedName>
    <definedName name="yas" localSheetId="17" hidden="1">#REF!</definedName>
    <definedName name="yas" localSheetId="18" hidden="1">#REF!</definedName>
    <definedName name="yas" localSheetId="13" hidden="1">#REF!</definedName>
    <definedName name="yas" localSheetId="12" hidden="1">#REF!</definedName>
    <definedName name="yas" hidden="1">#REF!</definedName>
    <definedName name="yasin" localSheetId="0" hidden="1">#REF!</definedName>
    <definedName name="yasin" localSheetId="10" hidden="1">#REF!</definedName>
    <definedName name="yasin" localSheetId="13" hidden="1">#REF!</definedName>
    <definedName name="yasin" localSheetId="12" hidden="1">#REF!</definedName>
    <definedName name="yasin" hidden="1">#REF!</definedName>
    <definedName name="Z_30FEE15E_D26F_11D4_A6F7_00508B6A7686_.wvu.FilterData" localSheetId="0" hidden="1">#REF!</definedName>
    <definedName name="Z_30FEE15E_D26F_11D4_A6F7_00508B6A7686_.wvu.FilterData" localSheetId="10" hidden="1">#REF!</definedName>
    <definedName name="Z_30FEE15E_D26F_11D4_A6F7_00508B6A7686_.wvu.FilterData" localSheetId="13" hidden="1">#REF!</definedName>
    <definedName name="Z_30FEE15E_D26F_11D4_A6F7_00508B6A7686_.wvu.FilterData" localSheetId="12" hidden="1">#REF!</definedName>
    <definedName name="Z_30FEE15E_D26F_11D4_A6F7_00508B6A7686_.wvu.FilterData" hidden="1">#REF!</definedName>
    <definedName name="Z_30FEE15E_D26F_11D4_A6F7_00508B6A7686_.wvu.PrintArea" localSheetId="10" hidden="1">#REF!</definedName>
    <definedName name="Z_30FEE15E_D26F_11D4_A6F7_00508B6A7686_.wvu.PrintArea" localSheetId="13" hidden="1">#REF!</definedName>
    <definedName name="Z_30FEE15E_D26F_11D4_A6F7_00508B6A7686_.wvu.PrintArea" localSheetId="12" hidden="1">#REF!</definedName>
    <definedName name="Z_30FEE15E_D26F_11D4_A6F7_00508B6A7686_.wvu.PrintArea" hidden="1">#REF!</definedName>
    <definedName name="Z_30FEE15E_D26F_11D4_A6F7_00508B6A7686_.wvu.PrintTitles" localSheetId="10" hidden="1">#REF!</definedName>
    <definedName name="Z_30FEE15E_D26F_11D4_A6F7_00508B6A7686_.wvu.PrintTitles" localSheetId="13" hidden="1">#REF!</definedName>
    <definedName name="Z_30FEE15E_D26F_11D4_A6F7_00508B6A7686_.wvu.PrintTitles" localSheetId="12" hidden="1">#REF!</definedName>
    <definedName name="Z_30FEE15E_D26F_11D4_A6F7_00508B6A7686_.wvu.PrintTitles" hidden="1">#REF!</definedName>
    <definedName name="Z_30FEE15E_D26F_11D4_A6F7_00508B6A7686_.wvu.Rows" localSheetId="10" hidden="1">#REF!</definedName>
    <definedName name="Z_30FEE15E_D26F_11D4_A6F7_00508B6A7686_.wvu.Rows" localSheetId="13" hidden="1">#REF!</definedName>
    <definedName name="Z_30FEE15E_D26F_11D4_A6F7_00508B6A7686_.wvu.Rows" localSheetId="12" hidden="1">#REF!</definedName>
    <definedName name="Z_30FEE15E_D26F_11D4_A6F7_00508B6A7686_.wvu.Rows"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75" i="132" l="1"/>
  <c r="K75" i="132"/>
  <c r="O75" i="132" s="1"/>
  <c r="O23" i="132" s="1"/>
  <c r="I75" i="132"/>
  <c r="H75" i="132"/>
  <c r="J75" i="132" s="1"/>
  <c r="C74" i="132"/>
  <c r="C77" i="132" s="1"/>
  <c r="P72" i="132"/>
  <c r="P20" i="132" s="1"/>
  <c r="O72" i="132"/>
  <c r="O20" i="132" s="1"/>
  <c r="M72" i="132"/>
  <c r="J72" i="132"/>
  <c r="L71" i="132"/>
  <c r="K71" i="132"/>
  <c r="I71" i="132"/>
  <c r="H71" i="132"/>
  <c r="P70" i="132"/>
  <c r="O70" i="132"/>
  <c r="M70" i="132"/>
  <c r="J70" i="132"/>
  <c r="L69" i="132"/>
  <c r="K69" i="132"/>
  <c r="I69" i="132"/>
  <c r="H69" i="132"/>
  <c r="L68" i="132"/>
  <c r="K68" i="132"/>
  <c r="I68" i="132"/>
  <c r="H68" i="132"/>
  <c r="L67" i="132"/>
  <c r="K67" i="132"/>
  <c r="I67" i="132"/>
  <c r="H67" i="132"/>
  <c r="L66" i="132"/>
  <c r="K66" i="132"/>
  <c r="I66" i="132"/>
  <c r="H66" i="132"/>
  <c r="C65" i="132"/>
  <c r="C79" i="132" s="1"/>
  <c r="L63" i="132"/>
  <c r="L11" i="132" s="1"/>
  <c r="K63" i="132"/>
  <c r="K11" i="132" s="1"/>
  <c r="I63" i="132"/>
  <c r="H63" i="132"/>
  <c r="L62" i="132"/>
  <c r="K62" i="132"/>
  <c r="K10" i="132" s="1"/>
  <c r="I62" i="132"/>
  <c r="H62" i="132"/>
  <c r="N61" i="132"/>
  <c r="N65" i="132" s="1"/>
  <c r="G61" i="132"/>
  <c r="G65" i="132" s="1"/>
  <c r="G74" i="132" s="1"/>
  <c r="G77" i="132" s="1"/>
  <c r="F61" i="132"/>
  <c r="F65" i="132" s="1"/>
  <c r="F74" i="132" s="1"/>
  <c r="F77" i="132" s="1"/>
  <c r="E61" i="132"/>
  <c r="E65" i="132" s="1"/>
  <c r="E74" i="132" s="1"/>
  <c r="E77" i="132" s="1"/>
  <c r="D61" i="132"/>
  <c r="D65" i="132" s="1"/>
  <c r="C61" i="132"/>
  <c r="P59" i="132"/>
  <c r="O59" i="132"/>
  <c r="M59" i="132"/>
  <c r="J59" i="132"/>
  <c r="L58" i="132"/>
  <c r="L61" i="132" s="1"/>
  <c r="K58" i="132"/>
  <c r="I58" i="132"/>
  <c r="H58" i="132"/>
  <c r="L57" i="132"/>
  <c r="K57" i="132"/>
  <c r="I57" i="132"/>
  <c r="H57" i="132"/>
  <c r="P49" i="132"/>
  <c r="O49" i="132"/>
  <c r="M49" i="132"/>
  <c r="J49" i="132"/>
  <c r="P46" i="132"/>
  <c r="O46" i="132"/>
  <c r="M46" i="132"/>
  <c r="M20" i="132" s="1"/>
  <c r="J46" i="132"/>
  <c r="J20" i="132" s="1"/>
  <c r="L45" i="132"/>
  <c r="K45" i="132"/>
  <c r="I45" i="132"/>
  <c r="H45" i="132"/>
  <c r="P44" i="132"/>
  <c r="O44" i="132"/>
  <c r="M44" i="132"/>
  <c r="M18" i="132" s="1"/>
  <c r="J44" i="132"/>
  <c r="L43" i="132"/>
  <c r="L17" i="132" s="1"/>
  <c r="K43" i="132"/>
  <c r="I43" i="132"/>
  <c r="H43" i="132"/>
  <c r="J43" i="132" s="1"/>
  <c r="L42" i="132"/>
  <c r="K42" i="132"/>
  <c r="O42" i="132" s="1"/>
  <c r="I42" i="132"/>
  <c r="H42" i="132"/>
  <c r="J42" i="132" s="1"/>
  <c r="L41" i="132"/>
  <c r="K41" i="132"/>
  <c r="I41" i="132"/>
  <c r="H41" i="132"/>
  <c r="J41" i="132" s="1"/>
  <c r="L40" i="132"/>
  <c r="K40" i="132"/>
  <c r="I40" i="132"/>
  <c r="H40" i="132"/>
  <c r="J40" i="132" s="1"/>
  <c r="N39" i="132"/>
  <c r="P37" i="132"/>
  <c r="O37" i="132"/>
  <c r="M37" i="132"/>
  <c r="J37" i="132"/>
  <c r="P36" i="132"/>
  <c r="O36" i="132"/>
  <c r="M36" i="132"/>
  <c r="J36" i="132"/>
  <c r="N35" i="132"/>
  <c r="G35" i="132"/>
  <c r="G39" i="132" s="1"/>
  <c r="G48" i="132" s="1"/>
  <c r="G51" i="132" s="1"/>
  <c r="F35" i="132"/>
  <c r="F39" i="132" s="1"/>
  <c r="E35" i="132"/>
  <c r="E39" i="132" s="1"/>
  <c r="D35" i="132"/>
  <c r="D39" i="132" s="1"/>
  <c r="C35" i="132"/>
  <c r="C39" i="132" s="1"/>
  <c r="O33" i="132"/>
  <c r="I33" i="132"/>
  <c r="P33" i="132" s="1"/>
  <c r="H33" i="132"/>
  <c r="H7" i="132" s="1"/>
  <c r="L32" i="132"/>
  <c r="K32" i="132"/>
  <c r="O32" i="132" s="1"/>
  <c r="I32" i="132"/>
  <c r="H32" i="132"/>
  <c r="L31" i="132"/>
  <c r="L5" i="132" s="1"/>
  <c r="K31" i="132"/>
  <c r="I31" i="132"/>
  <c r="H31" i="132"/>
  <c r="N23" i="132"/>
  <c r="L23" i="132"/>
  <c r="K23" i="132"/>
  <c r="G23" i="132"/>
  <c r="F23" i="132"/>
  <c r="E23" i="132"/>
  <c r="D23" i="132"/>
  <c r="C23" i="132"/>
  <c r="N20" i="132"/>
  <c r="L20" i="132"/>
  <c r="K20" i="132"/>
  <c r="I20" i="132"/>
  <c r="H20" i="132"/>
  <c r="G20" i="132"/>
  <c r="F20" i="132"/>
  <c r="E20" i="132"/>
  <c r="D20" i="132"/>
  <c r="C20" i="132"/>
  <c r="N19" i="132"/>
  <c r="G19" i="132"/>
  <c r="F19" i="132"/>
  <c r="E19" i="132"/>
  <c r="D19" i="132"/>
  <c r="C19" i="132"/>
  <c r="O18" i="132"/>
  <c r="N18" i="132"/>
  <c r="L18" i="132"/>
  <c r="K18" i="132"/>
  <c r="I18" i="132"/>
  <c r="H18" i="132"/>
  <c r="G18" i="132"/>
  <c r="F18" i="132"/>
  <c r="E18" i="132"/>
  <c r="D18" i="132"/>
  <c r="C18" i="132"/>
  <c r="N17" i="132"/>
  <c r="G17" i="132"/>
  <c r="F17" i="132"/>
  <c r="E17" i="132"/>
  <c r="D17" i="132"/>
  <c r="C17" i="132"/>
  <c r="N16" i="132"/>
  <c r="G16" i="132"/>
  <c r="F16" i="132"/>
  <c r="E16" i="132"/>
  <c r="D16" i="132"/>
  <c r="C16" i="132"/>
  <c r="N15" i="132"/>
  <c r="G15" i="132"/>
  <c r="F15" i="132"/>
  <c r="E15" i="132"/>
  <c r="D15" i="132"/>
  <c r="C15" i="132"/>
  <c r="N14" i="132"/>
  <c r="G14" i="132"/>
  <c r="F14" i="132"/>
  <c r="E14" i="132"/>
  <c r="D14" i="132"/>
  <c r="C14" i="132"/>
  <c r="N11" i="132"/>
  <c r="H11" i="132"/>
  <c r="G11" i="132"/>
  <c r="F11" i="132"/>
  <c r="E11" i="132"/>
  <c r="D11" i="132"/>
  <c r="C11" i="132"/>
  <c r="N10" i="132"/>
  <c r="L10" i="132"/>
  <c r="I10" i="132"/>
  <c r="H10" i="132"/>
  <c r="G10" i="132"/>
  <c r="F10" i="132"/>
  <c r="E10" i="132"/>
  <c r="D10" i="132"/>
  <c r="C10" i="132"/>
  <c r="O7" i="132"/>
  <c r="N7" i="132"/>
  <c r="L7" i="132"/>
  <c r="K7" i="132"/>
  <c r="G7" i="132"/>
  <c r="F7" i="132"/>
  <c r="E7" i="132"/>
  <c r="D7" i="132"/>
  <c r="C7" i="132"/>
  <c r="N6" i="132"/>
  <c r="N9" i="132" s="1"/>
  <c r="N13" i="132" s="1"/>
  <c r="N22" i="132" s="1"/>
  <c r="N25" i="132" s="1"/>
  <c r="G6" i="132"/>
  <c r="F6" i="132"/>
  <c r="E6" i="132"/>
  <c r="E9" i="132" s="1"/>
  <c r="D6" i="132"/>
  <c r="C6" i="132"/>
  <c r="N5" i="132"/>
  <c r="G5" i="132"/>
  <c r="F5" i="132"/>
  <c r="E5" i="132"/>
  <c r="D5" i="132"/>
  <c r="D9" i="132" s="1"/>
  <c r="D13" i="132" s="1"/>
  <c r="D22" i="132" s="1"/>
  <c r="D25" i="132" s="1"/>
  <c r="C5" i="132"/>
  <c r="C9" i="132" s="1"/>
  <c r="C13" i="132" s="1"/>
  <c r="C22" i="132" s="1"/>
  <c r="C25" i="132" s="1"/>
  <c r="I7" i="132" l="1"/>
  <c r="P42" i="132"/>
  <c r="O69" i="132"/>
  <c r="L65" i="132"/>
  <c r="P63" i="132"/>
  <c r="P11" i="132" s="1"/>
  <c r="J71" i="132"/>
  <c r="H61" i="132"/>
  <c r="H6" i="132"/>
  <c r="K14" i="132"/>
  <c r="P32" i="132"/>
  <c r="L14" i="132"/>
  <c r="P67" i="132"/>
  <c r="H16" i="132"/>
  <c r="L6" i="132"/>
  <c r="I16" i="132"/>
  <c r="J18" i="132"/>
  <c r="F9" i="132"/>
  <c r="F13" i="132" s="1"/>
  <c r="F22" i="132" s="1"/>
  <c r="F25" i="132" s="1"/>
  <c r="I11" i="132"/>
  <c r="K16" i="132"/>
  <c r="P31" i="132"/>
  <c r="P35" i="132" s="1"/>
  <c r="P39" i="132" s="1"/>
  <c r="P53" i="132" s="1"/>
  <c r="P7" i="132"/>
  <c r="I17" i="132"/>
  <c r="P58" i="132"/>
  <c r="E13" i="132"/>
  <c r="E22" i="132" s="1"/>
  <c r="E25" i="132" s="1"/>
  <c r="K5" i="132"/>
  <c r="P43" i="132"/>
  <c r="J63" i="132"/>
  <c r="J11" i="132" s="1"/>
  <c r="O66" i="132"/>
  <c r="O68" i="132"/>
  <c r="O16" i="132" s="1"/>
  <c r="L16" i="132"/>
  <c r="P18" i="132"/>
  <c r="K61" i="132"/>
  <c r="K65" i="132" s="1"/>
  <c r="K17" i="132"/>
  <c r="I6" i="132"/>
  <c r="O43" i="132"/>
  <c r="L9" i="132"/>
  <c r="L13" i="132" s="1"/>
  <c r="K6" i="132"/>
  <c r="M42" i="132"/>
  <c r="H65" i="132"/>
  <c r="H74" i="132" s="1"/>
  <c r="H77" i="132" s="1"/>
  <c r="I61" i="132"/>
  <c r="I65" i="132" s="1"/>
  <c r="I74" i="132" s="1"/>
  <c r="I77" i="132" s="1"/>
  <c r="L35" i="132"/>
  <c r="L39" i="132" s="1"/>
  <c r="L48" i="132" s="1"/>
  <c r="L51" i="132" s="1"/>
  <c r="O41" i="132"/>
  <c r="O15" i="132" s="1"/>
  <c r="J62" i="132"/>
  <c r="J10" i="132" s="1"/>
  <c r="J45" i="132"/>
  <c r="J19" i="132" s="1"/>
  <c r="O67" i="132"/>
  <c r="O58" i="132"/>
  <c r="O6" i="132" s="1"/>
  <c r="P68" i="132"/>
  <c r="P16" i="132" s="1"/>
  <c r="H15" i="132"/>
  <c r="M63" i="132"/>
  <c r="M11" i="132" s="1"/>
  <c r="H17" i="132"/>
  <c r="O31" i="132"/>
  <c r="K35" i="132"/>
  <c r="M62" i="132"/>
  <c r="M10" i="132" s="1"/>
  <c r="P40" i="132"/>
  <c r="M43" i="132"/>
  <c r="O57" i="132"/>
  <c r="O62" i="132"/>
  <c r="O10" i="132" s="1"/>
  <c r="I15" i="132"/>
  <c r="L19" i="132"/>
  <c r="M40" i="132"/>
  <c r="O17" i="132"/>
  <c r="P62" i="132"/>
  <c r="P10" i="132" s="1"/>
  <c r="I14" i="132"/>
  <c r="K15" i="132"/>
  <c r="P69" i="132"/>
  <c r="F53" i="132"/>
  <c r="F48" i="132"/>
  <c r="F51" i="132" s="1"/>
  <c r="D79" i="132"/>
  <c r="D74" i="132"/>
  <c r="D77" i="132" s="1"/>
  <c r="M66" i="132"/>
  <c r="J66" i="132"/>
  <c r="J14" i="132" s="1"/>
  <c r="M41" i="132"/>
  <c r="O45" i="132"/>
  <c r="K19" i="132"/>
  <c r="G53" i="132"/>
  <c r="M71" i="132"/>
  <c r="N53" i="132"/>
  <c r="N27" i="132" s="1"/>
  <c r="N48" i="132"/>
  <c r="N51" i="132" s="1"/>
  <c r="O40" i="132"/>
  <c r="P41" i="132"/>
  <c r="P15" i="132" s="1"/>
  <c r="P75" i="132"/>
  <c r="P23" i="132" s="1"/>
  <c r="I23" i="132"/>
  <c r="N79" i="132"/>
  <c r="N74" i="132"/>
  <c r="N77" i="132" s="1"/>
  <c r="M32" i="132"/>
  <c r="M6" i="132" s="1"/>
  <c r="J32" i="132"/>
  <c r="P57" i="132"/>
  <c r="M68" i="132"/>
  <c r="M16" i="132" s="1"/>
  <c r="J68" i="132"/>
  <c r="J16" i="132" s="1"/>
  <c r="L15" i="132"/>
  <c r="M33" i="132"/>
  <c r="J33" i="132"/>
  <c r="C53" i="132"/>
  <c r="C27" i="132" s="1"/>
  <c r="C48" i="132"/>
  <c r="C51" i="132" s="1"/>
  <c r="J23" i="132"/>
  <c r="M58" i="132"/>
  <c r="J58" i="132"/>
  <c r="P66" i="132"/>
  <c r="P71" i="132"/>
  <c r="E79" i="132"/>
  <c r="G9" i="132"/>
  <c r="G13" i="132" s="1"/>
  <c r="G22" i="132" s="1"/>
  <c r="G25" i="132" s="1"/>
  <c r="M31" i="132"/>
  <c r="H35" i="132"/>
  <c r="H39" i="132" s="1"/>
  <c r="H48" i="132" s="1"/>
  <c r="H51" i="132" s="1"/>
  <c r="J31" i="132"/>
  <c r="D53" i="132"/>
  <c r="D48" i="132"/>
  <c r="D51" i="132" s="1"/>
  <c r="E53" i="132"/>
  <c r="E48" i="132"/>
  <c r="E51" i="132" s="1"/>
  <c r="M45" i="132"/>
  <c r="M19" i="132" s="1"/>
  <c r="L79" i="132"/>
  <c r="L74" i="132"/>
  <c r="L77" i="132" s="1"/>
  <c r="M67" i="132"/>
  <c r="J67" i="132"/>
  <c r="J15" i="132" s="1"/>
  <c r="F79" i="132"/>
  <c r="K39" i="132"/>
  <c r="O35" i="132"/>
  <c r="M69" i="132"/>
  <c r="J69" i="132"/>
  <c r="J17" i="132" s="1"/>
  <c r="M75" i="132"/>
  <c r="M23" i="132" s="1"/>
  <c r="H23" i="132"/>
  <c r="H5" i="132"/>
  <c r="H9" i="132" s="1"/>
  <c r="H13" i="132" s="1"/>
  <c r="H19" i="132"/>
  <c r="I35" i="132"/>
  <c r="I39" i="132" s="1"/>
  <c r="I48" i="132" s="1"/>
  <c r="I51" i="132" s="1"/>
  <c r="I5" i="132"/>
  <c r="P45" i="132"/>
  <c r="I19" i="132"/>
  <c r="M57" i="132"/>
  <c r="M61" i="132" s="1"/>
  <c r="J57" i="132"/>
  <c r="O63" i="132"/>
  <c r="O11" i="132" s="1"/>
  <c r="O71" i="132"/>
  <c r="G79" i="132"/>
  <c r="H14" i="132"/>
  <c r="P17" i="132" l="1"/>
  <c r="P19" i="132"/>
  <c r="P61" i="132"/>
  <c r="P65" i="132" s="1"/>
  <c r="O14" i="132"/>
  <c r="P6" i="132"/>
  <c r="L22" i="132"/>
  <c r="L25" i="132" s="1"/>
  <c r="I9" i="132"/>
  <c r="I13" i="132" s="1"/>
  <c r="I22" i="132" s="1"/>
  <c r="I25" i="132" s="1"/>
  <c r="L53" i="132"/>
  <c r="L27" i="132" s="1"/>
  <c r="M14" i="132"/>
  <c r="I79" i="132"/>
  <c r="P14" i="132"/>
  <c r="K9" i="132"/>
  <c r="K13" i="132" s="1"/>
  <c r="K22" i="132" s="1"/>
  <c r="K25" i="132" s="1"/>
  <c r="G27" i="132"/>
  <c r="M65" i="132"/>
  <c r="M74" i="132" s="1"/>
  <c r="M77" i="132" s="1"/>
  <c r="H79" i="132"/>
  <c r="M17" i="132"/>
  <c r="O61" i="132"/>
  <c r="O65" i="132" s="1"/>
  <c r="O5" i="132"/>
  <c r="O9" i="132" s="1"/>
  <c r="K79" i="132"/>
  <c r="K74" i="132"/>
  <c r="K77" i="132" s="1"/>
  <c r="I53" i="132"/>
  <c r="O19" i="132"/>
  <c r="P5" i="132"/>
  <c r="P9" i="132" s="1"/>
  <c r="P13" i="132" s="1"/>
  <c r="D27" i="132"/>
  <c r="H53" i="132"/>
  <c r="J6" i="132"/>
  <c r="O13" i="132"/>
  <c r="J7" i="132"/>
  <c r="P48" i="132"/>
  <c r="P51" i="132" s="1"/>
  <c r="M7" i="132"/>
  <c r="F27" i="132"/>
  <c r="M15" i="132"/>
  <c r="K53" i="132"/>
  <c r="K48" i="132"/>
  <c r="O39" i="132"/>
  <c r="M5" i="132"/>
  <c r="M9" i="132" s="1"/>
  <c r="M13" i="132" s="1"/>
  <c r="M35" i="132"/>
  <c r="M39" i="132" s="1"/>
  <c r="M48" i="132" s="1"/>
  <c r="M51" i="132" s="1"/>
  <c r="J35" i="132"/>
  <c r="J39" i="132" s="1"/>
  <c r="J48" i="132" s="1"/>
  <c r="J51" i="132" s="1"/>
  <c r="J5" i="132"/>
  <c r="J9" i="132" s="1"/>
  <c r="J13" i="132" s="1"/>
  <c r="J22" i="132" s="1"/>
  <c r="J25" i="132" s="1"/>
  <c r="H22" i="132"/>
  <c r="H25" i="132" s="1"/>
  <c r="J61" i="132"/>
  <c r="J65" i="132" s="1"/>
  <c r="E27" i="132"/>
  <c r="P74" i="132" l="1"/>
  <c r="P77" i="132" s="1"/>
  <c r="P79" i="132"/>
  <c r="H27" i="132"/>
  <c r="M79" i="132"/>
  <c r="I27" i="132"/>
  <c r="O22" i="132"/>
  <c r="O25" i="132" s="1"/>
  <c r="K27" i="132"/>
  <c r="O53" i="132"/>
  <c r="J53" i="132"/>
  <c r="M22" i="132"/>
  <c r="M25" i="132" s="1"/>
  <c r="O74" i="132"/>
  <c r="O77" i="132" s="1"/>
  <c r="O79" i="132"/>
  <c r="J74" i="132"/>
  <c r="J77" i="132" s="1"/>
  <c r="J79" i="132"/>
  <c r="K51" i="132"/>
  <c r="O51" i="132" s="1"/>
  <c r="O48" i="132"/>
  <c r="M53" i="132"/>
  <c r="P22" i="132"/>
  <c r="P25" i="132" s="1"/>
  <c r="P27" i="132"/>
  <c r="M27" i="132" l="1"/>
  <c r="J27" i="132"/>
  <c r="O27" i="132"/>
  <c r="K58" i="127" l="1"/>
  <c r="L58" i="127" s="1"/>
  <c r="M58" i="127" s="1"/>
  <c r="D37" i="62" l="1"/>
  <c r="E37" i="62" s="1"/>
  <c r="F37" i="62" s="1"/>
  <c r="C40" i="62"/>
  <c r="C38" i="62"/>
  <c r="C37" i="62"/>
  <c r="C23" i="62"/>
  <c r="AK22" i="130" l="1"/>
  <c r="AI22" i="130"/>
  <c r="AG22" i="130"/>
  <c r="AE22" i="130"/>
  <c r="AA22" i="130"/>
  <c r="AC22" i="130"/>
  <c r="Y22" i="130"/>
  <c r="W22" i="130"/>
  <c r="U22" i="130"/>
  <c r="S22" i="130"/>
  <c r="C14" i="62"/>
  <c r="D15" i="62"/>
  <c r="D14" i="62" s="1"/>
  <c r="D9" i="62"/>
  <c r="E9" i="62" s="1"/>
  <c r="F9" i="62" s="1"/>
  <c r="G9" i="62" s="1"/>
  <c r="H9" i="62" s="1"/>
  <c r="I9" i="62" s="1"/>
  <c r="J9" i="62" s="1"/>
  <c r="K9" i="62" s="1"/>
  <c r="L9" i="62" s="1"/>
  <c r="M9" i="62" s="1"/>
  <c r="D10" i="62"/>
  <c r="E10" i="62" s="1"/>
  <c r="F10" i="62" s="1"/>
  <c r="G10" i="62" s="1"/>
  <c r="H10" i="62" s="1"/>
  <c r="I10" i="62" s="1"/>
  <c r="J10" i="62" s="1"/>
  <c r="K10" i="62" s="1"/>
  <c r="L10" i="62" s="1"/>
  <c r="M10" i="62" s="1"/>
  <c r="D11" i="62"/>
  <c r="E11" i="62" s="1"/>
  <c r="F11" i="62" s="1"/>
  <c r="G11" i="62" s="1"/>
  <c r="H11" i="62" s="1"/>
  <c r="I11" i="62" s="1"/>
  <c r="J11" i="62" s="1"/>
  <c r="K11" i="62" s="1"/>
  <c r="L11" i="62" s="1"/>
  <c r="M11" i="62" s="1"/>
  <c r="D12" i="62"/>
  <c r="E12" i="62" s="1"/>
  <c r="F12" i="62" s="1"/>
  <c r="G12" i="62" s="1"/>
  <c r="H12" i="62" s="1"/>
  <c r="I12" i="62" s="1"/>
  <c r="J12" i="62" s="1"/>
  <c r="K12" i="62" s="1"/>
  <c r="L12" i="62" s="1"/>
  <c r="M12" i="62" s="1"/>
  <c r="AW9" i="121" l="1"/>
  <c r="AS9" i="121"/>
  <c r="AO9" i="121"/>
  <c r="AK9" i="121"/>
  <c r="AG9" i="121"/>
  <c r="AC9" i="121"/>
  <c r="Y9" i="121"/>
  <c r="U9" i="121"/>
  <c r="Q9" i="121"/>
  <c r="M9" i="121"/>
  <c r="H4" i="131"/>
  <c r="J4" i="131"/>
  <c r="L4" i="131"/>
  <c r="N4" i="131"/>
  <c r="P4" i="131"/>
  <c r="Q4" i="131"/>
  <c r="S4" i="131"/>
  <c r="U4" i="131"/>
  <c r="W4" i="131"/>
  <c r="Y4" i="131"/>
  <c r="AA4" i="131"/>
  <c r="AC4" i="131"/>
  <c r="AE4" i="131"/>
  <c r="AG4" i="131"/>
  <c r="AI4" i="131"/>
  <c r="AK4" i="131"/>
  <c r="H5" i="131"/>
  <c r="J5" i="131"/>
  <c r="L5" i="131"/>
  <c r="N5" i="131"/>
  <c r="P5" i="131"/>
  <c r="Q5" i="131"/>
  <c r="S5" i="131"/>
  <c r="U5" i="131"/>
  <c r="W5" i="131"/>
  <c r="Y5" i="131"/>
  <c r="AA5" i="131"/>
  <c r="AC5" i="131"/>
  <c r="AE5" i="131"/>
  <c r="AG5" i="131"/>
  <c r="AI5" i="131"/>
  <c r="AK5" i="131"/>
  <c r="H6" i="131"/>
  <c r="I6" i="131" s="1"/>
  <c r="J6" i="131"/>
  <c r="K6" i="131" s="1"/>
  <c r="L6" i="131"/>
  <c r="M6" i="131" s="1"/>
  <c r="W6" i="131"/>
  <c r="X6" i="131" s="1"/>
  <c r="Y6" i="131"/>
  <c r="Z6" i="131" s="1"/>
  <c r="H7" i="131"/>
  <c r="H12" i="131" s="1"/>
  <c r="I12" i="131" s="1"/>
  <c r="J7" i="131"/>
  <c r="L7" i="131"/>
  <c r="L12" i="131" s="1"/>
  <c r="M12" i="131" s="1"/>
  <c r="N7" i="131"/>
  <c r="P7" i="131"/>
  <c r="Q7" i="131"/>
  <c r="S7" i="131"/>
  <c r="U7" i="131"/>
  <c r="W7" i="131"/>
  <c r="Y7" i="131"/>
  <c r="AA7" i="131"/>
  <c r="AC7" i="131"/>
  <c r="AE7" i="131"/>
  <c r="AG7" i="131"/>
  <c r="AI7" i="131"/>
  <c r="AK7" i="131"/>
  <c r="H8" i="131"/>
  <c r="J8" i="131"/>
  <c r="L8" i="131"/>
  <c r="N8" i="131"/>
  <c r="P8" i="131"/>
  <c r="Q8" i="131"/>
  <c r="S8" i="131"/>
  <c r="U8" i="131"/>
  <c r="W8" i="131"/>
  <c r="Y8" i="131"/>
  <c r="AA8" i="131"/>
  <c r="AC8" i="131"/>
  <c r="AE8" i="131"/>
  <c r="AG8" i="131"/>
  <c r="AI8" i="131"/>
  <c r="AK8" i="131"/>
  <c r="H9" i="131"/>
  <c r="J9" i="131"/>
  <c r="L9" i="131"/>
  <c r="N9" i="131"/>
  <c r="P9" i="131"/>
  <c r="Q9" i="131"/>
  <c r="S9" i="131"/>
  <c r="U9" i="131"/>
  <c r="W9" i="131"/>
  <c r="Y9" i="131"/>
  <c r="AA9" i="131"/>
  <c r="AC9" i="131"/>
  <c r="AE9" i="131"/>
  <c r="AG9" i="131"/>
  <c r="AI9" i="131"/>
  <c r="AK9" i="131"/>
  <c r="H10" i="131"/>
  <c r="J10" i="131"/>
  <c r="L10" i="131"/>
  <c r="N10" i="131"/>
  <c r="P10" i="131"/>
  <c r="Q10" i="131"/>
  <c r="S10" i="131"/>
  <c r="U10" i="131"/>
  <c r="W10" i="131"/>
  <c r="Y10" i="131"/>
  <c r="AA10" i="131"/>
  <c r="AC10" i="131"/>
  <c r="AE10" i="131"/>
  <c r="AG10" i="131"/>
  <c r="AI10" i="131"/>
  <c r="AK10" i="131"/>
  <c r="H11" i="131"/>
  <c r="J11" i="131"/>
  <c r="L11" i="131"/>
  <c r="N11" i="131"/>
  <c r="P11" i="131"/>
  <c r="Q11" i="131"/>
  <c r="S11" i="131"/>
  <c r="U11" i="131"/>
  <c r="W11" i="131"/>
  <c r="Y11" i="131"/>
  <c r="AA11" i="131"/>
  <c r="AC11" i="131"/>
  <c r="AE11" i="131"/>
  <c r="AG11" i="131"/>
  <c r="AI11" i="131"/>
  <c r="AK11" i="131"/>
  <c r="H13" i="131"/>
  <c r="J13" i="131"/>
  <c r="L13" i="131"/>
  <c r="N13" i="131"/>
  <c r="P13" i="131"/>
  <c r="Q13" i="131"/>
  <c r="S13" i="131"/>
  <c r="U13" i="131"/>
  <c r="W13" i="131"/>
  <c r="Y13" i="131"/>
  <c r="AA13" i="131"/>
  <c r="AC13" i="131"/>
  <c r="AE13" i="131"/>
  <c r="AG13" i="131"/>
  <c r="AI13" i="131"/>
  <c r="AK13" i="131"/>
  <c r="H14" i="131"/>
  <c r="J14" i="131"/>
  <c r="L14" i="131"/>
  <c r="N14" i="131"/>
  <c r="P14" i="131"/>
  <c r="Q14" i="131"/>
  <c r="S14" i="131"/>
  <c r="U14" i="131"/>
  <c r="W14" i="131"/>
  <c r="Y14" i="131"/>
  <c r="AA14" i="131"/>
  <c r="AC14" i="131"/>
  <c r="AE14" i="131"/>
  <c r="AG14" i="131"/>
  <c r="AI14" i="131"/>
  <c r="AK14" i="131"/>
  <c r="H15" i="131"/>
  <c r="J15" i="131"/>
  <c r="L15" i="131"/>
  <c r="N15" i="131"/>
  <c r="P15" i="131"/>
  <c r="Q15" i="131"/>
  <c r="S15" i="131"/>
  <c r="U15" i="131"/>
  <c r="W15" i="131"/>
  <c r="Y15" i="131"/>
  <c r="AA15" i="131"/>
  <c r="AC15" i="131"/>
  <c r="AE15" i="131"/>
  <c r="AG15" i="131"/>
  <c r="AI15" i="131"/>
  <c r="AK15" i="131"/>
  <c r="H16" i="131"/>
  <c r="J16" i="131"/>
  <c r="L16" i="131"/>
  <c r="N16" i="131"/>
  <c r="P16" i="131"/>
  <c r="Q16" i="131"/>
  <c r="S16" i="131"/>
  <c r="U16" i="131"/>
  <c r="W16" i="131"/>
  <c r="Y16" i="131"/>
  <c r="Y17" i="131" s="1"/>
  <c r="Z17" i="131" s="1"/>
  <c r="AA16" i="131"/>
  <c r="AA17" i="131" s="1"/>
  <c r="AB17" i="131" s="1"/>
  <c r="AC16" i="131"/>
  <c r="AE16" i="131"/>
  <c r="AG16" i="131"/>
  <c r="AI16" i="131"/>
  <c r="AK16" i="131"/>
  <c r="H17" i="131"/>
  <c r="I17" i="131" s="1"/>
  <c r="J17" i="131"/>
  <c r="K17" i="131" s="1"/>
  <c r="L17" i="131"/>
  <c r="M17" i="131" s="1"/>
  <c r="H18" i="131"/>
  <c r="J18" i="131"/>
  <c r="L18" i="131"/>
  <c r="N18" i="131"/>
  <c r="P18" i="131"/>
  <c r="Q18" i="131"/>
  <c r="S18" i="131"/>
  <c r="U18" i="131"/>
  <c r="W18" i="131"/>
  <c r="Y18" i="131"/>
  <c r="AA18" i="131"/>
  <c r="AC18" i="131"/>
  <c r="AE18" i="131"/>
  <c r="AG18" i="131"/>
  <c r="AI18" i="131"/>
  <c r="AK18" i="131"/>
  <c r="H19" i="131"/>
  <c r="J19" i="131"/>
  <c r="L19" i="131"/>
  <c r="N19" i="131"/>
  <c r="P19" i="131"/>
  <c r="Q19" i="131"/>
  <c r="S19" i="131"/>
  <c r="U19" i="131"/>
  <c r="W19" i="131"/>
  <c r="Y19" i="131"/>
  <c r="AA19" i="131"/>
  <c r="AC19" i="131"/>
  <c r="AE19" i="131"/>
  <c r="AG19" i="131"/>
  <c r="AI19" i="131"/>
  <c r="AK19" i="131"/>
  <c r="H20" i="131"/>
  <c r="J20" i="131"/>
  <c r="L20" i="131"/>
  <c r="N20" i="131"/>
  <c r="P20" i="131"/>
  <c r="Q20" i="131"/>
  <c r="S20" i="131"/>
  <c r="U20" i="131"/>
  <c r="W20" i="131"/>
  <c r="Y20" i="131"/>
  <c r="AA20" i="131"/>
  <c r="AC20" i="131"/>
  <c r="AE20" i="131"/>
  <c r="AG20" i="131"/>
  <c r="AI20" i="131"/>
  <c r="AK20" i="131"/>
  <c r="H21" i="131"/>
  <c r="I21" i="131" s="1"/>
  <c r="AG21" i="131"/>
  <c r="AH21" i="131" s="1"/>
  <c r="H22" i="131"/>
  <c r="J22" i="131"/>
  <c r="L22" i="131"/>
  <c r="N22" i="131"/>
  <c r="P22" i="131"/>
  <c r="Q22" i="131"/>
  <c r="S22" i="131"/>
  <c r="U22" i="131"/>
  <c r="W22" i="131"/>
  <c r="Y22" i="131"/>
  <c r="AA22" i="131"/>
  <c r="AC22" i="131"/>
  <c r="AE22" i="131"/>
  <c r="AG22" i="131"/>
  <c r="AI22" i="131"/>
  <c r="AK22" i="131"/>
  <c r="H23" i="131"/>
  <c r="J23" i="131"/>
  <c r="L23" i="131"/>
  <c r="N23" i="131"/>
  <c r="P23" i="131"/>
  <c r="Q23" i="131"/>
  <c r="S23" i="131"/>
  <c r="U23" i="131"/>
  <c r="W23" i="131"/>
  <c r="Y23" i="131"/>
  <c r="AA23" i="131"/>
  <c r="AC23" i="131"/>
  <c r="AE23" i="131"/>
  <c r="AG23" i="131"/>
  <c r="AI23" i="131"/>
  <c r="AK23" i="131"/>
  <c r="H24" i="131"/>
  <c r="J24" i="131"/>
  <c r="L24" i="131"/>
  <c r="N24" i="131"/>
  <c r="P24" i="131"/>
  <c r="Q24" i="131"/>
  <c r="S24" i="131"/>
  <c r="U24" i="131"/>
  <c r="W24" i="131"/>
  <c r="Y24" i="131"/>
  <c r="AA24" i="131"/>
  <c r="AC24" i="131"/>
  <c r="AE24" i="131"/>
  <c r="AG24" i="131"/>
  <c r="AI24" i="131"/>
  <c r="AK24" i="131"/>
  <c r="H25" i="131"/>
  <c r="J25" i="131"/>
  <c r="L25" i="131"/>
  <c r="N25" i="131"/>
  <c r="P25" i="131"/>
  <c r="Q25" i="131"/>
  <c r="S25" i="131"/>
  <c r="U25" i="131"/>
  <c r="W25" i="131"/>
  <c r="Y25" i="131"/>
  <c r="AA25" i="131"/>
  <c r="AC25" i="131"/>
  <c r="AE25" i="131"/>
  <c r="AG25" i="131"/>
  <c r="AI25" i="131"/>
  <c r="AK25" i="131"/>
  <c r="H26" i="131"/>
  <c r="J26" i="131"/>
  <c r="L26" i="131"/>
  <c r="N26" i="131"/>
  <c r="P26" i="131"/>
  <c r="Q26" i="131"/>
  <c r="S26" i="131"/>
  <c r="U26" i="131"/>
  <c r="W26" i="131"/>
  <c r="Y26" i="131"/>
  <c r="AA26" i="131"/>
  <c r="AC26" i="131"/>
  <c r="AE26" i="131"/>
  <c r="AG26" i="131"/>
  <c r="AI26" i="131"/>
  <c r="AK26" i="131"/>
  <c r="H27" i="131"/>
  <c r="I27" i="131" s="1"/>
  <c r="J27" i="131"/>
  <c r="K27" i="131" s="1"/>
  <c r="L27" i="131"/>
  <c r="M27" i="131" s="1"/>
  <c r="H28" i="131"/>
  <c r="J28" i="131"/>
  <c r="L28" i="131"/>
  <c r="N28" i="131"/>
  <c r="P28" i="131"/>
  <c r="Q28" i="131"/>
  <c r="S28" i="131"/>
  <c r="U28" i="131"/>
  <c r="W28" i="131"/>
  <c r="Y28" i="131"/>
  <c r="AA28" i="131"/>
  <c r="AC28" i="131"/>
  <c r="AE28" i="131"/>
  <c r="AG28" i="131"/>
  <c r="AI28" i="131"/>
  <c r="AK28" i="131"/>
  <c r="H29" i="131"/>
  <c r="J29" i="131"/>
  <c r="L29" i="131"/>
  <c r="N29" i="131"/>
  <c r="P29" i="131"/>
  <c r="Q29" i="131"/>
  <c r="S29" i="131"/>
  <c r="U29" i="131"/>
  <c r="W29" i="131"/>
  <c r="Y29" i="131"/>
  <c r="AA29" i="131"/>
  <c r="AC29" i="131"/>
  <c r="AE29" i="131"/>
  <c r="AG29" i="131"/>
  <c r="AI29" i="131"/>
  <c r="AK29" i="131"/>
  <c r="H30" i="131"/>
  <c r="J30" i="131"/>
  <c r="L30" i="131"/>
  <c r="N30" i="131"/>
  <c r="Q30" i="131"/>
  <c r="S30" i="131"/>
  <c r="U30" i="131"/>
  <c r="W30" i="131"/>
  <c r="Y30" i="131"/>
  <c r="AA30" i="131"/>
  <c r="AC30" i="131"/>
  <c r="AE30" i="131"/>
  <c r="AG30" i="131"/>
  <c r="AI30" i="131"/>
  <c r="AK30" i="131"/>
  <c r="H31" i="131"/>
  <c r="J31" i="131"/>
  <c r="L31" i="131"/>
  <c r="N31" i="131"/>
  <c r="P31" i="131"/>
  <c r="Q31" i="131"/>
  <c r="S31" i="131"/>
  <c r="U31" i="131"/>
  <c r="W31" i="131"/>
  <c r="Y31" i="131"/>
  <c r="AA31" i="131"/>
  <c r="AC31" i="131"/>
  <c r="AE31" i="131"/>
  <c r="AG31" i="131"/>
  <c r="AI31" i="131"/>
  <c r="AK31" i="131"/>
  <c r="H33" i="131"/>
  <c r="J33" i="131"/>
  <c r="L33" i="131"/>
  <c r="N33" i="131"/>
  <c r="P33" i="131"/>
  <c r="Q33" i="131"/>
  <c r="S33" i="131"/>
  <c r="U33" i="131"/>
  <c r="W33" i="131"/>
  <c r="Y33" i="131"/>
  <c r="AA33" i="131"/>
  <c r="AC33" i="131"/>
  <c r="AC36" i="131" s="1"/>
  <c r="AD36" i="131" s="1"/>
  <c r="AE33" i="131"/>
  <c r="AG33" i="131"/>
  <c r="AI33" i="131"/>
  <c r="AK33" i="131"/>
  <c r="H34" i="131"/>
  <c r="J34" i="131"/>
  <c r="L34" i="131"/>
  <c r="N34" i="131"/>
  <c r="P34" i="131"/>
  <c r="Q34" i="131"/>
  <c r="S34" i="131"/>
  <c r="U34" i="131"/>
  <c r="W34" i="131"/>
  <c r="Y34" i="131"/>
  <c r="AA34" i="131"/>
  <c r="AC34" i="131"/>
  <c r="AE34" i="131"/>
  <c r="AG34" i="131"/>
  <c r="AI34" i="131"/>
  <c r="AK34" i="131"/>
  <c r="H35" i="131"/>
  <c r="J35" i="131"/>
  <c r="L35" i="131"/>
  <c r="N35" i="131"/>
  <c r="P35" i="131"/>
  <c r="Q35" i="131"/>
  <c r="S35" i="131"/>
  <c r="U35" i="131"/>
  <c r="W35" i="131"/>
  <c r="Y35" i="131"/>
  <c r="AA35" i="131"/>
  <c r="AC35" i="131"/>
  <c r="AE35" i="131"/>
  <c r="AG35" i="131"/>
  <c r="AI35" i="131"/>
  <c r="AK35" i="131"/>
  <c r="H37" i="131"/>
  <c r="J37" i="131"/>
  <c r="L37" i="131"/>
  <c r="N37" i="131"/>
  <c r="P37" i="131"/>
  <c r="Q37" i="131"/>
  <c r="S37" i="131"/>
  <c r="U37" i="131"/>
  <c r="W37" i="131"/>
  <c r="Y37" i="131"/>
  <c r="AA37" i="131"/>
  <c r="AC37" i="131"/>
  <c r="AE37" i="131"/>
  <c r="AG37" i="131"/>
  <c r="AI37" i="131"/>
  <c r="AK37" i="131"/>
  <c r="H38" i="131"/>
  <c r="J38" i="131"/>
  <c r="L38" i="131"/>
  <c r="N38" i="131"/>
  <c r="Q38" i="131"/>
  <c r="S38" i="131"/>
  <c r="U38" i="131"/>
  <c r="W38" i="131"/>
  <c r="Y38" i="131"/>
  <c r="AA38" i="131"/>
  <c r="AC38" i="131"/>
  <c r="AE38" i="131"/>
  <c r="AG38" i="131"/>
  <c r="AI38" i="131"/>
  <c r="AK38" i="131"/>
  <c r="H39" i="131"/>
  <c r="J39" i="131"/>
  <c r="L39" i="131"/>
  <c r="N39" i="131"/>
  <c r="P39" i="131"/>
  <c r="Q39" i="131"/>
  <c r="S39" i="131"/>
  <c r="U39" i="131"/>
  <c r="W39" i="131"/>
  <c r="Y39" i="131"/>
  <c r="AA39" i="131"/>
  <c r="AC39" i="131"/>
  <c r="AE39" i="131"/>
  <c r="AG39" i="131"/>
  <c r="AI39" i="131"/>
  <c r="AK39" i="131"/>
  <c r="H40" i="131"/>
  <c r="J40" i="131"/>
  <c r="L40" i="131"/>
  <c r="N40" i="131"/>
  <c r="P40" i="131"/>
  <c r="Q40" i="131"/>
  <c r="S40" i="131"/>
  <c r="U40" i="131"/>
  <c r="W40" i="131"/>
  <c r="Y40" i="131"/>
  <c r="AA40" i="131"/>
  <c r="AC40" i="131"/>
  <c r="AE40" i="131"/>
  <c r="AG40" i="131"/>
  <c r="AI40" i="131"/>
  <c r="AK40" i="131"/>
  <c r="H41" i="131"/>
  <c r="J41" i="131"/>
  <c r="L41" i="131"/>
  <c r="N41" i="131"/>
  <c r="P41" i="131"/>
  <c r="Q41" i="131"/>
  <c r="S41" i="131"/>
  <c r="U41" i="131"/>
  <c r="W41" i="131"/>
  <c r="Y41" i="131"/>
  <c r="AA41" i="131"/>
  <c r="AC41" i="131"/>
  <c r="AE41" i="131"/>
  <c r="AG41" i="131"/>
  <c r="AI41" i="131"/>
  <c r="AK41" i="131"/>
  <c r="H42" i="131"/>
  <c r="J42" i="131"/>
  <c r="L42" i="131"/>
  <c r="N42" i="131"/>
  <c r="P42" i="131"/>
  <c r="Q42" i="131"/>
  <c r="S42" i="131"/>
  <c r="U42" i="131"/>
  <c r="W42" i="131"/>
  <c r="Y42" i="131"/>
  <c r="AA42" i="131"/>
  <c r="AC42" i="131"/>
  <c r="AE42" i="131"/>
  <c r="AG42" i="131"/>
  <c r="AI42" i="131"/>
  <c r="AK42" i="131"/>
  <c r="H44" i="131"/>
  <c r="J44" i="131"/>
  <c r="L44" i="131"/>
  <c r="N44" i="131"/>
  <c r="P44" i="131"/>
  <c r="Q44" i="131"/>
  <c r="S44" i="131"/>
  <c r="U44" i="131"/>
  <c r="W44" i="131"/>
  <c r="Y44" i="131"/>
  <c r="AA44" i="131"/>
  <c r="AC44" i="131"/>
  <c r="AE44" i="131"/>
  <c r="AG44" i="131"/>
  <c r="AI44" i="131"/>
  <c r="AK44" i="131"/>
  <c r="H45" i="131"/>
  <c r="J45" i="131"/>
  <c r="L45" i="131"/>
  <c r="N45" i="131"/>
  <c r="P45" i="131"/>
  <c r="Q45" i="131"/>
  <c r="S45" i="131"/>
  <c r="U45" i="131"/>
  <c r="W45" i="131"/>
  <c r="Y45" i="131"/>
  <c r="AA45" i="131"/>
  <c r="AC45" i="131"/>
  <c r="AE45" i="131"/>
  <c r="AG45" i="131"/>
  <c r="AI45" i="131"/>
  <c r="AK45" i="131"/>
  <c r="H46" i="131"/>
  <c r="J46" i="131"/>
  <c r="L46" i="131"/>
  <c r="N46" i="131"/>
  <c r="P46" i="131"/>
  <c r="Q46" i="131"/>
  <c r="S46" i="131"/>
  <c r="U46" i="131"/>
  <c r="W46" i="131"/>
  <c r="Y46" i="131"/>
  <c r="AA46" i="131"/>
  <c r="AC46" i="131"/>
  <c r="AE46" i="131"/>
  <c r="AG46" i="131"/>
  <c r="AI46" i="131"/>
  <c r="AK46" i="131"/>
  <c r="H47" i="131"/>
  <c r="J47" i="131"/>
  <c r="L47" i="131"/>
  <c r="L48" i="131" s="1"/>
  <c r="M48" i="131" s="1"/>
  <c r="N47" i="131"/>
  <c r="P47" i="131"/>
  <c r="Q47" i="131"/>
  <c r="S47" i="131"/>
  <c r="U47" i="131"/>
  <c r="W47" i="131"/>
  <c r="Y47" i="131"/>
  <c r="AA47" i="131"/>
  <c r="AC47" i="131"/>
  <c r="AE47" i="131"/>
  <c r="AG47" i="131"/>
  <c r="AI47" i="131"/>
  <c r="AK47" i="131"/>
  <c r="H48" i="131"/>
  <c r="I48" i="131" s="1"/>
  <c r="H49" i="131"/>
  <c r="J49" i="131"/>
  <c r="L49" i="131"/>
  <c r="N49" i="131"/>
  <c r="P49" i="131"/>
  <c r="Q49" i="131"/>
  <c r="S49" i="131"/>
  <c r="U49" i="131"/>
  <c r="W49" i="131"/>
  <c r="Y49" i="131"/>
  <c r="AA49" i="131"/>
  <c r="AC49" i="131"/>
  <c r="AE49" i="131"/>
  <c r="AG49" i="131"/>
  <c r="AI49" i="131"/>
  <c r="AI53" i="131" s="1"/>
  <c r="AJ53" i="131" s="1"/>
  <c r="AK49" i="131"/>
  <c r="H50" i="131"/>
  <c r="J50" i="131"/>
  <c r="L50" i="131"/>
  <c r="N50" i="131"/>
  <c r="P50" i="131"/>
  <c r="Q50" i="131"/>
  <c r="S50" i="131"/>
  <c r="U50" i="131"/>
  <c r="W50" i="131"/>
  <c r="Y50" i="131"/>
  <c r="AA50" i="131"/>
  <c r="AC50" i="131"/>
  <c r="AE50" i="131"/>
  <c r="AG50" i="131"/>
  <c r="AI50" i="131"/>
  <c r="AK50" i="131"/>
  <c r="H51" i="131"/>
  <c r="J51" i="131"/>
  <c r="L51" i="131"/>
  <c r="N51" i="131"/>
  <c r="P51" i="131"/>
  <c r="Q51" i="131"/>
  <c r="S51" i="131"/>
  <c r="U51" i="131"/>
  <c r="W51" i="131"/>
  <c r="Y51" i="131"/>
  <c r="AA51" i="131"/>
  <c r="AC51" i="131"/>
  <c r="AE51" i="131"/>
  <c r="AG51" i="131"/>
  <c r="AI51" i="131"/>
  <c r="AK51" i="131"/>
  <c r="H52" i="131"/>
  <c r="J52" i="131"/>
  <c r="J53" i="131" s="1"/>
  <c r="K53" i="131" s="1"/>
  <c r="L52" i="131"/>
  <c r="N52" i="131"/>
  <c r="P52" i="131"/>
  <c r="Q52" i="131"/>
  <c r="S52" i="131"/>
  <c r="U52" i="131"/>
  <c r="W52" i="131"/>
  <c r="Y52" i="131"/>
  <c r="AA52" i="131"/>
  <c r="AC52" i="131"/>
  <c r="AE52" i="131"/>
  <c r="AG52" i="131"/>
  <c r="AI52" i="131"/>
  <c r="AK52" i="131"/>
  <c r="H54" i="131"/>
  <c r="J54" i="131"/>
  <c r="L54" i="131"/>
  <c r="N54" i="131"/>
  <c r="P54" i="131"/>
  <c r="Q54" i="131"/>
  <c r="S54" i="131"/>
  <c r="U54" i="131"/>
  <c r="W54" i="131"/>
  <c r="Y54" i="131"/>
  <c r="AA54" i="131"/>
  <c r="AC54" i="131"/>
  <c r="AE54" i="131"/>
  <c r="AG54" i="131"/>
  <c r="AI54" i="131"/>
  <c r="AK54" i="131"/>
  <c r="H55" i="131"/>
  <c r="J55" i="131"/>
  <c r="L55" i="131"/>
  <c r="N55" i="131"/>
  <c r="P55" i="131"/>
  <c r="Q55" i="131"/>
  <c r="S55" i="131"/>
  <c r="U55" i="131"/>
  <c r="W55" i="131"/>
  <c r="Y55" i="131"/>
  <c r="AA55" i="131"/>
  <c r="AC55" i="131"/>
  <c r="AE55" i="131"/>
  <c r="AG55" i="131"/>
  <c r="AI55" i="131"/>
  <c r="AK55" i="131"/>
  <c r="H56" i="131"/>
  <c r="J56" i="131"/>
  <c r="L56" i="131"/>
  <c r="N56" i="131"/>
  <c r="P56" i="131"/>
  <c r="Q56" i="131"/>
  <c r="S56" i="131"/>
  <c r="U56" i="131"/>
  <c r="W56" i="131"/>
  <c r="Y56" i="131"/>
  <c r="AA56" i="131"/>
  <c r="AC56" i="131"/>
  <c r="AE56" i="131"/>
  <c r="AG56" i="131"/>
  <c r="AI56" i="131"/>
  <c r="AK56" i="131"/>
  <c r="H57" i="131"/>
  <c r="J57" i="131"/>
  <c r="L57" i="131"/>
  <c r="N57" i="131"/>
  <c r="P57" i="131"/>
  <c r="Q57" i="131"/>
  <c r="S57" i="131"/>
  <c r="U57" i="131"/>
  <c r="W57" i="131"/>
  <c r="Y57" i="131"/>
  <c r="AA57" i="131"/>
  <c r="AC57" i="131"/>
  <c r="AE57" i="131"/>
  <c r="AG57" i="131"/>
  <c r="AI57" i="131"/>
  <c r="AK57" i="131"/>
  <c r="H58" i="131"/>
  <c r="I58" i="131" s="1"/>
  <c r="H59" i="131"/>
  <c r="J59" i="131"/>
  <c r="L59" i="131"/>
  <c r="N59" i="131"/>
  <c r="P59" i="131"/>
  <c r="Q59" i="131"/>
  <c r="S59" i="131"/>
  <c r="U59" i="131"/>
  <c r="W59" i="131"/>
  <c r="Y59" i="131"/>
  <c r="AA59" i="131"/>
  <c r="AC59" i="131"/>
  <c r="AE59" i="131"/>
  <c r="AG59" i="131"/>
  <c r="AI59" i="131"/>
  <c r="AK59" i="131"/>
  <c r="H60" i="131"/>
  <c r="J60" i="131"/>
  <c r="L60" i="131"/>
  <c r="N60" i="131"/>
  <c r="P60" i="131"/>
  <c r="Q60" i="131"/>
  <c r="S60" i="131"/>
  <c r="U60" i="131"/>
  <c r="W60" i="131"/>
  <c r="Y60" i="131"/>
  <c r="AA60" i="131"/>
  <c r="AC60" i="131"/>
  <c r="AE60" i="131"/>
  <c r="AG60" i="131"/>
  <c r="AI60" i="131"/>
  <c r="AK60" i="131"/>
  <c r="H61" i="131"/>
  <c r="J61" i="131"/>
  <c r="L61" i="131"/>
  <c r="N61" i="131"/>
  <c r="P61" i="131"/>
  <c r="Q61" i="131"/>
  <c r="S61" i="131"/>
  <c r="U61" i="131"/>
  <c r="W61" i="131"/>
  <c r="Y61" i="131"/>
  <c r="AA61" i="131"/>
  <c r="AC61" i="131"/>
  <c r="AE61" i="131"/>
  <c r="AG61" i="131"/>
  <c r="AI61" i="131"/>
  <c r="AK61" i="131"/>
  <c r="H62" i="131"/>
  <c r="J62" i="131"/>
  <c r="L62" i="131"/>
  <c r="N62" i="131"/>
  <c r="P62" i="131"/>
  <c r="Q62" i="131"/>
  <c r="S62" i="131"/>
  <c r="U62" i="131"/>
  <c r="W62" i="131"/>
  <c r="W63" i="131" s="1"/>
  <c r="X63" i="131" s="1"/>
  <c r="Y62" i="131"/>
  <c r="AA62" i="131"/>
  <c r="AC62" i="131"/>
  <c r="AE62" i="131"/>
  <c r="AG62" i="131"/>
  <c r="AI62" i="131"/>
  <c r="AK62" i="131"/>
  <c r="H63" i="131"/>
  <c r="I63" i="131" s="1"/>
  <c r="J63" i="131"/>
  <c r="K63" i="131" s="1"/>
  <c r="H64" i="131"/>
  <c r="J64" i="131"/>
  <c r="L64" i="131"/>
  <c r="N64" i="131"/>
  <c r="P64" i="131"/>
  <c r="Q64" i="131"/>
  <c r="S64" i="131"/>
  <c r="U64" i="131"/>
  <c r="W64" i="131"/>
  <c r="Y64" i="131"/>
  <c r="AA64" i="131"/>
  <c r="AA68" i="131" s="1"/>
  <c r="AB68" i="131" s="1"/>
  <c r="AC64" i="131"/>
  <c r="AE64" i="131"/>
  <c r="AG64" i="131"/>
  <c r="AI64" i="131"/>
  <c r="AK64" i="131"/>
  <c r="H65" i="131"/>
  <c r="J65" i="131"/>
  <c r="L65" i="131"/>
  <c r="N65" i="131"/>
  <c r="P65" i="131"/>
  <c r="Q65" i="131"/>
  <c r="S65" i="131"/>
  <c r="U65" i="131"/>
  <c r="W65" i="131"/>
  <c r="Y65" i="131"/>
  <c r="AA65" i="131"/>
  <c r="AC65" i="131"/>
  <c r="AE65" i="131"/>
  <c r="AG65" i="131"/>
  <c r="AI65" i="131"/>
  <c r="AK65" i="131"/>
  <c r="H66" i="131"/>
  <c r="J66" i="131"/>
  <c r="L66" i="131"/>
  <c r="N66" i="131"/>
  <c r="P66" i="131"/>
  <c r="Q66" i="131"/>
  <c r="S66" i="131"/>
  <c r="U66" i="131"/>
  <c r="W66" i="131"/>
  <c r="Y66" i="131"/>
  <c r="AA66" i="131"/>
  <c r="AC66" i="131"/>
  <c r="AE66" i="131"/>
  <c r="AG66" i="131"/>
  <c r="AI66" i="131"/>
  <c r="AK66" i="131"/>
  <c r="H67" i="131"/>
  <c r="J67" i="131"/>
  <c r="L67" i="131"/>
  <c r="N67" i="131"/>
  <c r="P67" i="131"/>
  <c r="Q67" i="131"/>
  <c r="S67" i="131"/>
  <c r="U67" i="131"/>
  <c r="W67" i="131"/>
  <c r="Y67" i="131"/>
  <c r="AA67" i="131"/>
  <c r="AC67" i="131"/>
  <c r="AE67" i="131"/>
  <c r="AG67" i="131"/>
  <c r="AI67" i="131"/>
  <c r="AK67" i="131"/>
  <c r="H68" i="131"/>
  <c r="I68" i="131" s="1"/>
  <c r="L68" i="131"/>
  <c r="M68" i="131" s="1"/>
  <c r="H69" i="131"/>
  <c r="J69" i="131"/>
  <c r="L69" i="131"/>
  <c r="N69" i="131"/>
  <c r="P69" i="131"/>
  <c r="Q69" i="131"/>
  <c r="S69" i="131"/>
  <c r="U69" i="131"/>
  <c r="W69" i="131"/>
  <c r="Y69" i="131"/>
  <c r="AA69" i="131"/>
  <c r="AC69" i="131"/>
  <c r="AE69" i="131"/>
  <c r="AG69" i="131"/>
  <c r="AI69" i="131"/>
  <c r="AK69" i="131"/>
  <c r="H70" i="131"/>
  <c r="J70" i="131"/>
  <c r="L70" i="131"/>
  <c r="N70" i="131"/>
  <c r="P70" i="131"/>
  <c r="Q70" i="131"/>
  <c r="S70" i="131"/>
  <c r="U70" i="131"/>
  <c r="W70" i="131"/>
  <c r="Y70" i="131"/>
  <c r="AA70" i="131"/>
  <c r="AC70" i="131"/>
  <c r="AE70" i="131"/>
  <c r="AG70" i="131"/>
  <c r="AI70" i="131"/>
  <c r="AK70" i="131"/>
  <c r="H71" i="131"/>
  <c r="J71" i="131"/>
  <c r="L71" i="131"/>
  <c r="N71" i="131"/>
  <c r="P71" i="131"/>
  <c r="Q71" i="131"/>
  <c r="S71" i="131"/>
  <c r="U71" i="131"/>
  <c r="W71" i="131"/>
  <c r="Y71" i="131"/>
  <c r="AA71" i="131"/>
  <c r="AC71" i="131"/>
  <c r="AE71" i="131"/>
  <c r="AG71" i="131"/>
  <c r="AI71" i="131"/>
  <c r="AK71" i="131"/>
  <c r="H72" i="131"/>
  <c r="J72" i="131"/>
  <c r="L72" i="131"/>
  <c r="N72" i="131"/>
  <c r="P72" i="131"/>
  <c r="Q72" i="131"/>
  <c r="S72" i="131"/>
  <c r="U72" i="131"/>
  <c r="W72" i="131"/>
  <c r="Y72" i="131"/>
  <c r="AA72" i="131"/>
  <c r="AC72" i="131"/>
  <c r="AE72" i="131"/>
  <c r="AG72" i="131"/>
  <c r="AI72" i="131"/>
  <c r="AK72" i="131"/>
  <c r="H74" i="131"/>
  <c r="J74" i="131"/>
  <c r="L74" i="131"/>
  <c r="N74" i="131"/>
  <c r="Q74" i="131"/>
  <c r="S74" i="131"/>
  <c r="U74" i="131"/>
  <c r="W74" i="131"/>
  <c r="Y74" i="131"/>
  <c r="AA74" i="131"/>
  <c r="AC74" i="131"/>
  <c r="AE74" i="131"/>
  <c r="AG74" i="131"/>
  <c r="AI74" i="131"/>
  <c r="AK74" i="131"/>
  <c r="H75" i="131"/>
  <c r="J75" i="131"/>
  <c r="L75" i="131"/>
  <c r="N75" i="131"/>
  <c r="Q75" i="131"/>
  <c r="S75" i="131"/>
  <c r="U75" i="131"/>
  <c r="W75" i="131"/>
  <c r="Y75" i="131"/>
  <c r="AA75" i="131"/>
  <c r="AC75" i="131"/>
  <c r="AE75" i="131"/>
  <c r="AG75" i="131"/>
  <c r="AI75" i="131"/>
  <c r="AK75" i="131"/>
  <c r="H76" i="131"/>
  <c r="J76" i="131"/>
  <c r="L76" i="131"/>
  <c r="N76" i="131"/>
  <c r="Q76" i="131"/>
  <c r="S76" i="131"/>
  <c r="U76" i="131"/>
  <c r="W76" i="131"/>
  <c r="Y76" i="131"/>
  <c r="AA76" i="131"/>
  <c r="AC76" i="131"/>
  <c r="AE76" i="131"/>
  <c r="AG76" i="131"/>
  <c r="AI76" i="131"/>
  <c r="AK76" i="131"/>
  <c r="H77" i="131"/>
  <c r="J77" i="131"/>
  <c r="L77" i="131"/>
  <c r="N77" i="131"/>
  <c r="Q77" i="131"/>
  <c r="S77" i="131"/>
  <c r="U77" i="131"/>
  <c r="W77" i="131"/>
  <c r="Y77" i="131"/>
  <c r="AA77" i="131"/>
  <c r="AC77" i="131"/>
  <c r="AE77" i="131"/>
  <c r="AG77" i="131"/>
  <c r="AI77" i="131"/>
  <c r="AK77" i="131"/>
  <c r="H78" i="131"/>
  <c r="J78" i="131"/>
  <c r="L78" i="131"/>
  <c r="N78" i="131"/>
  <c r="Q78" i="131"/>
  <c r="S78" i="131"/>
  <c r="U78" i="131"/>
  <c r="W78" i="131"/>
  <c r="Y78" i="131"/>
  <c r="AA78" i="131"/>
  <c r="AC78" i="131"/>
  <c r="AE78" i="131"/>
  <c r="AG78" i="131"/>
  <c r="AI78" i="131"/>
  <c r="AK78" i="131"/>
  <c r="H80" i="131"/>
  <c r="J80" i="131"/>
  <c r="L80" i="131"/>
  <c r="N80" i="131"/>
  <c r="Q80" i="131"/>
  <c r="S80" i="131"/>
  <c r="U80" i="131"/>
  <c r="W80" i="131"/>
  <c r="Y80" i="131"/>
  <c r="AA80" i="131"/>
  <c r="AC80" i="131"/>
  <c r="AE80" i="131"/>
  <c r="AG80" i="131"/>
  <c r="AI80" i="131"/>
  <c r="AK80" i="131"/>
  <c r="H81" i="131"/>
  <c r="J81" i="131"/>
  <c r="L81" i="131"/>
  <c r="N81" i="131"/>
  <c r="Q81" i="131"/>
  <c r="S81" i="131"/>
  <c r="U81" i="131"/>
  <c r="W81" i="131"/>
  <c r="Y81" i="131"/>
  <c r="AA81" i="131"/>
  <c r="AC81" i="131"/>
  <c r="AE81" i="131"/>
  <c r="AG81" i="131"/>
  <c r="AI81" i="131"/>
  <c r="AK81" i="131"/>
  <c r="H82" i="131"/>
  <c r="J82" i="131"/>
  <c r="L82" i="131"/>
  <c r="N82" i="131"/>
  <c r="Q82" i="131"/>
  <c r="S82" i="131"/>
  <c r="U82" i="131"/>
  <c r="W82" i="131"/>
  <c r="Y82" i="131"/>
  <c r="AA82" i="131"/>
  <c r="AC82" i="131"/>
  <c r="AE82" i="131"/>
  <c r="AG82" i="131"/>
  <c r="AI82" i="131"/>
  <c r="AK82" i="131"/>
  <c r="H83" i="131"/>
  <c r="J83" i="131"/>
  <c r="L83" i="131"/>
  <c r="N83" i="131"/>
  <c r="Q83" i="131"/>
  <c r="S83" i="131"/>
  <c r="U83" i="131"/>
  <c r="W83" i="131"/>
  <c r="Y83" i="131"/>
  <c r="AA83" i="131"/>
  <c r="AC83" i="131"/>
  <c r="AE83" i="131"/>
  <c r="AG83" i="131"/>
  <c r="AI83" i="131"/>
  <c r="AK83" i="131"/>
  <c r="H85" i="131"/>
  <c r="J85" i="131"/>
  <c r="L85" i="131"/>
  <c r="N85" i="131"/>
  <c r="P85" i="131"/>
  <c r="Q85" i="131"/>
  <c r="S85" i="131"/>
  <c r="U85" i="131"/>
  <c r="W85" i="131"/>
  <c r="Y85" i="131"/>
  <c r="AA85" i="131"/>
  <c r="AC85" i="131"/>
  <c r="AE85" i="131"/>
  <c r="AG85" i="131"/>
  <c r="AI85" i="131"/>
  <c r="AK85" i="131"/>
  <c r="H86" i="131"/>
  <c r="J86" i="131"/>
  <c r="L86" i="131"/>
  <c r="N86" i="131"/>
  <c r="P86" i="131"/>
  <c r="Q86" i="131"/>
  <c r="S86" i="131"/>
  <c r="U86" i="131"/>
  <c r="W86" i="131"/>
  <c r="Y86" i="131"/>
  <c r="AA86" i="131"/>
  <c r="AC86" i="131"/>
  <c r="AE86" i="131"/>
  <c r="AG86" i="131"/>
  <c r="AI86" i="131"/>
  <c r="AK86" i="131"/>
  <c r="H87" i="131"/>
  <c r="J87" i="131"/>
  <c r="L87" i="131"/>
  <c r="N87" i="131"/>
  <c r="P87" i="131"/>
  <c r="Q87" i="131"/>
  <c r="S87" i="131"/>
  <c r="U87" i="131"/>
  <c r="W87" i="131"/>
  <c r="Y87" i="131"/>
  <c r="AA87" i="131"/>
  <c r="AC87" i="131"/>
  <c r="AE87" i="131"/>
  <c r="AG87" i="131"/>
  <c r="AI87" i="131"/>
  <c r="AK87" i="131"/>
  <c r="H88" i="131"/>
  <c r="J88" i="131"/>
  <c r="K88" i="131" s="1"/>
  <c r="H89" i="131"/>
  <c r="J89" i="131"/>
  <c r="L89" i="131"/>
  <c r="N89" i="131"/>
  <c r="N93" i="131" s="1"/>
  <c r="O93" i="131" s="1"/>
  <c r="P89" i="131"/>
  <c r="Q89" i="131"/>
  <c r="S89" i="131"/>
  <c r="U89" i="131"/>
  <c r="W89" i="131"/>
  <c r="Y89" i="131"/>
  <c r="AA89" i="131"/>
  <c r="AC89" i="131"/>
  <c r="AE89" i="131"/>
  <c r="AG89" i="131"/>
  <c r="AI89" i="131"/>
  <c r="AK89" i="131"/>
  <c r="H90" i="131"/>
  <c r="J90" i="131"/>
  <c r="L90" i="131"/>
  <c r="N90" i="131"/>
  <c r="P90" i="131"/>
  <c r="Q90" i="131"/>
  <c r="S90" i="131"/>
  <c r="U90" i="131"/>
  <c r="W90" i="131"/>
  <c r="Y90" i="131"/>
  <c r="AA90" i="131"/>
  <c r="AC90" i="131"/>
  <c r="AE90" i="131"/>
  <c r="AG90" i="131"/>
  <c r="AI90" i="131"/>
  <c r="AK90" i="131"/>
  <c r="H91" i="131"/>
  <c r="J91" i="131"/>
  <c r="L91" i="131"/>
  <c r="N91" i="131"/>
  <c r="P91" i="131"/>
  <c r="Q91" i="131"/>
  <c r="S91" i="131"/>
  <c r="U91" i="131"/>
  <c r="W91" i="131"/>
  <c r="Y91" i="131"/>
  <c r="AA91" i="131"/>
  <c r="AC91" i="131"/>
  <c r="AE91" i="131"/>
  <c r="AG91" i="131"/>
  <c r="AI91" i="131"/>
  <c r="AK91" i="131"/>
  <c r="H92" i="131"/>
  <c r="H93" i="131" s="1"/>
  <c r="I93" i="131" s="1"/>
  <c r="J92" i="131"/>
  <c r="L92" i="131"/>
  <c r="N92" i="131"/>
  <c r="P92" i="131"/>
  <c r="Q92" i="131"/>
  <c r="S92" i="131"/>
  <c r="U92" i="131"/>
  <c r="W92" i="131"/>
  <c r="Y92" i="131"/>
  <c r="AA92" i="131"/>
  <c r="AC92" i="131"/>
  <c r="AE92" i="131"/>
  <c r="AG92" i="131"/>
  <c r="AI92" i="131"/>
  <c r="AK92" i="131"/>
  <c r="J93" i="131"/>
  <c r="K93" i="131" s="1"/>
  <c r="S93" i="131"/>
  <c r="T93" i="131" s="1"/>
  <c r="F96" i="131"/>
  <c r="P22" i="130"/>
  <c r="N22" i="130"/>
  <c r="L22" i="130"/>
  <c r="J22" i="130"/>
  <c r="AK12" i="130"/>
  <c r="AI12" i="130"/>
  <c r="AG12" i="130"/>
  <c r="AE12" i="130"/>
  <c r="AC12" i="130"/>
  <c r="AA12" i="130"/>
  <c r="Y12" i="130"/>
  <c r="W12" i="130"/>
  <c r="U12" i="130"/>
  <c r="S12" i="130"/>
  <c r="AA73" i="131" l="1"/>
  <c r="AB73" i="131" s="1"/>
  <c r="N36" i="131"/>
  <c r="O36" i="131" s="1"/>
  <c r="Y27" i="131"/>
  <c r="Z27" i="131" s="1"/>
  <c r="Q93" i="131"/>
  <c r="R93" i="131" s="1"/>
  <c r="W93" i="131"/>
  <c r="X93" i="131" s="1"/>
  <c r="AC48" i="131"/>
  <c r="AD48" i="131" s="1"/>
  <c r="N48" i="131"/>
  <c r="O48" i="131" s="1"/>
  <c r="U63" i="131"/>
  <c r="V63" i="131" s="1"/>
  <c r="H53" i="131"/>
  <c r="I53" i="131" s="1"/>
  <c r="AA6" i="131"/>
  <c r="AB6" i="131" s="1"/>
  <c r="N68" i="131"/>
  <c r="O68" i="131" s="1"/>
  <c r="AE63" i="131"/>
  <c r="AF63" i="131" s="1"/>
  <c r="S53" i="131"/>
  <c r="T53" i="131" s="1"/>
  <c r="AE73" i="131"/>
  <c r="AF73" i="131" s="1"/>
  <c r="AE53" i="131"/>
  <c r="AF53" i="131" s="1"/>
  <c r="AE36" i="131"/>
  <c r="AF36" i="131" s="1"/>
  <c r="AG12" i="131"/>
  <c r="AH12" i="131" s="1"/>
  <c r="W48" i="131"/>
  <c r="X48" i="131" s="1"/>
  <c r="Y36" i="131"/>
  <c r="Z36" i="131" s="1"/>
  <c r="H32" i="131"/>
  <c r="I32" i="131" s="1"/>
  <c r="AI43" i="131"/>
  <c r="AJ43" i="131" s="1"/>
  <c r="S43" i="131"/>
  <c r="T43" i="131" s="1"/>
  <c r="AC27" i="131"/>
  <c r="AD27" i="131" s="1"/>
  <c r="AA27" i="131"/>
  <c r="AB27" i="131" s="1"/>
  <c r="AE58" i="131"/>
  <c r="AF58" i="131" s="1"/>
  <c r="H73" i="131"/>
  <c r="I73" i="131" s="1"/>
  <c r="Q36" i="131"/>
  <c r="R36" i="131" s="1"/>
  <c r="L21" i="131"/>
  <c r="M21" i="131" s="1"/>
  <c r="Q32" i="131"/>
  <c r="R32" i="131" s="1"/>
  <c r="Q12" i="131"/>
  <c r="R12" i="131" s="1"/>
  <c r="Y88" i="131"/>
  <c r="Z88" i="131" s="1"/>
  <c r="AI93" i="131"/>
  <c r="AJ93" i="131" s="1"/>
  <c r="Y79" i="131"/>
  <c r="Z79" i="131" s="1"/>
  <c r="H79" i="131"/>
  <c r="I79" i="131" s="1"/>
  <c r="W79" i="131"/>
  <c r="X79" i="131" s="1"/>
  <c r="W68" i="131"/>
  <c r="X68" i="131" s="1"/>
  <c r="W43" i="131"/>
  <c r="X43" i="131" s="1"/>
  <c r="AC6" i="131"/>
  <c r="AD6" i="131" s="1"/>
  <c r="AG93" i="131"/>
  <c r="AH93" i="131" s="1"/>
  <c r="AE84" i="131"/>
  <c r="AF84" i="131" s="1"/>
  <c r="U73" i="131"/>
  <c r="V73" i="131" s="1"/>
  <c r="AA58" i="131"/>
  <c r="AB58" i="131" s="1"/>
  <c r="L58" i="131"/>
  <c r="M58" i="131" s="1"/>
  <c r="W53" i="131"/>
  <c r="X53" i="131" s="1"/>
  <c r="Y32" i="131"/>
  <c r="Z32" i="131" s="1"/>
  <c r="AC68" i="131"/>
  <c r="AD68" i="131" s="1"/>
  <c r="U53" i="131"/>
  <c r="V53" i="131" s="1"/>
  <c r="AE48" i="131"/>
  <c r="AF48" i="131" s="1"/>
  <c r="U32" i="131"/>
  <c r="V32" i="131" s="1"/>
  <c r="AI6" i="131"/>
  <c r="AJ6" i="131" s="1"/>
  <c r="AA88" i="131"/>
  <c r="AB88" i="131" s="1"/>
  <c r="W84" i="131"/>
  <c r="X84" i="131" s="1"/>
  <c r="AI63" i="131"/>
  <c r="AJ63" i="131" s="1"/>
  <c r="S63" i="131"/>
  <c r="T63" i="131" s="1"/>
  <c r="AA53" i="131"/>
  <c r="AB53" i="131" s="1"/>
  <c r="AI27" i="131"/>
  <c r="AJ27" i="131" s="1"/>
  <c r="S27" i="131"/>
  <c r="T27" i="131" s="1"/>
  <c r="AA21" i="131"/>
  <c r="AB21" i="131" s="1"/>
  <c r="AI17" i="131"/>
  <c r="AJ17" i="131" s="1"/>
  <c r="S17" i="131"/>
  <c r="T17" i="131" s="1"/>
  <c r="S6" i="131"/>
  <c r="T6" i="131" s="1"/>
  <c r="U84" i="131"/>
  <c r="V84" i="131" s="1"/>
  <c r="AI73" i="131"/>
  <c r="AJ73" i="131" s="1"/>
  <c r="S73" i="131"/>
  <c r="T73" i="131" s="1"/>
  <c r="W58" i="131"/>
  <c r="X58" i="131" s="1"/>
  <c r="AA36" i="131"/>
  <c r="AB36" i="131" s="1"/>
  <c r="L36" i="131"/>
  <c r="M36" i="131" s="1"/>
  <c r="AI32" i="131"/>
  <c r="AJ32" i="131" s="1"/>
  <c r="S32" i="131"/>
  <c r="T32" i="131" s="1"/>
  <c r="AG32" i="131"/>
  <c r="AH32" i="131" s="1"/>
  <c r="AA12" i="131"/>
  <c r="AB12" i="131" s="1"/>
  <c r="S88" i="131"/>
  <c r="T88" i="131" s="1"/>
  <c r="AE79" i="131"/>
  <c r="U79" i="131"/>
  <c r="V79" i="131" s="1"/>
  <c r="AE93" i="131"/>
  <c r="AF93" i="131" s="1"/>
  <c r="L79" i="131"/>
  <c r="M79" i="131" s="1"/>
  <c r="AE68" i="131"/>
  <c r="AF68" i="131" s="1"/>
  <c r="AG88" i="131"/>
  <c r="AH88" i="131" s="1"/>
  <c r="Q88" i="131"/>
  <c r="R88" i="131" s="1"/>
  <c r="N63" i="131"/>
  <c r="O63" i="131" s="1"/>
  <c r="AE88" i="131"/>
  <c r="AF88" i="131" s="1"/>
  <c r="AI84" i="131"/>
  <c r="AJ84" i="131" s="1"/>
  <c r="S84" i="131"/>
  <c r="T84" i="131" s="1"/>
  <c r="N84" i="131"/>
  <c r="O84" i="131" s="1"/>
  <c r="AC84" i="131"/>
  <c r="AD84" i="131" s="1"/>
  <c r="L84" i="131"/>
  <c r="M84" i="131" s="1"/>
  <c r="AA63" i="131"/>
  <c r="AB63" i="131" s="1"/>
  <c r="H36" i="131"/>
  <c r="I36" i="131" s="1"/>
  <c r="U93" i="131"/>
  <c r="N88" i="131"/>
  <c r="O88" i="131" s="1"/>
  <c r="U36" i="131"/>
  <c r="V36" i="131" s="1"/>
  <c r="AC32" i="131"/>
  <c r="AD32" i="131" s="1"/>
  <c r="AA32" i="131"/>
  <c r="AB32" i="131" s="1"/>
  <c r="L32" i="131"/>
  <c r="M32" i="131" s="1"/>
  <c r="Q21" i="131"/>
  <c r="R21" i="131" s="1"/>
  <c r="J73" i="131"/>
  <c r="K73" i="131" s="1"/>
  <c r="J32" i="131"/>
  <c r="K32" i="131" s="1"/>
  <c r="AC79" i="131"/>
  <c r="AD79" i="131" s="1"/>
  <c r="W73" i="131"/>
  <c r="X73" i="131" s="1"/>
  <c r="AC58" i="131"/>
  <c r="AD58" i="131" s="1"/>
  <c r="N58" i="131"/>
  <c r="O58" i="131" s="1"/>
  <c r="AA48" i="131"/>
  <c r="AB48" i="131" s="1"/>
  <c r="AA43" i="131"/>
  <c r="AB43" i="131" s="1"/>
  <c r="AG36" i="131"/>
  <c r="AH36" i="131" s="1"/>
  <c r="V93" i="131"/>
  <c r="N79" i="131"/>
  <c r="O79" i="131" s="1"/>
  <c r="S68" i="131"/>
  <c r="T68" i="131" s="1"/>
  <c r="J43" i="131"/>
  <c r="K43" i="131" s="1"/>
  <c r="H43" i="131"/>
  <c r="I43" i="131" s="1"/>
  <c r="AE32" i="131"/>
  <c r="AF32" i="131" s="1"/>
  <c r="W27" i="131"/>
  <c r="X27" i="131" s="1"/>
  <c r="Y21" i="131"/>
  <c r="Z21" i="131" s="1"/>
  <c r="J21" i="131"/>
  <c r="K21" i="131" s="1"/>
  <c r="AG17" i="131"/>
  <c r="AH17" i="131" s="1"/>
  <c r="Q17" i="131"/>
  <c r="R17" i="131" s="1"/>
  <c r="AI12" i="131"/>
  <c r="AJ12" i="131" s="1"/>
  <c r="S12" i="131"/>
  <c r="T12" i="131" s="1"/>
  <c r="AI88" i="131"/>
  <c r="W36" i="131"/>
  <c r="X36" i="131" s="1"/>
  <c r="U21" i="131"/>
  <c r="V21" i="131" s="1"/>
  <c r="AC17" i="131"/>
  <c r="AD17" i="131" s="1"/>
  <c r="N17" i="131"/>
  <c r="O17" i="131" s="1"/>
  <c r="AC93" i="131"/>
  <c r="AD93" i="131" s="1"/>
  <c r="W88" i="131"/>
  <c r="AI79" i="131"/>
  <c r="AJ79" i="131" s="1"/>
  <c r="S79" i="131"/>
  <c r="T79" i="131" s="1"/>
  <c r="AI68" i="131"/>
  <c r="AJ68" i="131" s="1"/>
  <c r="AG68" i="131"/>
  <c r="AH68" i="131" s="1"/>
  <c r="Q68" i="131"/>
  <c r="R68" i="131" s="1"/>
  <c r="U43" i="131"/>
  <c r="V43" i="131" s="1"/>
  <c r="J36" i="131"/>
  <c r="K36" i="131" s="1"/>
  <c r="N32" i="131"/>
  <c r="O32" i="131" s="1"/>
  <c r="U27" i="131"/>
  <c r="V27" i="131" s="1"/>
  <c r="W21" i="131"/>
  <c r="X21" i="131" s="1"/>
  <c r="AE17" i="131"/>
  <c r="AF17" i="131" s="1"/>
  <c r="AG6" i="131"/>
  <c r="AH6" i="131" s="1"/>
  <c r="Q6" i="131"/>
  <c r="R6" i="131" s="1"/>
  <c r="L63" i="131"/>
  <c r="M63" i="131" s="1"/>
  <c r="U58" i="131"/>
  <c r="V58" i="131" s="1"/>
  <c r="AG27" i="131"/>
  <c r="AH27" i="131" s="1"/>
  <c r="Q27" i="131"/>
  <c r="R27" i="131" s="1"/>
  <c r="AI21" i="131"/>
  <c r="AJ21" i="131" s="1"/>
  <c r="S21" i="131"/>
  <c r="T21" i="131" s="1"/>
  <c r="AC12" i="131"/>
  <c r="AD12" i="131" s="1"/>
  <c r="N12" i="131"/>
  <c r="O12" i="131" s="1"/>
  <c r="N6" i="131"/>
  <c r="O6" i="131" s="1"/>
  <c r="L93" i="131"/>
  <c r="M93" i="131" s="1"/>
  <c r="H84" i="131"/>
  <c r="I84" i="131" s="1"/>
  <c r="Y63" i="131"/>
  <c r="Z63" i="131" s="1"/>
  <c r="AI58" i="131"/>
  <c r="AJ58" i="131" s="1"/>
  <c r="S58" i="131"/>
  <c r="T58" i="131" s="1"/>
  <c r="AC53" i="131"/>
  <c r="AD53" i="131" s="1"/>
  <c r="N53" i="131"/>
  <c r="O53" i="131" s="1"/>
  <c r="AE43" i="131"/>
  <c r="AF43" i="131" s="1"/>
  <c r="AI36" i="131"/>
  <c r="AJ36" i="131" s="1"/>
  <c r="S36" i="131"/>
  <c r="T36" i="131" s="1"/>
  <c r="W32" i="131"/>
  <c r="X32" i="131" s="1"/>
  <c r="AE27" i="131"/>
  <c r="AF27" i="131" s="1"/>
  <c r="J84" i="131"/>
  <c r="K84" i="131" s="1"/>
  <c r="AC73" i="131"/>
  <c r="AD73" i="131" s="1"/>
  <c r="Q58" i="131"/>
  <c r="R58" i="131" s="1"/>
  <c r="L53" i="131"/>
  <c r="M53" i="131" s="1"/>
  <c r="U48" i="131"/>
  <c r="V48" i="131" s="1"/>
  <c r="N27" i="131"/>
  <c r="O27" i="131" s="1"/>
  <c r="AE21" i="131"/>
  <c r="AF21" i="131" s="1"/>
  <c r="W17" i="131"/>
  <c r="X17" i="131" s="1"/>
  <c r="Y12" i="131"/>
  <c r="Z12" i="131" s="1"/>
  <c r="J12" i="131"/>
  <c r="K12" i="131" s="1"/>
  <c r="AC63" i="131"/>
  <c r="AD63" i="131" s="1"/>
  <c r="AE12" i="131"/>
  <c r="AF12" i="131" s="1"/>
  <c r="AA93" i="131"/>
  <c r="AB93" i="131" s="1"/>
  <c r="Y84" i="131"/>
  <c r="Z84" i="131" s="1"/>
  <c r="Y93" i="131"/>
  <c r="Z93" i="131" s="1"/>
  <c r="AC88" i="131"/>
  <c r="N73" i="131"/>
  <c r="O73" i="131" s="1"/>
  <c r="AG58" i="131"/>
  <c r="AH58" i="131" s="1"/>
  <c r="L73" i="131"/>
  <c r="M73" i="131" s="1"/>
  <c r="Y53" i="131"/>
  <c r="Z53" i="131" s="1"/>
  <c r="AI48" i="131"/>
  <c r="AJ48" i="131" s="1"/>
  <c r="S48" i="131"/>
  <c r="T48" i="131" s="1"/>
  <c r="N43" i="131"/>
  <c r="O43" i="131" s="1"/>
  <c r="AC43" i="131"/>
  <c r="AD43" i="131" s="1"/>
  <c r="L43" i="131"/>
  <c r="M43" i="131" s="1"/>
  <c r="AC21" i="131"/>
  <c r="AD21" i="131" s="1"/>
  <c r="N21" i="131"/>
  <c r="O21" i="131" s="1"/>
  <c r="U17" i="131"/>
  <c r="V17" i="131" s="1"/>
  <c r="W12" i="131"/>
  <c r="X12" i="131" s="1"/>
  <c r="AE6" i="131"/>
  <c r="AF6" i="131" s="1"/>
  <c r="Y73" i="131"/>
  <c r="Z73" i="131" s="1"/>
  <c r="U68" i="131"/>
  <c r="V68" i="131" s="1"/>
  <c r="AG48" i="131"/>
  <c r="AH48" i="131" s="1"/>
  <c r="Q48" i="131"/>
  <c r="R48" i="131" s="1"/>
  <c r="Y43" i="131"/>
  <c r="Z43" i="131" s="1"/>
  <c r="U12" i="131"/>
  <c r="V12" i="131" s="1"/>
  <c r="U6" i="131"/>
  <c r="V6" i="131" s="1"/>
  <c r="AF79" i="131"/>
  <c r="X88" i="131"/>
  <c r="AJ88" i="131"/>
  <c r="Y68" i="131"/>
  <c r="Z68" i="131" s="1"/>
  <c r="J68" i="131"/>
  <c r="K68" i="131" s="1"/>
  <c r="L88" i="131"/>
  <c r="AA84" i="131"/>
  <c r="AA79" i="131"/>
  <c r="AB79" i="131" s="1"/>
  <c r="J79" i="131"/>
  <c r="AG53" i="131"/>
  <c r="AH53" i="131" s="1"/>
  <c r="Q53" i="131"/>
  <c r="R53" i="131" s="1"/>
  <c r="I88" i="131"/>
  <c r="AG63" i="131"/>
  <c r="AH63" i="131" s="1"/>
  <c r="Q63" i="131"/>
  <c r="R63" i="131" s="1"/>
  <c r="Y48" i="131"/>
  <c r="Z48" i="131" s="1"/>
  <c r="J48" i="131"/>
  <c r="K48" i="131" s="1"/>
  <c r="U88" i="131"/>
  <c r="AG73" i="131"/>
  <c r="AH73" i="131" s="1"/>
  <c r="Q73" i="131"/>
  <c r="R73" i="131" s="1"/>
  <c r="AG43" i="131"/>
  <c r="AH43" i="131" s="1"/>
  <c r="Q43" i="131"/>
  <c r="R43" i="131" s="1"/>
  <c r="AG84" i="131"/>
  <c r="AH84" i="131" s="1"/>
  <c r="Q84" i="131"/>
  <c r="R84" i="131" s="1"/>
  <c r="AG79" i="131"/>
  <c r="AH79" i="131" s="1"/>
  <c r="Q79" i="131"/>
  <c r="R79" i="131" s="1"/>
  <c r="Y58" i="131"/>
  <c r="Z58" i="131" s="1"/>
  <c r="J58" i="131"/>
  <c r="K58" i="131" s="1"/>
  <c r="N96" i="131" l="1"/>
  <c r="O96" i="131" s="1"/>
  <c r="AC96" i="131"/>
  <c r="W96" i="131"/>
  <c r="X96" i="131" s="1"/>
  <c r="AE96" i="131"/>
  <c r="AF96" i="131" s="1"/>
  <c r="S96" i="131"/>
  <c r="T96" i="131" s="1"/>
  <c r="AD88" i="131"/>
  <c r="AI96" i="131"/>
  <c r="AJ96" i="131" s="1"/>
  <c r="H96" i="131"/>
  <c r="I96" i="131" s="1"/>
  <c r="AB84" i="131"/>
  <c r="AA96" i="131"/>
  <c r="K79" i="131"/>
  <c r="J96" i="131"/>
  <c r="K96" i="131" s="1"/>
  <c r="AG96" i="131"/>
  <c r="Y96" i="131"/>
  <c r="M88" i="131"/>
  <c r="L96" i="131"/>
  <c r="M96" i="131" s="1"/>
  <c r="V88" i="131"/>
  <c r="U96" i="131"/>
  <c r="Q96" i="131"/>
  <c r="L15" i="62" l="1"/>
  <c r="H15" i="62"/>
  <c r="V96" i="131"/>
  <c r="G15" i="62"/>
  <c r="G14" i="62" s="1"/>
  <c r="J15" i="62"/>
  <c r="Z96" i="131"/>
  <c r="I15" i="62"/>
  <c r="F15" i="62"/>
  <c r="F14" i="62" s="1"/>
  <c r="R96" i="131"/>
  <c r="E15" i="62"/>
  <c r="E14" i="62" s="1"/>
  <c r="AH96" i="131"/>
  <c r="M15" i="62"/>
  <c r="AD96" i="131"/>
  <c r="K15" i="62"/>
  <c r="AB96" i="131"/>
  <c r="D40" i="62" l="1"/>
  <c r="E40" i="62" s="1"/>
  <c r="D38" i="62" l="1"/>
  <c r="E38" i="62" s="1"/>
  <c r="E102" i="127" l="1"/>
  <c r="V102" i="127"/>
  <c r="W102" i="127"/>
  <c r="X102" i="127"/>
  <c r="Y102" i="127"/>
  <c r="Z102" i="127"/>
  <c r="AA102" i="127"/>
  <c r="AB102" i="127"/>
  <c r="AC102" i="127"/>
  <c r="AD102" i="127"/>
  <c r="AE102" i="127"/>
  <c r="AF102" i="127"/>
  <c r="AG102" i="127"/>
  <c r="AH102" i="127"/>
  <c r="AI102" i="127"/>
  <c r="AJ102" i="127"/>
  <c r="AK102" i="127"/>
  <c r="AL102" i="127"/>
  <c r="AM102" i="127"/>
  <c r="AN102" i="127"/>
  <c r="AO102" i="127"/>
  <c r="AP102" i="127"/>
  <c r="AQ102" i="127"/>
  <c r="AR102" i="127"/>
  <c r="AS102" i="127"/>
  <c r="AT102" i="127"/>
  <c r="AU102" i="127"/>
  <c r="AV102" i="127"/>
  <c r="AW102" i="127"/>
  <c r="D102" i="127"/>
  <c r="G58" i="127" l="1"/>
  <c r="H58" i="127" l="1"/>
  <c r="I58" i="127" l="1"/>
  <c r="AG78" i="127" l="1"/>
  <c r="AH78" i="127"/>
  <c r="AI78" i="127"/>
  <c r="AJ78" i="127"/>
  <c r="AK78" i="127"/>
  <c r="AL78" i="127"/>
  <c r="AM78" i="127"/>
  <c r="AN78" i="127"/>
  <c r="AO78" i="127"/>
  <c r="AP78" i="127"/>
  <c r="AQ78" i="127"/>
  <c r="AR78" i="127"/>
  <c r="AS78" i="127"/>
  <c r="AT78" i="127"/>
  <c r="AU78" i="127"/>
  <c r="AV78" i="127"/>
  <c r="AW78" i="127"/>
  <c r="AG79" i="127"/>
  <c r="AH79" i="127"/>
  <c r="AI79" i="127"/>
  <c r="AJ79" i="127"/>
  <c r="AK79" i="127"/>
  <c r="AL79" i="127"/>
  <c r="AM79" i="127"/>
  <c r="AN79" i="127"/>
  <c r="AO79" i="127"/>
  <c r="AP79" i="127"/>
  <c r="AQ79" i="127"/>
  <c r="AR79" i="127"/>
  <c r="AS79" i="127"/>
  <c r="AT79" i="127"/>
  <c r="AU79" i="127"/>
  <c r="AV79" i="127"/>
  <c r="AW79" i="127"/>
  <c r="AG80" i="127"/>
  <c r="AH80" i="127"/>
  <c r="AI80" i="127"/>
  <c r="AJ80" i="127"/>
  <c r="AK80" i="127"/>
  <c r="AL80" i="127"/>
  <c r="AM80" i="127"/>
  <c r="AN80" i="127"/>
  <c r="AO80" i="127"/>
  <c r="AP80" i="127"/>
  <c r="AQ80" i="127"/>
  <c r="AR80" i="127"/>
  <c r="AS80" i="127"/>
  <c r="AT80" i="127"/>
  <c r="AU80" i="127"/>
  <c r="AV80" i="127"/>
  <c r="AW80" i="127"/>
  <c r="F75" i="127" l="1"/>
  <c r="V74" i="127"/>
  <c r="W74" i="127"/>
  <c r="W67" i="127" s="1"/>
  <c r="X74" i="127"/>
  <c r="X67" i="127" s="1"/>
  <c r="Y74" i="127"/>
  <c r="Y67" i="127" s="1"/>
  <c r="Z74" i="127"/>
  <c r="AA74" i="127"/>
  <c r="AA67" i="127" s="1"/>
  <c r="AB74" i="127"/>
  <c r="AB67" i="127" s="1"/>
  <c r="AC74" i="127"/>
  <c r="AC67" i="127" s="1"/>
  <c r="AD74" i="127"/>
  <c r="AE74" i="127"/>
  <c r="AE67" i="127" s="1"/>
  <c r="AF74" i="127"/>
  <c r="AF67" i="127" s="1"/>
  <c r="AG74" i="127"/>
  <c r="AG67" i="127" s="1"/>
  <c r="AH74" i="127"/>
  <c r="AI74" i="127"/>
  <c r="AI67" i="127" s="1"/>
  <c r="AJ74" i="127"/>
  <c r="AJ67" i="127" s="1"/>
  <c r="AK74" i="127"/>
  <c r="AK67" i="127" s="1"/>
  <c r="AL74" i="127"/>
  <c r="AM74" i="127"/>
  <c r="AM67" i="127" s="1"/>
  <c r="AN74" i="127"/>
  <c r="AN67" i="127" s="1"/>
  <c r="AO74" i="127"/>
  <c r="AO67" i="127" s="1"/>
  <c r="AP74" i="127"/>
  <c r="AQ74" i="127"/>
  <c r="AQ67" i="127" s="1"/>
  <c r="AR74" i="127"/>
  <c r="AR67" i="127" s="1"/>
  <c r="AS74" i="127"/>
  <c r="AS67" i="127" s="1"/>
  <c r="AT74" i="127"/>
  <c r="AU74" i="127"/>
  <c r="AU67" i="127" s="1"/>
  <c r="AV74" i="127"/>
  <c r="AV67" i="127" s="1"/>
  <c r="AW74" i="127"/>
  <c r="AW67" i="127" s="1"/>
  <c r="E74" i="127"/>
  <c r="D74" i="127"/>
  <c r="AU92" i="127"/>
  <c r="AV92" i="127"/>
  <c r="AW92" i="127"/>
  <c r="AT92" i="127"/>
  <c r="AQ92" i="127"/>
  <c r="AR92" i="127"/>
  <c r="AS92" i="127"/>
  <c r="AP92" i="127"/>
  <c r="AM92" i="127"/>
  <c r="AN92" i="127"/>
  <c r="AO92" i="127"/>
  <c r="AL92" i="127"/>
  <c r="AI92" i="127"/>
  <c r="AJ92" i="127"/>
  <c r="AK92" i="127"/>
  <c r="AH92" i="127"/>
  <c r="AE92" i="127"/>
  <c r="AF92" i="127"/>
  <c r="AG92" i="127"/>
  <c r="AD92" i="127"/>
  <c r="AA92" i="127"/>
  <c r="AB92" i="127"/>
  <c r="AC92" i="127"/>
  <c r="Z92" i="127"/>
  <c r="W92" i="127"/>
  <c r="X92" i="127"/>
  <c r="Y92" i="127"/>
  <c r="V92" i="127"/>
  <c r="E91" i="127"/>
  <c r="F91" i="127"/>
  <c r="G91" i="127"/>
  <c r="H91" i="127"/>
  <c r="I91" i="127"/>
  <c r="E86" i="127"/>
  <c r="D91" i="127"/>
  <c r="F102" i="127" l="1"/>
  <c r="AL67" i="127"/>
  <c r="Z67" i="127"/>
  <c r="I75" i="127"/>
  <c r="AP67" i="127"/>
  <c r="AD67" i="127"/>
  <c r="AT67" i="127"/>
  <c r="V67" i="127"/>
  <c r="AH67" i="127"/>
  <c r="G75" i="127"/>
  <c r="H75" i="127"/>
  <c r="F74" i="127"/>
  <c r="H74" i="127" l="1"/>
  <c r="H102" i="127"/>
  <c r="I74" i="127"/>
  <c r="I102" i="127"/>
  <c r="G74" i="127"/>
  <c r="G102" i="127"/>
  <c r="AU81" i="127"/>
  <c r="AM81" i="127"/>
  <c r="AR81" i="127"/>
  <c r="AJ81" i="127"/>
  <c r="AP81" i="127"/>
  <c r="AH81" i="127"/>
  <c r="AW81" i="127"/>
  <c r="AO81" i="127"/>
  <c r="AG81" i="127"/>
  <c r="AV81" i="127"/>
  <c r="AN81" i="127"/>
  <c r="AT81" i="127"/>
  <c r="AL81" i="127"/>
  <c r="AQ81" i="127"/>
  <c r="AI81" i="127"/>
  <c r="AS81" i="127"/>
  <c r="AK81" i="127"/>
  <c r="AN21" i="121"/>
  <c r="AN23" i="127" s="1"/>
  <c r="AR21" i="121"/>
  <c r="AR23" i="127" s="1"/>
  <c r="AV21" i="121"/>
  <c r="AV23" i="127" s="1"/>
  <c r="AW21" i="121"/>
  <c r="AW23" i="127" s="1"/>
  <c r="AN22" i="121"/>
  <c r="AN24" i="127" s="1"/>
  <c r="AO22" i="121"/>
  <c r="AO24" i="127" s="1"/>
  <c r="AR22" i="121"/>
  <c r="AR24" i="127" s="1"/>
  <c r="AS22" i="121"/>
  <c r="AS24" i="127" s="1"/>
  <c r="AV22" i="121"/>
  <c r="AV24" i="127" s="1"/>
  <c r="AW22" i="121"/>
  <c r="AW24" i="127" s="1"/>
  <c r="AK22" i="121"/>
  <c r="AL23" i="121"/>
  <c r="AM23" i="121"/>
  <c r="AM25" i="127" s="1"/>
  <c r="AN23" i="121"/>
  <c r="AN25" i="127" s="1"/>
  <c r="AP23" i="121"/>
  <c r="AP25" i="127" s="1"/>
  <c r="AQ23" i="121"/>
  <c r="AQ25" i="127" s="1"/>
  <c r="AR23" i="121"/>
  <c r="AR25" i="127" s="1"/>
  <c r="AT23" i="121"/>
  <c r="AU23" i="121"/>
  <c r="AU25" i="127" s="1"/>
  <c r="AV23" i="121"/>
  <c r="AV25" i="127" s="1"/>
  <c r="AN24" i="121"/>
  <c r="AN26" i="127" s="1"/>
  <c r="AO24" i="121"/>
  <c r="AO26" i="127" s="1"/>
  <c r="AR24" i="121"/>
  <c r="AR26" i="127" s="1"/>
  <c r="AS24" i="121"/>
  <c r="AS26" i="127" s="1"/>
  <c r="AV24" i="121"/>
  <c r="AV26" i="127" s="1"/>
  <c r="AW24" i="121"/>
  <c r="AW26" i="127" s="1"/>
  <c r="AK24" i="121"/>
  <c r="AL25" i="121"/>
  <c r="AN25" i="121"/>
  <c r="AN27" i="127" s="1"/>
  <c r="AO25" i="121"/>
  <c r="AP25" i="121"/>
  <c r="AR25" i="121"/>
  <c r="AR27" i="127" s="1"/>
  <c r="AS25" i="121"/>
  <c r="AS27" i="127" s="1"/>
  <c r="AT25" i="121"/>
  <c r="AV25" i="121"/>
  <c r="AV27" i="127" s="1"/>
  <c r="AW25" i="121"/>
  <c r="AK25" i="121"/>
  <c r="AL26" i="121"/>
  <c r="AL28" i="127" s="1"/>
  <c r="AM26" i="121"/>
  <c r="AM28" i="127" s="1"/>
  <c r="AN26" i="121"/>
  <c r="AN28" i="127" s="1"/>
  <c r="AP26" i="121"/>
  <c r="AP28" i="127" s="1"/>
  <c r="AQ26" i="121"/>
  <c r="AQ28" i="127" s="1"/>
  <c r="AR26" i="121"/>
  <c r="AT26" i="121"/>
  <c r="AU26" i="121"/>
  <c r="AV26" i="121"/>
  <c r="AV28" i="127" s="1"/>
  <c r="K6" i="62"/>
  <c r="K4" i="62"/>
  <c r="AL4" i="127" s="1"/>
  <c r="AN22" i="127"/>
  <c r="AO22" i="127"/>
  <c r="AR22" i="127"/>
  <c r="AS22" i="127"/>
  <c r="AV22" i="127"/>
  <c r="AW22" i="127"/>
  <c r="AL25" i="127"/>
  <c r="AT25" i="127"/>
  <c r="AL27" i="127"/>
  <c r="AO27" i="127"/>
  <c r="AP27" i="127"/>
  <c r="AT27" i="127"/>
  <c r="AW27" i="127"/>
  <c r="AR28" i="127"/>
  <c r="AT28" i="127"/>
  <c r="AU28" i="127"/>
  <c r="AN11" i="127"/>
  <c r="AO11" i="127"/>
  <c r="AR11" i="127"/>
  <c r="AS11" i="127"/>
  <c r="AV11" i="127"/>
  <c r="AW11" i="127"/>
  <c r="AM6" i="127" l="1"/>
  <c r="L4" i="62"/>
  <c r="AR4" i="127" s="1"/>
  <c r="AO6" i="127"/>
  <c r="L6" i="62"/>
  <c r="AP6" i="127" s="1"/>
  <c r="AQ4" i="127"/>
  <c r="AL6" i="127"/>
  <c r="AO4" i="127"/>
  <c r="AN6" i="127"/>
  <c r="AN4" i="127"/>
  <c r="AM4" i="127"/>
  <c r="D29" i="124"/>
  <c r="E29" i="124"/>
  <c r="F29" i="124"/>
  <c r="G29" i="124"/>
  <c r="H29" i="124"/>
  <c r="C29" i="124"/>
  <c r="C19" i="124"/>
  <c r="M4" i="62" l="1"/>
  <c r="AU4" i="127" s="1"/>
  <c r="AS4" i="127"/>
  <c r="AP4" i="127"/>
  <c r="AQ6" i="127"/>
  <c r="AR6" i="127"/>
  <c r="AS6" i="127"/>
  <c r="M6" i="62"/>
  <c r="J29" i="124"/>
  <c r="AW4" i="127"/>
  <c r="AV4" i="127"/>
  <c r="AI6" i="127"/>
  <c r="AI7" i="127" s="1"/>
  <c r="AJ6" i="127"/>
  <c r="AJ7" i="127" s="1"/>
  <c r="AK6" i="127"/>
  <c r="AH6" i="127"/>
  <c r="AH7" i="127" s="1"/>
  <c r="AE6" i="127"/>
  <c r="AE7" i="127" s="1"/>
  <c r="AF6" i="127"/>
  <c r="AF7" i="127" s="1"/>
  <c r="AG6" i="127"/>
  <c r="AG7" i="127" s="1"/>
  <c r="AD6" i="127"/>
  <c r="AD7" i="127" s="1"/>
  <c r="AA6" i="127"/>
  <c r="AA7" i="127" s="1"/>
  <c r="AB6" i="127"/>
  <c r="AB7" i="127" s="1"/>
  <c r="AC6" i="127"/>
  <c r="AC7" i="127" s="1"/>
  <c r="Z6" i="127"/>
  <c r="Z7" i="127" s="1"/>
  <c r="W6" i="127"/>
  <c r="W7" i="127" s="1"/>
  <c r="X6" i="127"/>
  <c r="X7" i="127" s="1"/>
  <c r="Y6" i="127"/>
  <c r="Y7" i="127" s="1"/>
  <c r="V6" i="127"/>
  <c r="V7" i="127" s="1"/>
  <c r="S6" i="127"/>
  <c r="S7" i="127" s="1"/>
  <c r="T6" i="127"/>
  <c r="T7" i="127" s="1"/>
  <c r="U6" i="127"/>
  <c r="U7" i="127" s="1"/>
  <c r="R6" i="127"/>
  <c r="R7" i="127" s="1"/>
  <c r="O6" i="127"/>
  <c r="O7" i="127" s="1"/>
  <c r="P6" i="127"/>
  <c r="P7" i="127" s="1"/>
  <c r="Q6" i="127"/>
  <c r="Q7" i="127" s="1"/>
  <c r="N6" i="127"/>
  <c r="N7" i="127" s="1"/>
  <c r="K6" i="127"/>
  <c r="K7" i="127" s="1"/>
  <c r="L6" i="127"/>
  <c r="L7" i="127" s="1"/>
  <c r="M6" i="127"/>
  <c r="M7" i="127" s="1"/>
  <c r="J6" i="127"/>
  <c r="J7" i="127" s="1"/>
  <c r="G6" i="127"/>
  <c r="G7" i="127" s="1"/>
  <c r="H6" i="127"/>
  <c r="H7" i="127" s="1"/>
  <c r="I6" i="127"/>
  <c r="I7" i="127" s="1"/>
  <c r="F6" i="127"/>
  <c r="F7" i="127" s="1"/>
  <c r="L22" i="127"/>
  <c r="M22" i="127"/>
  <c r="P22" i="127"/>
  <c r="Q22" i="127"/>
  <c r="T22" i="127"/>
  <c r="U22" i="127"/>
  <c r="X22" i="127"/>
  <c r="Y22" i="127"/>
  <c r="AB22" i="127"/>
  <c r="AC22" i="127"/>
  <c r="AF22" i="127"/>
  <c r="AG22" i="127"/>
  <c r="AJ22" i="127"/>
  <c r="AK22" i="127"/>
  <c r="E11" i="127"/>
  <c r="H11" i="127"/>
  <c r="I11" i="127"/>
  <c r="L11" i="127"/>
  <c r="M11" i="127"/>
  <c r="P11" i="127"/>
  <c r="Q11" i="127"/>
  <c r="T11" i="127"/>
  <c r="U11" i="127"/>
  <c r="X11" i="127"/>
  <c r="Y11" i="127"/>
  <c r="AB11" i="127"/>
  <c r="AC11" i="127"/>
  <c r="AF11" i="127"/>
  <c r="AG11" i="127"/>
  <c r="AJ11" i="127"/>
  <c r="AK11" i="127"/>
  <c r="D11" i="127"/>
  <c r="E9" i="127"/>
  <c r="F9" i="127" s="1"/>
  <c r="G9" i="127" s="1"/>
  <c r="H9" i="127" s="1"/>
  <c r="I9" i="127" s="1"/>
  <c r="J9" i="127" s="1"/>
  <c r="K9" i="127" s="1"/>
  <c r="L9" i="127" s="1"/>
  <c r="M9" i="127" s="1"/>
  <c r="N9" i="127" s="1"/>
  <c r="O9" i="127" s="1"/>
  <c r="P9" i="127" s="1"/>
  <c r="Q9" i="127" s="1"/>
  <c r="R9" i="127" s="1"/>
  <c r="S9" i="127" s="1"/>
  <c r="T9" i="127" s="1"/>
  <c r="U9" i="127" s="1"/>
  <c r="V9" i="127" s="1"/>
  <c r="W9" i="127" s="1"/>
  <c r="X9" i="127" s="1"/>
  <c r="Y9" i="127" s="1"/>
  <c r="Z9" i="127" s="1"/>
  <c r="AA9" i="127" s="1"/>
  <c r="AB9" i="127" s="1"/>
  <c r="AC9" i="127" s="1"/>
  <c r="AD9" i="127" s="1"/>
  <c r="AE9" i="127" s="1"/>
  <c r="AF9" i="127" s="1"/>
  <c r="AG9" i="127" s="1"/>
  <c r="AH9" i="127" s="1"/>
  <c r="AI9" i="127" s="1"/>
  <c r="AJ9" i="127" s="1"/>
  <c r="AK9" i="127" s="1"/>
  <c r="AL9" i="127" s="1"/>
  <c r="AM9" i="127" s="1"/>
  <c r="AN9" i="127" s="1"/>
  <c r="AO9" i="127" s="1"/>
  <c r="AP9" i="127" s="1"/>
  <c r="AQ9" i="127" s="1"/>
  <c r="AR9" i="127" s="1"/>
  <c r="AS9" i="127" s="1"/>
  <c r="AT9" i="127" s="1"/>
  <c r="AU9" i="127" s="1"/>
  <c r="AV9" i="127" s="1"/>
  <c r="AW9" i="127" s="1"/>
  <c r="L24" i="127"/>
  <c r="D26" i="127"/>
  <c r="D23" i="127"/>
  <c r="H23" i="127"/>
  <c r="L23" i="127"/>
  <c r="E24" i="127"/>
  <c r="H24" i="127"/>
  <c r="I24" i="127"/>
  <c r="M22" i="121"/>
  <c r="M24" i="127" s="1"/>
  <c r="Q22" i="121"/>
  <c r="Q24" i="127" s="1"/>
  <c r="U22" i="121"/>
  <c r="U24" i="127" s="1"/>
  <c r="Y22" i="121"/>
  <c r="Y24" i="127" s="1"/>
  <c r="AC22" i="121"/>
  <c r="AC24" i="127" s="1"/>
  <c r="AG22" i="121"/>
  <c r="AG24" i="127" s="1"/>
  <c r="AK24" i="127"/>
  <c r="F25" i="127"/>
  <c r="G25" i="127"/>
  <c r="H25" i="127"/>
  <c r="J25" i="127"/>
  <c r="K25" i="127"/>
  <c r="L25" i="127"/>
  <c r="N23" i="121"/>
  <c r="N25" i="127" s="1"/>
  <c r="O23" i="121"/>
  <c r="O25" i="127" s="1"/>
  <c r="P23" i="121"/>
  <c r="P25" i="127" s="1"/>
  <c r="R23" i="121"/>
  <c r="R25" i="127" s="1"/>
  <c r="S23" i="121"/>
  <c r="S25" i="127" s="1"/>
  <c r="T23" i="121"/>
  <c r="T25" i="127" s="1"/>
  <c r="V23" i="121"/>
  <c r="V25" i="127" s="1"/>
  <c r="W23" i="121"/>
  <c r="W25" i="127" s="1"/>
  <c r="X23" i="121"/>
  <c r="X25" i="127" s="1"/>
  <c r="Z23" i="121"/>
  <c r="Z25" i="127" s="1"/>
  <c r="AA23" i="121"/>
  <c r="AA25" i="127" s="1"/>
  <c r="AB23" i="121"/>
  <c r="AB25" i="127" s="1"/>
  <c r="AD23" i="121"/>
  <c r="AD25" i="127" s="1"/>
  <c r="AE23" i="121"/>
  <c r="AE25" i="127" s="1"/>
  <c r="AF23" i="121"/>
  <c r="AF25" i="127" s="1"/>
  <c r="AH23" i="121"/>
  <c r="AH25" i="127" s="1"/>
  <c r="AI23" i="121"/>
  <c r="AI25" i="127" s="1"/>
  <c r="AJ23" i="121"/>
  <c r="AJ25" i="127" s="1"/>
  <c r="E26" i="127"/>
  <c r="H26" i="127"/>
  <c r="I26" i="127"/>
  <c r="L26" i="127"/>
  <c r="M24" i="121"/>
  <c r="M26" i="127" s="1"/>
  <c r="P24" i="121"/>
  <c r="P26" i="127" s="1"/>
  <c r="Q24" i="121"/>
  <c r="Q26" i="127" s="1"/>
  <c r="T24" i="121"/>
  <c r="T26" i="127" s="1"/>
  <c r="U24" i="121"/>
  <c r="U26" i="127" s="1"/>
  <c r="X24" i="121"/>
  <c r="X26" i="127" s="1"/>
  <c r="Y24" i="121"/>
  <c r="Y26" i="127" s="1"/>
  <c r="AB24" i="121"/>
  <c r="AB26" i="127" s="1"/>
  <c r="AC24" i="121"/>
  <c r="AC26" i="127" s="1"/>
  <c r="AF24" i="121"/>
  <c r="AF26" i="127" s="1"/>
  <c r="AG24" i="121"/>
  <c r="AG26" i="127" s="1"/>
  <c r="AJ24" i="121"/>
  <c r="AJ26" i="127" s="1"/>
  <c r="AK26" i="127"/>
  <c r="F27" i="127"/>
  <c r="H27" i="127"/>
  <c r="J27" i="127"/>
  <c r="L27" i="127"/>
  <c r="N25" i="121"/>
  <c r="N27" i="127" s="1"/>
  <c r="P25" i="121"/>
  <c r="P27" i="127" s="1"/>
  <c r="R25" i="121"/>
  <c r="R27" i="127" s="1"/>
  <c r="T25" i="121"/>
  <c r="T27" i="127" s="1"/>
  <c r="V25" i="121"/>
  <c r="V27" i="127" s="1"/>
  <c r="X25" i="121"/>
  <c r="X27" i="127" s="1"/>
  <c r="Z25" i="121"/>
  <c r="Z27" i="127" s="1"/>
  <c r="AB25" i="121"/>
  <c r="AB27" i="127" s="1"/>
  <c r="AD25" i="121"/>
  <c r="AD27" i="127" s="1"/>
  <c r="AF25" i="121"/>
  <c r="AF27" i="127" s="1"/>
  <c r="AH25" i="121"/>
  <c r="AH27" i="127" s="1"/>
  <c r="AJ25" i="121"/>
  <c r="AJ27" i="127" s="1"/>
  <c r="F28" i="127"/>
  <c r="G28" i="127"/>
  <c r="H28" i="127"/>
  <c r="J28" i="127"/>
  <c r="K28" i="127"/>
  <c r="L28" i="127"/>
  <c r="N26" i="121"/>
  <c r="N28" i="127" s="1"/>
  <c r="O26" i="121"/>
  <c r="O28" i="127" s="1"/>
  <c r="P26" i="121"/>
  <c r="P28" i="127" s="1"/>
  <c r="R26" i="121"/>
  <c r="R28" i="127" s="1"/>
  <c r="S26" i="121"/>
  <c r="S28" i="127" s="1"/>
  <c r="T26" i="121"/>
  <c r="T28" i="127" s="1"/>
  <c r="V26" i="121"/>
  <c r="V28" i="127" s="1"/>
  <c r="W26" i="121"/>
  <c r="W28" i="127" s="1"/>
  <c r="X26" i="121"/>
  <c r="X28" i="127" s="1"/>
  <c r="Z26" i="121"/>
  <c r="Z28" i="127" s="1"/>
  <c r="AA26" i="121"/>
  <c r="AA28" i="127" s="1"/>
  <c r="AB26" i="121"/>
  <c r="AB28" i="127" s="1"/>
  <c r="AD26" i="121"/>
  <c r="AD28" i="127" s="1"/>
  <c r="AE26" i="121"/>
  <c r="AE28" i="127" s="1"/>
  <c r="AF26" i="121"/>
  <c r="AF28" i="127" s="1"/>
  <c r="AH26" i="121"/>
  <c r="AH28" i="127" s="1"/>
  <c r="AI26" i="121"/>
  <c r="AI28" i="127" s="1"/>
  <c r="AJ26" i="121"/>
  <c r="AJ28" i="127" s="1"/>
  <c r="D28" i="127"/>
  <c r="D27" i="127"/>
  <c r="D25" i="127"/>
  <c r="D24" i="127"/>
  <c r="H23" i="124"/>
  <c r="H34" i="124" s="1"/>
  <c r="G23" i="124"/>
  <c r="G34" i="124" s="1"/>
  <c r="D23" i="124"/>
  <c r="D34" i="124" s="1"/>
  <c r="E27" i="127" s="1"/>
  <c r="E23" i="124"/>
  <c r="E34" i="124" s="1"/>
  <c r="F23" i="124"/>
  <c r="F34" i="124" s="1"/>
  <c r="G27" i="127" s="1"/>
  <c r="C23" i="124"/>
  <c r="C34" i="124" s="1"/>
  <c r="H24" i="124"/>
  <c r="H35" i="124" s="1"/>
  <c r="G24" i="124"/>
  <c r="G35" i="124" s="1"/>
  <c r="D24" i="124"/>
  <c r="D35" i="124" s="1"/>
  <c r="E28" i="127" s="1"/>
  <c r="E24" i="124"/>
  <c r="E35" i="124" s="1"/>
  <c r="F24" i="124"/>
  <c r="F35" i="124" s="1"/>
  <c r="C24" i="124"/>
  <c r="C35" i="124" s="1"/>
  <c r="D22" i="124"/>
  <c r="E22" i="124"/>
  <c r="F22" i="124"/>
  <c r="C22" i="124"/>
  <c r="H11" i="124"/>
  <c r="H33" i="124" s="1"/>
  <c r="G11" i="124"/>
  <c r="G33" i="124" s="1"/>
  <c r="D11" i="124"/>
  <c r="E11" i="124"/>
  <c r="F11" i="124"/>
  <c r="C11" i="124"/>
  <c r="D5" i="127"/>
  <c r="E5" i="127" s="1"/>
  <c r="AI4" i="127"/>
  <c r="AI5" i="127" s="1"/>
  <c r="AJ4" i="127"/>
  <c r="AJ5" i="127" s="1"/>
  <c r="AK4" i="127"/>
  <c r="AH4" i="127"/>
  <c r="AH5" i="127" s="1"/>
  <c r="AE4" i="127"/>
  <c r="AE5" i="127" s="1"/>
  <c r="AF4" i="127"/>
  <c r="AF5" i="127" s="1"/>
  <c r="AG4" i="127"/>
  <c r="AG5" i="127" s="1"/>
  <c r="AD4" i="127"/>
  <c r="AD5" i="127" s="1"/>
  <c r="AA4" i="127"/>
  <c r="AA5" i="127" s="1"/>
  <c r="AB4" i="127"/>
  <c r="AB5" i="127" s="1"/>
  <c r="AC4" i="127"/>
  <c r="AC5" i="127" s="1"/>
  <c r="Z4" i="127"/>
  <c r="Z5" i="127" s="1"/>
  <c r="W4" i="127"/>
  <c r="W5" i="127" s="1"/>
  <c r="X4" i="127"/>
  <c r="X5" i="127" s="1"/>
  <c r="Y4" i="127"/>
  <c r="Y5" i="127" s="1"/>
  <c r="V4" i="127"/>
  <c r="V5" i="127" s="1"/>
  <c r="S4" i="127"/>
  <c r="S5" i="127" s="1"/>
  <c r="T4" i="127"/>
  <c r="T5" i="127" s="1"/>
  <c r="U4" i="127"/>
  <c r="U5" i="127" s="1"/>
  <c r="R4" i="127"/>
  <c r="R5" i="127" s="1"/>
  <c r="O4" i="127"/>
  <c r="O5" i="127" s="1"/>
  <c r="P4" i="127"/>
  <c r="P5" i="127" s="1"/>
  <c r="Q4" i="127"/>
  <c r="Q5" i="127" s="1"/>
  <c r="N4" i="127"/>
  <c r="N5" i="127" s="1"/>
  <c r="K4" i="127"/>
  <c r="K5" i="127" s="1"/>
  <c r="L4" i="127"/>
  <c r="L5" i="127" s="1"/>
  <c r="M4" i="127"/>
  <c r="M5" i="127" s="1"/>
  <c r="J4" i="127"/>
  <c r="J5" i="127" s="1"/>
  <c r="G4" i="127"/>
  <c r="G5" i="127" s="1"/>
  <c r="H4" i="127"/>
  <c r="H5" i="127" s="1"/>
  <c r="I4" i="127"/>
  <c r="I5" i="127" s="1"/>
  <c r="F4" i="127"/>
  <c r="F5" i="127" s="1"/>
  <c r="H19" i="124"/>
  <c r="G19" i="124"/>
  <c r="D19" i="124"/>
  <c r="E19" i="124"/>
  <c r="F19" i="124"/>
  <c r="H10" i="124"/>
  <c r="H32" i="124" s="1"/>
  <c r="G10" i="124"/>
  <c r="G32" i="124" s="1"/>
  <c r="D10" i="124"/>
  <c r="D32" i="124" s="1"/>
  <c r="E10" i="124"/>
  <c r="E32" i="124" s="1"/>
  <c r="F10" i="124"/>
  <c r="F32" i="124" s="1"/>
  <c r="C10" i="124"/>
  <c r="C32" i="124" s="1"/>
  <c r="H9" i="124"/>
  <c r="H31" i="124" s="1"/>
  <c r="G9" i="124"/>
  <c r="G31" i="124" s="1"/>
  <c r="D9" i="124"/>
  <c r="D31" i="124" s="1"/>
  <c r="E9" i="124"/>
  <c r="F9" i="124"/>
  <c r="F31" i="124" s="1"/>
  <c r="C9" i="124"/>
  <c r="C31" i="124" s="1"/>
  <c r="H8" i="124"/>
  <c r="G8" i="124"/>
  <c r="D8" i="124"/>
  <c r="E8" i="124"/>
  <c r="F8" i="124"/>
  <c r="C8" i="124"/>
  <c r="F86" i="127"/>
  <c r="G86" i="127" s="1"/>
  <c r="H86" i="127" s="1"/>
  <c r="I86" i="127" s="1"/>
  <c r="O86" i="127" s="1"/>
  <c r="P86" i="127" s="1"/>
  <c r="Q86" i="127" s="1"/>
  <c r="R86" i="127" s="1"/>
  <c r="S86" i="127" s="1"/>
  <c r="T86" i="127" s="1"/>
  <c r="U86" i="127" s="1"/>
  <c r="V86" i="127" s="1"/>
  <c r="W86" i="127" s="1"/>
  <c r="X86" i="127" s="1"/>
  <c r="Y86" i="127" s="1"/>
  <c r="Z86" i="127" s="1"/>
  <c r="AA86" i="127" s="1"/>
  <c r="AB86" i="127" s="1"/>
  <c r="AC86" i="127" s="1"/>
  <c r="AD86" i="127" s="1"/>
  <c r="AE86" i="127" s="1"/>
  <c r="AF86" i="127" s="1"/>
  <c r="AG86" i="127" s="1"/>
  <c r="AH86" i="127" s="1"/>
  <c r="AI86" i="127" s="1"/>
  <c r="AJ86" i="127" s="1"/>
  <c r="AK86" i="127" s="1"/>
  <c r="AL86" i="127" s="1"/>
  <c r="AM86" i="127" s="1"/>
  <c r="AN86" i="127" s="1"/>
  <c r="AO86" i="127" s="1"/>
  <c r="AP86" i="127" s="1"/>
  <c r="AQ86" i="127" s="1"/>
  <c r="AR86" i="127" s="1"/>
  <c r="AS86" i="127" s="1"/>
  <c r="AT86" i="127" s="1"/>
  <c r="AU86" i="127" s="1"/>
  <c r="AV86" i="127" s="1"/>
  <c r="AW86" i="127" s="1"/>
  <c r="E18" i="127"/>
  <c r="F18" i="127" s="1"/>
  <c r="G18" i="127" s="1"/>
  <c r="H18" i="127" s="1"/>
  <c r="I18" i="127" s="1"/>
  <c r="J18" i="127" s="1"/>
  <c r="K18" i="127" s="1"/>
  <c r="L18" i="127" s="1"/>
  <c r="M18" i="127" s="1"/>
  <c r="N18" i="127" s="1"/>
  <c r="O18" i="127" s="1"/>
  <c r="P18" i="127" s="1"/>
  <c r="Q18" i="127" s="1"/>
  <c r="R18" i="127" s="1"/>
  <c r="S18" i="127" s="1"/>
  <c r="T18" i="127" s="1"/>
  <c r="U18" i="127" s="1"/>
  <c r="V18" i="127" s="1"/>
  <c r="W18" i="127" s="1"/>
  <c r="X18" i="127" s="1"/>
  <c r="Y18" i="127" s="1"/>
  <c r="Z18" i="127" s="1"/>
  <c r="AA18" i="127" s="1"/>
  <c r="AB18" i="127" s="1"/>
  <c r="AC18" i="127" s="1"/>
  <c r="AD18" i="127" s="1"/>
  <c r="AE18" i="127" s="1"/>
  <c r="AF18" i="127" s="1"/>
  <c r="AG18" i="127" s="1"/>
  <c r="AH18" i="127" s="1"/>
  <c r="AI18" i="127" s="1"/>
  <c r="AJ18" i="127" s="1"/>
  <c r="AK18" i="127" s="1"/>
  <c r="AL18" i="127" s="1"/>
  <c r="AM18" i="127" s="1"/>
  <c r="AN18" i="127" s="1"/>
  <c r="AO18" i="127" s="1"/>
  <c r="AP18" i="127" s="1"/>
  <c r="AQ18" i="127" s="1"/>
  <c r="AR18" i="127" s="1"/>
  <c r="AS18" i="127" s="1"/>
  <c r="AT18" i="127" s="1"/>
  <c r="AU18" i="127" s="1"/>
  <c r="AV18" i="127" s="1"/>
  <c r="AW18" i="127" s="1"/>
  <c r="D7" i="127"/>
  <c r="E7" i="127" s="1"/>
  <c r="J8" i="124" l="1"/>
  <c r="K29" i="124"/>
  <c r="N6" i="121"/>
  <c r="O6" i="121" s="1"/>
  <c r="AP6" i="121"/>
  <c r="AQ6" i="121" s="1"/>
  <c r="R6" i="121"/>
  <c r="S6" i="121" s="1"/>
  <c r="AH6" i="121"/>
  <c r="AI6" i="121" s="1"/>
  <c r="AT6" i="121"/>
  <c r="AU6" i="121" s="1"/>
  <c r="AD6" i="121"/>
  <c r="AE6" i="121" s="1"/>
  <c r="AL6" i="121"/>
  <c r="AM6" i="121" s="1"/>
  <c r="Z6" i="121"/>
  <c r="AA6" i="121" s="1"/>
  <c r="V6" i="121"/>
  <c r="W6" i="121" s="1"/>
  <c r="E31" i="124"/>
  <c r="J9" i="124"/>
  <c r="K8" i="124"/>
  <c r="AC7" i="121"/>
  <c r="AG7" i="121"/>
  <c r="Q7" i="121"/>
  <c r="AK7" i="121"/>
  <c r="AS7" i="121"/>
  <c r="U7" i="121"/>
  <c r="AO7" i="121"/>
  <c r="Y7" i="121"/>
  <c r="M7" i="121"/>
  <c r="M21" i="121" s="1"/>
  <c r="L8" i="124"/>
  <c r="AT4" i="127"/>
  <c r="N58" i="127"/>
  <c r="R58" i="127" s="1"/>
  <c r="V58" i="127" s="1"/>
  <c r="Z58" i="127" s="1"/>
  <c r="AD58" i="127" s="1"/>
  <c r="AH58" i="127" s="1"/>
  <c r="AL58" i="127" s="1"/>
  <c r="Q58" i="127"/>
  <c r="U58" i="127" s="1"/>
  <c r="Y58" i="127" s="1"/>
  <c r="AC58" i="127" s="1"/>
  <c r="AG58" i="127" s="1"/>
  <c r="AK58" i="127" s="1"/>
  <c r="AV6" i="127"/>
  <c r="AT6" i="127"/>
  <c r="AW6" i="127"/>
  <c r="AU6" i="127"/>
  <c r="P58" i="127"/>
  <c r="T58" i="127" s="1"/>
  <c r="X58" i="127" s="1"/>
  <c r="AB58" i="127" s="1"/>
  <c r="AF58" i="127" s="1"/>
  <c r="AJ58" i="127" s="1"/>
  <c r="AN58" i="127" s="1"/>
  <c r="O58" i="127"/>
  <c r="S58" i="127" s="1"/>
  <c r="W58" i="127" s="1"/>
  <c r="AA58" i="127" s="1"/>
  <c r="AE58" i="127" s="1"/>
  <c r="AI58" i="127" s="1"/>
  <c r="AM58" i="127" s="1"/>
  <c r="F24" i="127"/>
  <c r="AK5" i="127"/>
  <c r="AK7" i="127"/>
  <c r="I25" i="127"/>
  <c r="F33" i="127"/>
  <c r="N34" i="121"/>
  <c r="R34" i="121" s="1"/>
  <c r="V34" i="121" s="1"/>
  <c r="Z34" i="121" s="1"/>
  <c r="AD34" i="121" s="1"/>
  <c r="AH34" i="121" s="1"/>
  <c r="E35" i="127"/>
  <c r="M36" i="121"/>
  <c r="Q36" i="121" s="1"/>
  <c r="U36" i="121" s="1"/>
  <c r="Y36" i="121" s="1"/>
  <c r="AC36" i="121" s="1"/>
  <c r="AG36" i="121" s="1"/>
  <c r="G37" i="127"/>
  <c r="G47" i="127" s="1"/>
  <c r="O38" i="121"/>
  <c r="S38" i="121" s="1"/>
  <c r="W38" i="121" s="1"/>
  <c r="AA38" i="121" s="1"/>
  <c r="AE38" i="121" s="1"/>
  <c r="AI38" i="121" s="1"/>
  <c r="D37" i="127"/>
  <c r="P38" i="121"/>
  <c r="T38" i="121" s="1"/>
  <c r="X38" i="121" s="1"/>
  <c r="AB38" i="121" s="1"/>
  <c r="AF38" i="121" s="1"/>
  <c r="AJ38" i="121" s="1"/>
  <c r="G38" i="127"/>
  <c r="G48" i="127" s="1"/>
  <c r="O39" i="121"/>
  <c r="S39" i="121" s="1"/>
  <c r="W39" i="121" s="1"/>
  <c r="AA39" i="121" s="1"/>
  <c r="AE39" i="121" s="1"/>
  <c r="AI39" i="121" s="1"/>
  <c r="G35" i="127"/>
  <c r="G45" i="127" s="1"/>
  <c r="O36" i="121"/>
  <c r="S36" i="121" s="1"/>
  <c r="W36" i="121" s="1"/>
  <c r="AA36" i="121" s="1"/>
  <c r="AE36" i="121" s="1"/>
  <c r="AI36" i="121" s="1"/>
  <c r="G33" i="127"/>
  <c r="O34" i="121"/>
  <c r="S34" i="121" s="1"/>
  <c r="W34" i="121" s="1"/>
  <c r="AA34" i="121" s="1"/>
  <c r="AE34" i="121" s="1"/>
  <c r="AI34" i="121" s="1"/>
  <c r="F34" i="127"/>
  <c r="N35" i="121"/>
  <c r="R35" i="121" s="1"/>
  <c r="V35" i="121" s="1"/>
  <c r="Z35" i="121" s="1"/>
  <c r="AD35" i="121" s="1"/>
  <c r="AH35" i="121" s="1"/>
  <c r="E38" i="127"/>
  <c r="E48" i="127" s="1"/>
  <c r="M39" i="121"/>
  <c r="Q39" i="121" s="1"/>
  <c r="U39" i="121" s="1"/>
  <c r="Y39" i="121" s="1"/>
  <c r="AC39" i="121" s="1"/>
  <c r="AG39" i="121" s="1"/>
  <c r="D38" i="127"/>
  <c r="P39" i="121"/>
  <c r="T39" i="121" s="1"/>
  <c r="X39" i="121" s="1"/>
  <c r="AB39" i="121" s="1"/>
  <c r="AF39" i="121" s="1"/>
  <c r="AJ39" i="121" s="1"/>
  <c r="D34" i="127"/>
  <c r="P35" i="121"/>
  <c r="T35" i="121" s="1"/>
  <c r="X35" i="121" s="1"/>
  <c r="AB35" i="121" s="1"/>
  <c r="AF35" i="121" s="1"/>
  <c r="AJ35" i="121" s="1"/>
  <c r="E36" i="127"/>
  <c r="Q37" i="121"/>
  <c r="U37" i="121" s="1"/>
  <c r="Y37" i="121" s="1"/>
  <c r="AC37" i="121" s="1"/>
  <c r="AG37" i="121" s="1"/>
  <c r="G34" i="127"/>
  <c r="O35" i="121"/>
  <c r="S35" i="121" s="1"/>
  <c r="W35" i="121" s="1"/>
  <c r="AA35" i="121" s="1"/>
  <c r="AE35" i="121" s="1"/>
  <c r="AI35" i="121" s="1"/>
  <c r="F36" i="127"/>
  <c r="N37" i="121"/>
  <c r="R37" i="121" s="1"/>
  <c r="V37" i="121" s="1"/>
  <c r="Z37" i="121" s="1"/>
  <c r="AD37" i="121" s="1"/>
  <c r="AH37" i="121" s="1"/>
  <c r="D33" i="127"/>
  <c r="P34" i="121"/>
  <c r="T34" i="121" s="1"/>
  <c r="X34" i="121" s="1"/>
  <c r="AB34" i="121" s="1"/>
  <c r="AF34" i="121" s="1"/>
  <c r="AJ34" i="121" s="1"/>
  <c r="D35" i="127"/>
  <c r="P36" i="121"/>
  <c r="T36" i="121" s="1"/>
  <c r="X36" i="121" s="1"/>
  <c r="AB36" i="121" s="1"/>
  <c r="AF36" i="121" s="1"/>
  <c r="AJ36" i="121" s="1"/>
  <c r="F37" i="127"/>
  <c r="N38" i="121"/>
  <c r="R38" i="121" s="1"/>
  <c r="V38" i="121" s="1"/>
  <c r="Z38" i="121" s="1"/>
  <c r="AD38" i="121" s="1"/>
  <c r="AH38" i="121" s="1"/>
  <c r="E34" i="127"/>
  <c r="Q35" i="121"/>
  <c r="U35" i="121" s="1"/>
  <c r="Y35" i="121" s="1"/>
  <c r="AC35" i="121" s="1"/>
  <c r="AG35" i="121" s="1"/>
  <c r="E33" i="127"/>
  <c r="Q34" i="121"/>
  <c r="U34" i="121" s="1"/>
  <c r="Y34" i="121" s="1"/>
  <c r="AC34" i="121" s="1"/>
  <c r="AG34" i="121" s="1"/>
  <c r="G36" i="127"/>
  <c r="O37" i="121"/>
  <c r="S37" i="121" s="1"/>
  <c r="W37" i="121" s="1"/>
  <c r="AA37" i="121" s="1"/>
  <c r="AE37" i="121" s="1"/>
  <c r="AI37" i="121" s="1"/>
  <c r="E37" i="127"/>
  <c r="Q38" i="121"/>
  <c r="U38" i="121" s="1"/>
  <c r="Y38" i="121" s="1"/>
  <c r="AC38" i="121" s="1"/>
  <c r="AG38" i="121" s="1"/>
  <c r="D36" i="127"/>
  <c r="P37" i="121"/>
  <c r="T37" i="121" s="1"/>
  <c r="X37" i="121" s="1"/>
  <c r="AB37" i="121" s="1"/>
  <c r="AF37" i="121" s="1"/>
  <c r="AJ37" i="121" s="1"/>
  <c r="F38" i="127"/>
  <c r="N39" i="121"/>
  <c r="R39" i="121" s="1"/>
  <c r="V39" i="121" s="1"/>
  <c r="Z39" i="121" s="1"/>
  <c r="AD39" i="121" s="1"/>
  <c r="AH39" i="121" s="1"/>
  <c r="F35" i="127"/>
  <c r="N36" i="121"/>
  <c r="R36" i="121" s="1"/>
  <c r="V36" i="121" s="1"/>
  <c r="Z36" i="121" s="1"/>
  <c r="AD36" i="121" s="1"/>
  <c r="AH36" i="121" s="1"/>
  <c r="E30" i="124"/>
  <c r="P21" i="121"/>
  <c r="P23" i="127" s="1"/>
  <c r="F30" i="124"/>
  <c r="H30" i="124"/>
  <c r="F33" i="124"/>
  <c r="P22" i="121"/>
  <c r="P24" i="127" s="1"/>
  <c r="T22" i="121"/>
  <c r="T24" i="127" s="1"/>
  <c r="D33" i="124"/>
  <c r="C30" i="124"/>
  <c r="D30" i="124"/>
  <c r="E33" i="124"/>
  <c r="C33" i="124"/>
  <c r="G30" i="124"/>
  <c r="E25" i="127"/>
  <c r="S7" i="121" l="1"/>
  <c r="AI7" i="121"/>
  <c r="AM7" i="121"/>
  <c r="W7" i="121"/>
  <c r="AQ7" i="121"/>
  <c r="AA7" i="121"/>
  <c r="AU7" i="121"/>
  <c r="O7" i="121"/>
  <c r="AE7" i="121"/>
  <c r="AL7" i="121"/>
  <c r="AD7" i="121"/>
  <c r="Z7" i="121"/>
  <c r="V7" i="121"/>
  <c r="R7" i="121"/>
  <c r="AT7" i="121"/>
  <c r="N7" i="121"/>
  <c r="AP7" i="121"/>
  <c r="AH7" i="121"/>
  <c r="AT8" i="121"/>
  <c r="AD8" i="121"/>
  <c r="N8" i="121"/>
  <c r="K9" i="124"/>
  <c r="AP8" i="121"/>
  <c r="Z8" i="121"/>
  <c r="AL8" i="121"/>
  <c r="AH8" i="121"/>
  <c r="R8" i="121"/>
  <c r="V8" i="121"/>
  <c r="AO58" i="127"/>
  <c r="F48" i="127"/>
  <c r="E47" i="127"/>
  <c r="F47" i="127"/>
  <c r="D43" i="127"/>
  <c r="D44" i="127"/>
  <c r="F45" i="127"/>
  <c r="D46" i="127"/>
  <c r="E44" i="127"/>
  <c r="D45" i="127"/>
  <c r="E46" i="127"/>
  <c r="D48" i="127"/>
  <c r="F44" i="127"/>
  <c r="D47" i="127"/>
  <c r="G24" i="127"/>
  <c r="G26" i="127"/>
  <c r="AK38" i="121"/>
  <c r="AK34" i="121"/>
  <c r="AK39" i="121"/>
  <c r="AK35" i="121"/>
  <c r="AK37" i="121"/>
  <c r="AK36" i="121"/>
  <c r="AL5" i="127"/>
  <c r="AL35" i="121" s="1"/>
  <c r="E45" i="127"/>
  <c r="AL7" i="127"/>
  <c r="AP58" i="127" s="1"/>
  <c r="H33" i="127"/>
  <c r="H43" i="127" s="1"/>
  <c r="H35" i="127"/>
  <c r="H45" i="127" s="1"/>
  <c r="H37" i="127"/>
  <c r="H47" i="127" s="1"/>
  <c r="H34" i="127"/>
  <c r="H44" i="127" s="1"/>
  <c r="H36" i="127"/>
  <c r="H46" i="127" s="1"/>
  <c r="H38" i="127"/>
  <c r="H48" i="127" s="1"/>
  <c r="E23" i="127"/>
  <c r="G23" i="127"/>
  <c r="O10" i="121"/>
  <c r="T21" i="121"/>
  <c r="T23" i="127" s="1"/>
  <c r="X22" i="121"/>
  <c r="X24" i="127" s="1"/>
  <c r="F26" i="127"/>
  <c r="I27" i="127"/>
  <c r="I28" i="127"/>
  <c r="O11" i="121"/>
  <c r="K27" i="127"/>
  <c r="AU8" i="121" l="1"/>
  <c r="AE8" i="121"/>
  <c r="O8" i="121"/>
  <c r="AQ8" i="121"/>
  <c r="AA8" i="121"/>
  <c r="AI8" i="121"/>
  <c r="S8" i="121"/>
  <c r="AM8" i="121"/>
  <c r="W8" i="121"/>
  <c r="G46" i="127"/>
  <c r="G43" i="127"/>
  <c r="G44" i="127"/>
  <c r="D53" i="127"/>
  <c r="E43" i="127"/>
  <c r="F46" i="127"/>
  <c r="F23" i="127"/>
  <c r="H53" i="127"/>
  <c r="AL34" i="127"/>
  <c r="AL36" i="121"/>
  <c r="AL34" i="121"/>
  <c r="AL39" i="121"/>
  <c r="AL38" i="121"/>
  <c r="AL37" i="121"/>
  <c r="AM7" i="127"/>
  <c r="AQ58" i="127" s="1"/>
  <c r="AM5" i="127"/>
  <c r="I35" i="127"/>
  <c r="I45" i="127" s="1"/>
  <c r="I37" i="127"/>
  <c r="I47" i="127" s="1"/>
  <c r="I33" i="127"/>
  <c r="I34" i="127"/>
  <c r="I44" i="127" s="1"/>
  <c r="I36" i="127"/>
  <c r="I46" i="127" s="1"/>
  <c r="I38" i="127"/>
  <c r="I48" i="127" s="1"/>
  <c r="I23" i="127"/>
  <c r="K26" i="127"/>
  <c r="X21" i="121"/>
  <c r="X23" i="127" s="1"/>
  <c r="AB22" i="121"/>
  <c r="AB24" i="127" s="1"/>
  <c r="N10" i="121"/>
  <c r="J26" i="127"/>
  <c r="O24" i="121"/>
  <c r="O26" i="127" s="1"/>
  <c r="S10" i="121"/>
  <c r="M25" i="121"/>
  <c r="M27" i="127" s="1"/>
  <c r="M26" i="121"/>
  <c r="M28" i="127" s="1"/>
  <c r="Q12" i="121"/>
  <c r="S11" i="121"/>
  <c r="O25" i="121"/>
  <c r="O27" i="127" s="1"/>
  <c r="M23" i="121"/>
  <c r="M25" i="127" s="1"/>
  <c r="P84" i="87"/>
  <c r="G53" i="127" l="1"/>
  <c r="E53" i="127"/>
  <c r="F43" i="127"/>
  <c r="K11" i="127"/>
  <c r="AL38" i="127"/>
  <c r="AL37" i="127"/>
  <c r="AL35" i="127"/>
  <c r="AM38" i="121"/>
  <c r="AM35" i="121"/>
  <c r="AM39" i="121"/>
  <c r="AM36" i="121"/>
  <c r="AM34" i="121"/>
  <c r="AM37" i="121"/>
  <c r="AL36" i="127"/>
  <c r="AL33" i="127"/>
  <c r="AN5" i="127"/>
  <c r="AN7" i="127"/>
  <c r="AR58" i="127" s="1"/>
  <c r="I43" i="127"/>
  <c r="J34" i="127"/>
  <c r="J36" i="127"/>
  <c r="J38" i="127"/>
  <c r="J33" i="127"/>
  <c r="J35" i="127"/>
  <c r="J37" i="127"/>
  <c r="Q23" i="121"/>
  <c r="Q25" i="127" s="1"/>
  <c r="AB21" i="121"/>
  <c r="AB23" i="127" s="1"/>
  <c r="AF22" i="121"/>
  <c r="AF24" i="127" s="1"/>
  <c r="W10" i="121"/>
  <c r="S24" i="121"/>
  <c r="S26" i="127" s="1"/>
  <c r="R10" i="121"/>
  <c r="N24" i="121"/>
  <c r="N26" i="127" s="1"/>
  <c r="Q25" i="121"/>
  <c r="Q27" i="127" s="1"/>
  <c r="Q26" i="121"/>
  <c r="Q28" i="127" s="1"/>
  <c r="U12" i="121"/>
  <c r="W11" i="121"/>
  <c r="S25" i="121"/>
  <c r="S27" i="127" s="1"/>
  <c r="I53" i="127" l="1"/>
  <c r="J46" i="127"/>
  <c r="J48" i="127"/>
  <c r="AL48" i="127"/>
  <c r="AL47" i="127"/>
  <c r="J47" i="127"/>
  <c r="J45" i="127"/>
  <c r="AL45" i="127"/>
  <c r="F53" i="127"/>
  <c r="J11" i="127"/>
  <c r="AM35" i="127"/>
  <c r="AM45" i="127" s="1"/>
  <c r="AM33" i="127"/>
  <c r="AM37" i="127"/>
  <c r="AM36" i="127"/>
  <c r="AM34" i="127"/>
  <c r="AN37" i="121"/>
  <c r="AN38" i="121"/>
  <c r="AN35" i="121"/>
  <c r="AN39" i="121"/>
  <c r="AN34" i="121"/>
  <c r="AN36" i="121"/>
  <c r="AM38" i="127"/>
  <c r="AM48" i="127" s="1"/>
  <c r="AO7" i="127"/>
  <c r="AS58" i="127" s="1"/>
  <c r="AO5" i="127"/>
  <c r="K34" i="127"/>
  <c r="K36" i="127"/>
  <c r="K46" i="127" s="1"/>
  <c r="K38" i="127"/>
  <c r="K48" i="127" s="1"/>
  <c r="K35" i="127"/>
  <c r="K45" i="127" s="1"/>
  <c r="K37" i="127"/>
  <c r="K47" i="127" s="1"/>
  <c r="K33" i="127"/>
  <c r="U23" i="121"/>
  <c r="U25" i="127" s="1"/>
  <c r="AF21" i="121"/>
  <c r="AF23" i="127" s="1"/>
  <c r="AJ21" i="121"/>
  <c r="AJ23" i="127" s="1"/>
  <c r="AJ22" i="121"/>
  <c r="AJ24" i="127" s="1"/>
  <c r="R24" i="121"/>
  <c r="R26" i="127" s="1"/>
  <c r="V10" i="121"/>
  <c r="AA10" i="121"/>
  <c r="W24" i="121"/>
  <c r="W26" i="127" s="1"/>
  <c r="U25" i="121"/>
  <c r="U27" i="127" s="1"/>
  <c r="Y12" i="121"/>
  <c r="U26" i="121"/>
  <c r="U28" i="127" s="1"/>
  <c r="AA11" i="121"/>
  <c r="W25" i="121"/>
  <c r="W27" i="127" s="1"/>
  <c r="AO37" i="121" l="1"/>
  <c r="AO34" i="121"/>
  <c r="AO35" i="121"/>
  <c r="AO38" i="121"/>
  <c r="AO39" i="121"/>
  <c r="AO36" i="121"/>
  <c r="AN33" i="127"/>
  <c r="AN36" i="127"/>
  <c r="AN35" i="127"/>
  <c r="AN45" i="127" s="1"/>
  <c r="AN37" i="127"/>
  <c r="AN47" i="127" s="1"/>
  <c r="AN34" i="127"/>
  <c r="AN44" i="127" s="1"/>
  <c r="AN38" i="127"/>
  <c r="AN48" i="127" s="1"/>
  <c r="AP5" i="127"/>
  <c r="AP7" i="127"/>
  <c r="AT58" i="127" s="1"/>
  <c r="L33" i="127"/>
  <c r="L43" i="127" s="1"/>
  <c r="L35" i="127"/>
  <c r="L45" i="127" s="1"/>
  <c r="L37" i="127"/>
  <c r="L47" i="127" s="1"/>
  <c r="L34" i="127"/>
  <c r="L44" i="127" s="1"/>
  <c r="L36" i="127"/>
  <c r="L46" i="127" s="1"/>
  <c r="L38" i="127"/>
  <c r="L48" i="127" s="1"/>
  <c r="Y23" i="121"/>
  <c r="Y25" i="127" s="1"/>
  <c r="V24" i="121"/>
  <c r="V26" i="127" s="1"/>
  <c r="Z10" i="121"/>
  <c r="AA24" i="121"/>
  <c r="AA26" i="127" s="1"/>
  <c r="AE10" i="121"/>
  <c r="Y25" i="121"/>
  <c r="Y27" i="127" s="1"/>
  <c r="AC12" i="121"/>
  <c r="Y26" i="121"/>
  <c r="Y28" i="127" s="1"/>
  <c r="AE11" i="121"/>
  <c r="AI11" i="121" s="1"/>
  <c r="AM11" i="121" s="1"/>
  <c r="AA25" i="121"/>
  <c r="AA27" i="127" s="1"/>
  <c r="AN43" i="127" l="1"/>
  <c r="AN46" i="127"/>
  <c r="AM25" i="121"/>
  <c r="AM27" i="127" s="1"/>
  <c r="AQ11" i="121"/>
  <c r="L53" i="127"/>
  <c r="AO35" i="127"/>
  <c r="AO33" i="127"/>
  <c r="AO34" i="127"/>
  <c r="AO44" i="127" s="1"/>
  <c r="AP35" i="121"/>
  <c r="AP38" i="121"/>
  <c r="AP34" i="121"/>
  <c r="AP39" i="121"/>
  <c r="AP36" i="121"/>
  <c r="AP37" i="121"/>
  <c r="AO37" i="127"/>
  <c r="AO38" i="127"/>
  <c r="AO36" i="127"/>
  <c r="AO46" i="127" s="1"/>
  <c r="AQ7" i="127"/>
  <c r="AU58" i="127" s="1"/>
  <c r="AQ5" i="127"/>
  <c r="M35" i="127"/>
  <c r="M45" i="127" s="1"/>
  <c r="M37" i="127"/>
  <c r="M47" i="127" s="1"/>
  <c r="M33" i="127"/>
  <c r="M34" i="127"/>
  <c r="M44" i="127" s="1"/>
  <c r="M36" i="127"/>
  <c r="M46" i="127" s="1"/>
  <c r="M38" i="127"/>
  <c r="M48" i="127" s="1"/>
  <c r="AC23" i="121"/>
  <c r="AC25" i="127" s="1"/>
  <c r="Z24" i="121"/>
  <c r="Z26" i="127" s="1"/>
  <c r="AD10" i="121"/>
  <c r="AE24" i="121"/>
  <c r="AE26" i="127" s="1"/>
  <c r="AI10" i="121"/>
  <c r="AC25" i="121"/>
  <c r="AC27" i="127" s="1"/>
  <c r="AC26" i="121"/>
  <c r="AC28" i="127" s="1"/>
  <c r="AG12" i="121"/>
  <c r="AE25" i="121"/>
  <c r="AE27" i="127" s="1"/>
  <c r="C64" i="102"/>
  <c r="C63" i="102"/>
  <c r="C60" i="102"/>
  <c r="C61" i="102"/>
  <c r="C62" i="102"/>
  <c r="AN53" i="127" l="1"/>
  <c r="AM47" i="127"/>
  <c r="AO47" i="127"/>
  <c r="AQ25" i="121"/>
  <c r="AQ27" i="127" s="1"/>
  <c r="AU11" i="121"/>
  <c r="AK12" i="121"/>
  <c r="AI24" i="121"/>
  <c r="AI26" i="127" s="1"/>
  <c r="AM10" i="121"/>
  <c r="AH10" i="121"/>
  <c r="AL10" i="121" s="1"/>
  <c r="AP33" i="127"/>
  <c r="AQ36" i="121"/>
  <c r="AQ38" i="121"/>
  <c r="AQ37" i="121"/>
  <c r="AQ34" i="121"/>
  <c r="AQ35" i="121"/>
  <c r="AQ39" i="121"/>
  <c r="AP35" i="127"/>
  <c r="AP34" i="127"/>
  <c r="AP38" i="127"/>
  <c r="AP36" i="127"/>
  <c r="AP37" i="127"/>
  <c r="AR5" i="127"/>
  <c r="AR7" i="127"/>
  <c r="AV58" i="127" s="1"/>
  <c r="N34" i="127"/>
  <c r="N36" i="127"/>
  <c r="N38" i="127"/>
  <c r="N33" i="127"/>
  <c r="N35" i="127"/>
  <c r="N37" i="127"/>
  <c r="AI25" i="121"/>
  <c r="AI27" i="127" s="1"/>
  <c r="AG23" i="121"/>
  <c r="AG25" i="127" s="1"/>
  <c r="AD24" i="121"/>
  <c r="AD26" i="127" s="1"/>
  <c r="AG26" i="121"/>
  <c r="AG28" i="127" s="1"/>
  <c r="AG25" i="121"/>
  <c r="AG27" i="127" s="1"/>
  <c r="AK27" i="127"/>
  <c r="C30" i="102"/>
  <c r="C48" i="102"/>
  <c r="C49" i="102"/>
  <c r="C50" i="102"/>
  <c r="C52" i="102"/>
  <c r="C47" i="102"/>
  <c r="H53" i="102"/>
  <c r="J29" i="102"/>
  <c r="I29" i="102"/>
  <c r="C29" i="102" s="1"/>
  <c r="H23" i="102"/>
  <c r="G23" i="102"/>
  <c r="J16" i="102"/>
  <c r="C16" i="102" s="1"/>
  <c r="AD15" i="102"/>
  <c r="AC15" i="102"/>
  <c r="W15" i="102"/>
  <c r="V15" i="102"/>
  <c r="S15" i="102"/>
  <c r="R15" i="102"/>
  <c r="O15" i="102"/>
  <c r="N15" i="102"/>
  <c r="K15" i="102"/>
  <c r="J15" i="102"/>
  <c r="AD14" i="102"/>
  <c r="AC14" i="102"/>
  <c r="AA14" i="102"/>
  <c r="Z14" i="102"/>
  <c r="Y14" i="102"/>
  <c r="W14" i="102"/>
  <c r="V14" i="102"/>
  <c r="U14" i="102"/>
  <c r="S14" i="102"/>
  <c r="R14" i="102"/>
  <c r="Q14" i="102"/>
  <c r="O14" i="102"/>
  <c r="N14" i="102"/>
  <c r="M14" i="102"/>
  <c r="K14" i="102"/>
  <c r="J14" i="102"/>
  <c r="I14" i="102"/>
  <c r="O13" i="102"/>
  <c r="N13" i="102"/>
  <c r="M13" i="102"/>
  <c r="K13" i="102"/>
  <c r="J13" i="102"/>
  <c r="I13" i="102"/>
  <c r="H19" i="117"/>
  <c r="E17" i="117"/>
  <c r="E16" i="117"/>
  <c r="L14" i="117"/>
  <c r="K14" i="117"/>
  <c r="J14" i="117"/>
  <c r="I14" i="117"/>
  <c r="H14" i="117"/>
  <c r="H19" i="116"/>
  <c r="E17" i="116"/>
  <c r="E16" i="116"/>
  <c r="M14" i="116"/>
  <c r="L14" i="116"/>
  <c r="K14" i="116"/>
  <c r="J14" i="116"/>
  <c r="I14" i="116"/>
  <c r="H14" i="116"/>
  <c r="H20" i="116" s="1"/>
  <c r="C15" i="102" l="1"/>
  <c r="C14" i="102"/>
  <c r="C13" i="102"/>
  <c r="AP48" i="127"/>
  <c r="N47" i="127"/>
  <c r="N46" i="127"/>
  <c r="AP47" i="127"/>
  <c r="AP45" i="127"/>
  <c r="N48" i="127"/>
  <c r="N45" i="127"/>
  <c r="H20" i="117"/>
  <c r="AU25" i="121"/>
  <c r="AU27" i="127" s="1"/>
  <c r="AP10" i="121"/>
  <c r="AL24" i="121"/>
  <c r="AL26" i="127" s="1"/>
  <c r="AO12" i="121"/>
  <c r="AK26" i="121"/>
  <c r="AK28" i="127" s="1"/>
  <c r="AK23" i="121"/>
  <c r="AK25" i="127" s="1"/>
  <c r="AM24" i="121"/>
  <c r="AM26" i="127" s="1"/>
  <c r="AM46" i="127" s="1"/>
  <c r="AQ10" i="121"/>
  <c r="AQ37" i="127"/>
  <c r="AQ47" i="127" s="1"/>
  <c r="AR37" i="121"/>
  <c r="AR38" i="121"/>
  <c r="AR34" i="121"/>
  <c r="AR36" i="121"/>
  <c r="AR35" i="121"/>
  <c r="AR39" i="121"/>
  <c r="AQ33" i="127"/>
  <c r="AQ38" i="127"/>
  <c r="AQ48" i="127" s="1"/>
  <c r="AQ36" i="127"/>
  <c r="AQ34" i="127"/>
  <c r="AQ35" i="127"/>
  <c r="AQ45" i="127" s="1"/>
  <c r="AS7" i="127"/>
  <c r="AW58" i="127" s="1"/>
  <c r="AS5" i="127"/>
  <c r="O34" i="127"/>
  <c r="O36" i="127"/>
  <c r="O46" i="127" s="1"/>
  <c r="O38" i="127"/>
  <c r="O48" i="127" s="1"/>
  <c r="O35" i="127"/>
  <c r="O45" i="127" s="1"/>
  <c r="O37" i="127"/>
  <c r="O47" i="127" s="1"/>
  <c r="O33" i="127"/>
  <c r="AH24" i="121"/>
  <c r="AH26" i="127" s="1"/>
  <c r="G7" i="102"/>
  <c r="G8" i="102"/>
  <c r="G40" i="102" s="1"/>
  <c r="G81" i="102" s="1"/>
  <c r="G6" i="102"/>
  <c r="D9" i="102"/>
  <c r="D17" i="102"/>
  <c r="E17" i="102"/>
  <c r="F17" i="102"/>
  <c r="G17" i="102"/>
  <c r="G25" i="102"/>
  <c r="D31" i="102"/>
  <c r="E31" i="102"/>
  <c r="F31" i="102"/>
  <c r="G31" i="102"/>
  <c r="G42" i="102"/>
  <c r="G72" i="102" s="1"/>
  <c r="D65" i="102"/>
  <c r="L34" i="115"/>
  <c r="K34" i="115"/>
  <c r="J34" i="115"/>
  <c r="I34" i="115"/>
  <c r="H34" i="115"/>
  <c r="G34" i="115"/>
  <c r="F34" i="115"/>
  <c r="E34" i="115"/>
  <c r="D8" i="115"/>
  <c r="D7" i="115"/>
  <c r="F98" i="114"/>
  <c r="F97" i="114"/>
  <c r="F99" i="114" s="1"/>
  <c r="G96" i="114"/>
  <c r="G98" i="114" s="1"/>
  <c r="G95" i="114"/>
  <c r="G97" i="114" s="1"/>
  <c r="G99" i="114" s="1"/>
  <c r="E82" i="114"/>
  <c r="E75" i="114"/>
  <c r="E68" i="114"/>
  <c r="E74" i="114" s="1"/>
  <c r="B66" i="114"/>
  <c r="H50" i="114"/>
  <c r="G50" i="114"/>
  <c r="F50" i="114"/>
  <c r="E50" i="114"/>
  <c r="H40" i="114"/>
  <c r="G40" i="114"/>
  <c r="F40" i="114"/>
  <c r="E40" i="114"/>
  <c r="H36" i="114"/>
  <c r="G36" i="114"/>
  <c r="F36" i="114"/>
  <c r="E36" i="114"/>
  <c r="H35" i="114"/>
  <c r="H34" i="114" s="1"/>
  <c r="F35" i="114"/>
  <c r="F34" i="114" s="1"/>
  <c r="G34" i="114"/>
  <c r="E34" i="114"/>
  <c r="G31" i="114"/>
  <c r="E31" i="114"/>
  <c r="J18" i="114"/>
  <c r="J23" i="114" s="1"/>
  <c r="I18" i="114"/>
  <c r="I23" i="114" s="1"/>
  <c r="H18" i="114"/>
  <c r="H23" i="114" s="1"/>
  <c r="G18" i="114"/>
  <c r="G23" i="114" s="1"/>
  <c r="E18" i="114"/>
  <c r="J14" i="114"/>
  <c r="J13" i="114"/>
  <c r="H13" i="114"/>
  <c r="J12" i="114"/>
  <c r="H12" i="114"/>
  <c r="K11" i="114"/>
  <c r="C59" i="102" s="1"/>
  <c r="J11" i="114"/>
  <c r="H11" i="114"/>
  <c r="G5" i="102" s="1"/>
  <c r="I10" i="114"/>
  <c r="I22" i="114" s="1"/>
  <c r="I25" i="114" s="1"/>
  <c r="G10" i="114"/>
  <c r="G22" i="114" s="1"/>
  <c r="G25" i="114" s="1"/>
  <c r="E10" i="114"/>
  <c r="J5" i="114"/>
  <c r="I5" i="114"/>
  <c r="H5" i="114"/>
  <c r="G5" i="114"/>
  <c r="E5" i="114"/>
  <c r="F60" i="114" l="1"/>
  <c r="F63" i="114" s="1"/>
  <c r="H60" i="114"/>
  <c r="H63" i="114" s="1"/>
  <c r="AL46" i="127"/>
  <c r="AO26" i="121"/>
  <c r="AO28" i="127" s="1"/>
  <c r="AS12" i="121"/>
  <c r="E60" i="114"/>
  <c r="E63" i="114" s="1"/>
  <c r="AT10" i="121"/>
  <c r="AP24" i="121"/>
  <c r="AP26" i="127" s="1"/>
  <c r="J10" i="114"/>
  <c r="J22" i="114" s="1"/>
  <c r="J25" i="114" s="1"/>
  <c r="AO23" i="121"/>
  <c r="AO25" i="127" s="1"/>
  <c r="G60" i="114"/>
  <c r="G63" i="114" s="1"/>
  <c r="H10" i="114"/>
  <c r="H22" i="114" s="1"/>
  <c r="H25" i="114" s="1"/>
  <c r="E89" i="114"/>
  <c r="AQ24" i="121"/>
  <c r="AQ26" i="127" s="1"/>
  <c r="AQ46" i="127" s="1"/>
  <c r="AU10" i="121"/>
  <c r="AU24" i="121" s="1"/>
  <c r="AU26" i="127" s="1"/>
  <c r="AR34" i="127"/>
  <c r="AR36" i="127"/>
  <c r="AR38" i="127"/>
  <c r="AR48" i="127" s="1"/>
  <c r="AR37" i="127"/>
  <c r="AR47" i="127" s="1"/>
  <c r="AS38" i="121"/>
  <c r="AS37" i="121"/>
  <c r="AS36" i="121"/>
  <c r="AS39" i="121"/>
  <c r="AS34" i="121"/>
  <c r="AS35" i="121"/>
  <c r="AR33" i="127"/>
  <c r="AR43" i="127" s="1"/>
  <c r="AR35" i="127"/>
  <c r="AR45" i="127" s="1"/>
  <c r="AT5" i="127"/>
  <c r="AT7" i="127"/>
  <c r="P33" i="127"/>
  <c r="P35" i="127"/>
  <c r="P45" i="127" s="1"/>
  <c r="P37" i="127"/>
  <c r="P47" i="127" s="1"/>
  <c r="P34" i="127"/>
  <c r="P44" i="127" s="1"/>
  <c r="P36" i="127"/>
  <c r="P46" i="127" s="1"/>
  <c r="P38" i="127"/>
  <c r="P48" i="127" s="1"/>
  <c r="G39" i="102"/>
  <c r="G71" i="102" s="1"/>
  <c r="G38" i="102"/>
  <c r="G70" i="102" s="1"/>
  <c r="F9" i="102"/>
  <c r="E9" i="102"/>
  <c r="G41" i="102"/>
  <c r="G82" i="102" s="1"/>
  <c r="G84" i="102" s="1"/>
  <c r="W83" i="102" l="1"/>
  <c r="AA83" i="102"/>
  <c r="S83" i="102"/>
  <c r="T83" i="102" s="1"/>
  <c r="P43" i="127"/>
  <c r="AO48" i="127"/>
  <c r="AR44" i="127"/>
  <c r="AP46" i="127"/>
  <c r="AO45" i="127"/>
  <c r="AR46" i="127"/>
  <c r="AC83" i="102"/>
  <c r="AB83" i="102"/>
  <c r="U83" i="102"/>
  <c r="AW12" i="121"/>
  <c r="AS26" i="121"/>
  <c r="AS28" i="127" s="1"/>
  <c r="O83" i="102"/>
  <c r="X83" i="102"/>
  <c r="Y83" i="102"/>
  <c r="AS23" i="121"/>
  <c r="AS25" i="127" s="1"/>
  <c r="K83" i="102"/>
  <c r="AT24" i="121"/>
  <c r="AT26" i="127" s="1"/>
  <c r="AT35" i="121"/>
  <c r="AT34" i="127" s="1"/>
  <c r="AT34" i="121"/>
  <c r="AT33" i="127" s="1"/>
  <c r="AT36" i="121"/>
  <c r="AT35" i="127" s="1"/>
  <c r="AT39" i="121"/>
  <c r="AT38" i="127" s="1"/>
  <c r="AT38" i="121"/>
  <c r="AT37" i="127" s="1"/>
  <c r="AT37" i="121"/>
  <c r="AT36" i="127" s="1"/>
  <c r="AS34" i="127"/>
  <c r="AS44" i="127" s="1"/>
  <c r="AS36" i="127"/>
  <c r="AS46" i="127" s="1"/>
  <c r="AS33" i="127"/>
  <c r="AS37" i="127"/>
  <c r="AS47" i="127" s="1"/>
  <c r="AS35" i="127"/>
  <c r="AS38" i="127"/>
  <c r="AU7" i="127"/>
  <c r="AU5" i="127"/>
  <c r="Q35" i="127"/>
  <c r="Q45" i="127" s="1"/>
  <c r="Q37" i="127"/>
  <c r="Q47" i="127" s="1"/>
  <c r="Q33" i="127"/>
  <c r="Q34" i="127"/>
  <c r="Q44" i="127" s="1"/>
  <c r="Q36" i="127"/>
  <c r="Q46" i="127" s="1"/>
  <c r="Q38" i="127"/>
  <c r="Q48" i="127" s="1"/>
  <c r="D90" i="102"/>
  <c r="G37" i="102"/>
  <c r="G9" i="102"/>
  <c r="P53" i="127" l="1"/>
  <c r="AR53" i="127"/>
  <c r="AT48" i="127"/>
  <c r="AT47" i="127"/>
  <c r="AT45" i="127"/>
  <c r="AS45" i="127"/>
  <c r="AS48" i="127"/>
  <c r="AW23" i="121"/>
  <c r="AW25" i="127" s="1"/>
  <c r="AW26" i="121"/>
  <c r="AW28" i="127" s="1"/>
  <c r="AT46" i="127"/>
  <c r="P83" i="102"/>
  <c r="Q83" i="102"/>
  <c r="M83" i="102"/>
  <c r="L83" i="102"/>
  <c r="AU34" i="121"/>
  <c r="AU33" i="127" s="1"/>
  <c r="AU36" i="121"/>
  <c r="AU35" i="127" s="1"/>
  <c r="AU45" i="127" s="1"/>
  <c r="AU37" i="121"/>
  <c r="AU36" i="127" s="1"/>
  <c r="AU46" i="127" s="1"/>
  <c r="AU39" i="121"/>
  <c r="AU38" i="127" s="1"/>
  <c r="AU48" i="127" s="1"/>
  <c r="AU38" i="121"/>
  <c r="AU37" i="127" s="1"/>
  <c r="AU47" i="127" s="1"/>
  <c r="AU35" i="121"/>
  <c r="AU34" i="127" s="1"/>
  <c r="AW5" i="127"/>
  <c r="AV5" i="127"/>
  <c r="AW7" i="127"/>
  <c r="AV7" i="127"/>
  <c r="R34" i="127"/>
  <c r="R36" i="127"/>
  <c r="R38" i="127"/>
  <c r="R33" i="127"/>
  <c r="R35" i="127"/>
  <c r="R37" i="127"/>
  <c r="F92" i="102"/>
  <c r="E90" i="102"/>
  <c r="E92" i="102"/>
  <c r="G43" i="102"/>
  <c r="G69" i="102"/>
  <c r="G73" i="102" s="1"/>
  <c r="G90" i="102" s="1"/>
  <c r="I78" i="127" s="1"/>
  <c r="F90" i="102"/>
  <c r="R45" i="127" l="1"/>
  <c r="R48" i="127"/>
  <c r="R47" i="127"/>
  <c r="R46" i="127"/>
  <c r="AV37" i="121"/>
  <c r="AV36" i="127" s="1"/>
  <c r="AV46" i="127" s="1"/>
  <c r="AV38" i="121"/>
  <c r="AV37" i="127" s="1"/>
  <c r="AV34" i="121"/>
  <c r="AV33" i="127" s="1"/>
  <c r="AV43" i="127" s="1"/>
  <c r="AV36" i="121"/>
  <c r="AV35" i="127" s="1"/>
  <c r="AV45" i="127" s="1"/>
  <c r="AV35" i="121"/>
  <c r="AV34" i="127" s="1"/>
  <c r="AV44" i="127" s="1"/>
  <c r="AV39" i="121"/>
  <c r="AV38" i="127" s="1"/>
  <c r="AV48" i="127" s="1"/>
  <c r="AW35" i="121"/>
  <c r="AW34" i="127" s="1"/>
  <c r="AW44" i="127" s="1"/>
  <c r="AW36" i="121"/>
  <c r="AW35" i="127" s="1"/>
  <c r="AW45" i="127" s="1"/>
  <c r="AW34" i="121"/>
  <c r="AW33" i="127" s="1"/>
  <c r="AW43" i="127" s="1"/>
  <c r="AW37" i="121"/>
  <c r="AW36" i="127" s="1"/>
  <c r="AW46" i="127" s="1"/>
  <c r="AW38" i="121"/>
  <c r="AW37" i="127" s="1"/>
  <c r="AW47" i="127" s="1"/>
  <c r="AW39" i="121"/>
  <c r="AW38" i="127" s="1"/>
  <c r="AW48" i="127" s="1"/>
  <c r="S34" i="127"/>
  <c r="S36" i="127"/>
  <c r="S46" i="127" s="1"/>
  <c r="S38" i="127"/>
  <c r="S48" i="127" s="1"/>
  <c r="S35" i="127"/>
  <c r="S45" i="127" s="1"/>
  <c r="S37" i="127"/>
  <c r="S47" i="127" s="1"/>
  <c r="S33" i="127"/>
  <c r="G92" i="102"/>
  <c r="AV47" i="127" l="1"/>
  <c r="E98" i="102"/>
  <c r="AW53" i="127"/>
  <c r="T33" i="127"/>
  <c r="T43" i="127" s="1"/>
  <c r="T35" i="127"/>
  <c r="T45" i="127" s="1"/>
  <c r="T37" i="127"/>
  <c r="T47" i="127" s="1"/>
  <c r="T34" i="127"/>
  <c r="T44" i="127" s="1"/>
  <c r="T36" i="127"/>
  <c r="T46" i="127" s="1"/>
  <c r="T38" i="127"/>
  <c r="T48" i="127" s="1"/>
  <c r="AV53" i="127" l="1"/>
  <c r="T53" i="127"/>
  <c r="U35" i="127"/>
  <c r="U45" i="127" s="1"/>
  <c r="U37" i="127"/>
  <c r="U47" i="127" s="1"/>
  <c r="U33" i="127"/>
  <c r="U34" i="127"/>
  <c r="U44" i="127" s="1"/>
  <c r="U36" i="127"/>
  <c r="U46" i="127" s="1"/>
  <c r="U38" i="127"/>
  <c r="U48" i="127" s="1"/>
  <c r="V34" i="127" l="1"/>
  <c r="V36" i="127"/>
  <c r="V38" i="127"/>
  <c r="V33" i="127"/>
  <c r="V35" i="127"/>
  <c r="V37" i="127"/>
  <c r="V45" i="127" l="1"/>
  <c r="V47" i="127"/>
  <c r="V46" i="127"/>
  <c r="V48" i="127"/>
  <c r="W34" i="127"/>
  <c r="W36" i="127"/>
  <c r="W46" i="127" s="1"/>
  <c r="W38" i="127"/>
  <c r="W48" i="127" s="1"/>
  <c r="W35" i="127"/>
  <c r="W45" i="127" s="1"/>
  <c r="W37" i="127"/>
  <c r="W47" i="127" s="1"/>
  <c r="W33" i="127"/>
  <c r="X33" i="127" l="1"/>
  <c r="X43" i="127" s="1"/>
  <c r="X35" i="127"/>
  <c r="X45" i="127" s="1"/>
  <c r="X37" i="127"/>
  <c r="X34" i="127"/>
  <c r="X36" i="127"/>
  <c r="X46" i="127" s="1"/>
  <c r="X38" i="127"/>
  <c r="X48" i="127" s="1"/>
  <c r="H117" i="87"/>
  <c r="F117" i="87"/>
  <c r="E117" i="87"/>
  <c r="X44" i="127" l="1"/>
  <c r="X47" i="127"/>
  <c r="Y35" i="127"/>
  <c r="Y45" i="127" s="1"/>
  <c r="Y37" i="127"/>
  <c r="Y47" i="127" s="1"/>
  <c r="Y33" i="127"/>
  <c r="Y34" i="127"/>
  <c r="Y44" i="127" s="1"/>
  <c r="Y36" i="127"/>
  <c r="Y38" i="127"/>
  <c r="Y48" i="127" s="1"/>
  <c r="X53" i="127" l="1"/>
  <c r="Y46" i="127"/>
  <c r="Z34" i="127"/>
  <c r="Z36" i="127"/>
  <c r="Z38" i="127"/>
  <c r="Z33" i="127"/>
  <c r="Z35" i="127"/>
  <c r="Z37" i="127"/>
  <c r="Z48" i="127" l="1"/>
  <c r="Z45" i="127"/>
  <c r="Z47" i="127"/>
  <c r="Z46" i="127"/>
  <c r="AA34" i="127"/>
  <c r="AA36" i="127"/>
  <c r="AA46" i="127" s="1"/>
  <c r="AA38" i="127"/>
  <c r="AA48" i="127" s="1"/>
  <c r="AA33" i="127"/>
  <c r="AA35" i="127"/>
  <c r="AA45" i="127" s="1"/>
  <c r="AA37" i="127"/>
  <c r="AA47" i="127" s="1"/>
  <c r="AB33" i="127" l="1"/>
  <c r="AB43" i="127" s="1"/>
  <c r="AB35" i="127"/>
  <c r="AB45" i="127" s="1"/>
  <c r="AB37" i="127"/>
  <c r="AB47" i="127" s="1"/>
  <c r="AB34" i="127"/>
  <c r="AB36" i="127"/>
  <c r="AB46" i="127" s="1"/>
  <c r="AB38" i="127"/>
  <c r="AB48" i="127" s="1"/>
  <c r="U6" i="101"/>
  <c r="U7" i="101"/>
  <c r="U8" i="101"/>
  <c r="U9" i="101"/>
  <c r="U12" i="101"/>
  <c r="U13" i="101"/>
  <c r="U14" i="101"/>
  <c r="U15" i="101"/>
  <c r="U19" i="101" l="1"/>
  <c r="AB44" i="127"/>
  <c r="AB53" i="127" s="1"/>
  <c r="U20" i="101"/>
  <c r="U38" i="101" s="1"/>
  <c r="I31" i="127" s="1"/>
  <c r="AC35" i="127"/>
  <c r="AC45" i="127" s="1"/>
  <c r="AC37" i="127"/>
  <c r="AC47" i="127" s="1"/>
  <c r="AC34" i="127"/>
  <c r="AC44" i="127" s="1"/>
  <c r="AC36" i="127"/>
  <c r="AC46" i="127" s="1"/>
  <c r="AC38" i="127"/>
  <c r="AC48" i="127" s="1"/>
  <c r="AC33" i="127"/>
  <c r="I21" i="127"/>
  <c r="U26" i="101"/>
  <c r="U25" i="101"/>
  <c r="I41" i="127" l="1"/>
  <c r="AD34" i="127"/>
  <c r="AD36" i="127"/>
  <c r="AD38" i="127"/>
  <c r="AD33" i="127"/>
  <c r="AD35" i="127"/>
  <c r="AD37" i="127"/>
  <c r="U28" i="101"/>
  <c r="U30" i="101" s="1"/>
  <c r="U31" i="101" s="1"/>
  <c r="U39" i="101"/>
  <c r="I32" i="127" s="1"/>
  <c r="AD48" i="127" l="1"/>
  <c r="AD45" i="127"/>
  <c r="AD47" i="127"/>
  <c r="AD46" i="127"/>
  <c r="I18" i="121"/>
  <c r="I20" i="127" s="1"/>
  <c r="I22" i="127"/>
  <c r="AE34" i="127"/>
  <c r="AE36" i="127"/>
  <c r="AE46" i="127" s="1"/>
  <c r="AE38" i="127"/>
  <c r="AE48" i="127" s="1"/>
  <c r="AE33" i="127"/>
  <c r="AE35" i="127"/>
  <c r="AE45" i="127" s="1"/>
  <c r="AE37" i="127"/>
  <c r="AE47" i="127" s="1"/>
  <c r="U37" i="101"/>
  <c r="C6" i="109"/>
  <c r="F10" i="109" s="1"/>
  <c r="G10" i="109" s="1"/>
  <c r="C7" i="109"/>
  <c r="C8" i="109"/>
  <c r="E12" i="109"/>
  <c r="F12" i="109" s="1"/>
  <c r="N4" i="108"/>
  <c r="N5" i="108"/>
  <c r="N6" i="108"/>
  <c r="E7" i="108"/>
  <c r="F7" i="108"/>
  <c r="G7" i="108"/>
  <c r="N8" i="108"/>
  <c r="N9" i="108"/>
  <c r="F10" i="108"/>
  <c r="G10" i="108"/>
  <c r="N11" i="108"/>
  <c r="N12" i="108"/>
  <c r="E14" i="108"/>
  <c r="F14" i="108"/>
  <c r="G14" i="108"/>
  <c r="I14" i="108"/>
  <c r="N15" i="108"/>
  <c r="N16" i="108"/>
  <c r="E17" i="108"/>
  <c r="N18" i="108"/>
  <c r="N19" i="108"/>
  <c r="E21" i="108"/>
  <c r="F21" i="108"/>
  <c r="G21" i="108"/>
  <c r="H21" i="108"/>
  <c r="I21" i="108"/>
  <c r="M4" i="107"/>
  <c r="M5" i="107"/>
  <c r="M6" i="107"/>
  <c r="E7" i="107"/>
  <c r="F7" i="107"/>
  <c r="M8" i="107"/>
  <c r="M9" i="107"/>
  <c r="M10" i="107" s="1"/>
  <c r="E10" i="107"/>
  <c r="F10" i="107"/>
  <c r="H10" i="107"/>
  <c r="I10" i="107"/>
  <c r="M11" i="107"/>
  <c r="I12" i="107"/>
  <c r="M12" i="107" s="1"/>
  <c r="G13" i="107"/>
  <c r="M13" i="107" s="1"/>
  <c r="I13" i="107"/>
  <c r="H14" i="107"/>
  <c r="M15" i="107"/>
  <c r="M16" i="107"/>
  <c r="F17" i="107"/>
  <c r="F18" i="107" s="1"/>
  <c r="H17" i="107"/>
  <c r="H17" i="106" s="1"/>
  <c r="M19" i="107"/>
  <c r="J20" i="107"/>
  <c r="K20" i="107"/>
  <c r="M20" i="107"/>
  <c r="E22" i="107"/>
  <c r="F22" i="107"/>
  <c r="G22" i="107"/>
  <c r="H22" i="107"/>
  <c r="I22" i="107"/>
  <c r="J22" i="107"/>
  <c r="K22" i="107"/>
  <c r="I27" i="107"/>
  <c r="E4" i="106"/>
  <c r="F4" i="106"/>
  <c r="G4" i="106"/>
  <c r="H4" i="106"/>
  <c r="I4" i="106"/>
  <c r="J4" i="106"/>
  <c r="K4" i="106"/>
  <c r="L4" i="106"/>
  <c r="E5" i="106"/>
  <c r="F5" i="106"/>
  <c r="G5" i="106"/>
  <c r="H5" i="106"/>
  <c r="I5" i="106"/>
  <c r="K5" i="106"/>
  <c r="L5" i="106"/>
  <c r="E6" i="106"/>
  <c r="F6" i="106"/>
  <c r="G6" i="106"/>
  <c r="H6" i="106"/>
  <c r="I6" i="106"/>
  <c r="J6" i="106"/>
  <c r="K6" i="106"/>
  <c r="L6" i="106"/>
  <c r="E8" i="106"/>
  <c r="F8" i="106"/>
  <c r="G8" i="106"/>
  <c r="H8" i="106"/>
  <c r="I8" i="106"/>
  <c r="J8" i="106"/>
  <c r="K8" i="106"/>
  <c r="L8" i="106"/>
  <c r="E9" i="106"/>
  <c r="F9" i="106"/>
  <c r="G9" i="106"/>
  <c r="H9" i="106"/>
  <c r="I9" i="106"/>
  <c r="K9" i="106"/>
  <c r="L9" i="106"/>
  <c r="F10" i="106"/>
  <c r="E11" i="106"/>
  <c r="F11" i="106"/>
  <c r="G11" i="106"/>
  <c r="H11" i="106"/>
  <c r="I11" i="106"/>
  <c r="J11" i="106"/>
  <c r="K11" i="106"/>
  <c r="L11" i="106"/>
  <c r="E12" i="106"/>
  <c r="F12" i="106"/>
  <c r="G12" i="106"/>
  <c r="H12" i="106"/>
  <c r="J12" i="106"/>
  <c r="K12" i="106"/>
  <c r="L12" i="106"/>
  <c r="E13" i="106"/>
  <c r="E14" i="106" s="1"/>
  <c r="F13" i="106"/>
  <c r="H13" i="106"/>
  <c r="I13" i="106"/>
  <c r="J13" i="106"/>
  <c r="K13" i="106"/>
  <c r="L13" i="106"/>
  <c r="F14" i="106"/>
  <c r="E15" i="106"/>
  <c r="F15" i="106"/>
  <c r="G15" i="106"/>
  <c r="H15" i="106"/>
  <c r="I15" i="106"/>
  <c r="J15" i="106"/>
  <c r="K15" i="106"/>
  <c r="L15" i="106"/>
  <c r="E16" i="106"/>
  <c r="F16" i="106"/>
  <c r="G16" i="106"/>
  <c r="H16" i="106"/>
  <c r="I16" i="106"/>
  <c r="J16" i="106"/>
  <c r="K16" i="106"/>
  <c r="L16" i="106"/>
  <c r="E17" i="106"/>
  <c r="E18" i="106" s="1"/>
  <c r="F17" i="106"/>
  <c r="F18" i="106" s="1"/>
  <c r="E19" i="106"/>
  <c r="F19" i="106"/>
  <c r="G19" i="106"/>
  <c r="H19" i="106"/>
  <c r="I19" i="106"/>
  <c r="J19" i="106"/>
  <c r="K19" i="106"/>
  <c r="L19" i="106"/>
  <c r="E20" i="106"/>
  <c r="F20" i="106"/>
  <c r="G20" i="106"/>
  <c r="H20" i="106"/>
  <c r="I20" i="106"/>
  <c r="O35" i="106"/>
  <c r="O37" i="106" s="1"/>
  <c r="H10" i="106" l="1"/>
  <c r="H18" i="106"/>
  <c r="F7" i="106"/>
  <c r="E10" i="106"/>
  <c r="N14" i="108"/>
  <c r="I12" i="106"/>
  <c r="I14" i="106" s="1"/>
  <c r="H18" i="107"/>
  <c r="G13" i="106"/>
  <c r="G14" i="106" s="1"/>
  <c r="G7" i="106"/>
  <c r="M14" i="107"/>
  <c r="N17" i="108"/>
  <c r="E7" i="106"/>
  <c r="I10" i="106"/>
  <c r="E10" i="109"/>
  <c r="E14" i="109" s="1"/>
  <c r="G22" i="106"/>
  <c r="C29" i="106" s="1"/>
  <c r="G29" i="106" s="1"/>
  <c r="F22" i="106"/>
  <c r="C28" i="106" s="1"/>
  <c r="G14" i="107"/>
  <c r="E22" i="106"/>
  <c r="N10" i="108"/>
  <c r="N9" i="106"/>
  <c r="I14" i="107"/>
  <c r="M7" i="107"/>
  <c r="H22" i="106"/>
  <c r="C30" i="106" s="1"/>
  <c r="H30" i="106" s="1"/>
  <c r="N16" i="106"/>
  <c r="M22" i="107"/>
  <c r="N21" i="108"/>
  <c r="D10" i="109"/>
  <c r="D14" i="109" s="1"/>
  <c r="J40" i="106" s="1"/>
  <c r="N4" i="106"/>
  <c r="N11" i="106"/>
  <c r="N6" i="106"/>
  <c r="N7" i="108"/>
  <c r="N17" i="106"/>
  <c r="H14" i="106"/>
  <c r="M18" i="107"/>
  <c r="I42" i="127"/>
  <c r="AF33" i="127"/>
  <c r="AF35" i="127"/>
  <c r="AF45" i="127" s="1"/>
  <c r="AF37" i="127"/>
  <c r="AF34" i="127"/>
  <c r="AF36" i="127"/>
  <c r="AF46" i="127" s="1"/>
  <c r="AF38" i="127"/>
  <c r="AF48" i="127" s="1"/>
  <c r="H28" i="106"/>
  <c r="G28" i="106"/>
  <c r="F28" i="106"/>
  <c r="C27" i="106"/>
  <c r="G12" i="109"/>
  <c r="G14" i="109" s="1"/>
  <c r="F14" i="109"/>
  <c r="N19" i="106"/>
  <c r="N5" i="106"/>
  <c r="N20" i="106"/>
  <c r="G10" i="106"/>
  <c r="N13" i="106"/>
  <c r="I22" i="106"/>
  <c r="C31" i="106" s="1"/>
  <c r="N15" i="106"/>
  <c r="N18" i="106" s="1"/>
  <c r="N8" i="106"/>
  <c r="J30" i="106" l="1"/>
  <c r="I30" i="106"/>
  <c r="N7" i="106"/>
  <c r="N12" i="106"/>
  <c r="I29" i="106"/>
  <c r="H29" i="106"/>
  <c r="H35" i="106" s="1"/>
  <c r="H37" i="106" s="1"/>
  <c r="N10" i="106"/>
  <c r="J19" i="108"/>
  <c r="J21" i="108" s="1"/>
  <c r="AF43" i="127"/>
  <c r="AF47" i="127"/>
  <c r="AF44" i="127"/>
  <c r="J92" i="127"/>
  <c r="L92" i="127"/>
  <c r="K92" i="127"/>
  <c r="J41" i="106"/>
  <c r="J102" i="127" s="1"/>
  <c r="M92" i="127"/>
  <c r="I52" i="127"/>
  <c r="AG35" i="127"/>
  <c r="AG45" i="127" s="1"/>
  <c r="AG37" i="127"/>
  <c r="AG47" i="127" s="1"/>
  <c r="AG34" i="127"/>
  <c r="AG44" i="127" s="1"/>
  <c r="AG36" i="127"/>
  <c r="AG46" i="127" s="1"/>
  <c r="AG38" i="127"/>
  <c r="AG48" i="127" s="1"/>
  <c r="AG33" i="127"/>
  <c r="J20" i="106"/>
  <c r="J22" i="106" s="1"/>
  <c r="I31" i="106"/>
  <c r="J31" i="106"/>
  <c r="K31" i="106"/>
  <c r="N22" i="106"/>
  <c r="E27" i="106"/>
  <c r="E35" i="106" s="1"/>
  <c r="E37" i="106" s="1"/>
  <c r="F27" i="106"/>
  <c r="F35" i="106" s="1"/>
  <c r="F37" i="106" s="1"/>
  <c r="G27" i="106"/>
  <c r="G35" i="106" s="1"/>
  <c r="G37" i="106" s="1"/>
  <c r="N14" i="106"/>
  <c r="L19" i="108"/>
  <c r="L40" i="106"/>
  <c r="K40" i="106"/>
  <c r="K19" i="108"/>
  <c r="I35" i="106" l="1"/>
  <c r="I37" i="106" s="1"/>
  <c r="AF53" i="127"/>
  <c r="L41" i="106"/>
  <c r="R92" i="127"/>
  <c r="S92" i="127"/>
  <c r="T92" i="127"/>
  <c r="U92" i="127"/>
  <c r="C32" i="106"/>
  <c r="J32" i="106" s="1"/>
  <c r="J35" i="106" s="1"/>
  <c r="L93" i="127"/>
  <c r="L91" i="127" s="1"/>
  <c r="J93" i="127"/>
  <c r="M93" i="127"/>
  <c r="M91" i="127" s="1"/>
  <c r="K102" i="127"/>
  <c r="J74" i="127"/>
  <c r="K41" i="106"/>
  <c r="O92" i="127"/>
  <c r="P92" i="127"/>
  <c r="N92" i="127"/>
  <c r="Q92" i="127"/>
  <c r="K93" i="127"/>
  <c r="K91" i="127" s="1"/>
  <c r="AH34" i="127"/>
  <c r="AH36" i="127"/>
  <c r="AH38" i="127"/>
  <c r="AH33" i="127"/>
  <c r="AH35" i="127"/>
  <c r="AH37" i="127"/>
  <c r="L21" i="108"/>
  <c r="L20" i="106"/>
  <c r="L22" i="106" s="1"/>
  <c r="C34" i="106" s="1"/>
  <c r="K21" i="108"/>
  <c r="K20" i="106"/>
  <c r="K22" i="106" s="1"/>
  <c r="K32" i="106" l="1"/>
  <c r="L32" i="106"/>
  <c r="J91" i="127"/>
  <c r="AH46" i="127"/>
  <c r="AH45" i="127"/>
  <c r="AH47" i="127"/>
  <c r="AH48" i="127"/>
  <c r="J37" i="106"/>
  <c r="N75" i="127"/>
  <c r="N102" i="127" s="1"/>
  <c r="C33" i="106"/>
  <c r="M33" i="106" s="1"/>
  <c r="Q93" i="127"/>
  <c r="U93" i="127" s="1"/>
  <c r="Y93" i="127" s="1"/>
  <c r="N93" i="127"/>
  <c r="O93" i="127"/>
  <c r="S93" i="127" s="1"/>
  <c r="W93" i="127" s="1"/>
  <c r="P93" i="127"/>
  <c r="T93" i="127" s="1"/>
  <c r="X93" i="127" s="1"/>
  <c r="K74" i="127"/>
  <c r="L102" i="127"/>
  <c r="R75" i="127"/>
  <c r="R102" i="127" s="1"/>
  <c r="AI34" i="127"/>
  <c r="AI36" i="127"/>
  <c r="AI46" i="127" s="1"/>
  <c r="AI38" i="127"/>
  <c r="AI48" i="127" s="1"/>
  <c r="AI33" i="127"/>
  <c r="AI35" i="127"/>
  <c r="AI45" i="127" s="1"/>
  <c r="AI37" i="127"/>
  <c r="AI47" i="127" s="1"/>
  <c r="N34" i="106"/>
  <c r="N35" i="106" s="1"/>
  <c r="M34" i="106"/>
  <c r="L34" i="106"/>
  <c r="K33" i="106"/>
  <c r="K35" i="106" s="1"/>
  <c r="N85" i="127" s="1"/>
  <c r="L33" i="106"/>
  <c r="L35" i="106" s="1"/>
  <c r="M35" i="106" l="1"/>
  <c r="R93" i="127"/>
  <c r="R91" i="127" s="1"/>
  <c r="Q91" i="127"/>
  <c r="O91" i="127"/>
  <c r="T91" i="127"/>
  <c r="M37" i="106"/>
  <c r="V85" i="127"/>
  <c r="P91" i="127"/>
  <c r="L74" i="127"/>
  <c r="S91" i="127"/>
  <c r="N91" i="127"/>
  <c r="R74" i="127"/>
  <c r="S75" i="127"/>
  <c r="S102" i="127" s="1"/>
  <c r="AB93" i="127"/>
  <c r="X91" i="127"/>
  <c r="O75" i="127"/>
  <c r="O102" i="127" s="1"/>
  <c r="N74" i="127"/>
  <c r="AA93" i="127"/>
  <c r="W91" i="127"/>
  <c r="U91" i="127"/>
  <c r="N37" i="106"/>
  <c r="Z85" i="127"/>
  <c r="L37" i="106"/>
  <c r="R85" i="127"/>
  <c r="K37" i="106"/>
  <c r="AC93" i="127"/>
  <c r="Y91" i="127"/>
  <c r="AJ33" i="127"/>
  <c r="AJ43" i="127" s="1"/>
  <c r="AJ35" i="127"/>
  <c r="AJ45" i="127" s="1"/>
  <c r="AJ37" i="127"/>
  <c r="AJ34" i="127"/>
  <c r="AJ44" i="127" s="1"/>
  <c r="AJ36" i="127"/>
  <c r="AJ38" i="127"/>
  <c r="AJ48" i="127" s="1"/>
  <c r="Q17" i="102"/>
  <c r="R17" i="102"/>
  <c r="S17" i="102"/>
  <c r="T17" i="102"/>
  <c r="U17" i="102"/>
  <c r="V17" i="102"/>
  <c r="W17" i="102"/>
  <c r="X17" i="102"/>
  <c r="Y17" i="102"/>
  <c r="Z17" i="102"/>
  <c r="AA17" i="102"/>
  <c r="AB17" i="102"/>
  <c r="AC17" i="102"/>
  <c r="AD17" i="102"/>
  <c r="M17" i="102"/>
  <c r="N17" i="102"/>
  <c r="O17" i="102"/>
  <c r="P17" i="102"/>
  <c r="L17" i="102"/>
  <c r="M41" i="102"/>
  <c r="N41" i="102"/>
  <c r="O41" i="102"/>
  <c r="P41" i="102"/>
  <c r="P82" i="102" s="1"/>
  <c r="Q41" i="102"/>
  <c r="R41" i="102"/>
  <c r="S41" i="102"/>
  <c r="T41" i="102"/>
  <c r="U41" i="102"/>
  <c r="V41" i="102"/>
  <c r="W41" i="102"/>
  <c r="X41" i="102"/>
  <c r="X82" i="102" s="1"/>
  <c r="Y41" i="102"/>
  <c r="Z41" i="102"/>
  <c r="AA41" i="102"/>
  <c r="AB41" i="102"/>
  <c r="AB82" i="102" s="1"/>
  <c r="AC41" i="102"/>
  <c r="AD41" i="102"/>
  <c r="M42" i="102"/>
  <c r="M72" i="102" s="1"/>
  <c r="N42" i="102"/>
  <c r="N72" i="102" s="1"/>
  <c r="O42" i="102"/>
  <c r="O72" i="102" s="1"/>
  <c r="P42" i="102"/>
  <c r="P72" i="102" s="1"/>
  <c r="Q42" i="102"/>
  <c r="Q72" i="102" s="1"/>
  <c r="R42" i="102"/>
  <c r="R72" i="102" s="1"/>
  <c r="S42" i="102"/>
  <c r="S72" i="102" s="1"/>
  <c r="T42" i="102"/>
  <c r="T72" i="102" s="1"/>
  <c r="U42" i="102"/>
  <c r="U72" i="102" s="1"/>
  <c r="V42" i="102"/>
  <c r="V72" i="102" s="1"/>
  <c r="W42" i="102"/>
  <c r="W72" i="102" s="1"/>
  <c r="X42" i="102"/>
  <c r="X72" i="102" s="1"/>
  <c r="Y42" i="102"/>
  <c r="Y72" i="102" s="1"/>
  <c r="Z42" i="102"/>
  <c r="Z72" i="102" s="1"/>
  <c r="AA42" i="102"/>
  <c r="AA72" i="102" s="1"/>
  <c r="AB42" i="102"/>
  <c r="AB72" i="102" s="1"/>
  <c r="AC42" i="102"/>
  <c r="AC72" i="102" s="1"/>
  <c r="AD42" i="102"/>
  <c r="AD72" i="102" s="1"/>
  <c r="L41" i="102"/>
  <c r="L82" i="102" s="1"/>
  <c r="L42" i="102"/>
  <c r="L72" i="102" s="1"/>
  <c r="B82" i="102"/>
  <c r="B81" i="102"/>
  <c r="B72" i="102"/>
  <c r="B70" i="102"/>
  <c r="B71" i="102"/>
  <c r="B69" i="102"/>
  <c r="M74" i="127" l="1"/>
  <c r="M102" i="127"/>
  <c r="O85" i="127"/>
  <c r="P85" i="127" s="1"/>
  <c r="Q85" i="127" s="1"/>
  <c r="S85" i="127"/>
  <c r="T85" i="127" s="1"/>
  <c r="U85" i="127" s="1"/>
  <c r="AA85" i="127"/>
  <c r="AB85" i="127" s="1"/>
  <c r="AC85" i="127" s="1"/>
  <c r="R67" i="127"/>
  <c r="W85" i="127"/>
  <c r="X85" i="127" s="1"/>
  <c r="Y85" i="127" s="1"/>
  <c r="N67" i="127"/>
  <c r="V93" i="127"/>
  <c r="AJ46" i="127"/>
  <c r="AJ47" i="127"/>
  <c r="AF93" i="127"/>
  <c r="AB91" i="127"/>
  <c r="O74" i="127"/>
  <c r="O67" i="127" s="1"/>
  <c r="P75" i="127"/>
  <c r="P102" i="127" s="1"/>
  <c r="S74" i="127"/>
  <c r="S67" i="127" s="1"/>
  <c r="T75" i="127"/>
  <c r="T102" i="127" s="1"/>
  <c r="AG93" i="127"/>
  <c r="AC91" i="127"/>
  <c r="AE93" i="127"/>
  <c r="AA91" i="127"/>
  <c r="AK35" i="127"/>
  <c r="AK45" i="127" s="1"/>
  <c r="AK37" i="127"/>
  <c r="AK47" i="127" s="1"/>
  <c r="AK34" i="127"/>
  <c r="AK44" i="127" s="1"/>
  <c r="AK36" i="127"/>
  <c r="AK46" i="127" s="1"/>
  <c r="AK38" i="127"/>
  <c r="AK33" i="127"/>
  <c r="C87" i="102"/>
  <c r="Q64" i="102"/>
  <c r="AC64" i="102"/>
  <c r="U64" i="102"/>
  <c r="M64" i="102"/>
  <c r="Z63" i="102"/>
  <c r="R63" i="102"/>
  <c r="W63" i="102"/>
  <c r="O63" i="102"/>
  <c r="X64" i="102"/>
  <c r="W64" i="102"/>
  <c r="O64" i="102"/>
  <c r="Y63" i="102"/>
  <c r="Q63" i="102"/>
  <c r="P64" i="102"/>
  <c r="AD64" i="102"/>
  <c r="V64" i="102"/>
  <c r="N64" i="102"/>
  <c r="X63" i="102"/>
  <c r="P63" i="102"/>
  <c r="AB64" i="102"/>
  <c r="T64" i="102"/>
  <c r="AD63" i="102"/>
  <c r="V63" i="102"/>
  <c r="N63" i="102"/>
  <c r="AA64" i="102"/>
  <c r="S64" i="102"/>
  <c r="AC63" i="102"/>
  <c r="U63" i="102"/>
  <c r="M63" i="102"/>
  <c r="Z64" i="102"/>
  <c r="R64" i="102"/>
  <c r="AB63" i="102"/>
  <c r="T63" i="102"/>
  <c r="Y64" i="102"/>
  <c r="AA63" i="102"/>
  <c r="S63" i="102"/>
  <c r="H8" i="102"/>
  <c r="C9" i="102"/>
  <c r="C17" i="102"/>
  <c r="H17" i="102"/>
  <c r="I17" i="102"/>
  <c r="J17" i="102"/>
  <c r="K17" i="102"/>
  <c r="I23" i="102"/>
  <c r="H25" i="102"/>
  <c r="C25" i="102"/>
  <c r="K25" i="102"/>
  <c r="M25" i="102"/>
  <c r="N25" i="102"/>
  <c r="O25" i="102"/>
  <c r="Q25" i="102"/>
  <c r="R25" i="102"/>
  <c r="S25" i="102"/>
  <c r="U25" i="102"/>
  <c r="V25" i="102"/>
  <c r="W25" i="102"/>
  <c r="Y25" i="102"/>
  <c r="Z25" i="102"/>
  <c r="AA25" i="102"/>
  <c r="AC25" i="102"/>
  <c r="AD25" i="102"/>
  <c r="C31" i="102"/>
  <c r="H31" i="102"/>
  <c r="I31" i="102"/>
  <c r="J31" i="102"/>
  <c r="K31" i="102"/>
  <c r="M31" i="102"/>
  <c r="N31" i="102"/>
  <c r="O31" i="102"/>
  <c r="Q31" i="102"/>
  <c r="R31" i="102"/>
  <c r="S31" i="102"/>
  <c r="U31" i="102"/>
  <c r="V31" i="102"/>
  <c r="W31" i="102"/>
  <c r="Y31" i="102"/>
  <c r="Z31" i="102"/>
  <c r="AA31" i="102"/>
  <c r="AC31" i="102"/>
  <c r="AD31" i="102"/>
  <c r="C41" i="102"/>
  <c r="H41" i="102"/>
  <c r="K41" i="102"/>
  <c r="L63" i="102" s="1"/>
  <c r="S82" i="102"/>
  <c r="U82" i="102"/>
  <c r="AA82" i="102"/>
  <c r="AD82" i="102"/>
  <c r="C42" i="102"/>
  <c r="I42" i="102"/>
  <c r="J42" i="102"/>
  <c r="K42" i="102"/>
  <c r="I51" i="102"/>
  <c r="J51" i="102"/>
  <c r="K53" i="102"/>
  <c r="M53" i="102"/>
  <c r="N53" i="102"/>
  <c r="O53" i="102"/>
  <c r="Q53" i="102"/>
  <c r="R53" i="102"/>
  <c r="S53" i="102"/>
  <c r="U53" i="102"/>
  <c r="V53" i="102"/>
  <c r="W53" i="102"/>
  <c r="Y53" i="102"/>
  <c r="Z53" i="102"/>
  <c r="AA53" i="102"/>
  <c r="AC53" i="102"/>
  <c r="AD53" i="102"/>
  <c r="M67" i="127" l="1"/>
  <c r="V91" i="127"/>
  <c r="Z93" i="127"/>
  <c r="AJ53" i="127"/>
  <c r="AK48" i="127"/>
  <c r="AK93" i="127"/>
  <c r="AG91" i="127"/>
  <c r="P74" i="127"/>
  <c r="P67" i="127" s="1"/>
  <c r="Q75" i="127"/>
  <c r="U75" i="127"/>
  <c r="T74" i="127"/>
  <c r="AI93" i="127"/>
  <c r="AE91" i="127"/>
  <c r="C51" i="102"/>
  <c r="I25" i="102"/>
  <c r="J23" i="102"/>
  <c r="J41" i="102" s="1"/>
  <c r="AJ93" i="127"/>
  <c r="AF91" i="127"/>
  <c r="I41" i="102"/>
  <c r="I82" i="102" s="1"/>
  <c r="G65" i="102"/>
  <c r="F65" i="102"/>
  <c r="E65" i="102"/>
  <c r="K72" i="102"/>
  <c r="L64" i="102"/>
  <c r="H40" i="102"/>
  <c r="H81" i="102" s="1"/>
  <c r="I8" i="102"/>
  <c r="H42" i="102"/>
  <c r="H72" i="102" s="1"/>
  <c r="W82" i="102"/>
  <c r="R82" i="102"/>
  <c r="Q82" i="102"/>
  <c r="Z82" i="102"/>
  <c r="O82" i="102"/>
  <c r="M82" i="102"/>
  <c r="V82" i="102"/>
  <c r="K82" i="102"/>
  <c r="H82" i="102"/>
  <c r="AC82" i="102"/>
  <c r="Y82" i="102"/>
  <c r="N82" i="102"/>
  <c r="J72" i="102"/>
  <c r="K64" i="102"/>
  <c r="J64" i="102"/>
  <c r="I72" i="102"/>
  <c r="J53" i="102"/>
  <c r="C43" i="102"/>
  <c r="I53" i="102"/>
  <c r="C53" i="102"/>
  <c r="H7" i="102"/>
  <c r="D13" i="101"/>
  <c r="E13" i="101"/>
  <c r="F13" i="101"/>
  <c r="G13" i="101"/>
  <c r="H13" i="101"/>
  <c r="I13" i="101"/>
  <c r="J13" i="101"/>
  <c r="K13" i="101"/>
  <c r="L13" i="101"/>
  <c r="M13" i="101"/>
  <c r="N13" i="101"/>
  <c r="O13" i="101"/>
  <c r="P13" i="101"/>
  <c r="Q13" i="101"/>
  <c r="R13" i="101"/>
  <c r="S13" i="101"/>
  <c r="T13" i="101"/>
  <c r="D14" i="101"/>
  <c r="E14" i="101"/>
  <c r="F14" i="101"/>
  <c r="G14" i="101"/>
  <c r="H14" i="101"/>
  <c r="I14" i="101"/>
  <c r="J14" i="101"/>
  <c r="K14" i="101"/>
  <c r="L14" i="101"/>
  <c r="M14" i="101"/>
  <c r="N14" i="101"/>
  <c r="O14" i="101"/>
  <c r="P14" i="101"/>
  <c r="Q14" i="101"/>
  <c r="R14" i="101"/>
  <c r="S14" i="101"/>
  <c r="T14" i="101"/>
  <c r="D15" i="101"/>
  <c r="E15" i="101"/>
  <c r="F15" i="101"/>
  <c r="G15" i="101"/>
  <c r="H15" i="101"/>
  <c r="I15" i="101"/>
  <c r="J15" i="101"/>
  <c r="K15" i="101"/>
  <c r="L15" i="101"/>
  <c r="M15" i="101"/>
  <c r="N15" i="101"/>
  <c r="O15" i="101"/>
  <c r="P15" i="101"/>
  <c r="Q15" i="101"/>
  <c r="R15" i="101"/>
  <c r="S15" i="101"/>
  <c r="T15" i="101"/>
  <c r="T12" i="101"/>
  <c r="Q12" i="101"/>
  <c r="R12" i="101"/>
  <c r="S12" i="101"/>
  <c r="P12" i="101"/>
  <c r="M12" i="101"/>
  <c r="N12" i="101"/>
  <c r="O12" i="101"/>
  <c r="L12" i="101"/>
  <c r="I12" i="101"/>
  <c r="J12" i="101"/>
  <c r="K12" i="101"/>
  <c r="H12" i="101"/>
  <c r="E12" i="101"/>
  <c r="F12" i="101"/>
  <c r="G12" i="101"/>
  <c r="D12" i="101"/>
  <c r="D7" i="101"/>
  <c r="E7" i="101"/>
  <c r="F7" i="101"/>
  <c r="G7" i="101"/>
  <c r="H7" i="101"/>
  <c r="I7" i="101"/>
  <c r="J7" i="101"/>
  <c r="K7" i="101"/>
  <c r="L7" i="101"/>
  <c r="M7" i="101"/>
  <c r="N7" i="101"/>
  <c r="O7" i="101"/>
  <c r="P7" i="101"/>
  <c r="Q7" i="101"/>
  <c r="R7" i="101"/>
  <c r="S7" i="101"/>
  <c r="T7" i="101"/>
  <c r="D8" i="101"/>
  <c r="E8" i="101"/>
  <c r="F8" i="101"/>
  <c r="G8" i="101"/>
  <c r="H8" i="101"/>
  <c r="I8" i="101"/>
  <c r="J8" i="101"/>
  <c r="K8" i="101"/>
  <c r="L8" i="101"/>
  <c r="M8" i="101"/>
  <c r="N8" i="101"/>
  <c r="O8" i="101"/>
  <c r="P8" i="101"/>
  <c r="Q8" i="101"/>
  <c r="R8" i="101"/>
  <c r="S8" i="101"/>
  <c r="T8" i="101"/>
  <c r="D9" i="101"/>
  <c r="E9" i="101"/>
  <c r="F9" i="101"/>
  <c r="G9" i="101"/>
  <c r="H9" i="101"/>
  <c r="I9" i="101"/>
  <c r="J9" i="101"/>
  <c r="K9" i="101"/>
  <c r="L9" i="101"/>
  <c r="M9" i="101"/>
  <c r="N9" i="101"/>
  <c r="O9" i="101"/>
  <c r="P9" i="101"/>
  <c r="Q9" i="101"/>
  <c r="R9" i="101"/>
  <c r="S9" i="101"/>
  <c r="T9" i="101"/>
  <c r="T6" i="101"/>
  <c r="Q6" i="101"/>
  <c r="R6" i="101"/>
  <c r="S6" i="101"/>
  <c r="P6" i="101"/>
  <c r="M6" i="101"/>
  <c r="N6" i="101"/>
  <c r="O6" i="101"/>
  <c r="L6" i="101"/>
  <c r="I6" i="101"/>
  <c r="J6" i="101"/>
  <c r="K6" i="101"/>
  <c r="H6" i="101"/>
  <c r="E6" i="101"/>
  <c r="F6" i="101"/>
  <c r="G6" i="101"/>
  <c r="D6" i="101"/>
  <c r="D19" i="101" s="1"/>
  <c r="F120" i="86"/>
  <c r="G120" i="86"/>
  <c r="H120" i="86"/>
  <c r="E120" i="86"/>
  <c r="F119" i="86"/>
  <c r="G119" i="86"/>
  <c r="H119" i="86"/>
  <c r="E119" i="86"/>
  <c r="H122" i="86"/>
  <c r="G122" i="86"/>
  <c r="F122" i="86"/>
  <c r="E122" i="86"/>
  <c r="H121" i="86"/>
  <c r="G121" i="86"/>
  <c r="F121" i="86"/>
  <c r="E121" i="86"/>
  <c r="F118" i="86"/>
  <c r="G118" i="86"/>
  <c r="H118" i="86"/>
  <c r="E118" i="86"/>
  <c r="N10" i="87"/>
  <c r="O10" i="87"/>
  <c r="P10" i="87"/>
  <c r="Q10" i="87"/>
  <c r="R10" i="87"/>
  <c r="I11" i="87"/>
  <c r="I12" i="87"/>
  <c r="R12" i="87" s="1"/>
  <c r="N12" i="87"/>
  <c r="O12" i="87"/>
  <c r="P12" i="87"/>
  <c r="Q12" i="87"/>
  <c r="I13" i="87"/>
  <c r="I14" i="87"/>
  <c r="O14" i="87"/>
  <c r="P14" i="87"/>
  <c r="Q14" i="87"/>
  <c r="I15" i="87"/>
  <c r="I16" i="87"/>
  <c r="N16" i="87"/>
  <c r="O16" i="87"/>
  <c r="P16" i="87"/>
  <c r="Q16" i="87"/>
  <c r="I17" i="87"/>
  <c r="I18" i="87"/>
  <c r="O18" i="87"/>
  <c r="I19" i="87"/>
  <c r="I20" i="87"/>
  <c r="N20" i="87"/>
  <c r="O20" i="87"/>
  <c r="I21" i="87"/>
  <c r="I22" i="87"/>
  <c r="R22" i="87" s="1"/>
  <c r="O22" i="87"/>
  <c r="P22" i="87"/>
  <c r="Q22" i="87"/>
  <c r="I23" i="87"/>
  <c r="I24" i="87"/>
  <c r="N24" i="87"/>
  <c r="O24" i="87"/>
  <c r="P24" i="87"/>
  <c r="Q24" i="87"/>
  <c r="I25" i="87"/>
  <c r="E26" i="87"/>
  <c r="D43" i="101" s="1"/>
  <c r="F26" i="87"/>
  <c r="E43" i="101" s="1"/>
  <c r="G26" i="87"/>
  <c r="F43" i="101" s="1"/>
  <c r="H26" i="87"/>
  <c r="G43" i="101" s="1"/>
  <c r="N31" i="87"/>
  <c r="O31" i="87"/>
  <c r="P31" i="87"/>
  <c r="Q31" i="87"/>
  <c r="R31" i="87"/>
  <c r="I32" i="87"/>
  <c r="I33" i="87"/>
  <c r="N33" i="87"/>
  <c r="O33" i="87"/>
  <c r="P33" i="87"/>
  <c r="Q33" i="87"/>
  <c r="I34" i="87"/>
  <c r="I35" i="87"/>
  <c r="N35" i="87"/>
  <c r="O35" i="87"/>
  <c r="P35" i="87"/>
  <c r="I36" i="87"/>
  <c r="I37" i="87"/>
  <c r="N37" i="87"/>
  <c r="O37" i="87"/>
  <c r="P37" i="87"/>
  <c r="Q37" i="87"/>
  <c r="I38" i="87"/>
  <c r="I39" i="87"/>
  <c r="N39" i="87"/>
  <c r="I40" i="87"/>
  <c r="I41" i="87"/>
  <c r="P41" i="87"/>
  <c r="Q41" i="87"/>
  <c r="I42" i="87"/>
  <c r="I43" i="87"/>
  <c r="P43" i="87"/>
  <c r="I44" i="87"/>
  <c r="I45" i="87"/>
  <c r="Q45" i="87"/>
  <c r="I46" i="87"/>
  <c r="E47" i="87"/>
  <c r="H43" i="101" s="1"/>
  <c r="F47" i="87"/>
  <c r="I43" i="101" s="1"/>
  <c r="G47" i="87"/>
  <c r="J43" i="101" s="1"/>
  <c r="H47" i="87"/>
  <c r="K43" i="101" s="1"/>
  <c r="N55" i="87"/>
  <c r="O55" i="87"/>
  <c r="P55" i="87"/>
  <c r="Q55" i="87"/>
  <c r="R55" i="87"/>
  <c r="I56" i="87"/>
  <c r="I57" i="87"/>
  <c r="N57" i="87"/>
  <c r="O57" i="87"/>
  <c r="P57" i="87"/>
  <c r="Q57" i="87"/>
  <c r="I58" i="87"/>
  <c r="I59" i="87"/>
  <c r="O59" i="87"/>
  <c r="Q59" i="87"/>
  <c r="I60" i="87"/>
  <c r="I61" i="87"/>
  <c r="N61" i="87"/>
  <c r="O61" i="87"/>
  <c r="I62" i="87"/>
  <c r="I63" i="87"/>
  <c r="P63" i="87"/>
  <c r="Q63" i="87"/>
  <c r="I64" i="87"/>
  <c r="I65" i="87"/>
  <c r="I66" i="87"/>
  <c r="I67" i="87"/>
  <c r="P67" i="87"/>
  <c r="Q67" i="87"/>
  <c r="I68" i="87"/>
  <c r="I69" i="87"/>
  <c r="Q69" i="87"/>
  <c r="I70" i="87"/>
  <c r="E71" i="87"/>
  <c r="L43" i="101" s="1"/>
  <c r="F71" i="87"/>
  <c r="M43" i="101" s="1"/>
  <c r="G71" i="87"/>
  <c r="N43" i="101" s="1"/>
  <c r="H71" i="87"/>
  <c r="O43" i="101" s="1"/>
  <c r="E72" i="87"/>
  <c r="F72" i="87"/>
  <c r="G72" i="87"/>
  <c r="H72" i="87"/>
  <c r="E73" i="87"/>
  <c r="F73" i="87"/>
  <c r="G73" i="87"/>
  <c r="H73" i="87"/>
  <c r="N76" i="87"/>
  <c r="O76" i="87"/>
  <c r="P76" i="87"/>
  <c r="Q76" i="87"/>
  <c r="R76" i="87"/>
  <c r="I77" i="87"/>
  <c r="I78" i="87"/>
  <c r="N78" i="87"/>
  <c r="O78" i="87"/>
  <c r="P78" i="87"/>
  <c r="Q78" i="87"/>
  <c r="I79" i="87"/>
  <c r="I80" i="87"/>
  <c r="R80" i="87" s="1"/>
  <c r="P80" i="87"/>
  <c r="Q80" i="87"/>
  <c r="I81" i="87"/>
  <c r="I82" i="87"/>
  <c r="I83" i="87"/>
  <c r="I84" i="87"/>
  <c r="Q84" i="87"/>
  <c r="I85" i="87"/>
  <c r="I86" i="87"/>
  <c r="O86" i="87"/>
  <c r="I87" i="87"/>
  <c r="I88" i="87"/>
  <c r="P88" i="87"/>
  <c r="Q88" i="87"/>
  <c r="I89" i="87"/>
  <c r="I90" i="87"/>
  <c r="O90" i="87"/>
  <c r="I91" i="87"/>
  <c r="I92" i="87"/>
  <c r="Q92" i="87"/>
  <c r="I93" i="87"/>
  <c r="E94" i="87"/>
  <c r="P43" i="101" s="1"/>
  <c r="F94" i="87"/>
  <c r="Q43" i="101" s="1"/>
  <c r="G94" i="87"/>
  <c r="R43" i="101" s="1"/>
  <c r="H94" i="87"/>
  <c r="S43" i="101" s="1"/>
  <c r="I100" i="87"/>
  <c r="I101" i="87"/>
  <c r="I102" i="87"/>
  <c r="I103" i="87"/>
  <c r="I104" i="87"/>
  <c r="I105" i="87"/>
  <c r="I106" i="87"/>
  <c r="I107" i="87"/>
  <c r="I108" i="87"/>
  <c r="I109" i="87"/>
  <c r="I110" i="87"/>
  <c r="I111" i="87"/>
  <c r="I112" i="87"/>
  <c r="I113" i="87"/>
  <c r="I114" i="87"/>
  <c r="I115" i="87"/>
  <c r="I116" i="87"/>
  <c r="U43" i="101"/>
  <c r="G117" i="87"/>
  <c r="I126" i="87"/>
  <c r="I127" i="87"/>
  <c r="M127" i="87" s="1"/>
  <c r="I128" i="87"/>
  <c r="M128" i="87" s="1"/>
  <c r="I129" i="87"/>
  <c r="M129" i="87" s="1"/>
  <c r="M130" i="87"/>
  <c r="M131" i="87"/>
  <c r="M132" i="87"/>
  <c r="M133" i="87"/>
  <c r="M134" i="87"/>
  <c r="M135" i="87"/>
  <c r="I136" i="87"/>
  <c r="M136" i="87" s="1"/>
  <c r="I137" i="87"/>
  <c r="M138" i="87"/>
  <c r="M139" i="87"/>
  <c r="M140" i="87"/>
  <c r="M141" i="87"/>
  <c r="F142" i="87"/>
  <c r="F143" i="87" s="1"/>
  <c r="H142" i="87"/>
  <c r="G143" i="87"/>
  <c r="J143" i="87"/>
  <c r="K143" i="87"/>
  <c r="F145" i="87"/>
  <c r="G145" i="87"/>
  <c r="H145" i="87"/>
  <c r="N10" i="86"/>
  <c r="O10" i="86"/>
  <c r="P10" i="86"/>
  <c r="Q10" i="86"/>
  <c r="R10" i="86"/>
  <c r="I11" i="86"/>
  <c r="I12" i="86"/>
  <c r="N12" i="86"/>
  <c r="O12" i="86"/>
  <c r="P12" i="86"/>
  <c r="Q12" i="86"/>
  <c r="I13" i="86"/>
  <c r="I14" i="86"/>
  <c r="N14" i="86"/>
  <c r="P14" i="86"/>
  <c r="Q14" i="86"/>
  <c r="I15" i="86"/>
  <c r="I16" i="86"/>
  <c r="P16" i="86"/>
  <c r="Q16" i="86"/>
  <c r="I17" i="86"/>
  <c r="I18" i="86"/>
  <c r="P18" i="86"/>
  <c r="Q18" i="86"/>
  <c r="I19" i="86"/>
  <c r="I20" i="86"/>
  <c r="O20" i="86"/>
  <c r="I21" i="86"/>
  <c r="I22" i="86"/>
  <c r="R22" i="86" s="1"/>
  <c r="P22" i="86"/>
  <c r="I23" i="86"/>
  <c r="I24" i="86"/>
  <c r="P24" i="86"/>
  <c r="I25" i="86"/>
  <c r="E26" i="86"/>
  <c r="D42" i="101" s="1"/>
  <c r="F26" i="86"/>
  <c r="E42" i="101" s="1"/>
  <c r="G26" i="86"/>
  <c r="F42" i="101" s="1"/>
  <c r="H26" i="86"/>
  <c r="G42" i="101" s="1"/>
  <c r="N31" i="86"/>
  <c r="O31" i="86"/>
  <c r="P31" i="86"/>
  <c r="Q31" i="86"/>
  <c r="R31" i="86"/>
  <c r="I32" i="86"/>
  <c r="I33" i="86"/>
  <c r="R33" i="86" s="1"/>
  <c r="N33" i="86"/>
  <c r="O33" i="86"/>
  <c r="P33" i="86"/>
  <c r="Q33" i="86"/>
  <c r="I34" i="86"/>
  <c r="I35" i="86"/>
  <c r="N35" i="86"/>
  <c r="P35" i="86"/>
  <c r="Q35" i="86"/>
  <c r="I36" i="86"/>
  <c r="I37" i="86"/>
  <c r="P37" i="86"/>
  <c r="Q37" i="86"/>
  <c r="I38" i="86"/>
  <c r="I39" i="86"/>
  <c r="P39" i="86"/>
  <c r="Q39" i="86"/>
  <c r="I40" i="86"/>
  <c r="I41" i="86"/>
  <c r="O41" i="86"/>
  <c r="P41" i="86"/>
  <c r="I42" i="86"/>
  <c r="I43" i="86"/>
  <c r="P43" i="86"/>
  <c r="I44" i="86"/>
  <c r="I45" i="86"/>
  <c r="P45" i="86"/>
  <c r="I46" i="86"/>
  <c r="E47" i="86"/>
  <c r="H42" i="101" s="1"/>
  <c r="F47" i="86"/>
  <c r="I42" i="101" s="1"/>
  <c r="G47" i="86"/>
  <c r="J42" i="101" s="1"/>
  <c r="H47" i="86"/>
  <c r="K42" i="101" s="1"/>
  <c r="N55" i="86"/>
  <c r="O55" i="86"/>
  <c r="P55" i="86"/>
  <c r="Q55" i="86"/>
  <c r="R55" i="86"/>
  <c r="I56" i="86"/>
  <c r="I57" i="86"/>
  <c r="N57" i="86"/>
  <c r="O57" i="86"/>
  <c r="P57" i="86"/>
  <c r="Q57" i="86"/>
  <c r="I58" i="86"/>
  <c r="I59" i="86"/>
  <c r="N59" i="86"/>
  <c r="O59" i="86"/>
  <c r="P59" i="86"/>
  <c r="Q59" i="86"/>
  <c r="I60" i="86"/>
  <c r="I61" i="86"/>
  <c r="P61" i="86"/>
  <c r="Q61" i="86"/>
  <c r="I62" i="86"/>
  <c r="I63" i="86"/>
  <c r="P63" i="86"/>
  <c r="Q63" i="86"/>
  <c r="I64" i="86"/>
  <c r="I65" i="86"/>
  <c r="R65" i="86" s="1"/>
  <c r="O65" i="86"/>
  <c r="P65" i="86"/>
  <c r="I66" i="86"/>
  <c r="I67" i="86"/>
  <c r="R67" i="86" s="1"/>
  <c r="P67" i="86"/>
  <c r="I68" i="86"/>
  <c r="P68" i="86"/>
  <c r="Q68" i="86"/>
  <c r="I69" i="86"/>
  <c r="P69" i="86"/>
  <c r="I70" i="86"/>
  <c r="E71" i="86"/>
  <c r="L42" i="101" s="1"/>
  <c r="F71" i="86"/>
  <c r="M42" i="101" s="1"/>
  <c r="G71" i="86"/>
  <c r="N42" i="101" s="1"/>
  <c r="H71" i="86"/>
  <c r="O42" i="101" s="1"/>
  <c r="E72" i="86"/>
  <c r="F72" i="86"/>
  <c r="G72" i="86"/>
  <c r="H72" i="86"/>
  <c r="E73" i="86"/>
  <c r="F73" i="86"/>
  <c r="G73" i="86"/>
  <c r="H73" i="86"/>
  <c r="N76" i="86"/>
  <c r="O76" i="86"/>
  <c r="P76" i="86"/>
  <c r="Q76" i="86"/>
  <c r="R76" i="86"/>
  <c r="I77" i="86"/>
  <c r="I78" i="86"/>
  <c r="R78" i="86" s="1"/>
  <c r="N78" i="86"/>
  <c r="O78" i="86"/>
  <c r="P78" i="86"/>
  <c r="Q78" i="86"/>
  <c r="I79" i="86"/>
  <c r="R80" i="86" s="1"/>
  <c r="I80" i="86"/>
  <c r="N80" i="86"/>
  <c r="O80" i="86"/>
  <c r="P80" i="86"/>
  <c r="Q80" i="86"/>
  <c r="I81" i="86"/>
  <c r="I82" i="86"/>
  <c r="P82" i="86"/>
  <c r="Q82" i="86"/>
  <c r="I83" i="86"/>
  <c r="I84" i="86"/>
  <c r="O84" i="86"/>
  <c r="P84" i="86"/>
  <c r="Q84" i="86"/>
  <c r="I85" i="86"/>
  <c r="I86" i="86"/>
  <c r="R86" i="86" s="1"/>
  <c r="O86" i="86"/>
  <c r="I87" i="86"/>
  <c r="I88" i="86"/>
  <c r="P88" i="86"/>
  <c r="I89" i="86"/>
  <c r="Q89" i="86"/>
  <c r="I90" i="86"/>
  <c r="I91" i="86"/>
  <c r="E92" i="86"/>
  <c r="P42" i="101" s="1"/>
  <c r="F92" i="86"/>
  <c r="Q42" i="101" s="1"/>
  <c r="G92" i="86"/>
  <c r="R42" i="101" s="1"/>
  <c r="H92" i="86"/>
  <c r="S42" i="101" s="1"/>
  <c r="N98" i="86"/>
  <c r="O98" i="86"/>
  <c r="P98" i="86"/>
  <c r="Q98" i="86"/>
  <c r="R98" i="86"/>
  <c r="I99" i="86"/>
  <c r="I100" i="86"/>
  <c r="N100" i="86"/>
  <c r="I101" i="86"/>
  <c r="I102" i="86"/>
  <c r="R102" i="86" s="1"/>
  <c r="N102" i="86"/>
  <c r="I103" i="86"/>
  <c r="I104" i="86"/>
  <c r="I105" i="86"/>
  <c r="I106" i="86"/>
  <c r="I107" i="86"/>
  <c r="I108" i="86"/>
  <c r="I109" i="86"/>
  <c r="I110" i="86"/>
  <c r="I111" i="86"/>
  <c r="Q111" i="86"/>
  <c r="I112" i="86"/>
  <c r="I113" i="86"/>
  <c r="E114" i="86"/>
  <c r="T42" i="101" s="1"/>
  <c r="F114" i="86"/>
  <c r="U42" i="101" s="1"/>
  <c r="G114" i="86"/>
  <c r="H114" i="86"/>
  <c r="R14" i="86" l="1"/>
  <c r="F103" i="127"/>
  <c r="E103" i="127"/>
  <c r="R92" i="87"/>
  <c r="U74" i="127"/>
  <c r="U67" i="127" s="1"/>
  <c r="U102" i="127"/>
  <c r="H103" i="127"/>
  <c r="R20" i="86"/>
  <c r="Q74" i="127"/>
  <c r="Q67" i="127" s="1"/>
  <c r="Q102" i="127"/>
  <c r="T67" i="127"/>
  <c r="Z91" i="127"/>
  <c r="AD93" i="127"/>
  <c r="J63" i="102"/>
  <c r="K63" i="102"/>
  <c r="J82" i="102"/>
  <c r="R43" i="86"/>
  <c r="R39" i="86"/>
  <c r="R86" i="87"/>
  <c r="R67" i="87"/>
  <c r="R18" i="87"/>
  <c r="G19" i="101"/>
  <c r="O19" i="101"/>
  <c r="T26" i="101"/>
  <c r="W26" i="101" s="1"/>
  <c r="L26" i="101"/>
  <c r="D26" i="101"/>
  <c r="M25" i="101"/>
  <c r="I63" i="102"/>
  <c r="R69" i="86"/>
  <c r="H41" i="101"/>
  <c r="D20" i="101"/>
  <c r="D38" i="101" s="1"/>
  <c r="I142" i="87"/>
  <c r="M142" i="87" s="1"/>
  <c r="R84" i="87"/>
  <c r="R39" i="87"/>
  <c r="J25" i="102"/>
  <c r="R84" i="86"/>
  <c r="R69" i="87"/>
  <c r="R38" i="87"/>
  <c r="R24" i="87"/>
  <c r="AO93" i="127"/>
  <c r="AK91" i="127"/>
  <c r="I118" i="86"/>
  <c r="R42" i="87"/>
  <c r="R20" i="87"/>
  <c r="AM93" i="127"/>
  <c r="AI91" i="127"/>
  <c r="R18" i="86"/>
  <c r="R35" i="87"/>
  <c r="D41" i="101"/>
  <c r="AN93" i="127"/>
  <c r="AJ91" i="127"/>
  <c r="E91" i="102"/>
  <c r="F91" i="102"/>
  <c r="G91" i="102"/>
  <c r="X42" i="101"/>
  <c r="F19" i="101"/>
  <c r="N19" i="101"/>
  <c r="S26" i="101"/>
  <c r="K26" i="101"/>
  <c r="T25" i="101"/>
  <c r="L25" i="101"/>
  <c r="D25" i="101"/>
  <c r="M20" i="101"/>
  <c r="E20" i="101"/>
  <c r="E19" i="101"/>
  <c r="M19" i="101"/>
  <c r="R26" i="101"/>
  <c r="J26" i="101"/>
  <c r="S25" i="101"/>
  <c r="K25" i="101"/>
  <c r="T20" i="101"/>
  <c r="W20" i="101" s="1"/>
  <c r="L20" i="101"/>
  <c r="L41" i="101"/>
  <c r="U41" i="101"/>
  <c r="U45" i="101" s="1"/>
  <c r="K41" i="101"/>
  <c r="I92" i="86"/>
  <c r="R63" i="86"/>
  <c r="G41" i="101"/>
  <c r="R65" i="87"/>
  <c r="R61" i="87"/>
  <c r="R37" i="87"/>
  <c r="H64" i="102"/>
  <c r="I122" i="86"/>
  <c r="R14" i="87"/>
  <c r="I120" i="86"/>
  <c r="L19" i="101"/>
  <c r="T19" i="101"/>
  <c r="M26" i="101"/>
  <c r="M39" i="101" s="1"/>
  <c r="E26" i="101"/>
  <c r="N25" i="101"/>
  <c r="F25" i="101"/>
  <c r="O20" i="101"/>
  <c r="G20" i="101"/>
  <c r="G38" i="101" s="1"/>
  <c r="E25" i="101"/>
  <c r="N20" i="101"/>
  <c r="F20" i="101"/>
  <c r="H84" i="102"/>
  <c r="H101" i="127"/>
  <c r="I64" i="102"/>
  <c r="H39" i="102"/>
  <c r="H61" i="102" s="1"/>
  <c r="I7" i="102"/>
  <c r="J7" i="102" s="1"/>
  <c r="K7" i="102" s="1"/>
  <c r="L7" i="102" s="1"/>
  <c r="J8" i="102"/>
  <c r="I40" i="102"/>
  <c r="H63" i="102"/>
  <c r="H62" i="102"/>
  <c r="C65" i="102"/>
  <c r="K19" i="101"/>
  <c r="S19" i="101"/>
  <c r="H26" i="101"/>
  <c r="R20" i="101"/>
  <c r="P26" i="101"/>
  <c r="Q25" i="101"/>
  <c r="I25" i="101"/>
  <c r="J20" i="101"/>
  <c r="H19" i="101"/>
  <c r="P19" i="101"/>
  <c r="Q26" i="101"/>
  <c r="I26" i="101"/>
  <c r="R25" i="101"/>
  <c r="J25" i="101"/>
  <c r="S20" i="101"/>
  <c r="K20" i="101"/>
  <c r="O41" i="101"/>
  <c r="R45" i="86"/>
  <c r="R41" i="86"/>
  <c r="I121" i="86"/>
  <c r="R16" i="86"/>
  <c r="R88" i="87"/>
  <c r="P41" i="101"/>
  <c r="R82" i="86"/>
  <c r="R24" i="86"/>
  <c r="T43" i="101"/>
  <c r="T41" i="101" s="1"/>
  <c r="I117" i="87"/>
  <c r="R40" i="87"/>
  <c r="R100" i="86"/>
  <c r="S41" i="101"/>
  <c r="R57" i="86"/>
  <c r="R63" i="87"/>
  <c r="R59" i="87"/>
  <c r="R35" i="86"/>
  <c r="R90" i="87"/>
  <c r="R78" i="87"/>
  <c r="R43" i="87"/>
  <c r="R16" i="87"/>
  <c r="J19" i="101"/>
  <c r="R19" i="101"/>
  <c r="O26" i="101"/>
  <c r="G26" i="101"/>
  <c r="P25" i="101"/>
  <c r="H25" i="101"/>
  <c r="Q20" i="101"/>
  <c r="I20" i="101"/>
  <c r="I119" i="86"/>
  <c r="I19" i="101"/>
  <c r="Q19" i="101"/>
  <c r="N26" i="101"/>
  <c r="N39" i="101" s="1"/>
  <c r="F26" i="101"/>
  <c r="F39" i="101" s="1"/>
  <c r="O25" i="101"/>
  <c r="G25" i="101"/>
  <c r="P20" i="101"/>
  <c r="H20" i="101"/>
  <c r="H5" i="102"/>
  <c r="H6" i="102"/>
  <c r="I6" i="102" s="1"/>
  <c r="J6" i="102" s="1"/>
  <c r="K6" i="102" s="1"/>
  <c r="L6" i="102" s="1"/>
  <c r="F28" i="101"/>
  <c r="E41" i="101"/>
  <c r="I41" i="101"/>
  <c r="M41" i="101"/>
  <c r="Q41" i="101"/>
  <c r="F41" i="101"/>
  <c r="J41" i="101"/>
  <c r="N41" i="101"/>
  <c r="R41" i="101"/>
  <c r="O38" i="101"/>
  <c r="M38" i="101"/>
  <c r="R37" i="86"/>
  <c r="I47" i="86"/>
  <c r="R61" i="86"/>
  <c r="I71" i="86"/>
  <c r="R44" i="87"/>
  <c r="R45" i="87"/>
  <c r="I26" i="86"/>
  <c r="M126" i="87"/>
  <c r="I145" i="87"/>
  <c r="R57" i="87"/>
  <c r="I71" i="87"/>
  <c r="I114" i="86"/>
  <c r="H143" i="87"/>
  <c r="I94" i="87"/>
  <c r="M137" i="87"/>
  <c r="M143" i="87" s="1"/>
  <c r="I143" i="87"/>
  <c r="L143" i="87" s="1"/>
  <c r="R33" i="87"/>
  <c r="I47" i="87"/>
  <c r="I26" i="87"/>
  <c r="R88" i="86"/>
  <c r="R59" i="86"/>
  <c r="R12" i="86"/>
  <c r="R41" i="87"/>
  <c r="I39" i="102" l="1"/>
  <c r="I71" i="102" s="1"/>
  <c r="E100" i="127"/>
  <c r="H100" i="127"/>
  <c r="D100" i="127"/>
  <c r="G103" i="127"/>
  <c r="D101" i="127"/>
  <c r="D45" i="101"/>
  <c r="D47" i="101" s="1"/>
  <c r="E38" i="101"/>
  <c r="G100" i="127"/>
  <c r="D103" i="127"/>
  <c r="N38" i="101"/>
  <c r="T45" i="101"/>
  <c r="T47" i="101" s="1"/>
  <c r="AD91" i="127"/>
  <c r="AH93" i="127"/>
  <c r="G22" i="127"/>
  <c r="AQ93" i="127"/>
  <c r="AM91" i="127"/>
  <c r="AS93" i="127"/>
  <c r="AO91" i="127"/>
  <c r="K23" i="101"/>
  <c r="K24" i="101" s="1"/>
  <c r="AR93" i="127"/>
  <c r="AN91" i="127"/>
  <c r="S23" i="101"/>
  <c r="S24" i="101" s="1"/>
  <c r="G23" i="101"/>
  <c r="F24" i="101"/>
  <c r="O23" i="101"/>
  <c r="N24" i="101"/>
  <c r="L38" i="101"/>
  <c r="O28" i="101"/>
  <c r="O30" i="101" s="1"/>
  <c r="O31" i="101" s="1"/>
  <c r="O24" i="101"/>
  <c r="G28" i="101"/>
  <c r="G30" i="101" s="1"/>
  <c r="G31" i="101" s="1"/>
  <c r="G24" i="101"/>
  <c r="S45" i="101"/>
  <c r="F38" i="101"/>
  <c r="E21" i="127"/>
  <c r="V19" i="101"/>
  <c r="S17" i="101"/>
  <c r="R18" i="101" s="1"/>
  <c r="X19" i="101"/>
  <c r="F21" i="127"/>
  <c r="N28" i="101"/>
  <c r="M17" i="101"/>
  <c r="L18" i="101" s="1"/>
  <c r="T39" i="101"/>
  <c r="H32" i="127" s="1"/>
  <c r="W25" i="101"/>
  <c r="W39" i="101" s="1"/>
  <c r="H22" i="127"/>
  <c r="G17" i="101"/>
  <c r="G18" i="101" s="1"/>
  <c r="V25" i="101"/>
  <c r="F22" i="127"/>
  <c r="I17" i="101"/>
  <c r="H18" i="101" s="1"/>
  <c r="K28" i="101"/>
  <c r="H21" i="127"/>
  <c r="C31" i="62" s="1"/>
  <c r="U17" i="101"/>
  <c r="U18" i="101" s="1"/>
  <c r="O17" i="101"/>
  <c r="O18" i="101" s="1"/>
  <c r="D22" i="127"/>
  <c r="K17" i="101"/>
  <c r="K18" i="101" s="1"/>
  <c r="Q17" i="101"/>
  <c r="Q18" i="101" s="1"/>
  <c r="E22" i="127"/>
  <c r="M28" i="101"/>
  <c r="M30" i="101" s="1"/>
  <c r="M31" i="101" s="1"/>
  <c r="D28" i="101"/>
  <c r="D37" i="101" s="1"/>
  <c r="E17" i="101"/>
  <c r="D18" i="101" s="1"/>
  <c r="S39" i="101"/>
  <c r="G32" i="127" s="1"/>
  <c r="H28" i="101"/>
  <c r="H30" i="101" s="1"/>
  <c r="H31" i="101" s="1"/>
  <c r="K39" i="101"/>
  <c r="I28" i="101"/>
  <c r="I30" i="101" s="1"/>
  <c r="I31" i="101" s="1"/>
  <c r="X26" i="101"/>
  <c r="V26" i="101"/>
  <c r="Y25" i="101"/>
  <c r="W19" i="101"/>
  <c r="V20" i="101"/>
  <c r="L45" i="101"/>
  <c r="L47" i="101" s="1"/>
  <c r="L28" i="101"/>
  <c r="L37" i="101" s="1"/>
  <c r="E97" i="102"/>
  <c r="H71" i="102"/>
  <c r="P28" i="101"/>
  <c r="S28" i="101"/>
  <c r="S37" i="101" s="1"/>
  <c r="G45" i="101"/>
  <c r="G47" i="101" s="1"/>
  <c r="H45" i="101"/>
  <c r="H47" i="101" s="1"/>
  <c r="J38" i="101"/>
  <c r="T38" i="101"/>
  <c r="H31" i="127" s="1"/>
  <c r="Y19" i="101"/>
  <c r="L39" i="101"/>
  <c r="T28" i="101"/>
  <c r="T37" i="101" s="1"/>
  <c r="M45" i="101"/>
  <c r="M47" i="101" s="1"/>
  <c r="O39" i="101"/>
  <c r="E28" i="101"/>
  <c r="E37" i="101" s="1"/>
  <c r="X43" i="101"/>
  <c r="D39" i="101"/>
  <c r="AA19" i="101"/>
  <c r="J39" i="101"/>
  <c r="E45" i="101"/>
  <c r="E47" i="101" s="1"/>
  <c r="D33" i="101"/>
  <c r="D34" i="101" s="1"/>
  <c r="R39" i="101"/>
  <c r="F32" i="127" s="1"/>
  <c r="AA20" i="101"/>
  <c r="X25" i="101"/>
  <c r="S38" i="101"/>
  <c r="G31" i="127" s="1"/>
  <c r="P38" i="101"/>
  <c r="D31" i="127" s="1"/>
  <c r="K45" i="101"/>
  <c r="K47" i="101" s="1"/>
  <c r="R38" i="101"/>
  <c r="F31" i="127" s="1"/>
  <c r="X41" i="101"/>
  <c r="X20" i="101"/>
  <c r="R28" i="101"/>
  <c r="R37" i="101" s="1"/>
  <c r="U47" i="101"/>
  <c r="K38" i="101"/>
  <c r="O45" i="101"/>
  <c r="O47" i="101" s="1"/>
  <c r="I39" i="101"/>
  <c r="J45" i="101"/>
  <c r="J47" i="101" s="1"/>
  <c r="F45" i="101"/>
  <c r="F47" i="101" s="1"/>
  <c r="E39" i="101"/>
  <c r="I81" i="102"/>
  <c r="I62" i="102"/>
  <c r="K8" i="102"/>
  <c r="J40" i="102"/>
  <c r="L39" i="102"/>
  <c r="M7" i="102"/>
  <c r="H37" i="102"/>
  <c r="H69" i="102" s="1"/>
  <c r="I5" i="102"/>
  <c r="J5" i="102" s="1"/>
  <c r="K5" i="102" s="1"/>
  <c r="L5" i="102" s="1"/>
  <c r="L38" i="102"/>
  <c r="M6" i="102"/>
  <c r="I61" i="102"/>
  <c r="P39" i="101"/>
  <c r="D32" i="127" s="1"/>
  <c r="Q39" i="101"/>
  <c r="E32" i="127" s="1"/>
  <c r="P37" i="101"/>
  <c r="R45" i="101"/>
  <c r="Q28" i="101"/>
  <c r="Q30" i="101" s="1"/>
  <c r="Q31" i="101" s="1"/>
  <c r="N45" i="101"/>
  <c r="N47" i="101" s="1"/>
  <c r="I45" i="101"/>
  <c r="I47" i="101" s="1"/>
  <c r="P45" i="101"/>
  <c r="P47" i="101" s="1"/>
  <c r="Q38" i="101"/>
  <c r="E31" i="127" s="1"/>
  <c r="G37" i="101"/>
  <c r="J28" i="101"/>
  <c r="Q45" i="101"/>
  <c r="Q47" i="101" s="1"/>
  <c r="S47" i="101"/>
  <c r="J39" i="102"/>
  <c r="H39" i="101"/>
  <c r="H38" i="101"/>
  <c r="I38" i="101"/>
  <c r="N30" i="101"/>
  <c r="N31" i="101" s="1"/>
  <c r="G39" i="101"/>
  <c r="F30" i="101"/>
  <c r="F31" i="101" s="1"/>
  <c r="H9" i="102"/>
  <c r="H38" i="102"/>
  <c r="I38" i="102"/>
  <c r="K37" i="101"/>
  <c r="F37" i="101"/>
  <c r="P33" i="101"/>
  <c r="P34" i="101" s="1"/>
  <c r="K30" i="101"/>
  <c r="K31" i="101" s="1"/>
  <c r="N37" i="101"/>
  <c r="P30" i="101"/>
  <c r="P31" i="101" s="1"/>
  <c r="C33" i="62" l="1"/>
  <c r="R24" i="101"/>
  <c r="M33" i="101"/>
  <c r="M34" i="101" s="1"/>
  <c r="F100" i="127"/>
  <c r="E101" i="127"/>
  <c r="S18" i="101"/>
  <c r="Y18" i="101" s="1"/>
  <c r="T18" i="101"/>
  <c r="I103" i="127"/>
  <c r="H37" i="101"/>
  <c r="S30" i="101"/>
  <c r="S31" i="101" s="1"/>
  <c r="I33" i="101"/>
  <c r="I34" i="101" s="1"/>
  <c r="O69" i="127"/>
  <c r="K101" i="127"/>
  <c r="O37" i="101"/>
  <c r="I100" i="127"/>
  <c r="F101" i="127"/>
  <c r="I37" i="101"/>
  <c r="P69" i="127"/>
  <c r="L101" i="127"/>
  <c r="G101" i="127"/>
  <c r="J101" i="127"/>
  <c r="AH91" i="127"/>
  <c r="AL93" i="127"/>
  <c r="G42" i="127"/>
  <c r="AW93" i="127"/>
  <c r="AW91" i="127" s="1"/>
  <c r="AS91" i="127"/>
  <c r="J24" i="101"/>
  <c r="Y24" i="101"/>
  <c r="AU93" i="127"/>
  <c r="AU91" i="127" s="1"/>
  <c r="AQ91" i="127"/>
  <c r="X24" i="101"/>
  <c r="H59" i="102"/>
  <c r="V39" i="101"/>
  <c r="AV93" i="127"/>
  <c r="AV91" i="127" s="1"/>
  <c r="AR91" i="127"/>
  <c r="H42" i="127"/>
  <c r="D18" i="121"/>
  <c r="D20" i="127" s="1"/>
  <c r="D21" i="127"/>
  <c r="E42" i="127"/>
  <c r="D42" i="127"/>
  <c r="H41" i="127"/>
  <c r="G18" i="121"/>
  <c r="G20" i="127" s="1"/>
  <c r="G21" i="127"/>
  <c r="C30" i="62" s="1"/>
  <c r="F42" i="127"/>
  <c r="F41" i="127"/>
  <c r="E41" i="127"/>
  <c r="V38" i="101"/>
  <c r="J18" i="101"/>
  <c r="H18" i="121"/>
  <c r="H20" i="127" s="1"/>
  <c r="M37" i="101"/>
  <c r="P18" i="101"/>
  <c r="N18" i="101"/>
  <c r="E18" i="101"/>
  <c r="Q33" i="101"/>
  <c r="Q34" i="101" s="1"/>
  <c r="I18" i="101"/>
  <c r="M18" i="101"/>
  <c r="F18" i="121"/>
  <c r="F20" i="127" s="1"/>
  <c r="E18" i="121"/>
  <c r="E20" i="127" s="1"/>
  <c r="F18" i="101"/>
  <c r="W38" i="101"/>
  <c r="F33" i="101"/>
  <c r="F34" i="101" s="1"/>
  <c r="H33" i="101"/>
  <c r="H34" i="101" s="1"/>
  <c r="N33" i="101"/>
  <c r="N34" i="101" s="1"/>
  <c r="X38" i="101"/>
  <c r="AA38" i="101"/>
  <c r="L30" i="101"/>
  <c r="L31" i="101" s="1"/>
  <c r="G33" i="101"/>
  <c r="G34" i="101" s="1"/>
  <c r="O33" i="101"/>
  <c r="O34" i="101" s="1"/>
  <c r="Z39" i="101"/>
  <c r="X39" i="101"/>
  <c r="X28" i="101"/>
  <c r="R33" i="101"/>
  <c r="R34" i="101" s="1"/>
  <c r="AA39" i="101"/>
  <c r="Z38" i="101"/>
  <c r="R30" i="101"/>
  <c r="R31" i="101" s="1"/>
  <c r="R47" i="101"/>
  <c r="X45" i="101"/>
  <c r="S33" i="101"/>
  <c r="S34" i="101" s="1"/>
  <c r="T33" i="101"/>
  <c r="T34" i="101" s="1"/>
  <c r="D30" i="101"/>
  <c r="D31" i="101" s="1"/>
  <c r="Z20" i="101"/>
  <c r="Y26" i="101"/>
  <c r="Z19" i="101"/>
  <c r="Z25" i="101" s="1"/>
  <c r="U33" i="101"/>
  <c r="U34" i="101" s="1"/>
  <c r="T30" i="101"/>
  <c r="T31" i="101" s="1"/>
  <c r="Q37" i="101"/>
  <c r="E30" i="101"/>
  <c r="E31" i="101" s="1"/>
  <c r="E33" i="101"/>
  <c r="E34" i="101" s="1"/>
  <c r="L70" i="102"/>
  <c r="Q32" i="101"/>
  <c r="J33" i="101"/>
  <c r="J34" i="101" s="1"/>
  <c r="L71" i="102"/>
  <c r="J81" i="102"/>
  <c r="J62" i="102"/>
  <c r="L8" i="102"/>
  <c r="K40" i="102"/>
  <c r="M5" i="102"/>
  <c r="L37" i="102"/>
  <c r="M39" i="102"/>
  <c r="N7" i="102"/>
  <c r="I9" i="102"/>
  <c r="M38" i="102"/>
  <c r="N6" i="102"/>
  <c r="I37" i="102"/>
  <c r="I59" i="102" s="1"/>
  <c r="I84" i="102"/>
  <c r="H87" i="102"/>
  <c r="H86" i="102"/>
  <c r="I60" i="102"/>
  <c r="H60" i="102"/>
  <c r="J71" i="102"/>
  <c r="J61" i="102"/>
  <c r="I70" i="102"/>
  <c r="H43" i="102"/>
  <c r="H70" i="102"/>
  <c r="H73" i="102" s="1"/>
  <c r="H90" i="102" s="1"/>
  <c r="J78" i="127" s="1"/>
  <c r="J37" i="101"/>
  <c r="L33" i="101"/>
  <c r="L34" i="101" s="1"/>
  <c r="K33" i="101"/>
  <c r="K34" i="101" s="1"/>
  <c r="J30" i="101"/>
  <c r="J31" i="101" s="1"/>
  <c r="J37" i="102"/>
  <c r="K39" i="102"/>
  <c r="J38" i="102"/>
  <c r="J60" i="102" s="1"/>
  <c r="J9" i="102"/>
  <c r="V18" i="101" l="1"/>
  <c r="C46" i="62"/>
  <c r="C21" i="62"/>
  <c r="T69" i="127"/>
  <c r="P101" i="127"/>
  <c r="S69" i="127"/>
  <c r="O101" i="127"/>
  <c r="H76" i="102"/>
  <c r="H91" i="102" s="1"/>
  <c r="N69" i="127"/>
  <c r="N101" i="127" s="1"/>
  <c r="D41" i="127"/>
  <c r="AL91" i="127"/>
  <c r="AP93" i="127"/>
  <c r="W18" i="101"/>
  <c r="N32" i="121"/>
  <c r="U32" i="101"/>
  <c r="G41" i="127"/>
  <c r="E52" i="127"/>
  <c r="F52" i="127"/>
  <c r="H52" i="127"/>
  <c r="X18" i="101"/>
  <c r="X47" i="101"/>
  <c r="M32" i="101"/>
  <c r="X32" i="101"/>
  <c r="E96" i="102"/>
  <c r="M71" i="102"/>
  <c r="L69" i="102"/>
  <c r="L73" i="102" s="1"/>
  <c r="K61" i="102"/>
  <c r="L61" i="102"/>
  <c r="M70" i="102"/>
  <c r="I69" i="102"/>
  <c r="I73" i="102" s="1"/>
  <c r="M61" i="102"/>
  <c r="M60" i="102"/>
  <c r="N5" i="102"/>
  <c r="M37" i="102"/>
  <c r="M59" i="102" s="1"/>
  <c r="I76" i="102"/>
  <c r="O6" i="102"/>
  <c r="N38" i="102"/>
  <c r="N60" i="102" s="1"/>
  <c r="L40" i="102"/>
  <c r="L62" i="102" s="1"/>
  <c r="M8" i="102"/>
  <c r="I43" i="102"/>
  <c r="J84" i="102"/>
  <c r="I87" i="102"/>
  <c r="I86" i="102"/>
  <c r="K81" i="102"/>
  <c r="J59" i="102"/>
  <c r="J65" i="102" s="1"/>
  <c r="N39" i="102"/>
  <c r="O7" i="102"/>
  <c r="K62" i="102"/>
  <c r="L9" i="102"/>
  <c r="H65" i="102"/>
  <c r="I65" i="102"/>
  <c r="J69" i="102"/>
  <c r="K71" i="102"/>
  <c r="J70" i="102"/>
  <c r="H75" i="102"/>
  <c r="H92" i="102" s="1"/>
  <c r="J80" i="127" s="1"/>
  <c r="J43" i="102"/>
  <c r="K37" i="102"/>
  <c r="L59" i="102" s="1"/>
  <c r="K38" i="102"/>
  <c r="K9" i="102"/>
  <c r="C18" i="62" l="1"/>
  <c r="I101" i="127"/>
  <c r="W69" i="127"/>
  <c r="S101" i="127"/>
  <c r="X69" i="127"/>
  <c r="T101" i="127"/>
  <c r="D52" i="127"/>
  <c r="F62" i="127"/>
  <c r="AT93" i="127"/>
  <c r="AP91" i="127"/>
  <c r="R69" i="127"/>
  <c r="R101" i="127" s="1"/>
  <c r="M69" i="127"/>
  <c r="M101" i="127" s="1"/>
  <c r="N31" i="127"/>
  <c r="O32" i="121"/>
  <c r="O31" i="127" s="1"/>
  <c r="H54" i="127"/>
  <c r="F54" i="127"/>
  <c r="E54" i="127"/>
  <c r="G52" i="127"/>
  <c r="C42" i="62" s="1"/>
  <c r="P32" i="121"/>
  <c r="M76" i="102"/>
  <c r="L43" i="102"/>
  <c r="K84" i="102"/>
  <c r="K86" i="102" s="1"/>
  <c r="I90" i="102"/>
  <c r="K78" i="127" s="1"/>
  <c r="I75" i="102"/>
  <c r="I92" i="102" s="1"/>
  <c r="K80" i="127" s="1"/>
  <c r="N71" i="102"/>
  <c r="K60" i="102"/>
  <c r="L60" i="102"/>
  <c r="L76" i="102" s="1"/>
  <c r="L81" i="102"/>
  <c r="L84" i="102" s="1"/>
  <c r="N70" i="102"/>
  <c r="N61" i="102"/>
  <c r="M69" i="102"/>
  <c r="M73" i="102" s="1"/>
  <c r="P6" i="102"/>
  <c r="O38" i="102"/>
  <c r="O60" i="102" s="1"/>
  <c r="I91" i="102"/>
  <c r="J76" i="102"/>
  <c r="O5" i="102"/>
  <c r="N37" i="102"/>
  <c r="N59" i="102" s="1"/>
  <c r="N8" i="102"/>
  <c r="M40" i="102"/>
  <c r="M62" i="102" s="1"/>
  <c r="M65" i="102" s="1"/>
  <c r="O39" i="102"/>
  <c r="O61" i="102" s="1"/>
  <c r="P7" i="102"/>
  <c r="J87" i="102"/>
  <c r="J86" i="102"/>
  <c r="J73" i="102"/>
  <c r="J90" i="102" s="1"/>
  <c r="L78" i="127" s="1"/>
  <c r="K69" i="102"/>
  <c r="K59" i="102"/>
  <c r="K43" i="102"/>
  <c r="K70" i="102"/>
  <c r="M9" i="102"/>
  <c r="C19" i="62" l="1"/>
  <c r="C22" i="62"/>
  <c r="D54" i="127"/>
  <c r="AA69" i="127"/>
  <c r="W101" i="127"/>
  <c r="AB69" i="127"/>
  <c r="X101" i="127"/>
  <c r="K61" i="127"/>
  <c r="V69" i="127"/>
  <c r="V101" i="127" s="1"/>
  <c r="AT91" i="127"/>
  <c r="Q69" i="127"/>
  <c r="Q101" i="127" s="1"/>
  <c r="H51" i="127"/>
  <c r="E51" i="127"/>
  <c r="E99" i="127" s="1"/>
  <c r="E104" i="127" s="1"/>
  <c r="F51" i="127"/>
  <c r="F99" i="127" s="1"/>
  <c r="F104" i="127" s="1"/>
  <c r="G54" i="127"/>
  <c r="Q32" i="121"/>
  <c r="Q31" i="127" s="1"/>
  <c r="P31" i="127"/>
  <c r="N76" i="102"/>
  <c r="K87" i="102"/>
  <c r="L86" i="102"/>
  <c r="J75" i="102"/>
  <c r="J92" i="102" s="1"/>
  <c r="L80" i="127" s="1"/>
  <c r="L90" i="102"/>
  <c r="N78" i="127" s="1"/>
  <c r="M43" i="102"/>
  <c r="N69" i="102"/>
  <c r="N73" i="102" s="1"/>
  <c r="J91" i="102"/>
  <c r="L87" i="102"/>
  <c r="L91" i="102" s="1"/>
  <c r="L65" i="102"/>
  <c r="O71" i="102"/>
  <c r="O70" i="102"/>
  <c r="M75" i="102"/>
  <c r="Q7" i="102"/>
  <c r="P39" i="102"/>
  <c r="O8" i="102"/>
  <c r="N40" i="102"/>
  <c r="N62" i="102" s="1"/>
  <c r="N65" i="102" s="1"/>
  <c r="P5" i="102"/>
  <c r="O37" i="102"/>
  <c r="M81" i="102"/>
  <c r="M84" i="102" s="1"/>
  <c r="M86" i="102" s="1"/>
  <c r="P38" i="102"/>
  <c r="Q6" i="102"/>
  <c r="K65" i="102"/>
  <c r="K76" i="102"/>
  <c r="K73" i="102"/>
  <c r="L75" i="102" s="1"/>
  <c r="N9" i="102"/>
  <c r="H99" i="127" l="1"/>
  <c r="H104" i="127" s="1"/>
  <c r="D51" i="127"/>
  <c r="D64" i="127" s="1"/>
  <c r="R62" i="127"/>
  <c r="V62" i="127" s="1"/>
  <c r="AF69" i="127"/>
  <c r="AB101" i="127"/>
  <c r="AE69" i="127"/>
  <c r="AA101" i="127"/>
  <c r="N79" i="127"/>
  <c r="M60" i="127"/>
  <c r="Z69" i="127"/>
  <c r="Z101" i="127" s="1"/>
  <c r="G51" i="127"/>
  <c r="G99" i="127" s="1"/>
  <c r="G104" i="127" s="1"/>
  <c r="U69" i="127"/>
  <c r="U101" i="127" s="1"/>
  <c r="F64" i="127"/>
  <c r="F88" i="127" s="1"/>
  <c r="E64" i="127"/>
  <c r="E88" i="127" s="1"/>
  <c r="I54" i="127"/>
  <c r="M31" i="127"/>
  <c r="L31" i="127"/>
  <c r="K31" i="127"/>
  <c r="J31" i="127"/>
  <c r="L92" i="102"/>
  <c r="K91" i="102"/>
  <c r="M79" i="127" s="1"/>
  <c r="P70" i="102"/>
  <c r="P71" i="102"/>
  <c r="T84" i="102"/>
  <c r="M87" i="102"/>
  <c r="M91" i="102" s="1"/>
  <c r="O79" i="127" s="1"/>
  <c r="O69" i="102"/>
  <c r="O73" i="102" s="1"/>
  <c r="O75" i="102" s="1"/>
  <c r="P60" i="102"/>
  <c r="O59" i="102"/>
  <c r="N75" i="102"/>
  <c r="P61" i="102"/>
  <c r="Q5" i="102"/>
  <c r="P37" i="102"/>
  <c r="P59" i="102" s="1"/>
  <c r="N81" i="102"/>
  <c r="N84" i="102" s="1"/>
  <c r="R7" i="102"/>
  <c r="Q39" i="102"/>
  <c r="Q61" i="102" s="1"/>
  <c r="P8" i="102"/>
  <c r="O40" i="102"/>
  <c r="O62" i="102" s="1"/>
  <c r="Q38" i="102"/>
  <c r="Q60" i="102" s="1"/>
  <c r="R6" i="102"/>
  <c r="N43" i="102"/>
  <c r="K75" i="102"/>
  <c r="K92" i="102" s="1"/>
  <c r="M80" i="127" s="1"/>
  <c r="K90" i="102"/>
  <c r="O9" i="102"/>
  <c r="D88" i="127" l="1"/>
  <c r="D71" i="127"/>
  <c r="D99" i="127"/>
  <c r="D104" i="127" s="1"/>
  <c r="L61" i="127"/>
  <c r="M61" i="127" s="1"/>
  <c r="N61" i="127" s="1"/>
  <c r="J81" i="127"/>
  <c r="N80" i="127"/>
  <c r="M78" i="127"/>
  <c r="F96" i="102"/>
  <c r="F97" i="102"/>
  <c r="AJ69" i="127"/>
  <c r="AF101" i="127"/>
  <c r="AI69" i="127"/>
  <c r="AE101" i="127"/>
  <c r="Z62" i="127"/>
  <c r="AD69" i="127"/>
  <c r="AD101" i="127" s="1"/>
  <c r="Y69" i="127"/>
  <c r="Y101" i="127" s="1"/>
  <c r="I51" i="127"/>
  <c r="C44" i="62" s="1"/>
  <c r="F71" i="127"/>
  <c r="E71" i="127"/>
  <c r="F98" i="102"/>
  <c r="P76" i="102"/>
  <c r="O65" i="102"/>
  <c r="O76" i="102"/>
  <c r="N87" i="102"/>
  <c r="N91" i="102" s="1"/>
  <c r="P79" i="127" s="1"/>
  <c r="P69" i="102"/>
  <c r="P73" i="102" s="1"/>
  <c r="Q70" i="102"/>
  <c r="N86" i="102"/>
  <c r="Q71" i="102"/>
  <c r="O81" i="102"/>
  <c r="O84" i="102" s="1"/>
  <c r="O86" i="102" s="1"/>
  <c r="Q8" i="102"/>
  <c r="Q9" i="102" s="1"/>
  <c r="P40" i="102"/>
  <c r="O43" i="102"/>
  <c r="S7" i="102"/>
  <c r="R39" i="102"/>
  <c r="R61" i="102" s="1"/>
  <c r="P9" i="102"/>
  <c r="S6" i="102"/>
  <c r="R38" i="102"/>
  <c r="R60" i="102" s="1"/>
  <c r="R5" i="102"/>
  <c r="Q37" i="102"/>
  <c r="N90" i="102"/>
  <c r="P78" i="127" s="1"/>
  <c r="M92" i="102"/>
  <c r="M90" i="102"/>
  <c r="O78" i="127" s="1"/>
  <c r="I99" i="127" l="1"/>
  <c r="I104" i="127" s="1"/>
  <c r="N60" i="127"/>
  <c r="O61" i="127" s="1"/>
  <c r="AM69" i="127"/>
  <c r="AI101" i="127"/>
  <c r="AN69" i="127"/>
  <c r="AJ101" i="127"/>
  <c r="K81" i="127"/>
  <c r="O80" i="127"/>
  <c r="F72" i="127"/>
  <c r="E72" i="127"/>
  <c r="AC69" i="127"/>
  <c r="AC101" i="127" s="1"/>
  <c r="AD62" i="127"/>
  <c r="O60" i="127"/>
  <c r="P60" i="127" s="1"/>
  <c r="Q60" i="127" s="1"/>
  <c r="AH69" i="127"/>
  <c r="AH101" i="127" s="1"/>
  <c r="D72" i="127"/>
  <c r="O87" i="102"/>
  <c r="O91" i="102" s="1"/>
  <c r="P75" i="102"/>
  <c r="Q69" i="102"/>
  <c r="Q73" i="102" s="1"/>
  <c r="O90" i="102"/>
  <c r="R70" i="102"/>
  <c r="Q59" i="102"/>
  <c r="R71" i="102"/>
  <c r="P43" i="102"/>
  <c r="P81" i="102"/>
  <c r="P84" i="102" s="1"/>
  <c r="P62" i="102"/>
  <c r="P65" i="102" s="1"/>
  <c r="T7" i="102"/>
  <c r="S39" i="102"/>
  <c r="S5" i="102"/>
  <c r="R37" i="102"/>
  <c r="R59" i="102" s="1"/>
  <c r="T6" i="102"/>
  <c r="S38" i="102"/>
  <c r="R8" i="102"/>
  <c r="R9" i="102" s="1"/>
  <c r="Q40" i="102"/>
  <c r="Q43" i="102"/>
  <c r="O92" i="102"/>
  <c r="Q80" i="127" s="1"/>
  <c r="N92" i="102"/>
  <c r="Q79" i="127" l="1"/>
  <c r="G97" i="102"/>
  <c r="AR69" i="127"/>
  <c r="AN101" i="127"/>
  <c r="L81" i="127"/>
  <c r="P80" i="127"/>
  <c r="G96" i="102"/>
  <c r="Q78" i="127"/>
  <c r="AQ69" i="127"/>
  <c r="AM101" i="127"/>
  <c r="AG69" i="127"/>
  <c r="AG101" i="127" s="1"/>
  <c r="P61" i="127"/>
  <c r="Q61" i="127" s="1"/>
  <c r="R61" i="127" s="1"/>
  <c r="AH62" i="127"/>
  <c r="AL69" i="127"/>
  <c r="AL101" i="127" s="1"/>
  <c r="M81" i="127"/>
  <c r="G98" i="102"/>
  <c r="Q75" i="102"/>
  <c r="S71" i="102"/>
  <c r="R76" i="102"/>
  <c r="S61" i="102"/>
  <c r="P87" i="102"/>
  <c r="P91" i="102" s="1"/>
  <c r="S70" i="102"/>
  <c r="Q76" i="102"/>
  <c r="P86" i="102"/>
  <c r="P92" i="102" s="1"/>
  <c r="R80" i="127" s="1"/>
  <c r="P90" i="102"/>
  <c r="R78" i="127" s="1"/>
  <c r="R69" i="102"/>
  <c r="R73" i="102" s="1"/>
  <c r="S59" i="102"/>
  <c r="Q62" i="102"/>
  <c r="Q65" i="102" s="1"/>
  <c r="S60" i="102"/>
  <c r="U6" i="102"/>
  <c r="T38" i="102"/>
  <c r="T60" i="102" s="1"/>
  <c r="T5" i="102"/>
  <c r="S37" i="102"/>
  <c r="Q81" i="102"/>
  <c r="Q84" i="102" s="1"/>
  <c r="S8" i="102"/>
  <c r="R40" i="102"/>
  <c r="R62" i="102" s="1"/>
  <c r="R65" i="102" s="1"/>
  <c r="U7" i="102"/>
  <c r="T39" i="102"/>
  <c r="T61" i="102" s="1"/>
  <c r="AU69" i="127" l="1"/>
  <c r="AU101" i="127" s="1"/>
  <c r="AQ101" i="127"/>
  <c r="AV69" i="127"/>
  <c r="AV101" i="127" s="1"/>
  <c r="AR101" i="127"/>
  <c r="R79" i="127"/>
  <c r="AK69" i="127"/>
  <c r="AK101" i="127" s="1"/>
  <c r="AP69" i="127"/>
  <c r="AP101" i="127" s="1"/>
  <c r="R60" i="127"/>
  <c r="AL62" i="127"/>
  <c r="N81" i="127"/>
  <c r="R75" i="102"/>
  <c r="S69" i="102"/>
  <c r="S73" i="102" s="1"/>
  <c r="Q87" i="102"/>
  <c r="Q91" i="102" s="1"/>
  <c r="S79" i="127" s="1"/>
  <c r="T70" i="102"/>
  <c r="Q86" i="102"/>
  <c r="Q92" i="102" s="1"/>
  <c r="S80" i="127" s="1"/>
  <c r="T71" i="102"/>
  <c r="S76" i="102"/>
  <c r="R43" i="102"/>
  <c r="Q90" i="102"/>
  <c r="S78" i="127" s="1"/>
  <c r="T8" i="102"/>
  <c r="T9" i="102" s="1"/>
  <c r="S40" i="102"/>
  <c r="S62" i="102" s="1"/>
  <c r="S65" i="102" s="1"/>
  <c r="S43" i="102"/>
  <c r="S9" i="102"/>
  <c r="U5" i="102"/>
  <c r="T37" i="102"/>
  <c r="T59" i="102" s="1"/>
  <c r="V7" i="102"/>
  <c r="U39" i="102"/>
  <c r="U61" i="102" s="1"/>
  <c r="R81" i="102"/>
  <c r="R84" i="102" s="1"/>
  <c r="R90" i="102" s="1"/>
  <c r="T78" i="127" s="1"/>
  <c r="V6" i="102"/>
  <c r="U38" i="102"/>
  <c r="U60" i="102" s="1"/>
  <c r="AO69" i="127" l="1"/>
  <c r="AO101" i="127" s="1"/>
  <c r="AP62" i="127"/>
  <c r="AT69" i="127"/>
  <c r="AT101" i="127" s="1"/>
  <c r="S60" i="127"/>
  <c r="T60" i="127" s="1"/>
  <c r="U60" i="127" s="1"/>
  <c r="S61" i="127"/>
  <c r="O81" i="127"/>
  <c r="R87" i="102"/>
  <c r="R91" i="102" s="1"/>
  <c r="T79" i="127" s="1"/>
  <c r="R86" i="102"/>
  <c r="R92" i="102" s="1"/>
  <c r="T80" i="127" s="1"/>
  <c r="T76" i="102"/>
  <c r="T69" i="102"/>
  <c r="T73" i="102" s="1"/>
  <c r="U71" i="102"/>
  <c r="U70" i="102"/>
  <c r="S75" i="102"/>
  <c r="U8" i="102"/>
  <c r="T40" i="102"/>
  <c r="T43" i="102" s="1"/>
  <c r="W6" i="102"/>
  <c r="V38" i="102"/>
  <c r="V5" i="102"/>
  <c r="U37" i="102"/>
  <c r="U59" i="102" s="1"/>
  <c r="U76" i="102" s="1"/>
  <c r="S81" i="102"/>
  <c r="S84" i="102" s="1"/>
  <c r="S90" i="102" s="1"/>
  <c r="W7" i="102"/>
  <c r="V39" i="102"/>
  <c r="V61" i="102" s="1"/>
  <c r="H96" i="102" l="1"/>
  <c r="U78" i="127"/>
  <c r="T61" i="127"/>
  <c r="U61" i="127" s="1"/>
  <c r="V61" i="127" s="1"/>
  <c r="V60" i="127" s="1"/>
  <c r="AS69" i="127"/>
  <c r="AS101" i="127" s="1"/>
  <c r="AT62" i="127"/>
  <c r="P81" i="127"/>
  <c r="S87" i="102"/>
  <c r="S91" i="102" s="1"/>
  <c r="U79" i="127" s="1"/>
  <c r="S86" i="102"/>
  <c r="S92" i="102" s="1"/>
  <c r="U80" i="127" s="1"/>
  <c r="T90" i="102"/>
  <c r="V78" i="127" s="1"/>
  <c r="V70" i="102"/>
  <c r="V60" i="102"/>
  <c r="T75" i="102"/>
  <c r="V71" i="102"/>
  <c r="T86" i="102"/>
  <c r="T87" i="102"/>
  <c r="T91" i="102" s="1"/>
  <c r="V79" i="127" s="1"/>
  <c r="U69" i="102"/>
  <c r="U73" i="102" s="1"/>
  <c r="T62" i="102"/>
  <c r="T65" i="102" s="1"/>
  <c r="W5" i="102"/>
  <c r="V37" i="102"/>
  <c r="V59" i="102" s="1"/>
  <c r="V8" i="102"/>
  <c r="U40" i="102"/>
  <c r="U62" i="102" s="1"/>
  <c r="U65" i="102" s="1"/>
  <c r="X7" i="102"/>
  <c r="W39" i="102"/>
  <c r="U9" i="102"/>
  <c r="X6" i="102"/>
  <c r="W38" i="102"/>
  <c r="W60" i="102" s="1"/>
  <c r="H97" i="102" l="1"/>
  <c r="AW69" i="127"/>
  <c r="W60" i="127"/>
  <c r="X60" i="127" s="1"/>
  <c r="Y60" i="127" s="1"/>
  <c r="W61" i="127"/>
  <c r="H98" i="102"/>
  <c r="V76" i="102"/>
  <c r="T92" i="102"/>
  <c r="U75" i="102"/>
  <c r="W71" i="102"/>
  <c r="V69" i="102"/>
  <c r="V73" i="102" s="1"/>
  <c r="W61" i="102"/>
  <c r="W70" i="102"/>
  <c r="Y6" i="102"/>
  <c r="X38" i="102"/>
  <c r="U81" i="102"/>
  <c r="U84" i="102" s="1"/>
  <c r="U90" i="102" s="1"/>
  <c r="W78" i="127" s="1"/>
  <c r="W8" i="102"/>
  <c r="W9" i="102" s="1"/>
  <c r="V40" i="102"/>
  <c r="X5" i="102"/>
  <c r="W37" i="102"/>
  <c r="W59" i="102" s="1"/>
  <c r="U43" i="102"/>
  <c r="Y7" i="102"/>
  <c r="X39" i="102"/>
  <c r="X61" i="102" s="1"/>
  <c r="V9" i="102"/>
  <c r="X61" i="127" l="1"/>
  <c r="Y61" i="127" s="1"/>
  <c r="Z61" i="127" s="1"/>
  <c r="Z60" i="127" s="1"/>
  <c r="AW101" i="127"/>
  <c r="R81" i="127"/>
  <c r="V80" i="127"/>
  <c r="Q81" i="127"/>
  <c r="W76" i="102"/>
  <c r="X70" i="102"/>
  <c r="X60" i="102"/>
  <c r="W69" i="102"/>
  <c r="W73" i="102" s="1"/>
  <c r="V43" i="102"/>
  <c r="X71" i="102"/>
  <c r="U87" i="102"/>
  <c r="U91" i="102" s="1"/>
  <c r="W79" i="127" s="1"/>
  <c r="U86" i="102"/>
  <c r="U92" i="102" s="1"/>
  <c r="W80" i="127" s="1"/>
  <c r="V62" i="102"/>
  <c r="V65" i="102" s="1"/>
  <c r="V75" i="102"/>
  <c r="Y5" i="102"/>
  <c r="X37" i="102"/>
  <c r="X59" i="102" s="1"/>
  <c r="V81" i="102"/>
  <c r="V84" i="102" s="1"/>
  <c r="X8" i="102"/>
  <c r="W40" i="102"/>
  <c r="W62" i="102" s="1"/>
  <c r="W65" i="102" s="1"/>
  <c r="Z7" i="102"/>
  <c r="Y39" i="102"/>
  <c r="Y61" i="102" s="1"/>
  <c r="Z6" i="102"/>
  <c r="Y38" i="102"/>
  <c r="Y60" i="102" s="1"/>
  <c r="AA60" i="127" l="1"/>
  <c r="AB60" i="127" s="1"/>
  <c r="AC60" i="127" s="1"/>
  <c r="AA61" i="127"/>
  <c r="S81" i="127"/>
  <c r="W43" i="102"/>
  <c r="W75" i="102"/>
  <c r="X76" i="102"/>
  <c r="Y70" i="102"/>
  <c r="X69" i="102"/>
  <c r="X73" i="102" s="1"/>
  <c r="Y71" i="102"/>
  <c r="V90" i="102"/>
  <c r="X78" i="127" s="1"/>
  <c r="V86" i="102"/>
  <c r="V92" i="102" s="1"/>
  <c r="X80" i="127" s="1"/>
  <c r="V87" i="102"/>
  <c r="V91" i="102" s="1"/>
  <c r="X79" i="127" s="1"/>
  <c r="AA6" i="102"/>
  <c r="Z38" i="102"/>
  <c r="AA7" i="102"/>
  <c r="Z39" i="102"/>
  <c r="Z61" i="102" s="1"/>
  <c r="W81" i="102"/>
  <c r="W84" i="102" s="1"/>
  <c r="W86" i="102" s="1"/>
  <c r="Z5" i="102"/>
  <c r="Y37" i="102"/>
  <c r="Y59" i="102" s="1"/>
  <c r="Y8" i="102"/>
  <c r="X40" i="102"/>
  <c r="X43" i="102" s="1"/>
  <c r="X9" i="102"/>
  <c r="AB61" i="127" l="1"/>
  <c r="AC61" i="127" s="1"/>
  <c r="AD61" i="127" s="1"/>
  <c r="T81" i="127"/>
  <c r="W92" i="102"/>
  <c r="Y80" i="127" s="1"/>
  <c r="X62" i="102"/>
  <c r="X65" i="102" s="1"/>
  <c r="W87" i="102"/>
  <c r="W91" i="102" s="1"/>
  <c r="Y79" i="127" s="1"/>
  <c r="X75" i="102"/>
  <c r="Z70" i="102"/>
  <c r="Y69" i="102"/>
  <c r="Y73" i="102" s="1"/>
  <c r="Y76" i="102"/>
  <c r="Z71" i="102"/>
  <c r="X81" i="102"/>
  <c r="X84" i="102" s="1"/>
  <c r="X90" i="102" s="1"/>
  <c r="Z78" i="127" s="1"/>
  <c r="Z60" i="102"/>
  <c r="W90" i="102"/>
  <c r="Z8" i="102"/>
  <c r="Z9" i="102" s="1"/>
  <c r="Y40" i="102"/>
  <c r="Y43" i="102" s="1"/>
  <c r="Y9" i="102"/>
  <c r="AB6" i="102"/>
  <c r="AA38" i="102"/>
  <c r="AA60" i="102" s="1"/>
  <c r="AA5" i="102"/>
  <c r="Z37" i="102"/>
  <c r="AB7" i="102"/>
  <c r="AA39" i="102"/>
  <c r="Y78" i="127" l="1"/>
  <c r="I96" i="102"/>
  <c r="AD60" i="127"/>
  <c r="I97" i="102"/>
  <c r="I98" i="102"/>
  <c r="Y62" i="102"/>
  <c r="Y65" i="102" s="1"/>
  <c r="Y75" i="102"/>
  <c r="X86" i="102"/>
  <c r="X92" i="102" s="1"/>
  <c r="AA71" i="102"/>
  <c r="AA61" i="102"/>
  <c r="Z69" i="102"/>
  <c r="Z73" i="102" s="1"/>
  <c r="AA70" i="102"/>
  <c r="X87" i="102"/>
  <c r="X91" i="102" s="1"/>
  <c r="Z79" i="127" s="1"/>
  <c r="Z59" i="102"/>
  <c r="AB5" i="102"/>
  <c r="AA37" i="102"/>
  <c r="AA59" i="102" s="1"/>
  <c r="AC7" i="102"/>
  <c r="AB39" i="102"/>
  <c r="AB61" i="102" s="1"/>
  <c r="Y81" i="102"/>
  <c r="Y84" i="102" s="1"/>
  <c r="AA8" i="102"/>
  <c r="Z40" i="102"/>
  <c r="AC6" i="102"/>
  <c r="AB38" i="102"/>
  <c r="V81" i="127" l="1"/>
  <c r="Z80" i="127"/>
  <c r="AE60" i="127"/>
  <c r="AF60" i="127" s="1"/>
  <c r="AG60" i="127" s="1"/>
  <c r="AE61" i="127"/>
  <c r="U81" i="127"/>
  <c r="AB70" i="102"/>
  <c r="AB60" i="102"/>
  <c r="AB71" i="102"/>
  <c r="Z76" i="102"/>
  <c r="AA76" i="102"/>
  <c r="Z43" i="102"/>
  <c r="AA69" i="102"/>
  <c r="AA73" i="102" s="1"/>
  <c r="Z62" i="102"/>
  <c r="Z65" i="102" s="1"/>
  <c r="Z75" i="102"/>
  <c r="Y86" i="102"/>
  <c r="Y92" i="102" s="1"/>
  <c r="AA80" i="127" s="1"/>
  <c r="Y90" i="102"/>
  <c r="AA78" i="127" s="1"/>
  <c r="Y87" i="102"/>
  <c r="Y91" i="102" s="1"/>
  <c r="AA79" i="127" s="1"/>
  <c r="AB8" i="102"/>
  <c r="AB9" i="102" s="1"/>
  <c r="AA40" i="102"/>
  <c r="AA9" i="102"/>
  <c r="AD6" i="102"/>
  <c r="AD38" i="102" s="1"/>
  <c r="AD70" i="102" s="1"/>
  <c r="AC38" i="102"/>
  <c r="AC60" i="102" s="1"/>
  <c r="AD7" i="102"/>
  <c r="AD39" i="102" s="1"/>
  <c r="AD71" i="102" s="1"/>
  <c r="AC39" i="102"/>
  <c r="AC61" i="102" s="1"/>
  <c r="Z81" i="102"/>
  <c r="Z84" i="102" s="1"/>
  <c r="Z90" i="102" s="1"/>
  <c r="AB78" i="127" s="1"/>
  <c r="AC5" i="102"/>
  <c r="AB37" i="102"/>
  <c r="AB59" i="102" s="1"/>
  <c r="D26" i="62"/>
  <c r="E26" i="62" s="1"/>
  <c r="F26" i="62" s="1"/>
  <c r="G26" i="62" s="1"/>
  <c r="H26" i="62" s="1"/>
  <c r="I26" i="62" s="1"/>
  <c r="J26" i="62" s="1"/>
  <c r="K26" i="62" s="1"/>
  <c r="L26" i="62" s="1"/>
  <c r="M26" i="62" s="1"/>
  <c r="C7" i="62"/>
  <c r="D7" i="62" s="1"/>
  <c r="E7" i="62" s="1"/>
  <c r="F7" i="62" s="1"/>
  <c r="G7" i="62" s="1"/>
  <c r="H7" i="62" s="1"/>
  <c r="I7" i="62" s="1"/>
  <c r="J7" i="62" s="1"/>
  <c r="K7" i="62" s="1"/>
  <c r="L7" i="62" s="1"/>
  <c r="M7" i="62" s="1"/>
  <c r="C5" i="62"/>
  <c r="D5" i="62" s="1"/>
  <c r="E5" i="62" s="1"/>
  <c r="F5" i="62" s="1"/>
  <c r="G5" i="62" s="1"/>
  <c r="H5" i="62" s="1"/>
  <c r="I5" i="62" s="1"/>
  <c r="J5" i="62" s="1"/>
  <c r="K5" i="62" s="1"/>
  <c r="L5" i="62" s="1"/>
  <c r="M5" i="62" s="1"/>
  <c r="AF61" i="127" l="1"/>
  <c r="AG61" i="127" s="1"/>
  <c r="AH61" i="127" s="1"/>
  <c r="W81" i="127"/>
  <c r="J32" i="127"/>
  <c r="L32" i="127"/>
  <c r="L42" i="127" s="1"/>
  <c r="M32" i="127"/>
  <c r="M42" i="127" s="1"/>
  <c r="K32" i="127"/>
  <c r="AB76" i="102"/>
  <c r="AB69" i="102"/>
  <c r="AB73" i="102" s="1"/>
  <c r="AB75" i="102" s="1"/>
  <c r="AA62" i="102"/>
  <c r="AA65" i="102" s="1"/>
  <c r="AC71" i="102"/>
  <c r="AD61" i="102"/>
  <c r="AA75" i="102"/>
  <c r="AC70" i="102"/>
  <c r="AD60" i="102"/>
  <c r="Z86" i="102"/>
  <c r="Z92" i="102" s="1"/>
  <c r="AB80" i="127" s="1"/>
  <c r="Z87" i="102"/>
  <c r="Z91" i="102" s="1"/>
  <c r="AB79" i="127" s="1"/>
  <c r="AA81" i="102"/>
  <c r="AA84" i="102" s="1"/>
  <c r="AD5" i="102"/>
  <c r="AC37" i="102"/>
  <c r="AC59" i="102" s="1"/>
  <c r="AC76" i="102" s="1"/>
  <c r="AC8" i="102"/>
  <c r="AC9" i="102" s="1"/>
  <c r="AB40" i="102"/>
  <c r="AA43" i="102"/>
  <c r="AH60" i="127" l="1"/>
  <c r="X81" i="127"/>
  <c r="F40" i="62"/>
  <c r="N33" i="121"/>
  <c r="N32" i="127" s="1"/>
  <c r="Q33" i="121"/>
  <c r="Q32" i="127" s="1"/>
  <c r="Q42" i="127" s="1"/>
  <c r="P33" i="121"/>
  <c r="P32" i="127" s="1"/>
  <c r="P42" i="127" s="1"/>
  <c r="O33" i="121"/>
  <c r="O32" i="127" s="1"/>
  <c r="AB43" i="102"/>
  <c r="AB81" i="102"/>
  <c r="AB84" i="102" s="1"/>
  <c r="AB90" i="102" s="1"/>
  <c r="AD78" i="127" s="1"/>
  <c r="AB62" i="102"/>
  <c r="AB65" i="102" s="1"/>
  <c r="AC69" i="102"/>
  <c r="AC73" i="102" s="1"/>
  <c r="AA86" i="102"/>
  <c r="AA92" i="102" s="1"/>
  <c r="AC80" i="127" s="1"/>
  <c r="AA87" i="102"/>
  <c r="AA91" i="102" s="1"/>
  <c r="AC79" i="127" s="1"/>
  <c r="AA90" i="102"/>
  <c r="AD8" i="102"/>
  <c r="AD40" i="102" s="1"/>
  <c r="AD81" i="102" s="1"/>
  <c r="AD84" i="102" s="1"/>
  <c r="AC40" i="102"/>
  <c r="AD37" i="102"/>
  <c r="AD69" i="102" s="1"/>
  <c r="AD73" i="102" s="1"/>
  <c r="AD59" i="102" l="1"/>
  <c r="AD76" i="102" s="1"/>
  <c r="J96" i="102"/>
  <c r="AC78" i="127"/>
  <c r="AB87" i="102"/>
  <c r="AB91" i="102" s="1"/>
  <c r="AC81" i="127"/>
  <c r="AI60" i="127"/>
  <c r="AJ60" i="127" s="1"/>
  <c r="AK60" i="127" s="1"/>
  <c r="AI61" i="127"/>
  <c r="J98" i="102"/>
  <c r="J97" i="102"/>
  <c r="G40" i="62"/>
  <c r="R33" i="121"/>
  <c r="R32" i="127" s="1"/>
  <c r="T33" i="121"/>
  <c r="T32" i="127" s="1"/>
  <c r="T42" i="127" s="1"/>
  <c r="S33" i="121"/>
  <c r="S32" i="127" s="1"/>
  <c r="U33" i="121"/>
  <c r="U32" i="127" s="1"/>
  <c r="U42" i="127" s="1"/>
  <c r="AD90" i="102"/>
  <c r="AB86" i="102"/>
  <c r="AB92" i="102" s="1"/>
  <c r="AD75" i="102"/>
  <c r="AC75" i="102"/>
  <c r="AD62" i="102"/>
  <c r="AD65" i="102" s="1"/>
  <c r="AC62" i="102"/>
  <c r="AC65" i="102" s="1"/>
  <c r="AD9" i="102"/>
  <c r="AC43" i="102"/>
  <c r="AC81" i="102"/>
  <c r="AC84" i="102" s="1"/>
  <c r="AD43" i="102"/>
  <c r="AD79" i="127" l="1"/>
  <c r="Z81" i="127"/>
  <c r="AD80" i="127"/>
  <c r="AF78" i="127"/>
  <c r="K96" i="102"/>
  <c r="AJ61" i="127"/>
  <c r="AK61" i="127" s="1"/>
  <c r="AL61" i="127" s="1"/>
  <c r="Y81" i="127"/>
  <c r="H40" i="62"/>
  <c r="V33" i="121"/>
  <c r="V32" i="127" s="1"/>
  <c r="X33" i="121"/>
  <c r="X32" i="127" s="1"/>
  <c r="X42" i="127" s="1"/>
  <c r="Y33" i="121"/>
  <c r="Y32" i="127" s="1"/>
  <c r="Y42" i="127" s="1"/>
  <c r="W33" i="121"/>
  <c r="W32" i="127" s="1"/>
  <c r="AC90" i="102"/>
  <c r="AE78" i="127" s="1"/>
  <c r="AC86" i="102"/>
  <c r="AC92" i="102" s="1"/>
  <c r="AE80" i="127" s="1"/>
  <c r="AD86" i="102"/>
  <c r="AD92" i="102" s="1"/>
  <c r="AF80" i="127" s="1"/>
  <c r="AC87" i="102"/>
  <c r="AC91" i="102" s="1"/>
  <c r="AE79" i="127" s="1"/>
  <c r="AD87" i="102"/>
  <c r="AD91" i="102" s="1"/>
  <c r="AF79" i="127" s="1"/>
  <c r="AF81" i="127" l="1"/>
  <c r="AE81" i="127"/>
  <c r="AD81" i="127"/>
  <c r="K97" i="102"/>
  <c r="AL60" i="127"/>
  <c r="AB81" i="127"/>
  <c r="AA81" i="127"/>
  <c r="I40" i="62"/>
  <c r="Z33" i="121"/>
  <c r="Z32" i="127" s="1"/>
  <c r="AC33" i="121"/>
  <c r="AC32" i="127" s="1"/>
  <c r="AC42" i="127" s="1"/>
  <c r="AB33" i="121"/>
  <c r="AB32" i="127" s="1"/>
  <c r="AB42" i="127" s="1"/>
  <c r="AA33" i="121"/>
  <c r="AA32" i="127" s="1"/>
  <c r="K98" i="102"/>
  <c r="AM60" i="127" l="1"/>
  <c r="AN60" i="127" s="1"/>
  <c r="AO60" i="127" s="1"/>
  <c r="AM61" i="127"/>
  <c r="J40" i="62"/>
  <c r="AD33" i="121"/>
  <c r="AD32" i="127" s="1"/>
  <c r="AG33" i="121"/>
  <c r="AG32" i="127" s="1"/>
  <c r="AG42" i="127" s="1"/>
  <c r="AF33" i="121"/>
  <c r="AF32" i="127" s="1"/>
  <c r="AF42" i="127" s="1"/>
  <c r="AE33" i="121"/>
  <c r="AE32" i="127" s="1"/>
  <c r="AN61" i="127" l="1"/>
  <c r="AO61" i="127" s="1"/>
  <c r="AP61" i="127" s="1"/>
  <c r="K40" i="62"/>
  <c r="AH33" i="121"/>
  <c r="AH32" i="127" s="1"/>
  <c r="AJ33" i="121"/>
  <c r="AJ32" i="127" s="1"/>
  <c r="AJ42" i="127" s="1"/>
  <c r="AK33" i="121"/>
  <c r="AK32" i="127" s="1"/>
  <c r="AK42" i="127" s="1"/>
  <c r="AI33" i="121"/>
  <c r="AI32" i="127" s="1"/>
  <c r="AP60" i="127" l="1"/>
  <c r="L40" i="62"/>
  <c r="AM33" i="121"/>
  <c r="AM32" i="127" s="1"/>
  <c r="AN33" i="121"/>
  <c r="AN32" i="127" s="1"/>
  <c r="AN42" i="127" s="1"/>
  <c r="AO33" i="121"/>
  <c r="AO32" i="127" s="1"/>
  <c r="AO42" i="127" s="1"/>
  <c r="AL33" i="121"/>
  <c r="AL32" i="127" s="1"/>
  <c r="AQ60" i="127" l="1"/>
  <c r="AR60" i="127" s="1"/>
  <c r="AS60" i="127" s="1"/>
  <c r="AQ61" i="127"/>
  <c r="M40" i="62"/>
  <c r="AQ33" i="121"/>
  <c r="AQ32" i="127" s="1"/>
  <c r="AS33" i="121"/>
  <c r="AS32" i="127" s="1"/>
  <c r="AS42" i="127" s="1"/>
  <c r="AP33" i="121"/>
  <c r="AP32" i="127" s="1"/>
  <c r="AR33" i="121"/>
  <c r="AR32" i="127" s="1"/>
  <c r="AR42" i="127" s="1"/>
  <c r="AR61" i="127" l="1"/>
  <c r="AS61" i="127" s="1"/>
  <c r="AT61" i="127" s="1"/>
  <c r="AU33" i="121"/>
  <c r="AU32" i="127" s="1"/>
  <c r="AV33" i="121"/>
  <c r="AV32" i="127" s="1"/>
  <c r="AV42" i="127" s="1"/>
  <c r="AW33" i="121"/>
  <c r="AW32" i="127" s="1"/>
  <c r="AW42" i="127" s="1"/>
  <c r="AT33" i="121"/>
  <c r="AT32" i="127" s="1"/>
  <c r="AT60" i="127" l="1"/>
  <c r="AU60" i="127" l="1"/>
  <c r="AV60" i="127" s="1"/>
  <c r="AW60" i="127" s="1"/>
  <c r="AU61" i="127"/>
  <c r="AV61" i="127" l="1"/>
  <c r="AW61" i="127" s="1"/>
  <c r="C8" i="62" l="1"/>
  <c r="D8" i="62" l="1"/>
  <c r="I6" i="47"/>
  <c r="J6" i="47"/>
  <c r="H6" i="47"/>
  <c r="E6" i="47"/>
  <c r="I6" i="50"/>
  <c r="J6" i="50"/>
  <c r="H6" i="50"/>
  <c r="E6" i="50"/>
  <c r="I7" i="49"/>
  <c r="J7" i="49"/>
  <c r="H7" i="49"/>
  <c r="E7" i="49"/>
  <c r="I6" i="48"/>
  <c r="J6" i="48"/>
  <c r="H6" i="48"/>
  <c r="E6" i="48"/>
  <c r="I7" i="46"/>
  <c r="J7" i="46"/>
  <c r="H7" i="46"/>
  <c r="E7" i="46"/>
  <c r="M4" i="44"/>
  <c r="K4" i="44"/>
  <c r="I4" i="44"/>
  <c r="E4" i="44"/>
  <c r="E17" i="41"/>
  <c r="M17" i="41"/>
  <c r="K17" i="41"/>
  <c r="I17" i="41"/>
  <c r="E8" i="62" l="1"/>
  <c r="F8" i="62" l="1"/>
  <c r="H64" i="21"/>
  <c r="G64" i="21"/>
  <c r="F64" i="21"/>
  <c r="E64" i="21"/>
  <c r="D64" i="21"/>
  <c r="C64" i="21"/>
  <c r="G8" i="62" l="1"/>
  <c r="I58" i="21"/>
  <c r="H58" i="21"/>
  <c r="G58" i="21"/>
  <c r="F58" i="21"/>
  <c r="I52" i="21"/>
  <c r="H52" i="21"/>
  <c r="G52" i="21"/>
  <c r="F52" i="21"/>
  <c r="I51" i="21"/>
  <c r="H51" i="21"/>
  <c r="G51" i="21"/>
  <c r="F51" i="21"/>
  <c r="H45" i="21"/>
  <c r="H60" i="21" s="1"/>
  <c r="G45" i="21"/>
  <c r="G60" i="21" s="1"/>
  <c r="F45" i="21"/>
  <c r="F60" i="21" s="1"/>
  <c r="E45" i="21"/>
  <c r="E60" i="21" s="1"/>
  <c r="F44" i="21"/>
  <c r="F59" i="21" s="1"/>
  <c r="E44" i="21"/>
  <c r="E59" i="21" s="1"/>
  <c r="I30" i="21"/>
  <c r="I45" i="21" s="1"/>
  <c r="I60" i="21" s="1"/>
  <c r="G29" i="21"/>
  <c r="G44" i="21" s="1"/>
  <c r="F27" i="21"/>
  <c r="E27" i="21"/>
  <c r="C15" i="21"/>
  <c r="C30" i="21" s="1"/>
  <c r="D45" i="21" s="1"/>
  <c r="D60" i="21" s="1"/>
  <c r="B15" i="21"/>
  <c r="C14" i="21"/>
  <c r="C29" i="21" s="1"/>
  <c r="D44" i="21" s="1"/>
  <c r="D59" i="21" s="1"/>
  <c r="B14" i="21"/>
  <c r="C13" i="21"/>
  <c r="D28" i="21" s="1"/>
  <c r="E43" i="21" s="1"/>
  <c r="B13" i="21"/>
  <c r="I12" i="21"/>
  <c r="H12" i="21"/>
  <c r="G12" i="21"/>
  <c r="F12" i="21"/>
  <c r="E12" i="21"/>
  <c r="D12" i="21"/>
  <c r="C11" i="21"/>
  <c r="D26" i="21" s="1"/>
  <c r="B11" i="21"/>
  <c r="C10" i="21"/>
  <c r="C25" i="21" s="1"/>
  <c r="B10" i="21"/>
  <c r="H9" i="21"/>
  <c r="H5" i="21" s="1"/>
  <c r="G9" i="21"/>
  <c r="G5" i="21" s="1"/>
  <c r="C9" i="21"/>
  <c r="D24" i="21" s="1"/>
  <c r="B9" i="21"/>
  <c r="F8" i="21"/>
  <c r="F5" i="21" s="1"/>
  <c r="E8" i="21"/>
  <c r="C8" i="21"/>
  <c r="D23" i="21" s="1"/>
  <c r="B8" i="21"/>
  <c r="C7" i="21"/>
  <c r="C22" i="21" s="1"/>
  <c r="B7" i="21"/>
  <c r="C6" i="21"/>
  <c r="C21" i="21" s="1"/>
  <c r="B6" i="21"/>
  <c r="I5" i="21"/>
  <c r="E5" i="21"/>
  <c r="D5" i="21"/>
  <c r="G16" i="21" l="1"/>
  <c r="F16" i="21"/>
  <c r="H8" i="62"/>
  <c r="D16" i="21"/>
  <c r="H16" i="21"/>
  <c r="H29" i="21"/>
  <c r="I29" i="21" s="1"/>
  <c r="I27" i="21" s="1"/>
  <c r="F57" i="21"/>
  <c r="E16" i="21"/>
  <c r="I16" i="21"/>
  <c r="G27" i="21"/>
  <c r="D25" i="21"/>
  <c r="D40" i="21" s="1"/>
  <c r="D55" i="21" s="1"/>
  <c r="C28" i="21"/>
  <c r="D43" i="21" s="1"/>
  <c r="D22" i="21"/>
  <c r="E37" i="21" s="1"/>
  <c r="E52" i="21" s="1"/>
  <c r="C24" i="21"/>
  <c r="D39" i="21" s="1"/>
  <c r="D54" i="21" s="1"/>
  <c r="E24" i="21"/>
  <c r="E39" i="21" s="1"/>
  <c r="E54" i="21" s="1"/>
  <c r="G42" i="21"/>
  <c r="G59" i="21"/>
  <c r="G57" i="21" s="1"/>
  <c r="E23" i="21"/>
  <c r="E26" i="21"/>
  <c r="E58" i="21"/>
  <c r="E57" i="21" s="1"/>
  <c r="E42" i="21"/>
  <c r="C23" i="21"/>
  <c r="D38" i="21" s="1"/>
  <c r="D53" i="21" s="1"/>
  <c r="D21" i="21"/>
  <c r="C26" i="21"/>
  <c r="D41" i="21" s="1"/>
  <c r="D56" i="21" s="1"/>
  <c r="D27" i="21"/>
  <c r="F42" i="21"/>
  <c r="I8" i="62" l="1"/>
  <c r="H27" i="21"/>
  <c r="D37" i="21"/>
  <c r="D52" i="21" s="1"/>
  <c r="C27" i="21"/>
  <c r="I44" i="21"/>
  <c r="I42" i="21" s="1"/>
  <c r="H44" i="21"/>
  <c r="H42" i="21" s="1"/>
  <c r="E25" i="21"/>
  <c r="E40" i="21" s="1"/>
  <c r="E55" i="21" s="1"/>
  <c r="D20" i="21"/>
  <c r="D31" i="21" s="1"/>
  <c r="E36" i="21"/>
  <c r="F26" i="21"/>
  <c r="F41" i="21" s="1"/>
  <c r="F56" i="21" s="1"/>
  <c r="E41" i="21"/>
  <c r="E56" i="21" s="1"/>
  <c r="C20" i="21"/>
  <c r="F23" i="21"/>
  <c r="F38" i="21" s="1"/>
  <c r="D36" i="21"/>
  <c r="D42" i="21"/>
  <c r="D58" i="21"/>
  <c r="D57" i="21" s="1"/>
  <c r="E38" i="21"/>
  <c r="E53" i="21" s="1"/>
  <c r="F24" i="21"/>
  <c r="K8" i="62" l="1"/>
  <c r="H59" i="21"/>
  <c r="H57" i="21" s="1"/>
  <c r="J8" i="62"/>
  <c r="E20" i="21"/>
  <c r="E31" i="21" s="1"/>
  <c r="F25" i="21"/>
  <c r="F40" i="21" s="1"/>
  <c r="F55" i="21" s="1"/>
  <c r="I59" i="21"/>
  <c r="I57" i="21" s="1"/>
  <c r="D35" i="21"/>
  <c r="D46" i="21" s="1"/>
  <c r="D51" i="21"/>
  <c r="D50" i="21" s="1"/>
  <c r="D61" i="21" s="1"/>
  <c r="F53" i="21"/>
  <c r="G23" i="21"/>
  <c r="G26" i="21"/>
  <c r="E35" i="21"/>
  <c r="E46" i="21" s="1"/>
  <c r="E51" i="21"/>
  <c r="E50" i="21" s="1"/>
  <c r="E61" i="21" s="1"/>
  <c r="G24" i="21"/>
  <c r="F39" i="21"/>
  <c r="F54" i="21" s="1"/>
  <c r="F20" i="21" l="1"/>
  <c r="L8" i="62"/>
  <c r="G25" i="21"/>
  <c r="H25" i="21" s="1"/>
  <c r="F31" i="21"/>
  <c r="H26" i="21"/>
  <c r="H41" i="21" s="1"/>
  <c r="H56" i="21" s="1"/>
  <c r="H24" i="21"/>
  <c r="H39" i="21" s="1"/>
  <c r="H54" i="21" s="1"/>
  <c r="H23" i="21"/>
  <c r="H38" i="21" s="1"/>
  <c r="F50" i="21"/>
  <c r="F61" i="21" s="1"/>
  <c r="F35" i="21"/>
  <c r="F46" i="21" s="1"/>
  <c r="G39" i="21"/>
  <c r="G54" i="21" s="1"/>
  <c r="G41" i="21"/>
  <c r="G56" i="21" s="1"/>
  <c r="G38" i="21"/>
  <c r="M8" i="62" l="1"/>
  <c r="G40" i="21"/>
  <c r="G55" i="21" s="1"/>
  <c r="G20" i="21"/>
  <c r="G31" i="21" s="1"/>
  <c r="G53" i="21"/>
  <c r="H53" i="21"/>
  <c r="H50" i="21" s="1"/>
  <c r="H61" i="21" s="1"/>
  <c r="I25" i="21"/>
  <c r="I40" i="21" s="1"/>
  <c r="I24" i="21"/>
  <c r="I39" i="21" s="1"/>
  <c r="I54" i="21" s="1"/>
  <c r="H40" i="21"/>
  <c r="H35" i="21" s="1"/>
  <c r="H46" i="21" s="1"/>
  <c r="I23" i="21"/>
  <c r="I38" i="21" s="1"/>
  <c r="H20" i="21"/>
  <c r="I26" i="21"/>
  <c r="I41" i="21" s="1"/>
  <c r="I56" i="21" s="1"/>
  <c r="G35" i="21" l="1"/>
  <c r="G46" i="21" s="1"/>
  <c r="G50" i="21"/>
  <c r="G61" i="21" s="1"/>
  <c r="H31" i="21"/>
  <c r="I35" i="21"/>
  <c r="I46" i="21" s="1"/>
  <c r="I53" i="21"/>
  <c r="I50" i="21" s="1"/>
  <c r="I61" i="21" s="1"/>
  <c r="I20" i="21"/>
  <c r="I31" i="21" l="1"/>
  <c r="C6" i="2" l="1"/>
  <c r="F6" i="2"/>
  <c r="G6" i="2"/>
  <c r="H6" i="2"/>
  <c r="I6" i="2"/>
  <c r="J6" i="2"/>
  <c r="K6" i="2"/>
  <c r="L6" i="2"/>
  <c r="M6" i="2"/>
  <c r="C7" i="2"/>
  <c r="F7" i="2"/>
  <c r="G7" i="2"/>
  <c r="H7" i="2"/>
  <c r="I7" i="2"/>
  <c r="J7" i="2"/>
  <c r="K7" i="2"/>
  <c r="L7" i="2"/>
  <c r="M7" i="2"/>
  <c r="G15" i="2"/>
  <c r="I15" i="2"/>
  <c r="J15" i="2"/>
  <c r="K15" i="2"/>
  <c r="L15" i="2"/>
  <c r="M15" i="2"/>
  <c r="N15" i="2"/>
  <c r="G16" i="2"/>
  <c r="I16" i="2"/>
  <c r="J16" i="2"/>
  <c r="K16" i="2"/>
  <c r="L16" i="2"/>
  <c r="M16" i="2"/>
  <c r="N16" i="2"/>
  <c r="I17" i="2"/>
  <c r="J17" i="2"/>
  <c r="K17" i="2"/>
  <c r="L17" i="2"/>
  <c r="M17" i="2"/>
  <c r="N17" i="2"/>
  <c r="G42" i="2"/>
  <c r="H42" i="2"/>
  <c r="I42" i="2"/>
  <c r="J42" i="2"/>
  <c r="K42" i="2"/>
  <c r="L42" i="2"/>
  <c r="M42" i="2"/>
  <c r="N42" i="2"/>
  <c r="G43" i="2"/>
  <c r="H43" i="2"/>
  <c r="I43" i="2"/>
  <c r="J43" i="2"/>
  <c r="K43" i="2"/>
  <c r="L43" i="2"/>
  <c r="M43" i="2"/>
  <c r="N43" i="2"/>
  <c r="F69" i="2"/>
  <c r="F70" i="2"/>
  <c r="F71" i="2"/>
  <c r="G71" i="2"/>
  <c r="F86" i="2"/>
  <c r="F87" i="2"/>
  <c r="G87" i="2"/>
  <c r="H87" i="2"/>
  <c r="I87" i="2"/>
  <c r="J87" i="2"/>
  <c r="K87" i="2"/>
  <c r="L87" i="2"/>
  <c r="M87" i="2"/>
  <c r="N87" i="2"/>
  <c r="F104" i="2"/>
  <c r="G104" i="2"/>
  <c r="H104" i="2"/>
  <c r="I104" i="2"/>
  <c r="J104" i="2"/>
  <c r="K104" i="2"/>
  <c r="L104" i="2"/>
  <c r="M104" i="2"/>
  <c r="N104" i="2"/>
  <c r="F143" i="2"/>
  <c r="G143" i="2"/>
  <c r="H143" i="2"/>
  <c r="I143" i="2"/>
  <c r="J143" i="2"/>
  <c r="K143" i="2"/>
  <c r="L143" i="2"/>
  <c r="M143" i="2"/>
  <c r="C144" i="2"/>
  <c r="F144" i="2"/>
  <c r="G144" i="2"/>
  <c r="H144" i="2"/>
  <c r="I144" i="2"/>
  <c r="J144" i="2"/>
  <c r="K144" i="2"/>
  <c r="L144" i="2"/>
  <c r="M144" i="2"/>
  <c r="C145" i="2"/>
  <c r="F145" i="2"/>
  <c r="G145" i="2"/>
  <c r="H145" i="2"/>
  <c r="I145" i="2"/>
  <c r="J145" i="2"/>
  <c r="K145" i="2"/>
  <c r="L145" i="2"/>
  <c r="M145" i="2"/>
  <c r="G179" i="2"/>
  <c r="H179" i="2"/>
  <c r="I179" i="2"/>
  <c r="J179" i="2"/>
  <c r="K179" i="2"/>
  <c r="L179" i="2"/>
  <c r="M179" i="2"/>
  <c r="N179" i="2"/>
  <c r="G180" i="2"/>
  <c r="G181" i="2"/>
  <c r="F189" i="2"/>
  <c r="G192" i="2"/>
  <c r="H192" i="2"/>
  <c r="I192" i="2"/>
  <c r="J192" i="2"/>
  <c r="K192" i="2"/>
  <c r="G193" i="2"/>
  <c r="H193" i="2"/>
  <c r="I193" i="2"/>
  <c r="J193" i="2"/>
  <c r="K193" i="2"/>
  <c r="G212" i="2"/>
  <c r="H212" i="2"/>
  <c r="I212" i="2"/>
  <c r="J212" i="2"/>
  <c r="K212" i="2"/>
  <c r="L212" i="2"/>
  <c r="M212" i="2"/>
  <c r="N212" i="2"/>
  <c r="G215" i="2"/>
  <c r="H215" i="2"/>
  <c r="I215" i="2"/>
  <c r="J215" i="2"/>
  <c r="K215" i="2"/>
  <c r="L215" i="2"/>
  <c r="M215" i="2"/>
  <c r="N215" i="2"/>
  <c r="G217" i="2"/>
  <c r="H217" i="2"/>
  <c r="I217" i="2"/>
  <c r="J217" i="2"/>
  <c r="K217" i="2"/>
  <c r="L217" i="2"/>
  <c r="M217" i="2"/>
  <c r="N217" i="2"/>
  <c r="G220" i="2"/>
  <c r="N253" i="2"/>
  <c r="N258" i="2"/>
  <c r="G260" i="2"/>
  <c r="I260" i="2"/>
  <c r="J260" i="2"/>
  <c r="K260" i="2"/>
  <c r="L260" i="2"/>
  <c r="M260" i="2"/>
  <c r="N260" i="2"/>
  <c r="G261" i="2"/>
  <c r="H261" i="2"/>
  <c r="H262" i="2" s="1"/>
  <c r="I261" i="2"/>
  <c r="K281" i="2"/>
  <c r="L281" i="2"/>
  <c r="M281" i="2"/>
  <c r="N281" i="2"/>
  <c r="F311" i="2"/>
  <c r="F316" i="2"/>
  <c r="H318" i="2"/>
  <c r="H321" i="2"/>
  <c r="F345" i="2"/>
  <c r="J351" i="2"/>
  <c r="K351" i="2"/>
  <c r="L351" i="2"/>
  <c r="J352" i="2"/>
  <c r="K352" i="2"/>
  <c r="L352" i="2"/>
  <c r="F353" i="2"/>
  <c r="J357" i="2"/>
  <c r="K357" i="2"/>
  <c r="L357" i="2"/>
  <c r="N19" i="2" l="1"/>
  <c r="G182" i="2"/>
  <c r="F323" i="2"/>
  <c r="F324" i="2" s="1"/>
  <c r="L105" i="2"/>
  <c r="H105" i="2"/>
  <c r="F105" i="2" s="1"/>
  <c r="L353" i="2"/>
  <c r="N105" i="2"/>
  <c r="M19" i="2"/>
  <c r="K105" i="2"/>
  <c r="G105" i="2"/>
  <c r="K19" i="2"/>
  <c r="I262" i="2"/>
  <c r="G19" i="2"/>
  <c r="K353" i="2"/>
  <c r="J353" i="2"/>
  <c r="H146" i="2"/>
  <c r="G262" i="2"/>
  <c r="L146" i="2"/>
  <c r="K109" i="2"/>
  <c r="I19" i="2"/>
  <c r="G146" i="2"/>
  <c r="M146" i="2"/>
  <c r="I146" i="2"/>
  <c r="J146" i="2"/>
  <c r="F146" i="2"/>
  <c r="J105" i="2"/>
  <c r="K146" i="2"/>
  <c r="F72" i="2"/>
  <c r="L19" i="2"/>
  <c r="J19" i="2"/>
  <c r="N109" i="2"/>
  <c r="M109" i="2"/>
  <c r="M105" i="2"/>
  <c r="I105" i="2"/>
  <c r="L109" i="2"/>
  <c r="AJ329" i="2" l="1"/>
  <c r="AG312" i="2"/>
  <c r="V312" i="2"/>
  <c r="V313" i="2"/>
  <c r="AG313" i="2"/>
  <c r="AG315" i="2" l="1"/>
  <c r="AG340" i="2" l="1"/>
  <c r="AG339" i="2"/>
  <c r="V320" i="2"/>
  <c r="AG319" i="2"/>
  <c r="AG320" i="2"/>
  <c r="V319" i="2"/>
  <c r="AG344" i="2" l="1"/>
  <c r="AG327" i="2"/>
  <c r="AG322" i="2"/>
  <c r="AG326" i="2"/>
  <c r="AG329" i="2" s="1"/>
  <c r="AG343" i="2"/>
  <c r="V327" i="2"/>
  <c r="AG347" i="2" s="1"/>
  <c r="V326" i="2"/>
  <c r="AG348" i="2" s="1"/>
  <c r="V329" i="2" l="1"/>
  <c r="V322" i="2"/>
  <c r="I524" i="2"/>
  <c r="H523" i="2"/>
  <c r="F519" i="2"/>
  <c r="G519" i="2" s="1"/>
  <c r="E519" i="2"/>
  <c r="E525" i="2" s="1"/>
  <c r="E529" i="2" s="1"/>
  <c r="D519" i="2"/>
  <c r="J518" i="2"/>
  <c r="H518" i="2"/>
  <c r="H524" i="2" s="1"/>
  <c r="G518" i="2"/>
  <c r="G524" i="2" s="1"/>
  <c r="F518" i="2"/>
  <c r="F524" i="2" s="1"/>
  <c r="E518" i="2"/>
  <c r="E524" i="2" s="1"/>
  <c r="D518" i="2"/>
  <c r="F517" i="2"/>
  <c r="E517" i="2"/>
  <c r="E523" i="2" s="1"/>
  <c r="D517" i="2"/>
  <c r="G514" i="2"/>
  <c r="F514" i="2"/>
  <c r="E514" i="2"/>
  <c r="K513" i="2"/>
  <c r="J513" i="2"/>
  <c r="I513" i="2"/>
  <c r="H513" i="2"/>
  <c r="D513" i="2"/>
  <c r="D512" i="2"/>
  <c r="D511" i="2"/>
  <c r="J506" i="2"/>
  <c r="I506" i="2"/>
  <c r="F505" i="2"/>
  <c r="F498" i="2"/>
  <c r="F473" i="2"/>
  <c r="F472" i="2"/>
  <c r="F469" i="2"/>
  <c r="G467" i="2"/>
  <c r="F466" i="2"/>
  <c r="F465" i="2"/>
  <c r="F464" i="2"/>
  <c r="T472" i="2" s="1"/>
  <c r="F463" i="2"/>
  <c r="F462" i="2"/>
  <c r="H460" i="2"/>
  <c r="F460" i="2"/>
  <c r="F459" i="2" s="1"/>
  <c r="F399" i="2"/>
  <c r="W368" i="2"/>
  <c r="V315" i="2"/>
  <c r="Q281" i="2"/>
  <c r="P281" i="2"/>
  <c r="O281" i="2"/>
  <c r="S279" i="2"/>
  <c r="P265" i="2"/>
  <c r="O277" i="2" s="1"/>
  <c r="P260" i="2"/>
  <c r="O260" i="2"/>
  <c r="P257" i="2"/>
  <c r="P256" i="2"/>
  <c r="P255" i="2"/>
  <c r="P252" i="2"/>
  <c r="P250" i="2"/>
  <c r="P249" i="2"/>
  <c r="P248" i="2"/>
  <c r="P247" i="2"/>
  <c r="P246" i="2"/>
  <c r="P188" i="2"/>
  <c r="O179" i="2"/>
  <c r="O43" i="2"/>
  <c r="O42" i="2"/>
  <c r="O17" i="2"/>
  <c r="O16" i="2"/>
  <c r="O15" i="2"/>
  <c r="D524" i="2" l="1"/>
  <c r="D523" i="2"/>
  <c r="F520" i="2"/>
  <c r="D525" i="2"/>
  <c r="D529" i="2" s="1"/>
  <c r="D520" i="2"/>
  <c r="F474" i="2"/>
  <c r="F456" i="2"/>
  <c r="F458" i="2"/>
  <c r="O109" i="2"/>
  <c r="F467" i="2"/>
  <c r="O19" i="2"/>
  <c r="E528" i="2"/>
  <c r="H277" i="2" s="1"/>
  <c r="E526" i="2"/>
  <c r="H278" i="2" s="1"/>
  <c r="G525" i="2"/>
  <c r="G529" i="2" s="1"/>
  <c r="H519" i="2"/>
  <c r="H525" i="2" s="1"/>
  <c r="F454" i="2"/>
  <c r="F457" i="2"/>
  <c r="D514" i="2"/>
  <c r="H514" i="2"/>
  <c r="F523" i="2"/>
  <c r="I514" i="2"/>
  <c r="J524" i="2"/>
  <c r="F455" i="2"/>
  <c r="K514" i="2"/>
  <c r="K518" i="2"/>
  <c r="E520" i="2"/>
  <c r="F525" i="2"/>
  <c r="F529" i="2" s="1"/>
  <c r="L514" i="2"/>
  <c r="G517" i="2"/>
  <c r="D528" i="2" l="1"/>
  <c r="G277" i="2" s="1"/>
  <c r="H529" i="2"/>
  <c r="H526" i="2"/>
  <c r="D526" i="2"/>
  <c r="G278" i="2" s="1"/>
  <c r="G523" i="2"/>
  <c r="G526" i="2" s="1"/>
  <c r="G520" i="2"/>
  <c r="G528" i="2"/>
  <c r="L518" i="2"/>
  <c r="K524" i="2"/>
  <c r="H520" i="2"/>
  <c r="I519" i="2"/>
  <c r="F528" i="2"/>
  <c r="I277" i="2" s="1"/>
  <c r="F526" i="2"/>
  <c r="I454" i="2"/>
  <c r="H528" i="2"/>
  <c r="I276" i="2" l="1"/>
  <c r="I278" i="2"/>
  <c r="G276" i="2"/>
  <c r="H276" i="2"/>
  <c r="I520" i="2"/>
  <c r="J519" i="2"/>
  <c r="I525" i="2"/>
  <c r="L524" i="2"/>
  <c r="I526" i="2" l="1"/>
  <c r="I529" i="2"/>
  <c r="I528" i="2"/>
  <c r="K519" i="2"/>
  <c r="J520" i="2"/>
  <c r="J525" i="2"/>
  <c r="J529" i="2" l="1"/>
  <c r="J526" i="2"/>
  <c r="J528" i="2"/>
  <c r="L519" i="2"/>
  <c r="K525" i="2"/>
  <c r="K520" i="2"/>
  <c r="K529" i="2" l="1"/>
  <c r="K528" i="2"/>
  <c r="K526" i="2"/>
  <c r="L525" i="2"/>
  <c r="L520" i="2"/>
  <c r="O11" i="127" l="1"/>
  <c r="L529" i="2"/>
  <c r="L526" i="2"/>
  <c r="L528" i="2"/>
  <c r="N11" i="127" l="1"/>
  <c r="O22" i="121"/>
  <c r="O24" i="127" s="1"/>
  <c r="O44" i="127" s="1"/>
  <c r="O21" i="121"/>
  <c r="O23" i="127" s="1"/>
  <c r="O43" i="127" s="1"/>
  <c r="M261" i="2"/>
  <c r="M262" i="2" s="1"/>
  <c r="L261" i="2"/>
  <c r="L262" i="2" s="1"/>
  <c r="K261" i="2"/>
  <c r="K262" i="2" s="1"/>
  <c r="J261" i="2"/>
  <c r="J262" i="2" s="1"/>
  <c r="O53" i="127" l="1"/>
  <c r="N21" i="121"/>
  <c r="N23" i="127" s="1"/>
  <c r="N22" i="121"/>
  <c r="N24" i="127" s="1"/>
  <c r="M23" i="127"/>
  <c r="M278" i="2"/>
  <c r="M277" i="2"/>
  <c r="M276" i="2"/>
  <c r="O267" i="2"/>
  <c r="L276" i="2"/>
  <c r="L277" i="2"/>
  <c r="L278" i="2"/>
  <c r="M267" i="2"/>
  <c r="L267" i="2"/>
  <c r="J278" i="2"/>
  <c r="J277" i="2"/>
  <c r="J276" i="2"/>
  <c r="N267" i="2"/>
  <c r="K277" i="2"/>
  <c r="K278" i="2"/>
  <c r="K276" i="2"/>
  <c r="M43" i="127" l="1"/>
  <c r="N43" i="127"/>
  <c r="N44" i="127"/>
  <c r="P267" i="2"/>
  <c r="H39" i="2"/>
  <c r="N53" i="127" l="1"/>
  <c r="M53" i="127"/>
  <c r="H40" i="2"/>
  <c r="I40" i="2" l="1"/>
  <c r="I39" i="2" l="1"/>
  <c r="J40" i="2" l="1"/>
  <c r="J39" i="2"/>
  <c r="K40" i="2" l="1"/>
  <c r="L40" i="2"/>
  <c r="K39" i="2"/>
  <c r="L39" i="2" l="1"/>
  <c r="M40" i="2" l="1"/>
  <c r="M39" i="2"/>
  <c r="N40" i="2" l="1"/>
  <c r="N39" i="2"/>
  <c r="O40" i="2" l="1"/>
  <c r="O39" i="2"/>
  <c r="T473" i="2" l="1"/>
  <c r="T470" i="2" l="1"/>
  <c r="T471" i="2"/>
  <c r="T469" i="2" l="1"/>
  <c r="H17" i="2"/>
  <c r="J69" i="2" l="1"/>
  <c r="J70" i="2" l="1"/>
  <c r="H15" i="2"/>
  <c r="K69" i="2"/>
  <c r="H16" i="2"/>
  <c r="L69" i="2"/>
  <c r="L70" i="2" l="1"/>
  <c r="K70" i="2"/>
  <c r="H19" i="2"/>
  <c r="G69" i="2"/>
  <c r="G70" i="2"/>
  <c r="H69" i="2"/>
  <c r="I69" i="2"/>
  <c r="M69" i="2"/>
  <c r="H70" i="2" l="1"/>
  <c r="I70" i="2"/>
  <c r="M70" i="2"/>
  <c r="G72" i="2"/>
  <c r="N69" i="2"/>
  <c r="N70" i="2" l="1"/>
  <c r="G187" i="2"/>
  <c r="G197" i="2" s="1"/>
  <c r="G86" i="2" l="1"/>
  <c r="H71" i="2" l="1"/>
  <c r="H72" i="2" s="1"/>
  <c r="I71" i="2"/>
  <c r="I72" i="2" s="1"/>
  <c r="F142" i="2" l="1"/>
  <c r="H187" i="2"/>
  <c r="H197" i="2" s="1"/>
  <c r="G188" i="2"/>
  <c r="G189" i="2"/>
  <c r="I187" i="2"/>
  <c r="I197" i="2" s="1"/>
  <c r="J71" i="2"/>
  <c r="J72" i="2" s="1"/>
  <c r="G198" i="2" l="1"/>
  <c r="G199" i="2" s="1"/>
  <c r="G218" i="2"/>
  <c r="H86" i="2"/>
  <c r="J187" i="2"/>
  <c r="J197" i="2" s="1"/>
  <c r="K71" i="2"/>
  <c r="K72" i="2" s="1"/>
  <c r="I86" i="2"/>
  <c r="G203" i="2" l="1"/>
  <c r="G202" i="2"/>
  <c r="K187" i="2"/>
  <c r="K197" i="2" s="1"/>
  <c r="L71" i="2"/>
  <c r="L72" i="2" s="1"/>
  <c r="J86" i="2"/>
  <c r="H189" i="2" l="1"/>
  <c r="H188" i="2"/>
  <c r="H198" i="2" s="1"/>
  <c r="H199" i="2" s="1"/>
  <c r="N71" i="2"/>
  <c r="N72" i="2" s="1"/>
  <c r="M71" i="2"/>
  <c r="M72" i="2" s="1"/>
  <c r="K86" i="2"/>
  <c r="I188" i="2"/>
  <c r="I198" i="2" s="1"/>
  <c r="I199" i="2" s="1"/>
  <c r="I189" i="2"/>
  <c r="L187" i="2"/>
  <c r="M181" i="2" l="1"/>
  <c r="L86" i="2"/>
  <c r="J188" i="2"/>
  <c r="J198" i="2" s="1"/>
  <c r="J199" i="2" s="1"/>
  <c r="J189" i="2"/>
  <c r="M187" i="2"/>
  <c r="N187" i="2"/>
  <c r="I180" i="2"/>
  <c r="H181" i="2"/>
  <c r="F125" i="2"/>
  <c r="H180" i="2"/>
  <c r="H182" i="2" l="1"/>
  <c r="N86" i="2"/>
  <c r="O181" i="2"/>
  <c r="N181" i="2"/>
  <c r="M86" i="2"/>
  <c r="K188" i="2"/>
  <c r="K198" i="2" s="1"/>
  <c r="K199" i="2" s="1"/>
  <c r="K189" i="2"/>
  <c r="G206" i="2"/>
  <c r="J180" i="2"/>
  <c r="G125" i="2"/>
  <c r="I181" i="2"/>
  <c r="I182" i="2" s="1"/>
  <c r="L189" i="2" l="1"/>
  <c r="L188" i="2"/>
  <c r="G209" i="2"/>
  <c r="K180" i="2"/>
  <c r="H125" i="2"/>
  <c r="J181" i="2"/>
  <c r="J182" i="2" s="1"/>
  <c r="L181" i="2"/>
  <c r="N189" i="2" l="1"/>
  <c r="N188" i="2"/>
  <c r="M189" i="2"/>
  <c r="M188" i="2"/>
  <c r="H220" i="2"/>
  <c r="H218" i="2" s="1"/>
  <c r="I125" i="2"/>
  <c r="K181" i="2"/>
  <c r="K182" i="2" s="1"/>
  <c r="L180" i="2"/>
  <c r="L182" i="2" s="1"/>
  <c r="J125" i="2" l="1"/>
  <c r="M180" i="2"/>
  <c r="M182" i="2" s="1"/>
  <c r="K125" i="2" l="1"/>
  <c r="O180" i="2" l="1"/>
  <c r="O182" i="2" s="1"/>
  <c r="L125" i="2"/>
  <c r="N180" i="2"/>
  <c r="N182" i="2" s="1"/>
  <c r="M125" i="2" l="1"/>
  <c r="G142" i="2" l="1"/>
  <c r="H206" i="2" l="1"/>
  <c r="H202" i="2" l="1"/>
  <c r="H203" i="2"/>
  <c r="H209" i="2"/>
  <c r="I220" i="2" l="1"/>
  <c r="I218" i="2" s="1"/>
  <c r="H142" i="2"/>
  <c r="I206" i="2" l="1"/>
  <c r="I203" i="2" l="1"/>
  <c r="I202" i="2"/>
  <c r="I209" i="2"/>
  <c r="I142" i="2"/>
  <c r="J206" i="2" l="1"/>
  <c r="J202" i="2" l="1"/>
  <c r="J203" i="2"/>
  <c r="J209" i="2"/>
  <c r="J142" i="2" l="1"/>
  <c r="K206" i="2" l="1"/>
  <c r="K202" i="2" l="1"/>
  <c r="K203" i="2"/>
  <c r="K209" i="2"/>
  <c r="K142" i="2"/>
  <c r="L206" i="2" l="1"/>
  <c r="L202" i="2" l="1"/>
  <c r="L203" i="2"/>
  <c r="L142" i="2"/>
  <c r="L209" i="2"/>
  <c r="M142" i="2"/>
  <c r="M206" i="2" l="1"/>
  <c r="N206" i="2"/>
  <c r="M202" i="2" l="1"/>
  <c r="M203" i="2"/>
  <c r="N203" i="2"/>
  <c r="N202" i="2"/>
  <c r="M209" i="2"/>
  <c r="N209" i="2"/>
  <c r="W11" i="127" l="1"/>
  <c r="S11" i="127"/>
  <c r="R11" i="127" l="1"/>
  <c r="U21" i="121"/>
  <c r="U23" i="127" s="1"/>
  <c r="U43" i="127" s="1"/>
  <c r="W21" i="121"/>
  <c r="W23" i="127" s="1"/>
  <c r="W43" i="127" s="1"/>
  <c r="W22" i="121"/>
  <c r="W24" i="127" s="1"/>
  <c r="W44" i="127" s="1"/>
  <c r="R22" i="121"/>
  <c r="R24" i="127" s="1"/>
  <c r="S21" i="121"/>
  <c r="S23" i="127" s="1"/>
  <c r="S43" i="127" s="1"/>
  <c r="V11" i="127"/>
  <c r="H14" i="62"/>
  <c r="U53" i="127" l="1"/>
  <c r="AA11" i="127"/>
  <c r="R44" i="127"/>
  <c r="W53" i="127"/>
  <c r="AA21" i="121"/>
  <c r="AA23" i="127" s="1"/>
  <c r="AA43" i="127" s="1"/>
  <c r="AA22" i="121"/>
  <c r="AA24" i="127" s="1"/>
  <c r="AA44" i="127" s="1"/>
  <c r="Y21" i="121"/>
  <c r="Y23" i="127" s="1"/>
  <c r="Y43" i="127" s="1"/>
  <c r="Z11" i="127"/>
  <c r="R21" i="121"/>
  <c r="R23" i="127" s="1"/>
  <c r="V22" i="121"/>
  <c r="V24" i="127" s="1"/>
  <c r="Q21" i="121"/>
  <c r="Q23" i="127" s="1"/>
  <c r="V21" i="121"/>
  <c r="V23" i="127" s="1"/>
  <c r="S22" i="121"/>
  <c r="S24" i="127" s="1"/>
  <c r="S44" i="127" s="1"/>
  <c r="S53" i="127" s="1"/>
  <c r="Y53" i="127" l="1"/>
  <c r="V43" i="127"/>
  <c r="V44" i="127"/>
  <c r="Q43" i="127"/>
  <c r="R43" i="127"/>
  <c r="AA53" i="127"/>
  <c r="I14" i="62"/>
  <c r="Z21" i="121"/>
  <c r="Z23" i="127" s="1"/>
  <c r="Z22" i="121"/>
  <c r="Z24" i="127" s="1"/>
  <c r="J14" i="62"/>
  <c r="AE11" i="127" l="1"/>
  <c r="Z43" i="127"/>
  <c r="Q53" i="127"/>
  <c r="V53" i="127"/>
  <c r="R53" i="127"/>
  <c r="Z44" i="127"/>
  <c r="AI11" i="127"/>
  <c r="K14" i="62"/>
  <c r="AM11" i="127" l="1"/>
  <c r="AD11" i="127"/>
  <c r="AE22" i="121"/>
  <c r="AE24" i="127" s="1"/>
  <c r="AE44" i="127" s="1"/>
  <c r="AE21" i="121"/>
  <c r="AE23" i="127" s="1"/>
  <c r="AE43" i="127" s="1"/>
  <c r="AD21" i="121"/>
  <c r="AD23" i="127" s="1"/>
  <c r="AD43" i="127" s="1"/>
  <c r="Z53" i="127"/>
  <c r="AI21" i="121"/>
  <c r="AI23" i="127" s="1"/>
  <c r="AI43" i="127" s="1"/>
  <c r="AI22" i="121"/>
  <c r="AI24" i="127" s="1"/>
  <c r="AI44" i="127" s="1"/>
  <c r="AH11" i="127"/>
  <c r="AL11" i="127"/>
  <c r="AM22" i="121"/>
  <c r="AM24" i="127" s="1"/>
  <c r="AM44" i="127" s="1"/>
  <c r="AK21" i="121"/>
  <c r="AK23" i="127" s="1"/>
  <c r="AK43" i="127" s="1"/>
  <c r="AM21" i="121"/>
  <c r="AM23" i="127" s="1"/>
  <c r="AM43" i="127" s="1"/>
  <c r="L14" i="62"/>
  <c r="AK53" i="127" l="1"/>
  <c r="AE53" i="127"/>
  <c r="AC21" i="121"/>
  <c r="AC23" i="127" s="1"/>
  <c r="AC43" i="127" s="1"/>
  <c r="AQ11" i="127"/>
  <c r="AD22" i="121"/>
  <c r="AD24" i="127" s="1"/>
  <c r="AD44" i="127" s="1"/>
  <c r="AD53" i="127" s="1"/>
  <c r="AI53" i="127"/>
  <c r="AQ21" i="121"/>
  <c r="AQ23" i="127" s="1"/>
  <c r="AQ43" i="127" s="1"/>
  <c r="AQ22" i="121"/>
  <c r="AQ24" i="127" s="1"/>
  <c r="AQ44" i="127" s="1"/>
  <c r="AO21" i="121"/>
  <c r="AO23" i="127" s="1"/>
  <c r="AO43" i="127" s="1"/>
  <c r="AL21" i="121"/>
  <c r="AL23" i="127" s="1"/>
  <c r="AH21" i="121"/>
  <c r="AH23" i="127" s="1"/>
  <c r="AM53" i="127"/>
  <c r="AG21" i="121"/>
  <c r="AG23" i="127" s="1"/>
  <c r="AP11" i="127"/>
  <c r="AL22" i="121"/>
  <c r="AL24" i="127" s="1"/>
  <c r="AH22" i="121"/>
  <c r="AH24" i="127" s="1"/>
  <c r="M14" i="62"/>
  <c r="AO53" i="127" l="1"/>
  <c r="AC53" i="127"/>
  <c r="AU11" i="127"/>
  <c r="AT11" i="127"/>
  <c r="AH44" i="127"/>
  <c r="AH43" i="127"/>
  <c r="AG43" i="127"/>
  <c r="AL44" i="127"/>
  <c r="AL43" i="127"/>
  <c r="AQ53" i="127"/>
  <c r="AP22" i="121"/>
  <c r="AP24" i="127" s="1"/>
  <c r="AP21" i="121"/>
  <c r="AP23" i="127" s="1"/>
  <c r="AU22" i="121" l="1"/>
  <c r="AU24" i="127" s="1"/>
  <c r="AU44" i="127" s="1"/>
  <c r="AT22" i="121"/>
  <c r="AT24" i="127" s="1"/>
  <c r="AS21" i="121"/>
  <c r="AS23" i="127" s="1"/>
  <c r="AS43" i="127" s="1"/>
  <c r="AL53" i="127"/>
  <c r="AH53" i="127"/>
  <c r="AP44" i="127"/>
  <c r="AG53" i="127"/>
  <c r="AP43" i="127"/>
  <c r="AT21" i="121"/>
  <c r="AT23" i="127" s="1"/>
  <c r="AS53" i="127" l="1"/>
  <c r="AP53" i="127"/>
  <c r="AT44" i="127"/>
  <c r="AT43" i="127"/>
  <c r="R32" i="121"/>
  <c r="AT53" i="127" l="1"/>
  <c r="S32" i="121"/>
  <c r="S31" i="127" s="1"/>
  <c r="R31" i="127"/>
  <c r="F38" i="62"/>
  <c r="T32" i="121" s="1"/>
  <c r="G37" i="62"/>
  <c r="V32" i="121" s="1"/>
  <c r="U32" i="121" l="1"/>
  <c r="U31" i="127" s="1"/>
  <c r="T31" i="127"/>
  <c r="W32" i="121"/>
  <c r="W31" i="127" s="1"/>
  <c r="V31" i="127"/>
  <c r="G38" i="62"/>
  <c r="X32" i="121" s="1"/>
  <c r="H37" i="62"/>
  <c r="Z32" i="121" s="1"/>
  <c r="Y32" i="121" l="1"/>
  <c r="Y31" i="127" s="1"/>
  <c r="X31" i="127"/>
  <c r="AA32" i="121"/>
  <c r="AA31" i="127" s="1"/>
  <c r="Z31" i="127"/>
  <c r="I37" i="62"/>
  <c r="H38" i="62"/>
  <c r="AB32" i="121" s="1"/>
  <c r="AD32" i="121" l="1"/>
  <c r="AE32" i="121" s="1"/>
  <c r="AE31" i="127" s="1"/>
  <c r="J37" i="62"/>
  <c r="AC32" i="121"/>
  <c r="AC31" i="127" s="1"/>
  <c r="AB31" i="127"/>
  <c r="I38" i="62"/>
  <c r="AF32" i="121" s="1"/>
  <c r="AD31" i="127" l="1"/>
  <c r="AH32" i="121"/>
  <c r="AI32" i="121" s="1"/>
  <c r="AI31" i="127" s="1"/>
  <c r="K37" i="62"/>
  <c r="AG32" i="121"/>
  <c r="AG31" i="127" s="1"/>
  <c r="AF31" i="127"/>
  <c r="J38" i="62"/>
  <c r="AH31" i="127" l="1"/>
  <c r="AJ32" i="121"/>
  <c r="AJ31" i="127" s="1"/>
  <c r="K38" i="62"/>
  <c r="L37" i="62"/>
  <c r="AL32" i="121"/>
  <c r="AK32" i="121" l="1"/>
  <c r="AK31" i="127" s="1"/>
  <c r="M37" i="62"/>
  <c r="AT32" i="121" s="1"/>
  <c r="AP32" i="121"/>
  <c r="L38" i="62"/>
  <c r="AN32" i="121"/>
  <c r="AL31" i="127"/>
  <c r="AM32" i="121"/>
  <c r="AM31" i="127" s="1"/>
  <c r="AN31" i="127" l="1"/>
  <c r="AO32" i="121"/>
  <c r="AO31" i="127" s="1"/>
  <c r="M38" i="62"/>
  <c r="AV32" i="121" s="1"/>
  <c r="AR32" i="121"/>
  <c r="AQ32" i="121"/>
  <c r="AQ31" i="127" s="1"/>
  <c r="AP31" i="127"/>
  <c r="AT31" i="127"/>
  <c r="AU32" i="121"/>
  <c r="AU31" i="127" s="1"/>
  <c r="AS32" i="121" l="1"/>
  <c r="AS31" i="127" s="1"/>
  <c r="AR31" i="127"/>
  <c r="AW32" i="121"/>
  <c r="AW31" i="127" s="1"/>
  <c r="AV31" i="127"/>
  <c r="C29" i="62" l="1"/>
  <c r="C32" i="62" l="1"/>
  <c r="C28" i="62"/>
  <c r="L21" i="127" l="1"/>
  <c r="M21" i="127"/>
  <c r="D31" i="62" l="1"/>
  <c r="M41" i="127"/>
  <c r="M49" i="127" s="1"/>
  <c r="L41" i="127"/>
  <c r="K22" i="127"/>
  <c r="K42" i="127" s="1"/>
  <c r="J22" i="127"/>
  <c r="M18" i="121"/>
  <c r="M20" i="127" s="1"/>
  <c r="L18" i="121"/>
  <c r="L20" i="127" s="1"/>
  <c r="J21" i="127"/>
  <c r="D30" i="62" s="1"/>
  <c r="K21" i="127"/>
  <c r="L49" i="127" l="1"/>
  <c r="L54" i="127" s="1"/>
  <c r="K56" i="127"/>
  <c r="D23" i="62"/>
  <c r="D33" i="62"/>
  <c r="D21" i="62"/>
  <c r="J42" i="127"/>
  <c r="M52" i="127"/>
  <c r="M54" i="127"/>
  <c r="J56" i="127"/>
  <c r="L52" i="127"/>
  <c r="K41" i="127"/>
  <c r="J41" i="127"/>
  <c r="K18" i="121"/>
  <c r="K20" i="127" s="1"/>
  <c r="J18" i="121"/>
  <c r="J20" i="127" s="1"/>
  <c r="D18" i="62" l="1"/>
  <c r="D19" i="62" s="1"/>
  <c r="D22" i="62"/>
  <c r="J100" i="127"/>
  <c r="M51" i="127"/>
  <c r="M99" i="127" s="1"/>
  <c r="L51" i="127"/>
  <c r="L99" i="127" s="1"/>
  <c r="K52" i="127"/>
  <c r="J52" i="127"/>
  <c r="D42" i="62" l="1"/>
  <c r="G64" i="127"/>
  <c r="G88" i="127" s="1"/>
  <c r="G71" i="127" l="1"/>
  <c r="G72" i="127" l="1"/>
  <c r="K100" i="127"/>
  <c r="H64" i="127" l="1"/>
  <c r="H88" i="127" l="1"/>
  <c r="H71" i="127"/>
  <c r="H72" i="127" l="1"/>
  <c r="L56" i="127"/>
  <c r="L100" i="127" l="1"/>
  <c r="L64" i="127"/>
  <c r="L83" i="127" l="1"/>
  <c r="L88" i="127"/>
  <c r="L71" i="127"/>
  <c r="L72" i="127" s="1"/>
  <c r="L103" i="127" l="1"/>
  <c r="L104" i="127" s="1"/>
  <c r="I64" i="127" l="1"/>
  <c r="M56" i="127"/>
  <c r="D46" i="62" s="1"/>
  <c r="I88" i="127" l="1"/>
  <c r="C53" i="62" s="1"/>
  <c r="C48" i="62"/>
  <c r="M100" i="127"/>
  <c r="I71" i="127"/>
  <c r="C50" i="62" s="1"/>
  <c r="M64" i="127"/>
  <c r="M88" i="127" s="1"/>
  <c r="I72" i="127" l="1"/>
  <c r="M83" i="127"/>
  <c r="M71" i="127"/>
  <c r="M72" i="127" s="1"/>
  <c r="C51" i="62" l="1"/>
  <c r="M103" i="127"/>
  <c r="M104" i="127" s="1"/>
  <c r="AU21" i="121" l="1"/>
  <c r="AU23" i="127" s="1"/>
  <c r="AU43" i="127" s="1"/>
  <c r="G11" i="127"/>
  <c r="AU53" i="127" l="1"/>
  <c r="F11" i="127"/>
  <c r="K24" i="127" l="1"/>
  <c r="K44" i="127" s="1"/>
  <c r="K23" i="127"/>
  <c r="K43" i="127" s="1"/>
  <c r="K49" i="127" s="1"/>
  <c r="K53" i="127" l="1"/>
  <c r="K54" i="127"/>
  <c r="J23" i="127"/>
  <c r="J43" i="127" s="1"/>
  <c r="J24" i="127"/>
  <c r="J44" i="127" s="1"/>
  <c r="J49" i="127" l="1"/>
  <c r="J54" i="127" s="1"/>
  <c r="K51" i="127"/>
  <c r="K64" i="127" s="1"/>
  <c r="K88" i="127" s="1"/>
  <c r="J53" i="127"/>
  <c r="K99" i="127" l="1"/>
  <c r="J51" i="127"/>
  <c r="K103" i="127"/>
  <c r="K71" i="127"/>
  <c r="K72" i="127" s="1"/>
  <c r="K104" i="127" l="1"/>
  <c r="D44" i="62"/>
  <c r="J64" i="127"/>
  <c r="J88" i="127" s="1"/>
  <c r="D53" i="62" s="1"/>
  <c r="J99" i="127"/>
  <c r="D48" i="62" l="1"/>
  <c r="J71" i="127"/>
  <c r="D50" i="62" s="1"/>
  <c r="D15" i="127"/>
  <c r="J103" i="127" l="1"/>
  <c r="J104" i="127" s="1"/>
  <c r="J72" i="127"/>
  <c r="D14" i="127"/>
  <c r="E15" i="127"/>
  <c r="D29" i="62" l="1"/>
  <c r="F15" i="127"/>
  <c r="E14" i="127"/>
  <c r="D28" i="62" l="1"/>
  <c r="D32" i="62"/>
  <c r="F14" i="127"/>
  <c r="G15" i="127"/>
  <c r="G14" i="127" l="1"/>
  <c r="H15" i="127"/>
  <c r="I15" i="127" l="1"/>
  <c r="H14" i="127"/>
  <c r="I14" i="127" l="1"/>
  <c r="J15" i="127"/>
  <c r="D51" i="62" l="1"/>
  <c r="K15" i="127"/>
  <c r="J14" i="127"/>
  <c r="L15" i="127" l="1"/>
  <c r="K14" i="127"/>
  <c r="L14" i="127" l="1"/>
  <c r="M15" i="127"/>
  <c r="N15" i="127" l="1"/>
  <c r="M14" i="127"/>
  <c r="O15" i="127" l="1"/>
  <c r="N14" i="127"/>
  <c r="P15" i="127" l="1"/>
  <c r="O14" i="127"/>
  <c r="P14" i="127" l="1"/>
  <c r="Q15" i="127"/>
  <c r="R15" i="127" l="1"/>
  <c r="Q14" i="127"/>
  <c r="S15" i="127" l="1"/>
  <c r="R14" i="127"/>
  <c r="S14" i="127" l="1"/>
  <c r="T15" i="127"/>
  <c r="U15" i="127" l="1"/>
  <c r="T14" i="127"/>
  <c r="V15" i="127" l="1"/>
  <c r="U14" i="127"/>
  <c r="V14" i="127" l="1"/>
  <c r="W15" i="127"/>
  <c r="X15" i="127" l="1"/>
  <c r="W14" i="127"/>
  <c r="Y15" i="127" l="1"/>
  <c r="X14" i="127"/>
  <c r="Y14" i="127" l="1"/>
  <c r="Z15" i="127"/>
  <c r="Z14" i="127" l="1"/>
  <c r="AA15" i="127"/>
  <c r="AB15" i="127" l="1"/>
  <c r="AA14" i="127"/>
  <c r="AC15" i="127" l="1"/>
  <c r="AB14" i="127"/>
  <c r="AC14" i="127" l="1"/>
  <c r="AD15" i="127"/>
  <c r="AD14" i="127" l="1"/>
  <c r="AE15" i="127"/>
  <c r="AF15" i="127" l="1"/>
  <c r="AE14" i="127"/>
  <c r="AG15" i="127" l="1"/>
  <c r="AF14" i="127"/>
  <c r="AG14" i="127" l="1"/>
  <c r="AH15" i="127"/>
  <c r="AH14" i="127" l="1"/>
  <c r="AI15" i="127"/>
  <c r="AJ15" i="127" l="1"/>
  <c r="AI14" i="127"/>
  <c r="AK15" i="127" l="1"/>
  <c r="AJ14" i="127"/>
  <c r="AK14" i="127" l="1"/>
  <c r="AL15" i="127"/>
  <c r="AL14" i="127" l="1"/>
  <c r="AM15" i="127"/>
  <c r="AN15" i="127" l="1"/>
  <c r="AM14" i="127"/>
  <c r="AO15" i="127" l="1"/>
  <c r="AN14" i="127"/>
  <c r="AO14" i="127" l="1"/>
  <c r="AP15" i="127"/>
  <c r="AP14" i="127" l="1"/>
  <c r="AQ15" i="127"/>
  <c r="AR15" i="127" l="1"/>
  <c r="AQ14" i="127"/>
  <c r="AS15" i="127" l="1"/>
  <c r="AR14" i="127"/>
  <c r="AS14" i="127" l="1"/>
  <c r="AT15" i="127"/>
  <c r="AT14" i="127" l="1"/>
  <c r="AU15" i="127"/>
  <c r="AV15" i="127" l="1"/>
  <c r="AU14" i="127"/>
  <c r="AV14" i="127" l="1"/>
  <c r="AW15" i="127"/>
  <c r="AW14" i="127" s="1"/>
  <c r="N103" i="127"/>
  <c r="E19" i="62"/>
  <c r="F19" i="62" l="1"/>
  <c r="E18" i="62"/>
  <c r="E21" i="62" s="1"/>
  <c r="G19" i="62" l="1"/>
  <c r="F18" i="62"/>
  <c r="H19" i="62" l="1"/>
  <c r="G18" i="62"/>
  <c r="I19" i="62" l="1"/>
  <c r="H18" i="62"/>
  <c r="I18" i="62" l="1"/>
  <c r="J19" i="62"/>
  <c r="K19" i="62" l="1"/>
  <c r="J18" i="62"/>
  <c r="K18" i="62" l="1"/>
  <c r="L19" i="62"/>
  <c r="M19" i="62" l="1"/>
  <c r="M18" i="62" s="1"/>
  <c r="L18" i="62"/>
  <c r="L21" i="62"/>
  <c r="L23" i="62" s="1"/>
  <c r="L33" i="62" s="1"/>
  <c r="AP20" i="121" s="1"/>
  <c r="AP22" i="127" s="1"/>
  <c r="AP42" i="127" s="1"/>
  <c r="M21" i="62"/>
  <c r="M29" i="62" s="1"/>
  <c r="K21" i="62"/>
  <c r="K23" i="62" s="1"/>
  <c r="K33" i="62" s="1"/>
  <c r="AL20" i="121" s="1"/>
  <c r="AL22" i="127" s="1"/>
  <c r="AL42" i="127" s="1"/>
  <c r="J21" i="62"/>
  <c r="J23" i="62" s="1"/>
  <c r="J33" i="62" s="1"/>
  <c r="I21" i="62"/>
  <c r="I29" i="62" s="1"/>
  <c r="H21" i="62"/>
  <c r="H29" i="62" s="1"/>
  <c r="G21" i="62"/>
  <c r="G23" i="62" s="1"/>
  <c r="G33" i="62" s="1"/>
  <c r="F21" i="62"/>
  <c r="F23" i="62" s="1"/>
  <c r="F33" i="62" s="1"/>
  <c r="E23" i="62"/>
  <c r="E33" i="62" s="1"/>
  <c r="N20" i="121" s="1"/>
  <c r="E29" i="62"/>
  <c r="K29" i="62" l="1"/>
  <c r="K30" i="62" s="1"/>
  <c r="AM19" i="121" s="1"/>
  <c r="H23" i="62"/>
  <c r="H33" i="62" s="1"/>
  <c r="AA20" i="121" s="1"/>
  <c r="AA22" i="127" s="1"/>
  <c r="AA42" i="127" s="1"/>
  <c r="I23" i="62"/>
  <c r="I33" i="62" s="1"/>
  <c r="AD20" i="121" s="1"/>
  <c r="AD22" i="127" s="1"/>
  <c r="AD42" i="127" s="1"/>
  <c r="H30" i="62"/>
  <c r="H31" i="62" s="1"/>
  <c r="H28" i="62"/>
  <c r="Z20" i="121"/>
  <c r="Z22" i="127" s="1"/>
  <c r="Z42" i="127" s="1"/>
  <c r="AH20" i="121"/>
  <c r="AH22" i="127" s="1"/>
  <c r="AH42" i="127" s="1"/>
  <c r="AI20" i="121"/>
  <c r="AI22" i="127" s="1"/>
  <c r="AI42" i="127" s="1"/>
  <c r="O20" i="121"/>
  <c r="O22" i="127" s="1"/>
  <c r="O42" i="127" s="1"/>
  <c r="N22" i="127"/>
  <c r="N42" i="127" s="1"/>
  <c r="AL19" i="121"/>
  <c r="E28" i="62"/>
  <c r="M30" i="62"/>
  <c r="M31" i="62" s="1"/>
  <c r="R20" i="121"/>
  <c r="R22" i="127" s="1"/>
  <c r="R42" i="127" s="1"/>
  <c r="S20" i="121"/>
  <c r="S22" i="127" s="1"/>
  <c r="S42" i="127" s="1"/>
  <c r="W20" i="121"/>
  <c r="W22" i="127" s="1"/>
  <c r="W42" i="127" s="1"/>
  <c r="V20" i="121"/>
  <c r="V22" i="127" s="1"/>
  <c r="V42" i="127" s="1"/>
  <c r="I28" i="62"/>
  <c r="I30" i="62"/>
  <c r="J29" i="62"/>
  <c r="AM20" i="121"/>
  <c r="AM22" i="127" s="1"/>
  <c r="AM42" i="127" s="1"/>
  <c r="K28" i="62"/>
  <c r="AQ20" i="121"/>
  <c r="AQ22" i="127" s="1"/>
  <c r="AQ42" i="127" s="1"/>
  <c r="F29" i="62"/>
  <c r="E30" i="62"/>
  <c r="G29" i="62"/>
  <c r="M23" i="62"/>
  <c r="M33" i="62" s="1"/>
  <c r="L29" i="62"/>
  <c r="AE20" i="121" l="1"/>
  <c r="AE22" i="127" s="1"/>
  <c r="AE42" i="127" s="1"/>
  <c r="K31" i="62"/>
  <c r="K32" i="62" s="1"/>
  <c r="AA19" i="121"/>
  <c r="AA18" i="121" s="1"/>
  <c r="AA20" i="127" s="1"/>
  <c r="Z19" i="121"/>
  <c r="AE19" i="121"/>
  <c r="AD19" i="121"/>
  <c r="X19" i="121"/>
  <c r="Y19" i="121"/>
  <c r="H32" i="62"/>
  <c r="N19" i="121"/>
  <c r="O19" i="121"/>
  <c r="AM21" i="127"/>
  <c r="AM18" i="121"/>
  <c r="AM20" i="127" s="1"/>
  <c r="AL21" i="127"/>
  <c r="AL18" i="121"/>
  <c r="AL20" i="127" s="1"/>
  <c r="E31" i="62"/>
  <c r="I31" i="62"/>
  <c r="Z18" i="121"/>
  <c r="Z20" i="127" s="1"/>
  <c r="Z21" i="127"/>
  <c r="F30" i="62"/>
  <c r="F28" i="62"/>
  <c r="AV19" i="121"/>
  <c r="AW19" i="121"/>
  <c r="M32" i="62"/>
  <c r="AT20" i="121"/>
  <c r="AT22" i="127" s="1"/>
  <c r="AT42" i="127" s="1"/>
  <c r="AU20" i="121"/>
  <c r="AU22" i="127" s="1"/>
  <c r="AU42" i="127" s="1"/>
  <c r="G28" i="62"/>
  <c r="G30" i="62"/>
  <c r="M28" i="62"/>
  <c r="L30" i="62"/>
  <c r="L31" i="62" s="1"/>
  <c r="L28" i="62"/>
  <c r="J30" i="62"/>
  <c r="J28" i="62"/>
  <c r="AU19" i="121"/>
  <c r="AT19" i="121"/>
  <c r="AO19" i="121" l="1"/>
  <c r="AA21" i="127"/>
  <c r="AA41" i="127" s="1"/>
  <c r="AA49" i="127" s="1"/>
  <c r="AN19" i="121"/>
  <c r="AN18" i="121" s="1"/>
  <c r="AN20" i="127" s="1"/>
  <c r="AT18" i="121"/>
  <c r="AT20" i="127" s="1"/>
  <c r="AT21" i="127"/>
  <c r="W19" i="121"/>
  <c r="V19" i="121"/>
  <c r="AL41" i="127"/>
  <c r="AL49" i="127" s="1"/>
  <c r="AL56" i="127"/>
  <c r="Y18" i="121"/>
  <c r="Y20" i="127" s="1"/>
  <c r="Y21" i="127"/>
  <c r="S19" i="121"/>
  <c r="R19" i="121"/>
  <c r="AV21" i="127"/>
  <c r="AV18" i="121"/>
  <c r="AV20" i="127" s="1"/>
  <c r="F31" i="62"/>
  <c r="O21" i="127"/>
  <c r="O18" i="121"/>
  <c r="O20" i="127" s="1"/>
  <c r="AD21" i="127"/>
  <c r="AD18" i="121"/>
  <c r="AD20" i="127" s="1"/>
  <c r="AI19" i="121"/>
  <c r="AH19" i="121"/>
  <c r="AM56" i="127"/>
  <c r="AM100" i="127" s="1"/>
  <c r="AM41" i="127"/>
  <c r="AM49" i="127" s="1"/>
  <c r="J31" i="62"/>
  <c r="Z41" i="127"/>
  <c r="Z49" i="127" s="1"/>
  <c r="Z56" i="127"/>
  <c r="N21" i="127"/>
  <c r="N18" i="121"/>
  <c r="N20" i="127" s="1"/>
  <c r="AE18" i="121"/>
  <c r="AE20" i="127" s="1"/>
  <c r="AE21" i="127"/>
  <c r="AS19" i="121"/>
  <c r="AR19" i="121"/>
  <c r="L32" i="62"/>
  <c r="AO21" i="127"/>
  <c r="AO18" i="121"/>
  <c r="AO20" i="127" s="1"/>
  <c r="AA56" i="127"/>
  <c r="AA100" i="127" s="1"/>
  <c r="AU21" i="127"/>
  <c r="AU18" i="121"/>
  <c r="AU20" i="127" s="1"/>
  <c r="G31" i="62"/>
  <c r="G32" i="62" s="1"/>
  <c r="X21" i="127"/>
  <c r="X18" i="121"/>
  <c r="X20" i="127" s="1"/>
  <c r="AB19" i="121"/>
  <c r="AC19" i="121"/>
  <c r="I32" i="62"/>
  <c r="AQ19" i="121"/>
  <c r="AP19" i="121"/>
  <c r="AW21" i="127"/>
  <c r="AW18" i="121"/>
  <c r="AW20" i="127" s="1"/>
  <c r="P19" i="121"/>
  <c r="E32" i="62"/>
  <c r="Q19" i="121"/>
  <c r="AN21" i="127" l="1"/>
  <c r="Y41" i="127"/>
  <c r="Y49" i="127" s="1"/>
  <c r="Y56" i="127"/>
  <c r="Y100" i="127" s="1"/>
  <c r="Z52" i="127"/>
  <c r="Z54" i="127"/>
  <c r="AO41" i="127"/>
  <c r="AO49" i="127" s="1"/>
  <c r="AO56" i="127"/>
  <c r="AO100" i="127" s="1"/>
  <c r="AK19" i="121"/>
  <c r="AF19" i="121"/>
  <c r="J32" i="62"/>
  <c r="AG19" i="121"/>
  <c r="AJ19" i="121"/>
  <c r="AL100" i="127"/>
  <c r="AL52" i="127"/>
  <c r="AL54" i="127"/>
  <c r="P21" i="127"/>
  <c r="P18" i="121"/>
  <c r="P20" i="127" s="1"/>
  <c r="AM54" i="127"/>
  <c r="AM52" i="127"/>
  <c r="AQ21" i="127"/>
  <c r="AQ18" i="121"/>
  <c r="AQ20" i="127" s="1"/>
  <c r="AU41" i="127"/>
  <c r="AU49" i="127" s="1"/>
  <c r="AU56" i="127"/>
  <c r="AU100" i="127" s="1"/>
  <c r="AE41" i="127"/>
  <c r="AE49" i="127" s="1"/>
  <c r="AE56" i="127"/>
  <c r="AE100" i="127" s="1"/>
  <c r="V21" i="127"/>
  <c r="V18" i="121"/>
  <c r="V20" i="127" s="1"/>
  <c r="AD56" i="127"/>
  <c r="AD41" i="127"/>
  <c r="AD49" i="127" s="1"/>
  <c r="AW56" i="127"/>
  <c r="AW100" i="127" s="1"/>
  <c r="AW41" i="127"/>
  <c r="AW49" i="127" s="1"/>
  <c r="AR21" i="127"/>
  <c r="AR18" i="121"/>
  <c r="AR20" i="127" s="1"/>
  <c r="AS21" i="127"/>
  <c r="AS18" i="121"/>
  <c r="AS20" i="127" s="1"/>
  <c r="AN41" i="127"/>
  <c r="AN49" i="127" s="1"/>
  <c r="AN56" i="127"/>
  <c r="AN100" i="127" s="1"/>
  <c r="AA52" i="127"/>
  <c r="AA54" i="127"/>
  <c r="AH21" i="127"/>
  <c r="AH18" i="121"/>
  <c r="AH20" i="127" s="1"/>
  <c r="AV56" i="127"/>
  <c r="AV100" i="127" s="1"/>
  <c r="AV41" i="127"/>
  <c r="AV49" i="127" s="1"/>
  <c r="W21" i="127"/>
  <c r="W18" i="121"/>
  <c r="W20" i="127" s="1"/>
  <c r="O56" i="127"/>
  <c r="O100" i="127" s="1"/>
  <c r="O41" i="127"/>
  <c r="O49" i="127" s="1"/>
  <c r="R18" i="121"/>
  <c r="R20" i="127" s="1"/>
  <c r="R21" i="127"/>
  <c r="AT56" i="127"/>
  <c r="AT41" i="127"/>
  <c r="AT49" i="127" s="1"/>
  <c r="Z100" i="127"/>
  <c r="X41" i="127"/>
  <c r="X49" i="127" s="1"/>
  <c r="X56" i="127"/>
  <c r="X100" i="127" s="1"/>
  <c r="AP18" i="121"/>
  <c r="AP20" i="127" s="1"/>
  <c r="AP21" i="127"/>
  <c r="U19" i="121"/>
  <c r="F32" i="62"/>
  <c r="T19" i="121"/>
  <c r="Q18" i="121"/>
  <c r="Q20" i="127" s="1"/>
  <c r="Q21" i="127"/>
  <c r="AC21" i="127"/>
  <c r="AC18" i="121"/>
  <c r="AC20" i="127" s="1"/>
  <c r="AI21" i="127"/>
  <c r="AI18" i="121"/>
  <c r="AI20" i="127" s="1"/>
  <c r="AB21" i="127"/>
  <c r="AB18" i="121"/>
  <c r="AB20" i="127" s="1"/>
  <c r="N41" i="127"/>
  <c r="N49" i="127" s="1"/>
  <c r="N56" i="127"/>
  <c r="S21" i="127"/>
  <c r="S18" i="121"/>
  <c r="S20" i="127" s="1"/>
  <c r="AM51" i="127" l="1"/>
  <c r="AH41" i="127"/>
  <c r="AH49" i="127" s="1"/>
  <c r="AH56" i="127"/>
  <c r="AK21" i="127"/>
  <c r="AK18" i="121"/>
  <c r="AK20" i="127" s="1"/>
  <c r="AR41" i="127"/>
  <c r="AR49" i="127" s="1"/>
  <c r="AR56" i="127"/>
  <c r="AR100" i="127" s="1"/>
  <c r="AA51" i="127"/>
  <c r="AU52" i="127"/>
  <c r="AU54" i="127"/>
  <c r="AL51" i="127"/>
  <c r="AE54" i="127"/>
  <c r="AE52" i="127"/>
  <c r="AE51" i="127" s="1"/>
  <c r="AO54" i="127"/>
  <c r="AO52" i="127"/>
  <c r="AF18" i="121"/>
  <c r="AF20" i="127" s="1"/>
  <c r="AF21" i="127"/>
  <c r="N100" i="127"/>
  <c r="AD52" i="127"/>
  <c r="AD54" i="127"/>
  <c r="AD100" i="127"/>
  <c r="AQ56" i="127"/>
  <c r="AQ100" i="127" s="1"/>
  <c r="AQ41" i="127"/>
  <c r="AQ49" i="127" s="1"/>
  <c r="K46" i="62"/>
  <c r="S41" i="127"/>
  <c r="S49" i="127" s="1"/>
  <c r="S56" i="127"/>
  <c r="S100" i="127" s="1"/>
  <c r="O54" i="127"/>
  <c r="O52" i="127"/>
  <c r="N54" i="127"/>
  <c r="N52" i="127"/>
  <c r="AM64" i="127"/>
  <c r="AM99" i="127"/>
  <c r="AJ21" i="127"/>
  <c r="AJ18" i="121"/>
  <c r="AJ20" i="127" s="1"/>
  <c r="Z51" i="127"/>
  <c r="P56" i="127"/>
  <c r="P100" i="127" s="1"/>
  <c r="P41" i="127"/>
  <c r="P49" i="127" s="1"/>
  <c r="AC56" i="127"/>
  <c r="AC100" i="127" s="1"/>
  <c r="AC41" i="127"/>
  <c r="AC49" i="127" s="1"/>
  <c r="AW54" i="127"/>
  <c r="AW52" i="127"/>
  <c r="W56" i="127"/>
  <c r="W100" i="127" s="1"/>
  <c r="W41" i="127"/>
  <c r="W49" i="127" s="1"/>
  <c r="AT52" i="127"/>
  <c r="AT54" i="127"/>
  <c r="AS41" i="127"/>
  <c r="AS49" i="127" s="1"/>
  <c r="AS56" i="127"/>
  <c r="AS100" i="127" s="1"/>
  <c r="V56" i="127"/>
  <c r="V41" i="127"/>
  <c r="V49" i="127" s="1"/>
  <c r="AG21" i="127"/>
  <c r="AG18" i="121"/>
  <c r="AG20" i="127" s="1"/>
  <c r="Q56" i="127"/>
  <c r="Q100" i="127" s="1"/>
  <c r="Q41" i="127"/>
  <c r="Q49" i="127" s="1"/>
  <c r="X52" i="127"/>
  <c r="X54" i="127"/>
  <c r="T21" i="127"/>
  <c r="T18" i="121"/>
  <c r="T20" i="127" s="1"/>
  <c r="AN52" i="127"/>
  <c r="AN54" i="127"/>
  <c r="AB41" i="127"/>
  <c r="AB49" i="127" s="1"/>
  <c r="AB56" i="127"/>
  <c r="AV52" i="127"/>
  <c r="AV54" i="127"/>
  <c r="U18" i="121"/>
  <c r="U20" i="127" s="1"/>
  <c r="U21" i="127"/>
  <c r="M46" i="62"/>
  <c r="AT100" i="127"/>
  <c r="AI41" i="127"/>
  <c r="AI49" i="127" s="1"/>
  <c r="AI56" i="127"/>
  <c r="AI100" i="127" s="1"/>
  <c r="AP56" i="127"/>
  <c r="AP41" i="127"/>
  <c r="AP49" i="127" s="1"/>
  <c r="R56" i="127"/>
  <c r="R41" i="127"/>
  <c r="R49" i="127" s="1"/>
  <c r="Y52" i="127"/>
  <c r="Y54" i="127"/>
  <c r="Y51" i="127" l="1"/>
  <c r="AW51" i="127"/>
  <c r="AW99" i="127" s="1"/>
  <c r="AU51" i="127"/>
  <c r="AU64" i="127" s="1"/>
  <c r="AI54" i="127"/>
  <c r="AI52" i="127"/>
  <c r="AB52" i="127"/>
  <c r="AB54" i="127"/>
  <c r="M42" i="62"/>
  <c r="AT51" i="127"/>
  <c r="AO51" i="127"/>
  <c r="AA64" i="127"/>
  <c r="AA99" i="127"/>
  <c r="P54" i="127"/>
  <c r="P52" i="127"/>
  <c r="E42" i="62" s="1"/>
  <c r="W52" i="127"/>
  <c r="W54" i="127"/>
  <c r="Z64" i="127"/>
  <c r="Z99" i="127"/>
  <c r="O51" i="127"/>
  <c r="Y99" i="127"/>
  <c r="Y64" i="127"/>
  <c r="AE99" i="127"/>
  <c r="AE64" i="127"/>
  <c r="AR54" i="127"/>
  <c r="AR52" i="127"/>
  <c r="Q52" i="127"/>
  <c r="Q54" i="127"/>
  <c r="AG56" i="127"/>
  <c r="AG100" i="127" s="1"/>
  <c r="AG41" i="127"/>
  <c r="AG49" i="127" s="1"/>
  <c r="U41" i="127"/>
  <c r="U49" i="127" s="1"/>
  <c r="U56" i="127"/>
  <c r="U100" i="127" s="1"/>
  <c r="AW64" i="127"/>
  <c r="AD51" i="127"/>
  <c r="AN51" i="127"/>
  <c r="R52" i="127"/>
  <c r="R54" i="127"/>
  <c r="V54" i="127"/>
  <c r="V52" i="127"/>
  <c r="R100" i="127"/>
  <c r="T56" i="127"/>
  <c r="T100" i="127" s="1"/>
  <c r="T41" i="127"/>
  <c r="T49" i="127" s="1"/>
  <c r="G46" i="62"/>
  <c r="V100" i="127"/>
  <c r="AJ41" i="127"/>
  <c r="AJ49" i="127" s="1"/>
  <c r="AJ56" i="127"/>
  <c r="AJ100" i="127" s="1"/>
  <c r="S52" i="127"/>
  <c r="S54" i="127"/>
  <c r="AL99" i="127"/>
  <c r="AL64" i="127"/>
  <c r="K44" i="62"/>
  <c r="AK41" i="127"/>
  <c r="AK49" i="127" s="1"/>
  <c r="AK56" i="127"/>
  <c r="AK100" i="127" s="1"/>
  <c r="N51" i="127"/>
  <c r="E46" i="62"/>
  <c r="K42" i="62"/>
  <c r="AH100" i="127"/>
  <c r="AB100" i="127"/>
  <c r="H46" i="62"/>
  <c r="AP54" i="127"/>
  <c r="AP52" i="127"/>
  <c r="AC54" i="127"/>
  <c r="AC52" i="127"/>
  <c r="L46" i="62"/>
  <c r="AP100" i="127"/>
  <c r="AV51" i="127"/>
  <c r="X51" i="127"/>
  <c r="AS54" i="127"/>
  <c r="AS52" i="127"/>
  <c r="AM84" i="127"/>
  <c r="AM83" i="127" s="1"/>
  <c r="AM103" i="127" s="1"/>
  <c r="AM104" i="127" s="1"/>
  <c r="AM71" i="127"/>
  <c r="AM72" i="127" s="1"/>
  <c r="AQ54" i="127"/>
  <c r="AQ52" i="127"/>
  <c r="AF41" i="127"/>
  <c r="AF49" i="127" s="1"/>
  <c r="AF56" i="127"/>
  <c r="AH52" i="127"/>
  <c r="AH54" i="127"/>
  <c r="AU99" i="127" l="1"/>
  <c r="P51" i="127"/>
  <c r="AS51" i="127"/>
  <c r="AC51" i="127"/>
  <c r="AI51" i="127"/>
  <c r="AI99" i="127" s="1"/>
  <c r="Q51" i="127"/>
  <c r="E44" i="62" s="1"/>
  <c r="F46" i="62"/>
  <c r="AM88" i="127"/>
  <c r="S51" i="127"/>
  <c r="AE84" i="127"/>
  <c r="AE83" i="127" s="1"/>
  <c r="AE103" i="127" s="1"/>
  <c r="AE104" i="127" s="1"/>
  <c r="AE71" i="127"/>
  <c r="AE72" i="127" s="1"/>
  <c r="AC99" i="127"/>
  <c r="AC64" i="127"/>
  <c r="AT99" i="127"/>
  <c r="AT64" i="127"/>
  <c r="M44" i="62"/>
  <c r="N64" i="127"/>
  <c r="N99" i="127"/>
  <c r="N104" i="127" s="1"/>
  <c r="V51" i="127"/>
  <c r="G42" i="62"/>
  <c r="AW84" i="127"/>
  <c r="AW83" i="127" s="1"/>
  <c r="AW103" i="127" s="1"/>
  <c r="AW104" i="127" s="1"/>
  <c r="AW71" i="127"/>
  <c r="AW72" i="127" s="1"/>
  <c r="W51" i="127"/>
  <c r="AF100" i="127"/>
  <c r="I46" i="62"/>
  <c r="AJ52" i="127"/>
  <c r="AJ54" i="127"/>
  <c r="Y71" i="127"/>
  <c r="Y72" i="127" s="1"/>
  <c r="Y84" i="127"/>
  <c r="Y83" i="127" s="1"/>
  <c r="Y103" i="127" s="1"/>
  <c r="Y104" i="127" s="1"/>
  <c r="P99" i="127"/>
  <c r="P64" i="127"/>
  <c r="AB51" i="127"/>
  <c r="H42" i="62"/>
  <c r="Z71" i="127"/>
  <c r="Z84" i="127"/>
  <c r="Z83" i="127" s="1"/>
  <c r="Z103" i="127" s="1"/>
  <c r="Z104" i="127" s="1"/>
  <c r="AH51" i="127"/>
  <c r="U54" i="127"/>
  <c r="U52" i="127"/>
  <c r="AD99" i="127"/>
  <c r="AD64" i="127"/>
  <c r="AS99" i="127"/>
  <c r="AS64" i="127"/>
  <c r="AF52" i="127"/>
  <c r="AF54" i="127"/>
  <c r="X99" i="127"/>
  <c r="X64" i="127"/>
  <c r="AK52" i="127"/>
  <c r="AK54" i="127"/>
  <c r="AQ51" i="127"/>
  <c r="AV99" i="127"/>
  <c r="AV64" i="127"/>
  <c r="R51" i="127"/>
  <c r="AG54" i="127"/>
  <c r="AG52" i="127"/>
  <c r="O64" i="127"/>
  <c r="O99" i="127"/>
  <c r="AP51" i="127"/>
  <c r="L42" i="62"/>
  <c r="AL71" i="127"/>
  <c r="AL84" i="127"/>
  <c r="AL83" i="127" s="1"/>
  <c r="AL103" i="127" s="1"/>
  <c r="AL104" i="127" s="1"/>
  <c r="T52" i="127"/>
  <c r="T54" i="127"/>
  <c r="AN99" i="127"/>
  <c r="AN64" i="127"/>
  <c r="AA84" i="127"/>
  <c r="AA83" i="127" s="1"/>
  <c r="AA103" i="127" s="1"/>
  <c r="AA104" i="127" s="1"/>
  <c r="AA71" i="127"/>
  <c r="AA72" i="127" s="1"/>
  <c r="J46" i="62"/>
  <c r="AR51" i="127"/>
  <c r="AO64" i="127"/>
  <c r="AO99" i="127"/>
  <c r="AU84" i="127"/>
  <c r="AU83" i="127" s="1"/>
  <c r="AU103" i="127" s="1"/>
  <c r="AU104" i="127" s="1"/>
  <c r="AU71" i="127"/>
  <c r="AU72" i="127" s="1"/>
  <c r="K48" i="62" l="1"/>
  <c r="AI64" i="127"/>
  <c r="Q99" i="127"/>
  <c r="Q64" i="127"/>
  <c r="Z88" i="127"/>
  <c r="AW88" i="127"/>
  <c r="T51" i="127"/>
  <c r="T64" i="127" s="1"/>
  <c r="AL88" i="127"/>
  <c r="AG51" i="127"/>
  <c r="AG64" i="127" s="1"/>
  <c r="AF51" i="127"/>
  <c r="I42" i="62"/>
  <c r="O84" i="127"/>
  <c r="O83" i="127" s="1"/>
  <c r="O103" i="127" s="1"/>
  <c r="O104" i="127" s="1"/>
  <c r="O71" i="127"/>
  <c r="O72" i="127" s="1"/>
  <c r="AS71" i="127"/>
  <c r="AS72" i="127" s="1"/>
  <c r="AS84" i="127"/>
  <c r="AS83" i="127" s="1"/>
  <c r="AS103" i="127" s="1"/>
  <c r="AS104" i="127" s="1"/>
  <c r="Y88" i="127"/>
  <c r="AU88" i="127"/>
  <c r="AQ64" i="127"/>
  <c r="AQ99" i="127"/>
  <c r="U51" i="127"/>
  <c r="Z72" i="127"/>
  <c r="M48" i="62"/>
  <c r="AT84" i="127"/>
  <c r="AT83" i="127" s="1"/>
  <c r="AT103" i="127" s="1"/>
  <c r="AT104" i="127" s="1"/>
  <c r="AT71" i="127"/>
  <c r="S99" i="127"/>
  <c r="S64" i="127"/>
  <c r="AV71" i="127"/>
  <c r="AV72" i="127" s="1"/>
  <c r="AV84" i="127"/>
  <c r="AV83" i="127" s="1"/>
  <c r="AV103" i="127" s="1"/>
  <c r="AV104" i="127" s="1"/>
  <c r="AL72" i="127"/>
  <c r="AR99" i="127"/>
  <c r="AR64" i="127"/>
  <c r="AN84" i="127"/>
  <c r="AN83" i="127" s="1"/>
  <c r="AN103" i="127" s="1"/>
  <c r="AN104" i="127" s="1"/>
  <c r="AN71" i="127"/>
  <c r="AN72" i="127" s="1"/>
  <c r="AK51" i="127"/>
  <c r="AD71" i="127"/>
  <c r="AD84" i="127"/>
  <c r="AD83" i="127" s="1"/>
  <c r="AD103" i="127" s="1"/>
  <c r="AD104" i="127" s="1"/>
  <c r="AJ51" i="127"/>
  <c r="AC71" i="127"/>
  <c r="AC72" i="127" s="1"/>
  <c r="AC84" i="127"/>
  <c r="AC83" i="127" s="1"/>
  <c r="AC103" i="127" s="1"/>
  <c r="AC104" i="127" s="1"/>
  <c r="AO84" i="127"/>
  <c r="AO83" i="127" s="1"/>
  <c r="AO103" i="127" s="1"/>
  <c r="AO104" i="127" s="1"/>
  <c r="AO71" i="127"/>
  <c r="AO72" i="127" s="1"/>
  <c r="F42" i="62"/>
  <c r="R99" i="127"/>
  <c r="R64" i="127"/>
  <c r="X84" i="127"/>
  <c r="X83" i="127" s="1"/>
  <c r="X103" i="127" s="1"/>
  <c r="X104" i="127" s="1"/>
  <c r="X71" i="127"/>
  <c r="X72" i="127" s="1"/>
  <c r="AB99" i="127"/>
  <c r="AB64" i="127"/>
  <c r="H44" i="62"/>
  <c r="G44" i="62"/>
  <c r="V99" i="127"/>
  <c r="V64" i="127"/>
  <c r="AP99" i="127"/>
  <c r="AP64" i="127"/>
  <c r="L44" i="62"/>
  <c r="AI84" i="127"/>
  <c r="AI83" i="127" s="1"/>
  <c r="AI103" i="127" s="1"/>
  <c r="AI104" i="127" s="1"/>
  <c r="AI71" i="127"/>
  <c r="AI72" i="127" s="1"/>
  <c r="AH99" i="127"/>
  <c r="AH64" i="127"/>
  <c r="P71" i="127"/>
  <c r="P72" i="127" s="1"/>
  <c r="P84" i="127"/>
  <c r="P83" i="127" s="1"/>
  <c r="P103" i="127" s="1"/>
  <c r="P104" i="127" s="1"/>
  <c r="Q71" i="127"/>
  <c r="Q72" i="127" s="1"/>
  <c r="Q84" i="127"/>
  <c r="Q83" i="127" s="1"/>
  <c r="Q103" i="127" s="1"/>
  <c r="Q104" i="127" s="1"/>
  <c r="AA88" i="127"/>
  <c r="J42" i="62"/>
  <c r="W99" i="127"/>
  <c r="W64" i="127"/>
  <c r="N88" i="127"/>
  <c r="N71" i="127"/>
  <c r="N84" i="127"/>
  <c r="E48" i="62"/>
  <c r="AE88" i="127"/>
  <c r="F44" i="62" l="1"/>
  <c r="T99" i="127"/>
  <c r="X88" i="127"/>
  <c r="AG99" i="127"/>
  <c r="J44" i="62"/>
  <c r="Q88" i="127"/>
  <c r="AI88" i="127"/>
  <c r="K50" i="62"/>
  <c r="K51" i="62" s="1"/>
  <c r="AT88" i="127"/>
  <c r="AC88" i="127"/>
  <c r="O88" i="127"/>
  <c r="AQ84" i="127"/>
  <c r="AQ83" i="127" s="1"/>
  <c r="AQ103" i="127" s="1"/>
  <c r="AQ104" i="127" s="1"/>
  <c r="AQ71" i="127"/>
  <c r="AQ72" i="127" s="1"/>
  <c r="E50" i="62"/>
  <c r="E51" i="62" s="1"/>
  <c r="N72" i="127"/>
  <c r="G48" i="62"/>
  <c r="V71" i="127"/>
  <c r="V84" i="127"/>
  <c r="V83" i="127" s="1"/>
  <c r="V103" i="127" s="1"/>
  <c r="V104" i="127" s="1"/>
  <c r="AD72" i="127"/>
  <c r="AG71" i="127"/>
  <c r="AG72" i="127" s="1"/>
  <c r="AG84" i="127"/>
  <c r="AG83" i="127" s="1"/>
  <c r="AG103" i="127" s="1"/>
  <c r="AG104" i="127" s="1"/>
  <c r="AK64" i="127"/>
  <c r="AK99" i="127"/>
  <c r="AP71" i="127"/>
  <c r="L48" i="62"/>
  <c r="AP84" i="127"/>
  <c r="AP83" i="127" s="1"/>
  <c r="AP103" i="127" s="1"/>
  <c r="AP104" i="127" s="1"/>
  <c r="T84" i="127"/>
  <c r="T83" i="127" s="1"/>
  <c r="T103" i="127" s="1"/>
  <c r="T104" i="127" s="1"/>
  <c r="T71" i="127"/>
  <c r="T72" i="127" s="1"/>
  <c r="AV88" i="127"/>
  <c r="W71" i="127"/>
  <c r="W72" i="127" s="1"/>
  <c r="W84" i="127"/>
  <c r="W83" i="127" s="1"/>
  <c r="W103" i="127" s="1"/>
  <c r="W104" i="127" s="1"/>
  <c r="P88" i="127"/>
  <c r="AH71" i="127"/>
  <c r="AH84" i="127"/>
  <c r="AH83" i="127" s="1"/>
  <c r="AH103" i="127" s="1"/>
  <c r="AH104" i="127" s="1"/>
  <c r="AO88" i="127"/>
  <c r="AN88" i="127"/>
  <c r="S84" i="127"/>
  <c r="S83" i="127" s="1"/>
  <c r="S103" i="127" s="1"/>
  <c r="S104" i="127" s="1"/>
  <c r="S71" i="127"/>
  <c r="S72" i="127" s="1"/>
  <c r="U99" i="127"/>
  <c r="U64" i="127"/>
  <c r="F48" i="62" s="1"/>
  <c r="AD88" i="127"/>
  <c r="AR71" i="127"/>
  <c r="AR72" i="127" s="1"/>
  <c r="AR84" i="127"/>
  <c r="AR83" i="127" s="1"/>
  <c r="AR103" i="127" s="1"/>
  <c r="AR104" i="127" s="1"/>
  <c r="AS88" i="127"/>
  <c r="AF99" i="127"/>
  <c r="AF64" i="127"/>
  <c r="I44" i="62"/>
  <c r="AB84" i="127"/>
  <c r="AB83" i="127" s="1"/>
  <c r="AB103" i="127" s="1"/>
  <c r="AB104" i="127" s="1"/>
  <c r="AB71" i="127"/>
  <c r="H48" i="62"/>
  <c r="R71" i="127"/>
  <c r="R84" i="127"/>
  <c r="R83" i="127" s="1"/>
  <c r="R103" i="127" s="1"/>
  <c r="R104" i="127" s="1"/>
  <c r="AJ99" i="127"/>
  <c r="AJ64" i="127"/>
  <c r="AT72" i="127"/>
  <c r="M50" i="62"/>
  <c r="M51" i="62" s="1"/>
  <c r="J48" i="62" l="1"/>
  <c r="M53" i="62"/>
  <c r="AH88" i="127"/>
  <c r="E53" i="62"/>
  <c r="AP88" i="127"/>
  <c r="AR88" i="127"/>
  <c r="S88" i="127"/>
  <c r="AG88" i="127"/>
  <c r="R72" i="127"/>
  <c r="AP72" i="127"/>
  <c r="L50" i="62"/>
  <c r="L51" i="62" s="1"/>
  <c r="R88" i="127"/>
  <c r="AK84" i="127"/>
  <c r="AK83" i="127" s="1"/>
  <c r="AK103" i="127" s="1"/>
  <c r="AK104" i="127" s="1"/>
  <c r="AK71" i="127"/>
  <c r="AK72" i="127" s="1"/>
  <c r="AQ88" i="127"/>
  <c r="AF71" i="127"/>
  <c r="AF84" i="127"/>
  <c r="AF83" i="127" s="1"/>
  <c r="AF103" i="127" s="1"/>
  <c r="AF104" i="127" s="1"/>
  <c r="I48" i="62"/>
  <c r="K53" i="62"/>
  <c r="T88" i="127"/>
  <c r="AB72" i="127"/>
  <c r="H50" i="62"/>
  <c r="H51" i="62" s="1"/>
  <c r="AH72" i="127"/>
  <c r="W88" i="127"/>
  <c r="G50" i="62"/>
  <c r="G51" i="62" s="1"/>
  <c r="V72" i="127"/>
  <c r="V88" i="127"/>
  <c r="AJ84" i="127"/>
  <c r="AJ83" i="127" s="1"/>
  <c r="AJ103" i="127" s="1"/>
  <c r="AJ104" i="127" s="1"/>
  <c r="AJ71" i="127"/>
  <c r="AJ72" i="127" s="1"/>
  <c r="AB88" i="127"/>
  <c r="H53" i="62" s="1"/>
  <c r="U71" i="127"/>
  <c r="U72" i="127" s="1"/>
  <c r="U84" i="127"/>
  <c r="U83" i="127" s="1"/>
  <c r="U103" i="127" s="1"/>
  <c r="U104" i="127" s="1"/>
  <c r="L53" i="62" l="1"/>
  <c r="G53" i="62"/>
  <c r="U88" i="127"/>
  <c r="F53" i="62" s="1"/>
  <c r="AK88" i="127"/>
  <c r="F50" i="62"/>
  <c r="F51" i="62" s="1"/>
  <c r="J50" i="62"/>
  <c r="J51" i="62" s="1"/>
  <c r="AF72" i="127"/>
  <c r="I50" i="62"/>
  <c r="I51" i="62" s="1"/>
  <c r="AJ88" i="127"/>
  <c r="AF88" i="127"/>
  <c r="I53" i="62" s="1"/>
  <c r="J53" i="6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G6" authorId="0" shapeId="0" xr:uid="{00000000-0006-0000-1D00-000001000000}">
      <text>
        <r>
          <rPr>
            <sz val="9"/>
            <color indexed="81"/>
            <rFont val="Tahoma"/>
            <family val="2"/>
            <charset val="204"/>
          </rPr>
          <t xml:space="preserve">1196740 руб.%% по кредиту
</t>
        </r>
      </text>
    </comment>
    <comment ref="H6" authorId="0" shapeId="0" xr:uid="{00000000-0006-0000-1D00-000002000000}">
      <text>
        <r>
          <rPr>
            <sz val="9"/>
            <color indexed="81"/>
            <rFont val="Tahoma"/>
            <family val="2"/>
            <charset val="204"/>
          </rPr>
          <t xml:space="preserve">1196740 руб.%% по кредиту
</t>
        </r>
      </text>
    </comment>
    <comment ref="I6" authorId="0" shapeId="0" xr:uid="{00000000-0006-0000-1D00-000003000000}">
      <text>
        <r>
          <rPr>
            <sz val="9"/>
            <color indexed="81"/>
            <rFont val="Tahoma"/>
            <family val="2"/>
            <charset val="204"/>
          </rPr>
          <t xml:space="preserve">1196740 руб.%% по кредиту
</t>
        </r>
      </text>
    </comment>
    <comment ref="J6" authorId="0" shapeId="0" xr:uid="{00000000-0006-0000-1D00-000004000000}">
      <text>
        <r>
          <rPr>
            <sz val="9"/>
            <color indexed="81"/>
            <rFont val="Tahoma"/>
            <family val="2"/>
            <charset val="204"/>
          </rPr>
          <t xml:space="preserve">1196740 руб.%% по кредиту
</t>
        </r>
      </text>
    </comment>
    <comment ref="G15" authorId="0" shapeId="0" xr:uid="{00000000-0006-0000-1D00-000005000000}">
      <text>
        <r>
          <rPr>
            <sz val="9"/>
            <color indexed="81"/>
            <rFont val="Tahoma"/>
            <family val="2"/>
            <charset val="204"/>
          </rPr>
          <t xml:space="preserve">1196740 руб.%% по кредиту
</t>
        </r>
      </text>
    </comment>
  </commentList>
</comments>
</file>

<file path=xl/sharedStrings.xml><?xml version="1.0" encoding="utf-8"?>
<sst xmlns="http://schemas.openxmlformats.org/spreadsheetml/2006/main" count="2788" uniqueCount="852">
  <si>
    <t>Яблоко сортовое</t>
  </si>
  <si>
    <t>Яблоко несортовое</t>
  </si>
  <si>
    <t>Доля сортового яблока</t>
  </si>
  <si>
    <t>Всего</t>
  </si>
  <si>
    <t xml:space="preserve">Яблоко несортовое </t>
  </si>
  <si>
    <t>Производственная себестоимость</t>
  </si>
  <si>
    <t>Себестоимость в пересчете на 1 тн яблок</t>
  </si>
  <si>
    <t>Прочие культуры</t>
  </si>
  <si>
    <t>Коммерческие расходы</t>
  </si>
  <si>
    <t>как % от выручки</t>
  </si>
  <si>
    <t>Административные расходы</t>
  </si>
  <si>
    <t>Изменение в %</t>
  </si>
  <si>
    <t>Прирост Чистого Оборотного Капитала</t>
  </si>
  <si>
    <t>Прогноз налога по ЕСХН</t>
  </si>
  <si>
    <t>Субсидии по операционной деятельности</t>
  </si>
  <si>
    <t>Кредиторская задолженность</t>
  </si>
  <si>
    <t>Запасы</t>
  </si>
  <si>
    <t>Дебиторская задолженность</t>
  </si>
  <si>
    <t>Выручка</t>
  </si>
  <si>
    <t>EBITDA</t>
  </si>
  <si>
    <t>Новозаведенское</t>
  </si>
  <si>
    <t>EBITDA маржа, %</t>
  </si>
  <si>
    <t>По Группе</t>
  </si>
  <si>
    <t>19/20</t>
  </si>
  <si>
    <t>20/21</t>
  </si>
  <si>
    <t>21/22</t>
  </si>
  <si>
    <t>22/23</t>
  </si>
  <si>
    <t>23/24</t>
  </si>
  <si>
    <t>Чистая Прибыль</t>
  </si>
  <si>
    <t xml:space="preserve">Рентабильность </t>
  </si>
  <si>
    <t>Свободный денежный поток Бизнеса</t>
  </si>
  <si>
    <t>Свободный денежный поток Акционеров</t>
  </si>
  <si>
    <t>Погашение банковских кредитов</t>
  </si>
  <si>
    <t xml:space="preserve">Прогноз процентных платежей </t>
  </si>
  <si>
    <t xml:space="preserve">Остаток на конец периода </t>
  </si>
  <si>
    <t>Чистый Долг/EBITDA</t>
  </si>
  <si>
    <t>Чистый Долг</t>
  </si>
  <si>
    <t xml:space="preserve">Кредитор </t>
  </si>
  <si>
    <t>Сумма в тыс. руб</t>
  </si>
  <si>
    <t>Ставка</t>
  </si>
  <si>
    <t>Дата погашения</t>
  </si>
  <si>
    <t>Долгосрочные кредиты</t>
  </si>
  <si>
    <t>ПАО "Сбербанк"</t>
  </si>
  <si>
    <t>ПАО ВТБ</t>
  </si>
  <si>
    <t xml:space="preserve">Краткосрочный кредит </t>
  </si>
  <si>
    <t>Итого Банки</t>
  </si>
  <si>
    <t>Связвные стороны</t>
  </si>
  <si>
    <t>ООО "Агротехника"</t>
  </si>
  <si>
    <t>ООО "Солвэкс"</t>
  </si>
  <si>
    <t>ИИ</t>
  </si>
  <si>
    <t>2017Ф</t>
  </si>
  <si>
    <t>2018Ф</t>
  </si>
  <si>
    <t>19/20Ф</t>
  </si>
  <si>
    <t>20/21П</t>
  </si>
  <si>
    <t>21/22П</t>
  </si>
  <si>
    <t>22/23П</t>
  </si>
  <si>
    <t>23/24П</t>
  </si>
  <si>
    <t>Интеринвест</t>
  </si>
  <si>
    <t>НЗ</t>
  </si>
  <si>
    <t>молодые</t>
  </si>
  <si>
    <t>не полное</t>
  </si>
  <si>
    <t xml:space="preserve">полное </t>
  </si>
  <si>
    <t xml:space="preserve">Полное </t>
  </si>
  <si>
    <t xml:space="preserve">Урожайность </t>
  </si>
  <si>
    <t>По плодоносящим</t>
  </si>
  <si>
    <t>Всего по саду</t>
  </si>
  <si>
    <t>Урожайность промышленного сада, тн/га</t>
  </si>
  <si>
    <t>24/25</t>
  </si>
  <si>
    <t>25/26</t>
  </si>
  <si>
    <t>26/27</t>
  </si>
  <si>
    <t xml:space="preserve">Молодой сад </t>
  </si>
  <si>
    <t>Промышленный сад не вышедший на полное плодоношение</t>
  </si>
  <si>
    <t>Промышленный сад на полном плодоношении</t>
  </si>
  <si>
    <t xml:space="preserve">Промышленный сад </t>
  </si>
  <si>
    <t>По юр. Форме</t>
  </si>
  <si>
    <t>Аренда &gt;5 лет</t>
  </si>
  <si>
    <t xml:space="preserve">Собственность </t>
  </si>
  <si>
    <t xml:space="preserve">Молодые сады </t>
  </si>
  <si>
    <t>Плодоносящие сады</t>
  </si>
  <si>
    <t>Пашни и прочее</t>
  </si>
  <si>
    <t>Валовый сбор, всего тн</t>
  </si>
  <si>
    <t xml:space="preserve">Плодоносящие Сады, всего, в т ч </t>
  </si>
  <si>
    <t>Яблоко</t>
  </si>
  <si>
    <t>Яблоко не сортовое</t>
  </si>
  <si>
    <t>Груша</t>
  </si>
  <si>
    <t>Слива</t>
  </si>
  <si>
    <t>Черешня</t>
  </si>
  <si>
    <t>Пшеница</t>
  </si>
  <si>
    <t>Ячмень</t>
  </si>
  <si>
    <t>Зерновые, всего, в т ч:</t>
  </si>
  <si>
    <t>Сорта (% от сбора)</t>
  </si>
  <si>
    <t>Либерти</t>
  </si>
  <si>
    <t>Голдраш</t>
  </si>
  <si>
    <t>Флорина</t>
  </si>
  <si>
    <t>Прикубанское</t>
  </si>
  <si>
    <t>Семиренко</t>
  </si>
  <si>
    <t>Другие</t>
  </si>
  <si>
    <t>Динамика закладки садов</t>
  </si>
  <si>
    <t>До 2013</t>
  </si>
  <si>
    <t>2018
Выкорчевка</t>
  </si>
  <si>
    <t>Конец 2018</t>
  </si>
  <si>
    <t>Валовый сбор</t>
  </si>
  <si>
    <t>Урожайность ц/га</t>
  </si>
  <si>
    <t>Сортовое</t>
  </si>
  <si>
    <t>Динамика продаж яблок</t>
  </si>
  <si>
    <t>На переработку</t>
  </si>
  <si>
    <t>Прочее</t>
  </si>
  <si>
    <t>2019 1 кв</t>
  </si>
  <si>
    <t>EBITDA Margin</t>
  </si>
  <si>
    <t>Семечковые</t>
  </si>
  <si>
    <t>Комапния</t>
  </si>
  <si>
    <t>Площадь, тыс. га</t>
  </si>
  <si>
    <t>Доля</t>
  </si>
  <si>
    <t>АО "Крымская фруктовая компания"</t>
  </si>
  <si>
    <t>Воронежская область</t>
  </si>
  <si>
    <t>ЗАО "Данков-Агро"</t>
  </si>
  <si>
    <t>Краснодарский край</t>
  </si>
  <si>
    <t>ООО "Интеринвест"</t>
  </si>
  <si>
    <t>ООО "Агроном-сад"</t>
  </si>
  <si>
    <t>Саратовская область</t>
  </si>
  <si>
    <t>ОАО "Агроном"</t>
  </si>
  <si>
    <t>Липецкая область</t>
  </si>
  <si>
    <t>ЗАО АФ "им. 15 лет Октября"</t>
  </si>
  <si>
    <t>ООО НПГ "Сады Придонья"</t>
  </si>
  <si>
    <t>ЗАО "Сад -Гигант"</t>
  </si>
  <si>
    <t>Ставропольский край</t>
  </si>
  <si>
    <t>ЗАО "Совхоз Архипо-Осиповский"</t>
  </si>
  <si>
    <t>ЗАО "Центрально Черноземная Плодово-Ягодная компания"</t>
  </si>
  <si>
    <t>Республика Крым</t>
  </si>
  <si>
    <t>Урожай яблок, тыс. тонн</t>
  </si>
  <si>
    <t>СПК «Незлобненский»</t>
  </si>
  <si>
    <t>ООО «СтавАгроКом»</t>
  </si>
  <si>
    <t>ООО «Новозаведенское»</t>
  </si>
  <si>
    <t>ООО «Нива С»</t>
  </si>
  <si>
    <t>ООО «Интеринвест»</t>
  </si>
  <si>
    <t>В % к предыдущему году</t>
  </si>
  <si>
    <t xml:space="preserve">Объем потребелния тыс.т </t>
  </si>
  <si>
    <t>2019F</t>
  </si>
  <si>
    <t>2020F</t>
  </si>
  <si>
    <t>2021F</t>
  </si>
  <si>
    <t>2022F</t>
  </si>
  <si>
    <t>2023F</t>
  </si>
  <si>
    <t>2024F</t>
  </si>
  <si>
    <t>Динамика импорта яблок</t>
  </si>
  <si>
    <t>Импорт</t>
  </si>
  <si>
    <t>Доля импорта</t>
  </si>
  <si>
    <t>Яблоки</t>
  </si>
  <si>
    <t>Алыча</t>
  </si>
  <si>
    <t>17,013 тн</t>
  </si>
  <si>
    <t>115 тн</t>
  </si>
  <si>
    <t>312 тн</t>
  </si>
  <si>
    <t>Земляника</t>
  </si>
  <si>
    <t>25 тн</t>
  </si>
  <si>
    <t>Прогноз урожайности и валового сбора</t>
  </si>
  <si>
    <t>Показатель</t>
  </si>
  <si>
    <t>План</t>
  </si>
  <si>
    <t>Площадь под посадками, га</t>
  </si>
  <si>
    <t>Урожайность, т/га</t>
  </si>
  <si>
    <t>Валовый сбор яблок, т</t>
  </si>
  <si>
    <t>Яблонивые сады</t>
  </si>
  <si>
    <t>Прочие сады</t>
  </si>
  <si>
    <t>Зерновые и подсолнечник</t>
  </si>
  <si>
    <t>Под паром</t>
  </si>
  <si>
    <t>Структура посевных площадей на 2019г</t>
  </si>
  <si>
    <t>учет, га</t>
  </si>
  <si>
    <t>Озимая пшеница</t>
  </si>
  <si>
    <t>Подсолнечник</t>
  </si>
  <si>
    <t>Сады</t>
  </si>
  <si>
    <t>Итого:</t>
  </si>
  <si>
    <t>Молодой сад</t>
  </si>
  <si>
    <t>Промышленный до полного плодоношения</t>
  </si>
  <si>
    <t>Промышленный на полном плодоношении</t>
  </si>
  <si>
    <t>Общий</t>
  </si>
  <si>
    <t xml:space="preserve">Плодоносяшие </t>
  </si>
  <si>
    <t>Полное плодоношение</t>
  </si>
  <si>
    <t>Группа</t>
  </si>
  <si>
    <t>Итого</t>
  </si>
  <si>
    <t>яблоко</t>
  </si>
  <si>
    <t>груша</t>
  </si>
  <si>
    <t>слива</t>
  </si>
  <si>
    <t>черешня</t>
  </si>
  <si>
    <t>Сад</t>
  </si>
  <si>
    <t>Сорт</t>
  </si>
  <si>
    <t>Культура</t>
  </si>
  <si>
    <t>Год посадки</t>
  </si>
  <si>
    <t>Площадь, га</t>
  </si>
  <si>
    <t>Количество деревьев</t>
  </si>
  <si>
    <t>Схема посадки</t>
  </si>
  <si>
    <t>Плотность посадки, деревьев на 1 га</t>
  </si>
  <si>
    <t>Валовый сбор 2017 г, т</t>
  </si>
  <si>
    <t>Урожайность 2017, год т/га</t>
  </si>
  <si>
    <t>Валовый сбор 2018 г, т</t>
  </si>
  <si>
    <t>Урожайность 2018, год т/га</t>
  </si>
  <si>
    <t>Валовый сбор 2019 г, т</t>
  </si>
  <si>
    <t>Урожайность 2019, год т/га</t>
  </si>
  <si>
    <t>4*1,65</t>
  </si>
  <si>
    <t>4*2,5</t>
  </si>
  <si>
    <t>Талида</t>
  </si>
  <si>
    <t>Голд Раш</t>
  </si>
  <si>
    <t>Айдаред</t>
  </si>
  <si>
    <t xml:space="preserve">Женева </t>
  </si>
  <si>
    <t xml:space="preserve">Любава </t>
  </si>
  <si>
    <t xml:space="preserve"> 9.1        2бл </t>
  </si>
  <si>
    <t>Василиса</t>
  </si>
  <si>
    <t>Любава</t>
  </si>
  <si>
    <t xml:space="preserve">Айдаред </t>
  </si>
  <si>
    <t xml:space="preserve">Мутсу </t>
  </si>
  <si>
    <t xml:space="preserve">Талида </t>
  </si>
  <si>
    <t xml:space="preserve">9.1       3бл  </t>
  </si>
  <si>
    <t>9.1       4бл</t>
  </si>
  <si>
    <t xml:space="preserve">Либерти </t>
  </si>
  <si>
    <t xml:space="preserve"> 9.2       5бл</t>
  </si>
  <si>
    <t>5*2,45</t>
  </si>
  <si>
    <t>Ред Фри</t>
  </si>
  <si>
    <t>Женева</t>
  </si>
  <si>
    <t>5*2</t>
  </si>
  <si>
    <t>Вильямс Прайт</t>
  </si>
  <si>
    <t>Орфей</t>
  </si>
  <si>
    <t xml:space="preserve">Прикубанское </t>
  </si>
  <si>
    <t>Стенлей</t>
  </si>
  <si>
    <t>Сортосмесь</t>
  </si>
  <si>
    <t>Кармен</t>
  </si>
  <si>
    <t>А
л
е
к
с
а
н
д
р
о
в
с
к
о
е</t>
  </si>
  <si>
    <t>ВСЕГО</t>
  </si>
  <si>
    <t xml:space="preserve"> </t>
  </si>
  <si>
    <t>Сортосмесь летники</t>
  </si>
  <si>
    <t>Неизвестный</t>
  </si>
  <si>
    <t>Голден резистен</t>
  </si>
  <si>
    <t>Ретина</t>
  </si>
  <si>
    <t>Голден делишенс</t>
  </si>
  <si>
    <t>Коллекция</t>
  </si>
  <si>
    <t>Симиренко</t>
  </si>
  <si>
    <t>Вильямс Прайд</t>
  </si>
  <si>
    <t>Моди</t>
  </si>
  <si>
    <t>Площадь</t>
  </si>
  <si>
    <t xml:space="preserve">Валовый сбор </t>
  </si>
  <si>
    <t>Тыс. руб</t>
  </si>
  <si>
    <t>График погашения</t>
  </si>
  <si>
    <t>Кредитор</t>
  </si>
  <si>
    <t>Остаток на 30.06.2019</t>
  </si>
  <si>
    <t>2019/2020</t>
  </si>
  <si>
    <t>2020/2021</t>
  </si>
  <si>
    <t>2021/2022</t>
  </si>
  <si>
    <t>2022/2023</t>
  </si>
  <si>
    <t>2023/2024</t>
  </si>
  <si>
    <t>2024/2025</t>
  </si>
  <si>
    <t xml:space="preserve">Банковские кредиты </t>
  </si>
  <si>
    <t>Займы от связанных сторон</t>
  </si>
  <si>
    <t>Остаток на конец периода</t>
  </si>
  <si>
    <t>2025/2026</t>
  </si>
  <si>
    <t>ПАО Сбербанк</t>
  </si>
  <si>
    <t>Средний остаток за период</t>
  </si>
  <si>
    <t xml:space="preserve">Платежи </t>
  </si>
  <si>
    <t>Ставка %</t>
  </si>
  <si>
    <t>Власиха</t>
  </si>
  <si>
    <t>Прочие</t>
  </si>
  <si>
    <t>Сад до 2011 г посадки</t>
  </si>
  <si>
    <t>Сад 2012-13 гг посадки</t>
  </si>
  <si>
    <t>Сад 2014-15 гг посадки</t>
  </si>
  <si>
    <t>Сад 2016-17 гг посадки</t>
  </si>
  <si>
    <t xml:space="preserve">С/Х Сезоны (с июля по июнь) </t>
  </si>
  <si>
    <t>1. Макроэкономические показатели</t>
  </si>
  <si>
    <t xml:space="preserve">  Индекс дефлятор растениеводства </t>
  </si>
  <si>
    <t xml:space="preserve">  Инфляция индекса</t>
  </si>
  <si>
    <t xml:space="preserve">  Индекс цен производителя </t>
  </si>
  <si>
    <t>Уровень товарности</t>
  </si>
  <si>
    <t>Сортовое яблоко</t>
  </si>
  <si>
    <t>Несортовое яблоко</t>
  </si>
  <si>
    <t>Максимальные установленные мощности</t>
  </si>
  <si>
    <t>Сортовое яблоко:</t>
  </si>
  <si>
    <t>Реализуемое в 3-4 кв</t>
  </si>
  <si>
    <t>Реализуемое в 1-2 кв следующего года</t>
  </si>
  <si>
    <t>Реализуемое в 1-2 кв след года</t>
  </si>
  <si>
    <t>Реализуемое с колес</t>
  </si>
  <si>
    <t>Остаток кредитов, на начало периода</t>
  </si>
  <si>
    <t xml:space="preserve">Проценты за период </t>
  </si>
  <si>
    <t>Погашение кредитов</t>
  </si>
  <si>
    <t>Проценты плюс погашение</t>
  </si>
  <si>
    <t>Погашение</t>
  </si>
  <si>
    <t xml:space="preserve">    Чистая прибыль (убыток)</t>
  </si>
  <si>
    <t>Текущий налог на прибыль</t>
  </si>
  <si>
    <t xml:space="preserve">    Прибыль (убыток) до налогообложения</t>
  </si>
  <si>
    <t>Прочие расходы</t>
  </si>
  <si>
    <t>Прочие доходы</t>
  </si>
  <si>
    <t>Проценты к уплате</t>
  </si>
  <si>
    <t>Проценты к получению</t>
  </si>
  <si>
    <t>Доходы от участия в других организациях</t>
  </si>
  <si>
    <t xml:space="preserve">    Прибыль (убыток) от продаж</t>
  </si>
  <si>
    <t>Управленческие расходы</t>
  </si>
  <si>
    <t xml:space="preserve">Коммерческие расходы </t>
  </si>
  <si>
    <t>Валовая прибыль (убыток)</t>
  </si>
  <si>
    <t>Себестоимость продаж</t>
  </si>
  <si>
    <t>ООО Новозаведенское</t>
  </si>
  <si>
    <t>ООО Интеринвест</t>
  </si>
  <si>
    <t>1 кв. 2020</t>
  </si>
  <si>
    <t>4 кв. 2019</t>
  </si>
  <si>
    <t>3 кв. 2019</t>
  </si>
  <si>
    <t>2 кв. 2019</t>
  </si>
  <si>
    <t>1 кв. 2019</t>
  </si>
  <si>
    <t>4 кв. 2020</t>
  </si>
  <si>
    <t>3 кв. 2020</t>
  </si>
  <si>
    <t>2 кв. 2020</t>
  </si>
  <si>
    <t>сумма, тыс.руб.</t>
  </si>
  <si>
    <t>ИТОГО:</t>
  </si>
  <si>
    <t>прочее</t>
  </si>
  <si>
    <t>кол-во (тыс.кг.)</t>
  </si>
  <si>
    <t>ячмень</t>
  </si>
  <si>
    <t>пшеница</t>
  </si>
  <si>
    <t>яблоко не сортовое</t>
  </si>
  <si>
    <t xml:space="preserve">4 квартал </t>
  </si>
  <si>
    <t xml:space="preserve">3 квартал </t>
  </si>
  <si>
    <t xml:space="preserve">2 квартал </t>
  </si>
  <si>
    <t xml:space="preserve">1 квартал </t>
  </si>
  <si>
    <t>Цены 2020</t>
  </si>
  <si>
    <t>Выручка по видам продукции</t>
  </si>
  <si>
    <t>№ п/п</t>
  </si>
  <si>
    <t>Средняя цена</t>
  </si>
  <si>
    <t>2 квартал *</t>
  </si>
  <si>
    <t>Цены 2019</t>
  </si>
  <si>
    <t>Цнгы 2018</t>
  </si>
  <si>
    <t>Цены 2017</t>
  </si>
  <si>
    <t>БЕЗ НДС</t>
  </si>
  <si>
    <t>Фактический объем продаж ООО " Интеринвест"</t>
  </si>
  <si>
    <t>Динамика цены сортового яблока</t>
  </si>
  <si>
    <t>кукуруза</t>
  </si>
  <si>
    <t>земляника</t>
  </si>
  <si>
    <t>4кв</t>
  </si>
  <si>
    <t>3кв</t>
  </si>
  <si>
    <t>2кв</t>
  </si>
  <si>
    <t>1кв</t>
  </si>
  <si>
    <t>подсолнечник</t>
  </si>
  <si>
    <t>лук</t>
  </si>
  <si>
    <t>картофель</t>
  </si>
  <si>
    <t>кориандр</t>
  </si>
  <si>
    <t>Фактический объем продаж ООО " Новозаведенское"</t>
  </si>
  <si>
    <t>1 пол 2020</t>
  </si>
  <si>
    <t>2 пол 2019</t>
  </si>
  <si>
    <t>млн руб</t>
  </si>
  <si>
    <t>ООО "Новозаведенское"</t>
  </si>
  <si>
    <t>2 кв 2020</t>
  </si>
  <si>
    <t>3 кв 2020</t>
  </si>
  <si>
    <t>Доля несортового яблока</t>
  </si>
  <si>
    <t>LTM 1кв 2020</t>
  </si>
  <si>
    <t>3 кв СХ 19/20</t>
  </si>
  <si>
    <t>Сх 18/19</t>
  </si>
  <si>
    <t>1 кв 16</t>
  </si>
  <si>
    <t>2 кв 16</t>
  </si>
  <si>
    <t>3 кв 16</t>
  </si>
  <si>
    <t>4 кв 16</t>
  </si>
  <si>
    <t>1 кв 17</t>
  </si>
  <si>
    <t>2 кв 17</t>
  </si>
  <si>
    <t>3 кв 17</t>
  </si>
  <si>
    <t>4 кв 17</t>
  </si>
  <si>
    <t>1 кв 18</t>
  </si>
  <si>
    <t>2 кв 18</t>
  </si>
  <si>
    <t>3 кв 18</t>
  </si>
  <si>
    <t>4 кв 18</t>
  </si>
  <si>
    <t>1 кв 19</t>
  </si>
  <si>
    <t>2 кв 19</t>
  </si>
  <si>
    <t>3 кв 19</t>
  </si>
  <si>
    <t>4 кв 19</t>
  </si>
  <si>
    <t>1 кв 20</t>
  </si>
  <si>
    <t>Объем сортового</t>
  </si>
  <si>
    <t>Продажи сортового</t>
  </si>
  <si>
    <t>Объем несортового</t>
  </si>
  <si>
    <t>Продажи несортового</t>
  </si>
  <si>
    <t>яблок всего</t>
  </si>
  <si>
    <t>Цены реализации по Группе</t>
  </si>
  <si>
    <t>Средняя по яблоку</t>
  </si>
  <si>
    <t>Цена сортового</t>
  </si>
  <si>
    <t>Уена несортового</t>
  </si>
  <si>
    <t>по ИИ</t>
  </si>
  <si>
    <t>по НЗ</t>
  </si>
  <si>
    <t>Выручка от прочей продкуции</t>
  </si>
  <si>
    <t>Доля прочей продукции в выручке</t>
  </si>
  <si>
    <t>Скоьзящая динамика</t>
  </si>
  <si>
    <t>Доля сортового</t>
  </si>
  <si>
    <t>АО "Россельхозбанк"</t>
  </si>
  <si>
    <t xml:space="preserve">ПАО Сбербанк </t>
  </si>
  <si>
    <t>1 кв 2026</t>
  </si>
  <si>
    <t>4 кв 2025</t>
  </si>
  <si>
    <t>2 кв 2025</t>
  </si>
  <si>
    <t>1 кв 2025</t>
  </si>
  <si>
    <t>4 кв 2024</t>
  </si>
  <si>
    <t>2 кв 2024</t>
  </si>
  <si>
    <t>1 кв 2024</t>
  </si>
  <si>
    <t>4 кв 2023</t>
  </si>
  <si>
    <t>2 кв 2023</t>
  </si>
  <si>
    <t>1 кв 2023</t>
  </si>
  <si>
    <t>4 кв 2022</t>
  </si>
  <si>
    <t>2 кв 2022</t>
  </si>
  <si>
    <t>1 кв 2022</t>
  </si>
  <si>
    <t>4 кв 2021</t>
  </si>
  <si>
    <t>2 кв 2021</t>
  </si>
  <si>
    <t>1 кв 2021</t>
  </si>
  <si>
    <t>4 кв 2020</t>
  </si>
  <si>
    <t>на 30.06</t>
  </si>
  <si>
    <t>на 31.05</t>
  </si>
  <si>
    <t>на 30.04</t>
  </si>
  <si>
    <t>на 31.03</t>
  </si>
  <si>
    <t>Сумма кредита</t>
  </si>
  <si>
    <t>ИИ+НЗ</t>
  </si>
  <si>
    <t>График платежей</t>
  </si>
  <si>
    <t>3кв 2020</t>
  </si>
  <si>
    <t>Остаток задолженности</t>
  </si>
  <si>
    <t xml:space="preserve">Новозаведенское </t>
  </si>
  <si>
    <t>Д.ср. об-ва</t>
  </si>
  <si>
    <t>м.п.</t>
  </si>
  <si>
    <t>Кр.ср. об-ва</t>
  </si>
  <si>
    <t>д.ср</t>
  </si>
  <si>
    <t>кр.ср</t>
  </si>
  <si>
    <t>Буглак А.Б.</t>
  </si>
  <si>
    <t>____________________________</t>
  </si>
  <si>
    <t>Директор</t>
  </si>
  <si>
    <t>Лизинг</t>
  </si>
  <si>
    <t>Клиент</t>
  </si>
  <si>
    <t>для расчета лимита</t>
  </si>
  <si>
    <t>Комментарии</t>
  </si>
  <si>
    <t>Итого в валюте расчета - :</t>
  </si>
  <si>
    <t>Вексельные займы</t>
  </si>
  <si>
    <t>Займы</t>
  </si>
  <si>
    <t>Итого тыс. рублей</t>
  </si>
  <si>
    <t xml:space="preserve">ООО "Агротехника" </t>
  </si>
  <si>
    <t>Процентная ставка</t>
  </si>
  <si>
    <t>Дата предоставления</t>
  </si>
  <si>
    <t>Текущая сумма</t>
  </si>
  <si>
    <t>Наименование кредитора</t>
  </si>
  <si>
    <t>Полученные внутригрупповые займы на</t>
  </si>
  <si>
    <t>Комментарии: задолженность по лизингу учитывается на балансе предприятия в прочих долгосрочных обязательствах, стр. 1450</t>
  </si>
  <si>
    <t>RUR</t>
  </si>
  <si>
    <t>Итого в валюте баланса - тыс.</t>
  </si>
  <si>
    <t>EUR</t>
  </si>
  <si>
    <t>Итого - тыс.</t>
  </si>
  <si>
    <t>USD</t>
  </si>
  <si>
    <t>Аккредитивы, тыс. тыс. RUR:</t>
  </si>
  <si>
    <t>Поручительства за третьих лиц, тыс. RUR:</t>
  </si>
  <si>
    <t>Гарантии, тыс. RUR:</t>
  </si>
  <si>
    <t>нет</t>
  </si>
  <si>
    <t>лизинг</t>
  </si>
  <si>
    <t xml:space="preserve">ООО "Интеринвест" </t>
  </si>
  <si>
    <t>Лизинг, тыс. RUR:</t>
  </si>
  <si>
    <t>в рублях</t>
  </si>
  <si>
    <t>в валюте обязательства</t>
  </si>
  <si>
    <t>Отказ
от выплат, задержки</t>
  </si>
  <si>
    <t>Обеспечение</t>
  </si>
  <si>
    <t>Ставка комиссии, %</t>
  </si>
  <si>
    <t>Окончание срока действия обязательства</t>
  </si>
  <si>
    <t>Дата начала обязательства</t>
  </si>
  <si>
    <t>Сумма обязательства</t>
  </si>
  <si>
    <t>Вид обязательства</t>
  </si>
  <si>
    <t>Должник</t>
  </si>
  <si>
    <t>Кредитор / Гарант/ Лизингодатель
(город)</t>
  </si>
  <si>
    <t>Забалансовые обязательства, в т.ч. поручительства, залоги, лизинговые операции, авали, индоссаменты, гарантии на</t>
  </si>
  <si>
    <t>Доля валютных обязательств</t>
  </si>
  <si>
    <t>Итого в валюте расчета - тыс.</t>
  </si>
  <si>
    <t>Собственные векселя, тыс. RUR:</t>
  </si>
  <si>
    <t>Займы от третьих лиц, тыс. RUR:</t>
  </si>
  <si>
    <t>Пополнение оборотных средств (субсидируемые цели)</t>
  </si>
  <si>
    <t>последующий залог недвижимость 57,5 млн.руб., техн.оборудование 13,6 млн.руб.</t>
  </si>
  <si>
    <t>руб</t>
  </si>
  <si>
    <t>кредитная линия</t>
  </si>
  <si>
    <t>ПАО Сбербанк (Георгиевск)</t>
  </si>
  <si>
    <t xml:space="preserve">5230/1007/2020/0006/SX </t>
  </si>
  <si>
    <t>Строительство сети капельного орошения (субсидируемые цели)</t>
  </si>
  <si>
    <t>залог прав аренды на земельный участок 198,7 млн.руб.</t>
  </si>
  <si>
    <t>ПАО ВТБ (Пятигорск)</t>
  </si>
  <si>
    <t>КС-ЦВ-709000/2019/00014</t>
  </si>
  <si>
    <t>строительство плодохранилища(субсидируемые цели)</t>
  </si>
  <si>
    <t>недвижимость 40,8 млн.руб. , поручительство ГУП СК ГФПСМиСБ 27 млн.руб.</t>
  </si>
  <si>
    <t>5230/1007/2018/0017/SX</t>
  </si>
  <si>
    <t>погашение текущей задолженности в АО ББР Банке</t>
  </si>
  <si>
    <t>недвижимость 145,7 млн.руб. технологическое оборудование  44,1 млн.руб. , поручительство ГУП СК ГФПСМиСБ 23 млн.руб.</t>
  </si>
  <si>
    <t>кредит</t>
  </si>
  <si>
    <t>091700019/0763</t>
  </si>
  <si>
    <t>Действующие кредиты</t>
  </si>
  <si>
    <t>пополнение оборотных средств (субсидируемые цели)</t>
  </si>
  <si>
    <t>последующий залог по договору 061100048</t>
  </si>
  <si>
    <t xml:space="preserve">5230/1007/2018/0046/АСРМ/SX </t>
  </si>
  <si>
    <t>приобретение оборудования капельного орошения</t>
  </si>
  <si>
    <t xml:space="preserve"> технологическое оборудование 10,1 млн.руб.</t>
  </si>
  <si>
    <t>061400029/0451</t>
  </si>
  <si>
    <t>строительство 2-х хранилищ овощей и фруктов</t>
  </si>
  <si>
    <t>недвижимость 25,5 млн.руб., технологическое оборудование 25,04 млн.руб.</t>
  </si>
  <si>
    <t>Кредитная история за последний год (погашенные кредиты)</t>
  </si>
  <si>
    <t>в тыс. руб.</t>
  </si>
  <si>
    <t>Целевое использование</t>
  </si>
  <si>
    <t>Наличие просрочек, пролонгаций</t>
  </si>
  <si>
    <t xml:space="preserve">Обеспечение (предмет залога, залоговая стоимость)
</t>
  </si>
  <si>
    <t>Дата
возврата</t>
  </si>
  <si>
    <t>Дата
выдачи</t>
  </si>
  <si>
    <t>Проц.
ст.. %</t>
  </si>
  <si>
    <t>Сумма долга</t>
  </si>
  <si>
    <t>Валюта обязательства</t>
  </si>
  <si>
    <t>Сумма лимита, тыс. руб.</t>
  </si>
  <si>
    <t>Вид
продукта</t>
  </si>
  <si>
    <t>Доля банка-кредитора</t>
  </si>
  <si>
    <t>Наименование
Банка-кредитора (город)</t>
  </si>
  <si>
    <t>Заемщик</t>
  </si>
  <si>
    <t>Приложение 4</t>
  </si>
  <si>
    <t>Кредиты и займы ООО "Интеринвест" на</t>
  </si>
  <si>
    <t>Дата</t>
  </si>
  <si>
    <t>М.П.</t>
  </si>
  <si>
    <t>Руководитель / Главный бухгалтер</t>
  </si>
  <si>
    <t>1 квартал 2026</t>
  </si>
  <si>
    <t>4 квартал 2025</t>
  </si>
  <si>
    <t>2 квартал 2025</t>
  </si>
  <si>
    <t>1 квартал 2025</t>
  </si>
  <si>
    <t>4 квартал 2024</t>
  </si>
  <si>
    <t>2 квартал 2024</t>
  </si>
  <si>
    <t>1 квартал 2024</t>
  </si>
  <si>
    <t>4 квартал 2023</t>
  </si>
  <si>
    <t>2 квартал 2023</t>
  </si>
  <si>
    <t>1 квартал 2023</t>
  </si>
  <si>
    <t>4 квартал 2022</t>
  </si>
  <si>
    <t>2 квартал 2022</t>
  </si>
  <si>
    <t>1 квартал 2022</t>
  </si>
  <si>
    <t>4 квартал 2021</t>
  </si>
  <si>
    <t>2 квартал 2021</t>
  </si>
  <si>
    <t>1 квартал 2021</t>
  </si>
  <si>
    <t>4 квартал 2020</t>
  </si>
  <si>
    <t>руб.</t>
  </si>
  <si>
    <t>Вид валюты</t>
  </si>
  <si>
    <t xml:space="preserve">Дата договора </t>
  </si>
  <si>
    <t>Номер договора</t>
  </si>
  <si>
    <t>Период погашения (месяц)</t>
  </si>
  <si>
    <t>тыс.</t>
  </si>
  <si>
    <t>Ед. измерения</t>
  </si>
  <si>
    <t>ИНН</t>
  </si>
  <si>
    <t>Наименование организации</t>
  </si>
  <si>
    <t xml:space="preserve"> Совокупный график  погашения основного долга по договорам</t>
  </si>
  <si>
    <t>Приложение к  Кредитному портфелю</t>
  </si>
  <si>
    <t>_</t>
  </si>
  <si>
    <t>всего:</t>
  </si>
  <si>
    <t>итого:</t>
  </si>
  <si>
    <t>Тахмазова Елена Юрьевна</t>
  </si>
  <si>
    <t>Займы:</t>
  </si>
  <si>
    <t>Кредиты:</t>
  </si>
  <si>
    <t>Погашение основного долга</t>
  </si>
  <si>
    <t>Срок, мес</t>
  </si>
  <si>
    <t>Сумма, руб</t>
  </si>
  <si>
    <t>Дата получения</t>
  </si>
  <si>
    <t>Процентные платежи</t>
  </si>
  <si>
    <t>Доля сортоого яблока</t>
  </si>
  <si>
    <t>Средняя доля сортовых по сх сезонам</t>
  </si>
  <si>
    <t>Инвестиционные кредиты с фиксированным графиком</t>
  </si>
  <si>
    <t>Остаток</t>
  </si>
  <si>
    <t>апрель</t>
  </si>
  <si>
    <t>май</t>
  </si>
  <si>
    <t>июнь</t>
  </si>
  <si>
    <t>Проценты по долгосрочным</t>
  </si>
  <si>
    <t>Оборотные кредиты</t>
  </si>
  <si>
    <t>Нвые кредиты на с/х сезон</t>
  </si>
  <si>
    <t>Погашение/(-Привлесение)</t>
  </si>
  <si>
    <t>ИТОГО денежный поток от Финансовой Деятельности</t>
  </si>
  <si>
    <t>Выплата процентов</t>
  </si>
  <si>
    <t>Погашение тела кредита</t>
  </si>
  <si>
    <t>Денежный поток от финаносовой деятельности по годам</t>
  </si>
  <si>
    <t>27/28</t>
  </si>
  <si>
    <t>3 кв 2021</t>
  </si>
  <si>
    <t>3 кв 2022</t>
  </si>
  <si>
    <t>3 кв 2023</t>
  </si>
  <si>
    <t>3 кв 2024</t>
  </si>
  <si>
    <t>3 кв 2025</t>
  </si>
  <si>
    <t>Субсидии по уходу за садом</t>
  </si>
  <si>
    <t>Расходы по уходу за молодым садом</t>
  </si>
  <si>
    <t>Экономия ЕСХН</t>
  </si>
  <si>
    <t>Уменьшение налоговой база за счет кап расходов</t>
  </si>
  <si>
    <t>год принятия расходов к вычету по ЕСХН</t>
  </si>
  <si>
    <t>Кап затраты, поставленные на баланс</t>
  </si>
  <si>
    <t>тыс руб</t>
  </si>
  <si>
    <t>7. Прочее, включая уход за молодым садом</t>
  </si>
  <si>
    <t>6. Сортировочные линии</t>
  </si>
  <si>
    <t>тыс руб/тн</t>
  </si>
  <si>
    <t>Стоимость строительстава хранилища</t>
  </si>
  <si>
    <t>Стоимость пл-ща, введенного в экспл-цию</t>
  </si>
  <si>
    <t>тонн</t>
  </si>
  <si>
    <t>Мощность, фактически введенная в эксплуатацию</t>
  </si>
  <si>
    <t>5. Плодохранилище</t>
  </si>
  <si>
    <t>тыс руб/га</t>
  </si>
  <si>
    <t>Стоимость систем орошения</t>
  </si>
  <si>
    <t>Стоимость СО, введенной в эксплуатацию</t>
  </si>
  <si>
    <t>га</t>
  </si>
  <si>
    <t>Площадь, фактически введенная в эксплуатацию</t>
  </si>
  <si>
    <t>4. Система орошения</t>
  </si>
  <si>
    <t>Средняя цена покупки</t>
  </si>
  <si>
    <t>Приобретено га</t>
  </si>
  <si>
    <t>3. Приобретение земельных участков</t>
  </si>
  <si>
    <t>Инвестиции на закладку 1 га садов</t>
  </si>
  <si>
    <t>Посажено га</t>
  </si>
  <si>
    <t>2. Многолетние насаждения. Новый сад (саженцы и работы)</t>
  </si>
  <si>
    <t>1. Приобретение с/х техники</t>
  </si>
  <si>
    <t>За 15-20 гг</t>
  </si>
  <si>
    <t>2022 план</t>
  </si>
  <si>
    <t>2021 план</t>
  </si>
  <si>
    <t>2020 план</t>
  </si>
  <si>
    <t>ед</t>
  </si>
  <si>
    <t>Направление инвестиций</t>
  </si>
  <si>
    <t>В прогнозе не учтены возможные дополнительные инвестиции, например на расширение в плодохранилища, что будет опреляться стратегией нового собственника</t>
  </si>
  <si>
    <t>Ежегодный поддерживающий CapEx находится в пределах 1-2 млн руб на ремонт оборудования, без учета Молодых садов</t>
  </si>
  <si>
    <t>С 2021 года весь сад перейдет в категорию промышленного, в связи с чем мы не планируем доп инвестиций на поддержку сада, начиная с 2022 года</t>
  </si>
  <si>
    <t>В 2021 году уход за молодым садом будет осущствлятьсяя на территории 99 га. Оценка стоимости кап вложений с учетом потенциального роста 5% ок 2 млн рублей</t>
  </si>
  <si>
    <t>Из 6 млн рублей мы планируем покрыть ок 4,5 млн рублей за счет субсидий на по уходу за садом (предусмотрена компенсация до 80%)</t>
  </si>
  <si>
    <r>
      <rPr>
        <b/>
        <sz val="11"/>
        <color theme="1"/>
        <rFont val="Times New Roman"/>
        <family val="1"/>
        <charset val="204"/>
      </rPr>
      <t>***Прогноз по Прочим инвестициям</t>
    </r>
    <r>
      <rPr>
        <sz val="11"/>
        <color theme="1"/>
        <rFont val="Times New Roman"/>
        <family val="1"/>
        <charset val="204"/>
      </rPr>
      <t xml:space="preserve"> на 2020 г включает планируемые расходы 6 млн руб на уход за молодым садом, исходя из примертно 20 тыс руб/1 га</t>
    </r>
  </si>
  <si>
    <t>К сожалению, существующая система учета не позволяет отдельно разнести часть расходов на операционную и инвестиционную деятельность. При этом сумма фактических расходов не меняется, вопрос исключительно классификации</t>
  </si>
  <si>
    <t>Часть текущих ремонтов, а также работ по уходы за Молодым Садом (например, в части ФОТ на текущую подрезку, средств хим защиты и т д) относится напрямую на себестоимость.</t>
  </si>
  <si>
    <t>** Включает стоимость удода за молодым садом и прочие расходы, в т ч ремонты.</t>
  </si>
  <si>
    <t>В 2019 г. введены в эксплуатацию КО на площади 193 га на Александровской площадке и 43 га на Георгиевской площадке</t>
  </si>
  <si>
    <t>В 2018 году введена в эксплуатацию дополнительная ветка на площади 87,3 га , поэтому она дешевле</t>
  </si>
  <si>
    <t>В 2017 году введена в эксплауатацию СКО на площади 262 га на Георгиевской площадке</t>
  </si>
  <si>
    <t>*Стоимость систем орошения, введенных в эксплуатацию отличается от суммы инвестиционных вложений в текущем году на сумму вложений, произведенных в прошлые периоды.</t>
  </si>
  <si>
    <t>7. Прочее**</t>
  </si>
  <si>
    <t>Средняя Стоимость строительстава 1 тн хранилища</t>
  </si>
  <si>
    <t>Стоимость СО, введенной в эксплутацию*</t>
  </si>
  <si>
    <t>За 15-29 гг</t>
  </si>
  <si>
    <t>2021 план***</t>
  </si>
  <si>
    <t>2020 план***</t>
  </si>
  <si>
    <t>В 2022 году весь сад перейдет в категорию промышленного, в связи с чем мы не планируем доп инвестиций на поддержку сада, начиная с 2023 года</t>
  </si>
  <si>
    <t>Более подробно см приложенный график на листе "План по НЗ"</t>
  </si>
  <si>
    <r>
      <rPr>
        <b/>
        <sz val="11"/>
        <color theme="1"/>
        <rFont val="Times New Roman"/>
        <family val="1"/>
        <charset val="204"/>
      </rPr>
      <t>2. Прогноз на 2020-22 гг</t>
    </r>
    <r>
      <rPr>
        <sz val="11"/>
        <color theme="1"/>
        <rFont val="Times New Roman"/>
        <family val="1"/>
        <charset val="204"/>
      </rPr>
      <t xml:space="preserve"> строился, исходя из графика перехода садов из категории Молодых в промышленные, исходя из оценочной суммы 20 тыс руб на уход за 1 молодым садом в 2020 г с последующим инфлированием</t>
    </r>
  </si>
  <si>
    <t>Также на себестоимость относился текущий ремонт.</t>
  </si>
  <si>
    <t>Расходы на уход составляют примерно 20 млн руб в 2018 и 14 млн в 2019 гг. Более точно выделить суммы, к сожалению не предстваляется возможным</t>
  </si>
  <si>
    <t>В 2018-2019 уходные работы за молодым садом отражались в денежном потоке от операционной деятельлности.  точно выделить суммы, к сожалению не предстваляется возможным</t>
  </si>
  <si>
    <t xml:space="preserve">1. За период 2015-17 гг Прочие инвестиции включали уходные работы за молодым садом. </t>
  </si>
  <si>
    <t>7. Прочее</t>
  </si>
  <si>
    <t>Площадь, на которой велись работы</t>
  </si>
  <si>
    <t>За 15-19 гг</t>
  </si>
  <si>
    <t>Инвестиции в уход за молодым садом</t>
  </si>
  <si>
    <t>Стоимость уходных работ</t>
  </si>
  <si>
    <t>Площать молодого сада</t>
  </si>
  <si>
    <t>2017 г посадки</t>
  </si>
  <si>
    <t>2016 г посадки</t>
  </si>
  <si>
    <t>2015 г посадки</t>
  </si>
  <si>
    <t>Участок</t>
  </si>
  <si>
    <t>Планируемые инвестиции по уходу за молодым задом ООО Новозаведенское</t>
  </si>
  <si>
    <t>Уход за молодым садом</t>
  </si>
  <si>
    <t>Налогооблагаемая база по операционной деятельности</t>
  </si>
  <si>
    <t>Денежный поток по P&amp;L</t>
  </si>
  <si>
    <t>+ Субсидии по уходу за молодым садом (пропорционально инвестициям)</t>
  </si>
  <si>
    <t>2 кв 20</t>
  </si>
  <si>
    <t>Сезон 19/20</t>
  </si>
  <si>
    <t>Среднее за 3 с/х сезона</t>
  </si>
  <si>
    <t>Сбор Товарного яблока</t>
  </si>
  <si>
    <t>Потери, включая этап хранения</t>
  </si>
  <si>
    <t>Доля закладываемого на хранения сортового яблока для реализации в след году</t>
  </si>
  <si>
    <t>ОС на начало периода</t>
  </si>
  <si>
    <t>Норма амортизации</t>
  </si>
  <si>
    <t>EBITDA маржа</t>
  </si>
  <si>
    <t>на отчетную дату (01.07.2020)</t>
  </si>
  <si>
    <t>на актуальную дату (31.08.2020)</t>
  </si>
  <si>
    <t>АО «Сбербанк Лизинг»</t>
  </si>
  <si>
    <t>Кредитная история на 30.06.2020</t>
  </si>
  <si>
    <t>Остаток на 30.06.2020г, руб</t>
  </si>
  <si>
    <t>Кредитная история на 31.08.2020</t>
  </si>
  <si>
    <t>Остаток на 31.08.2020г, руб</t>
  </si>
  <si>
    <t>Сумма погашения</t>
  </si>
  <si>
    <t>№</t>
  </si>
  <si>
    <t>Наименование вида продукции</t>
  </si>
  <si>
    <t>1 кв.2019</t>
  </si>
  <si>
    <t>2 кв.2019</t>
  </si>
  <si>
    <t>3 кв.2019</t>
  </si>
  <si>
    <t>4 кв.2019</t>
  </si>
  <si>
    <t>1 кв.2020</t>
  </si>
  <si>
    <t>2 кв.2020</t>
  </si>
  <si>
    <t>3 кв.2020</t>
  </si>
  <si>
    <t>4 кв.2020</t>
  </si>
  <si>
    <t>1 кв.2021</t>
  </si>
  <si>
    <t>2 кв.2021</t>
  </si>
  <si>
    <t>3 кв.2021</t>
  </si>
  <si>
    <t>4 кв.2021</t>
  </si>
  <si>
    <t>1 кв.2022</t>
  </si>
  <si>
    <t>2 кв.2022</t>
  </si>
  <si>
    <t>3 кв.2022</t>
  </si>
  <si>
    <t>4 кв.2022</t>
  </si>
  <si>
    <t>1 кв.2023</t>
  </si>
  <si>
    <t>2 кв.2023</t>
  </si>
  <si>
    <t>3 кв.2023</t>
  </si>
  <si>
    <t>4 кв.2023</t>
  </si>
  <si>
    <t>Единица измерения (% освоения)</t>
  </si>
  <si>
    <t>1 кв.2024</t>
  </si>
  <si>
    <t>2 кв.2024</t>
  </si>
  <si>
    <t>3 кв.2024</t>
  </si>
  <si>
    <t>4 кв.2024</t>
  </si>
  <si>
    <t>1 кв.2025</t>
  </si>
  <si>
    <t>2 кв.2025</t>
  </si>
  <si>
    <t>3 кв.2025</t>
  </si>
  <si>
    <t>4 кв.2025</t>
  </si>
  <si>
    <t>1 кв.2026</t>
  </si>
  <si>
    <t>2 кв.2026</t>
  </si>
  <si>
    <t>3 кв.2026</t>
  </si>
  <si>
    <t>4 кв.2026</t>
  </si>
  <si>
    <t>1 кв.2027</t>
  </si>
  <si>
    <t>2 кв.2027</t>
  </si>
  <si>
    <t>1 кв.</t>
  </si>
  <si>
    <t>2 кв.</t>
  </si>
  <si>
    <t>3 кв.</t>
  </si>
  <si>
    <t>4 кв.</t>
  </si>
  <si>
    <t>WIP</t>
  </si>
  <si>
    <t>Яблоко (товарное)</t>
  </si>
  <si>
    <t>%</t>
  </si>
  <si>
    <t>Прочие зерновые</t>
  </si>
  <si>
    <t>Доля по кварталам</t>
  </si>
  <si>
    <t xml:space="preserve">Прочая продукция </t>
  </si>
  <si>
    <t>3 кв.2027</t>
  </si>
  <si>
    <t>4 кв.2027</t>
  </si>
  <si>
    <t>1 кв.2028</t>
  </si>
  <si>
    <t>2 кв.2028</t>
  </si>
  <si>
    <t>3 кв.2028</t>
  </si>
  <si>
    <t>4 кв.2028</t>
  </si>
  <si>
    <t>1 кв.2029</t>
  </si>
  <si>
    <t>2 кв.2029</t>
  </si>
  <si>
    <t>3 кв.2029</t>
  </si>
  <si>
    <t>4 кв.2029</t>
  </si>
  <si>
    <t>1 кв.2030</t>
  </si>
  <si>
    <t>2 кв.2030</t>
  </si>
  <si>
    <t>План 1 год</t>
  </si>
  <si>
    <t>План 2 год</t>
  </si>
  <si>
    <t>План 3 год</t>
  </si>
  <si>
    <t>План 4 год</t>
  </si>
  <si>
    <t>План 5 год</t>
  </si>
  <si>
    <t>План 6 год</t>
  </si>
  <si>
    <t>План 7 год</t>
  </si>
  <si>
    <t>План 8 год</t>
  </si>
  <si>
    <t>План 9 год</t>
  </si>
  <si>
    <t>План 10 год</t>
  </si>
  <si>
    <t>Факт 0 год</t>
  </si>
  <si>
    <t>Факт -1 год</t>
  </si>
  <si>
    <t>Сбор товарного яблока</t>
  </si>
  <si>
    <t>2. Площадь сада</t>
  </si>
  <si>
    <t xml:space="preserve">  Индекс дефлятор растениеводства</t>
  </si>
  <si>
    <t>5. Мощности по хранению</t>
  </si>
  <si>
    <t>4. Структура урожая яблок</t>
  </si>
  <si>
    <t xml:space="preserve">  Индекс цен производителя</t>
  </si>
  <si>
    <t>Единицы</t>
  </si>
  <si>
    <t>тн</t>
  </si>
  <si>
    <t>тыс. руб./тн</t>
  </si>
  <si>
    <t>7. Цена реализации</t>
  </si>
  <si>
    <t>тыс. руб.</t>
  </si>
  <si>
    <t>8. Реализации продукции</t>
  </si>
  <si>
    <t>Выручка от реализации яблок</t>
  </si>
  <si>
    <t>9. Выручка от реализации</t>
  </si>
  <si>
    <t>6. Объемы реализации</t>
  </si>
  <si>
    <t>3. Валовой сбор яблок</t>
  </si>
  <si>
    <t>28/29</t>
  </si>
  <si>
    <t>29/30</t>
  </si>
  <si>
    <t xml:space="preserve">План производства продукции на 2020-2030 гг </t>
  </si>
  <si>
    <t>План реализации продукции на 2020-2030 гг</t>
  </si>
  <si>
    <t>Цены на основную продукцию на 2020-2030 гг</t>
  </si>
  <si>
    <t>10. Расходы на производство и реализацию</t>
  </si>
  <si>
    <t xml:space="preserve">Полная себестоимость в пересчете на 1 кг яблок </t>
  </si>
  <si>
    <t>11. Амортизация ОС</t>
  </si>
  <si>
    <t>12. Прибыль от продаж по РСБУ</t>
  </si>
  <si>
    <t>13. EBITDA</t>
  </si>
  <si>
    <t>14. Субсидии</t>
  </si>
  <si>
    <t>15. Кредиты и займы (текущий портфель)</t>
  </si>
  <si>
    <t>16. ЕСХН</t>
  </si>
  <si>
    <t>17. Чистая прибыль</t>
  </si>
  <si>
    <t>Снижение налоговой базы за счет капитальных затрат</t>
  </si>
  <si>
    <t>Выручка от реализации прочей продукции</t>
  </si>
  <si>
    <t>в т.ч. по уходу за садом</t>
  </si>
  <si>
    <t>Прочие доходы и субсидии для целей EBITDA</t>
  </si>
  <si>
    <t>Прочие расходы для целей EBITDA</t>
  </si>
  <si>
    <t>- ЕСХН</t>
  </si>
  <si>
    <t>- Расходы на производство и реализацию</t>
  </si>
  <si>
    <t>- Прочие операционные расходы</t>
  </si>
  <si>
    <t>1 кв. 2021</t>
  </si>
  <si>
    <t xml:space="preserve">Прогнозный Денежный поток от операционной деятельности </t>
  </si>
  <si>
    <t>Итоговые данные по хозяйству ООО "Интеринвест"</t>
  </si>
  <si>
    <t>Итоговые данные по садам (с. Краснокумское)</t>
  </si>
  <si>
    <t>Площадь посадки/сада, га</t>
  </si>
  <si>
    <t>Валовый сбор 2020 г, т</t>
  </si>
  <si>
    <t>Урожайность 2020, год т/га</t>
  </si>
  <si>
    <t>Сред няя урожайность т/га</t>
  </si>
  <si>
    <t>Прогнозируемые показатели урожайности</t>
  </si>
  <si>
    <t>Вало вый сбор 2021 г, т</t>
  </si>
  <si>
    <t xml:space="preserve">Урожайно  сть 2021 т/га </t>
  </si>
  <si>
    <t>Вало вый сбор 2022 г, т</t>
  </si>
  <si>
    <t xml:space="preserve">Урожайно  сть 2022 т/га </t>
  </si>
  <si>
    <t>Валовый сбор 2023 г, т</t>
  </si>
  <si>
    <t xml:space="preserve">Урожайно  сть  2023 т/га </t>
  </si>
  <si>
    <t>Валовый сбор 2024 г, т</t>
  </si>
  <si>
    <t xml:space="preserve">Урожайно  сть 2024 т/га </t>
  </si>
  <si>
    <t>Валовый сбор 2025 г, т</t>
  </si>
  <si>
    <t xml:space="preserve">Урожайно  сть 2025 т/га </t>
  </si>
  <si>
    <t>Валовый сбор 2026 г, т</t>
  </si>
  <si>
    <t xml:space="preserve">Урожайно  сть 2026 т/га </t>
  </si>
  <si>
    <t>Валовый сбор 2027 г, т</t>
  </si>
  <si>
    <t xml:space="preserve">Урожайно  сть 2027 т/га </t>
  </si>
  <si>
    <t>Валовый сбор 2028 г, т</t>
  </si>
  <si>
    <t xml:space="preserve">Урожайно  сть  2028 т/га </t>
  </si>
  <si>
    <t>Валовый сбор 2029 г, т</t>
  </si>
  <si>
    <t xml:space="preserve">Урожайно  сть 2029 т/га </t>
  </si>
  <si>
    <t>Валовый сбор 2030 г, т</t>
  </si>
  <si>
    <t xml:space="preserve">Урожайно  сть 2030 т/га </t>
  </si>
  <si>
    <t>Средняя урожайно  сть т/га</t>
  </si>
  <si>
    <t>Всего черешни по двум бригадам</t>
  </si>
  <si>
    <t>Всего сливы по двум бригадам</t>
  </si>
  <si>
    <t>Всего яблок по двум бригадам</t>
  </si>
  <si>
    <t>Потенциальные показатели урожайности с учетом закладки новых садов в 2021г и в 2024г.</t>
  </si>
  <si>
    <t>Закладка сада 88 га на шпалере согласно проекта</t>
  </si>
  <si>
    <t>Закладка сада 100га в 2024г без опоры</t>
  </si>
  <si>
    <t>Валовый урожай</t>
  </si>
  <si>
    <t>Итоговые данные по садам (с. Александровское)</t>
  </si>
  <si>
    <t>ИТОГО ЧЕРЕШНИ</t>
  </si>
  <si>
    <t>ИТОГО СЛИВЫ</t>
  </si>
  <si>
    <t>-</t>
  </si>
  <si>
    <t>ИТОГО ГРУШ</t>
  </si>
  <si>
    <t>ИТОГО ЯБЛОК</t>
  </si>
  <si>
    <t>Итого яблоки</t>
  </si>
  <si>
    <t>Итого слива</t>
  </si>
  <si>
    <t>Сли-ва</t>
  </si>
  <si>
    <t>Краснодарская ранняя</t>
  </si>
  <si>
    <t>Кабардинская ранняя</t>
  </si>
  <si>
    <t>26:25:000000:7535</t>
  </si>
  <si>
    <t>4,5х2</t>
  </si>
  <si>
    <t>ММ 106</t>
  </si>
  <si>
    <t>Яблоня</t>
  </si>
  <si>
    <t>СК-2</t>
  </si>
  <si>
    <t>М 4</t>
  </si>
  <si>
    <t>26:25:000000:7536</t>
  </si>
  <si>
    <t>Подарок Ставрополья</t>
  </si>
  <si>
    <t>4,5х1</t>
  </si>
  <si>
    <t>М 9</t>
  </si>
  <si>
    <t>5х1</t>
  </si>
  <si>
    <t>Старкримсон</t>
  </si>
  <si>
    <t>СК-2, М 4, ММ 106</t>
  </si>
  <si>
    <t>5х2,5</t>
  </si>
  <si>
    <t>5х2</t>
  </si>
  <si>
    <t>5х3</t>
  </si>
  <si>
    <t>Площадь участка, га</t>
  </si>
  <si>
    <t>Подвой</t>
  </si>
  <si>
    <t xml:space="preserve">Кадастровый №  участка </t>
  </si>
  <si>
    <t>Прогноз по модели внешнего консультанта</t>
  </si>
  <si>
    <t>Макроэкономические показатели</t>
  </si>
  <si>
    <t>Площадь Сада, всего</t>
  </si>
  <si>
    <t>Валовый Сбор Яблок, всего, в т ч:</t>
  </si>
  <si>
    <t>Структура урожая яблок, тн</t>
  </si>
  <si>
    <t>Мощности по хранению, тн</t>
  </si>
  <si>
    <t>Обьемы реализации, тн</t>
  </si>
  <si>
    <t>Цена реализации, руб/кг</t>
  </si>
  <si>
    <t>Реализации яблок, млн руб</t>
  </si>
  <si>
    <t>Выручка, млн. руб</t>
  </si>
  <si>
    <t>Расходы на производство и реализацию</t>
  </si>
  <si>
    <t>Прибыль от продаж по РСБУ</t>
  </si>
  <si>
    <t>Чистая прибыль</t>
  </si>
  <si>
    <t>18. Капитальные вложения</t>
  </si>
  <si>
    <t>Консолидированный Отчет о финансовых результатах</t>
  </si>
  <si>
    <t>Сезон 20/21</t>
  </si>
  <si>
    <t>LTM</t>
  </si>
  <si>
    <t>в т. ч. Амортизация</t>
  </si>
  <si>
    <t>Прибыль (убыток) от продаж</t>
  </si>
  <si>
    <t>в т. ч. прочие доходы для целей расчета EBITDA</t>
  </si>
  <si>
    <t>в т. ч. прочие расходы для целей расчета EBITDA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</si>
</sst>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43" formatCode="_-* #,##0.00_-;\-* #,##0.00_-;_-* &quot;-&quot;??_-;_-@_-"/>
    <numFmt numFmtId="164" formatCode="_-* #,##0.00\ _₽_-;\-* #,##0.00\ _₽_-;_-* &quot;-&quot;??\ _₽_-;_-@_-"/>
    <numFmt numFmtId="165" formatCode="0.0%"/>
    <numFmt numFmtId="166" formatCode="0.0"/>
    <numFmt numFmtId="167" formatCode="#,##0.0"/>
    <numFmt numFmtId="168" formatCode="#,##0_);\(#,##0\);&quot;- &quot;_)"/>
    <numFmt numFmtId="169" formatCode="#,##0_ ;\-#,##0\ "/>
    <numFmt numFmtId="170" formatCode="#,##0\ \т\н"/>
    <numFmt numFmtId="171" formatCode="#,##0\ \r\a"/>
    <numFmt numFmtId="172" formatCode="#,##0_р_."/>
    <numFmt numFmtId="173" formatCode="#,##0.00_р_."/>
    <numFmt numFmtId="174" formatCode="[$-419]General"/>
    <numFmt numFmtId="175" formatCode="_-* #,##0.00[$€-1]_-;\-* #,##0.00[$€-1]_-;_-* &quot;-&quot;??[$€-1]_-"/>
    <numFmt numFmtId="176" formatCode="_-* #,##0_-;\-* #,##0_-;_-* &quot;-&quot;??_-;_-@_-"/>
    <numFmt numFmtId="177" formatCode="mm/yy"/>
    <numFmt numFmtId="178" formatCode="_-* #,##0.0_-;\-* #,##0.0_-;_-* &quot;-&quot;??_-;_-@_-"/>
    <numFmt numFmtId="179" formatCode="_-* #,##0_р_._-;\-* #,##0_р_._-;_-* &quot;-&quot;_р_._-;_-@_-"/>
    <numFmt numFmtId="180" formatCode="_-* #,##0.00_р_._-;\-* #,##0.00_р_._-;_-* &quot;-&quot;??_р_._-;_-@_-"/>
    <numFmt numFmtId="181" formatCode="#,##0_ ;[Red]\-#,##0\ "/>
    <numFmt numFmtId="182" formatCode="d/m/yy;@"/>
    <numFmt numFmtId="183" formatCode="dd/mm/yy;@"/>
    <numFmt numFmtId="184" formatCode="#,##0&quot;  &quot;"/>
    <numFmt numFmtId="185" formatCode="_-* #,##0&quot;р.&quot;_-;\-* #,##0&quot;р.&quot;_-;_-* &quot;-&quot;&quot;р.&quot;_-;_-@_-"/>
    <numFmt numFmtId="186" formatCode="_-* #,##0.00&quot;р.&quot;_-;\-* #,##0.00&quot;р.&quot;_-;_-* &quot;-&quot;??&quot;р.&quot;_-;_-@_-"/>
    <numFmt numFmtId="187" formatCode="0.00;0;"/>
    <numFmt numFmtId="188" formatCode="_(* #,##0_);_(* \(#,##0\);_(* &quot;-&quot;??_);_(@_)"/>
    <numFmt numFmtId="189" formatCode="#,##0;[Red]#,##0"/>
    <numFmt numFmtId="190" formatCode="&quot;\&quot;#,##0;[Red]\-&quot;\&quot;#,##0"/>
    <numFmt numFmtId="191" formatCode="\£#,##0_);\(\£#,##0\)"/>
    <numFmt numFmtId="192" formatCode="_(* #,##0.00_);[Red]_(* \(#,##0.00\);_(* &quot;-&quot;??_);_(@_)"/>
    <numFmt numFmtId="193" formatCode="&quot;р.&quot;#,##0\ ;\(&quot;р.&quot;#,##0\)"/>
    <numFmt numFmtId="194" formatCode="0.0\x"/>
    <numFmt numFmtId="195" formatCode="_-* #,##0\ _F_B_-;\-* #,##0\ _F_B_-;_-* &quot;-&quot;\ _F_B_-;_-@_-"/>
    <numFmt numFmtId="196" formatCode="_-* #,##0.00\ _F_B_-;\-* #,##0.00\ _F_B_-;_-* &quot;-&quot;??\ _F_B_-;_-@_-"/>
    <numFmt numFmtId="197" formatCode="#,##0.0_);[Red]\(#,##0.0\)"/>
    <numFmt numFmtId="198" formatCode="_-* #,##0_-;_-* #,##0\-;_-* &quot;-&quot;_-;_-@_-"/>
    <numFmt numFmtId="199" formatCode="_-* #,##0.00_-;_-* #,##0.00\-;_-* &quot;-&quot;??_-;_-@_-"/>
    <numFmt numFmtId="200" formatCode="_-* #,##0\ _$_-;\-* #,##0\ _$_-;_-* &quot;-&quot;\ _$_-;_-@_-"/>
    <numFmt numFmtId="201" formatCode="_-* #,##0.00\ _$_-;\-* #,##0.00\ _$_-;_-* &quot;-&quot;??\ _$_-;_-@_-"/>
    <numFmt numFmtId="202" formatCode="_-* #,##0\ &quot;р.&quot;_-;\-* #,##0\ &quot;р.&quot;_-;_-* &quot;-&quot;\ &quot;р.&quot;_-;_-@_-"/>
    <numFmt numFmtId="203" formatCode="_-* #,##0.00\ &quot;р.&quot;_-;\-* #,##0.00\ &quot;р.&quot;_-;_-* &quot;-&quot;??\ &quot;р.&quot;_-;_-@_-"/>
    <numFmt numFmtId="204" formatCode="_(* #,##0.000_);[Red]_(* \(#,##0.000\);_(* &quot;-&quot;??_);_(@_)"/>
    <numFmt numFmtId="205" formatCode="&quot;р.&quot;#,##0.0_);\(&quot;р.&quot;#,##0.0\)"/>
    <numFmt numFmtId="206" formatCode="0.00\x"/>
    <numFmt numFmtId="207" formatCode="0.0000"/>
    <numFmt numFmtId="208" formatCode="_-* #,##0\ &quot;FB&quot;_-;\-* #,##0\ &quot;FB&quot;_-;_-* &quot;-&quot;\ &quot;FB&quot;_-;_-@_-"/>
    <numFmt numFmtId="209" formatCode="_-* #,##0.00\ &quot;FB&quot;_-;\-* #,##0.00\ &quot;FB&quot;_-;_-* &quot;-&quot;??\ &quot;FB&quot;_-;_-@_-"/>
    <numFmt numFmtId="210" formatCode="_-&quot;F&quot;\ * #,##0_-;_-&quot;F&quot;\ * #,##0\-;_-&quot;F&quot;\ * &quot;-&quot;_-;_-@_-"/>
    <numFmt numFmtId="211" formatCode="_-&quot;F&quot;\ * #,##0.00_-;_-&quot;F&quot;\ * #,##0.00\-;_-&quot;F&quot;\ * &quot;-&quot;??_-;_-@_-"/>
    <numFmt numFmtId="212" formatCode="\¥#,##0_);\(\¥#,##0\)"/>
    <numFmt numFmtId="213" formatCode="_ * #,##0_ ;_ * \-#,##0_ ;_ * &quot;-&quot;_ ;_ @_ "/>
    <numFmt numFmtId="214" formatCode="_ * #,##0_ ;_ * \(#,##0\);_ * &quot;-&quot;_ ;_ @_ "/>
    <numFmt numFmtId="215" formatCode="_ * #,##0_ ;[Red]_ * \-#,##0_ ;_ * &quot;-&quot;_ ;_ @_ "/>
    <numFmt numFmtId="216" formatCode="_-* #,##0.00\ _?_-;\-* #,##0.00\ _?_-;_-* &quot;-&quot;??\ _?_-;_-@_-"/>
    <numFmt numFmtId="217" formatCode="_-* #,##0.00\ _р_._-;\-* #,##0.00\ _р_._-;_-* &quot;-&quot;??\ _р_._-;_-@_-"/>
  </numFmts>
  <fonts count="199">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1"/>
      <color theme="1"/>
      <name val="Segoe UI"/>
      <family val="2"/>
      <charset val="204"/>
    </font>
    <font>
      <b/>
      <sz val="11"/>
      <color theme="1"/>
      <name val="Segoe UI"/>
      <family val="2"/>
      <charset val="204"/>
    </font>
    <font>
      <b/>
      <i/>
      <sz val="11"/>
      <color theme="1"/>
      <name val="Segoe UI"/>
      <family val="2"/>
      <charset val="204"/>
    </font>
    <font>
      <i/>
      <sz val="11"/>
      <color theme="1"/>
      <name val="Segoe UI"/>
      <family val="2"/>
      <charset val="204"/>
    </font>
    <font>
      <sz val="11"/>
      <color theme="5" tint="0.39997558519241921"/>
      <name val="Segoe UI"/>
      <family val="2"/>
      <charset val="204"/>
    </font>
    <font>
      <sz val="9"/>
      <color theme="1"/>
      <name val="Arial"/>
      <family val="2"/>
      <charset val="204"/>
    </font>
    <font>
      <sz val="11"/>
      <color theme="1"/>
      <name val="Arial"/>
      <family val="2"/>
      <charset val="204"/>
    </font>
    <font>
      <sz val="10"/>
      <name val="Arial Cyr"/>
      <family val="2"/>
      <charset val="204"/>
    </font>
    <font>
      <sz val="10"/>
      <name val="Arial"/>
      <family val="2"/>
      <charset val="204"/>
    </font>
    <font>
      <sz val="10"/>
      <name val="Calibri"/>
      <family val="2"/>
      <charset val="204"/>
      <scheme val="minor"/>
    </font>
    <font>
      <sz val="8"/>
      <name val="Arial"/>
      <family val="2"/>
    </font>
    <font>
      <sz val="10"/>
      <name val="Arial Cyr"/>
      <charset val="204"/>
    </font>
    <font>
      <sz val="11"/>
      <color rgb="FF000000"/>
      <name val="Calibri"/>
      <family val="2"/>
      <charset val="204"/>
    </font>
    <font>
      <sz val="10"/>
      <name val="Times New Roman"/>
      <family val="1"/>
      <charset val="204"/>
    </font>
    <font>
      <b/>
      <sz val="10"/>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sz val="11"/>
      <name val="Calibri"/>
      <family val="2"/>
      <charset val="204"/>
      <scheme val="minor"/>
    </font>
    <font>
      <sz val="11"/>
      <color rgb="FF000000"/>
      <name val="Arial"/>
      <family val="2"/>
      <charset val="204"/>
    </font>
    <font>
      <b/>
      <sz val="11"/>
      <color theme="0"/>
      <name val="Segoe UI"/>
      <family val="2"/>
      <charset val="204"/>
    </font>
    <font>
      <b/>
      <sz val="11"/>
      <name val="Segoe UI"/>
      <family val="2"/>
      <charset val="204"/>
    </font>
    <font>
      <sz val="11"/>
      <name val="Segoe UI"/>
      <family val="2"/>
      <charset val="204"/>
    </font>
    <font>
      <b/>
      <sz val="11"/>
      <color theme="8"/>
      <name val="Segoe UI"/>
      <family val="2"/>
      <charset val="204"/>
    </font>
    <font>
      <b/>
      <sz val="11"/>
      <name val="Calibri"/>
      <family val="2"/>
      <charset val="204"/>
      <scheme val="minor"/>
    </font>
    <font>
      <sz val="11"/>
      <color rgb="FFC00000"/>
      <name val="Calibri"/>
      <family val="2"/>
      <charset val="204"/>
      <scheme val="minor"/>
    </font>
    <font>
      <b/>
      <sz val="10"/>
      <name val="Arial Cyr"/>
      <family val="2"/>
      <charset val="204"/>
    </font>
    <font>
      <b/>
      <sz val="9"/>
      <name val="Arial Cyr"/>
      <family val="2"/>
      <charset val="204"/>
    </font>
    <font>
      <b/>
      <sz val="10"/>
      <name val="Arial"/>
      <family val="2"/>
      <charset val="204"/>
    </font>
    <font>
      <sz val="11"/>
      <color theme="0"/>
      <name val="Calibri"/>
      <family val="2"/>
      <scheme val="minor"/>
    </font>
    <font>
      <b/>
      <sz val="9"/>
      <color indexed="12"/>
      <name val="Arial Cyr"/>
      <family val="2"/>
      <charset val="204"/>
    </font>
    <font>
      <b/>
      <sz val="10"/>
      <color indexed="12"/>
      <name val="Arial Cyr"/>
      <family val="2"/>
      <charset val="204"/>
    </font>
    <font>
      <sz val="10"/>
      <name val="Arial"/>
      <family val="2"/>
    </font>
    <font>
      <sz val="9"/>
      <name val="Arial"/>
      <family val="2"/>
      <charset val="204"/>
    </font>
    <font>
      <sz val="8"/>
      <name val="Arial"/>
      <family val="2"/>
      <charset val="204"/>
    </font>
    <font>
      <b/>
      <sz val="12"/>
      <name val="Arial"/>
      <family val="2"/>
      <charset val="204"/>
    </font>
    <font>
      <sz val="10"/>
      <color rgb="FF000000"/>
      <name val="Arial Cyr"/>
      <charset val="204"/>
    </font>
    <font>
      <sz val="11"/>
      <color theme="4" tint="-0.249977111117893"/>
      <name val="Calibri"/>
      <family val="2"/>
      <charset val="204"/>
      <scheme val="minor"/>
    </font>
    <font>
      <sz val="10"/>
      <name val="Helv"/>
      <charset val="204"/>
    </font>
    <font>
      <sz val="11"/>
      <name val="Arial"/>
      <family val="2"/>
      <charset val="204"/>
    </font>
    <font>
      <sz val="11"/>
      <color theme="0"/>
      <name val="Arial"/>
      <family val="2"/>
      <charset val="204"/>
    </font>
    <font>
      <b/>
      <sz val="11"/>
      <color theme="0"/>
      <name val="Arial"/>
      <family val="2"/>
      <charset val="204"/>
    </font>
    <font>
      <u/>
      <sz val="11"/>
      <name val="Arial"/>
      <family val="2"/>
      <charset val="204"/>
    </font>
    <font>
      <b/>
      <sz val="11"/>
      <name val="Arial"/>
      <family val="2"/>
      <charset val="204"/>
    </font>
    <font>
      <sz val="11"/>
      <color rgb="FFFF0000"/>
      <name val="Arial"/>
      <family val="2"/>
      <charset val="204"/>
    </font>
    <font>
      <i/>
      <sz val="11"/>
      <name val="Arial"/>
      <family val="2"/>
      <charset val="204"/>
    </font>
    <font>
      <sz val="11"/>
      <color indexed="12"/>
      <name val="Arial"/>
      <family val="2"/>
      <charset val="204"/>
    </font>
    <font>
      <b/>
      <i/>
      <sz val="11"/>
      <name val="Arial"/>
      <family val="2"/>
      <charset val="204"/>
    </font>
    <font>
      <b/>
      <sz val="11"/>
      <color rgb="FFFF0000"/>
      <name val="Arial"/>
      <family val="2"/>
      <charset val="204"/>
    </font>
    <font>
      <sz val="9"/>
      <color indexed="81"/>
      <name val="Tahoma"/>
      <family val="2"/>
      <charset val="204"/>
    </font>
    <font>
      <sz val="11"/>
      <name val="Times New Roman"/>
      <family val="1"/>
      <charset val="204"/>
    </font>
    <font>
      <b/>
      <sz val="11"/>
      <name val="Times New Roman"/>
      <family val="1"/>
      <charset val="204"/>
    </font>
    <font>
      <b/>
      <sz val="11"/>
      <color indexed="9"/>
      <name val="Times New Roman"/>
      <family val="1"/>
      <charset val="204"/>
    </font>
    <font>
      <i/>
      <sz val="11"/>
      <name val="Times New Roman"/>
      <family val="1"/>
      <charset val="204"/>
    </font>
    <font>
      <b/>
      <sz val="14"/>
      <name val="Times New Roman"/>
      <family val="1"/>
      <charset val="204"/>
    </font>
    <font>
      <sz val="8"/>
      <name val="Calibri"/>
      <family val="2"/>
      <charset val="204"/>
      <scheme val="minor"/>
    </font>
    <font>
      <b/>
      <i/>
      <sz val="11"/>
      <color theme="1"/>
      <name val="Times New Roman"/>
      <family val="1"/>
      <charset val="204"/>
    </font>
    <font>
      <i/>
      <sz val="11"/>
      <color theme="1"/>
      <name val="Times New Roman"/>
      <family val="1"/>
      <charset val="204"/>
    </font>
    <font>
      <b/>
      <sz val="11"/>
      <color rgb="FF000000"/>
      <name val="Calibri"/>
      <family val="2"/>
      <charset val="204"/>
    </font>
    <font>
      <sz val="11"/>
      <color rgb="FF000000"/>
      <name val="Times New Roman"/>
      <family val="1"/>
      <charset val="204"/>
    </font>
    <font>
      <sz val="11"/>
      <color rgb="FF0070C0"/>
      <name val="Times New Roman"/>
      <family val="1"/>
      <charset val="204"/>
    </font>
    <font>
      <b/>
      <sz val="11"/>
      <color rgb="FF000000"/>
      <name val="Times New Roman"/>
      <family val="1"/>
      <charset val="204"/>
    </font>
    <font>
      <sz val="11"/>
      <name val="Calibri"/>
      <family val="2"/>
      <charset val="204"/>
    </font>
    <font>
      <i/>
      <sz val="11"/>
      <color rgb="FF000000"/>
      <name val="Calibri"/>
      <family val="2"/>
      <charset val="204"/>
    </font>
    <font>
      <b/>
      <i/>
      <sz val="11"/>
      <color rgb="FF000000"/>
      <name val="Times New Roman"/>
      <family val="1"/>
      <charset val="204"/>
    </font>
    <font>
      <i/>
      <sz val="11"/>
      <color rgb="FF000000"/>
      <name val="Times New Roman"/>
      <family val="1"/>
      <charset val="204"/>
    </font>
    <font>
      <b/>
      <sz val="14"/>
      <color rgb="FF000000"/>
      <name val="Times New Roman"/>
      <family val="1"/>
      <charset val="204"/>
    </font>
    <font>
      <sz val="11"/>
      <color rgb="FFFF0000"/>
      <name val="Calibri"/>
      <family val="2"/>
      <charset val="204"/>
      <scheme val="minor"/>
    </font>
    <font>
      <sz val="11"/>
      <color indexed="8"/>
      <name val="Calibri"/>
      <family val="2"/>
      <charset val="204"/>
    </font>
    <font>
      <sz val="10"/>
      <name val="Book Antiqua"/>
      <family val="1"/>
      <charset val="204"/>
    </font>
    <font>
      <sz val="11"/>
      <color indexed="10"/>
      <name val="Calibri"/>
      <family val="2"/>
      <charset val="204"/>
    </font>
    <font>
      <sz val="10"/>
      <name val="Helv"/>
    </font>
    <font>
      <sz val="10"/>
      <name val="Arial Cyr"/>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1"/>
      <color indexed="9"/>
      <name val="Calibri"/>
      <family val="2"/>
      <charset val="204"/>
    </font>
    <font>
      <sz val="8"/>
      <name val="Helv"/>
      <charset val="204"/>
    </font>
    <font>
      <sz val="12"/>
      <name val="Times New Roman"/>
      <family val="1"/>
      <charset val="204"/>
    </font>
    <font>
      <sz val="12"/>
      <name val="Arial"/>
      <family val="2"/>
    </font>
    <font>
      <sz val="11"/>
      <color indexed="20"/>
      <name val="Calibri"/>
      <family val="2"/>
      <charset val="204"/>
    </font>
    <font>
      <sz val="10"/>
      <color indexed="8"/>
      <name val="Tms Rmn"/>
    </font>
    <font>
      <sz val="10"/>
      <color indexed="12"/>
      <name val="times new roman"/>
      <family val="1"/>
    </font>
    <font>
      <sz val="12"/>
      <name val="Tms Rmn"/>
    </font>
    <font>
      <u val="singleAccounting"/>
      <sz val="10"/>
      <name val="Arial"/>
      <family val="2"/>
    </font>
    <font>
      <sz val="12"/>
      <name val="±???A?"/>
      <charset val="129"/>
    </font>
    <font>
      <b/>
      <sz val="11"/>
      <color indexed="10"/>
      <name val="Calibri"/>
      <family val="2"/>
      <charset val="204"/>
    </font>
    <font>
      <b/>
      <sz val="12"/>
      <name val="Times New Roman"/>
      <family val="1"/>
    </font>
    <font>
      <b/>
      <sz val="11"/>
      <color indexed="9"/>
      <name val="Calibri"/>
      <family val="2"/>
      <charset val="204"/>
    </font>
    <font>
      <sz val="8"/>
      <color indexed="12"/>
      <name val="Times New Roman"/>
      <family val="1"/>
    </font>
    <font>
      <sz val="8"/>
      <name val="Palatino"/>
      <family val="1"/>
    </font>
    <font>
      <sz val="12"/>
      <color indexed="24"/>
      <name val="Arial"/>
      <family val="2"/>
      <charset val="204"/>
    </font>
    <font>
      <sz val="10"/>
      <name val="Tms Rmn"/>
    </font>
    <font>
      <b/>
      <sz val="12"/>
      <name val="Arial"/>
      <family val="2"/>
    </font>
    <font>
      <u val="doubleAccounting"/>
      <sz val="10"/>
      <name val="Arial"/>
      <family val="2"/>
    </font>
    <font>
      <i/>
      <sz val="11"/>
      <color indexed="23"/>
      <name val="Calibri"/>
      <family val="2"/>
      <charset val="204"/>
    </font>
    <font>
      <sz val="7"/>
      <name val="Palatino"/>
      <family val="1"/>
    </font>
    <font>
      <sz val="11"/>
      <color indexed="17"/>
      <name val="Calibri"/>
      <family val="2"/>
      <charset val="204"/>
    </font>
    <font>
      <sz val="10"/>
      <color indexed="17"/>
      <name val="Times New Roman"/>
      <family val="1"/>
    </font>
    <font>
      <sz val="6"/>
      <color indexed="16"/>
      <name val="Palatino"/>
      <family val="1"/>
    </font>
    <font>
      <b/>
      <sz val="8"/>
      <name val="Palatino"/>
      <family val="1"/>
    </font>
    <font>
      <sz val="12"/>
      <name val="Arial Black"/>
      <family val="2"/>
    </font>
    <font>
      <sz val="11"/>
      <name val="Arial Black"/>
      <family val="2"/>
    </font>
    <font>
      <i/>
      <sz val="14"/>
      <name val="Palatino"/>
      <family val="1"/>
    </font>
    <font>
      <b/>
      <sz val="11"/>
      <color indexed="62"/>
      <name val="Calibri"/>
      <family val="2"/>
      <charset val="204"/>
    </font>
    <font>
      <b/>
      <i/>
      <sz val="22"/>
      <name val="Times New Roman"/>
      <family val="1"/>
      <charset val="204"/>
    </font>
    <font>
      <sz val="10"/>
      <color indexed="9"/>
      <name val="Times New Roman"/>
      <family val="1"/>
    </font>
    <font>
      <sz val="10"/>
      <name val="Times New Roman Cyr"/>
    </font>
    <font>
      <sz val="12"/>
      <name val="Times New Roman"/>
      <family val="1"/>
    </font>
    <font>
      <sz val="11"/>
      <color indexed="19"/>
      <name val="Calibri"/>
      <family val="2"/>
      <charset val="204"/>
    </font>
    <font>
      <sz val="7"/>
      <name val="Small Fonts"/>
      <family val="2"/>
      <charset val="204"/>
    </font>
    <font>
      <sz val="10"/>
      <name val="Times New Roman CE"/>
      <charset val="238"/>
    </font>
    <font>
      <sz val="11"/>
      <color indexed="23"/>
      <name val="Calibri"/>
      <family val="2"/>
      <charset val="204"/>
    </font>
    <font>
      <sz val="10"/>
      <name val="Palatino"/>
      <family val="1"/>
    </font>
    <font>
      <b/>
      <sz val="11"/>
      <color indexed="63"/>
      <name val="Calibri"/>
      <family val="2"/>
      <charset val="204"/>
    </font>
    <font>
      <sz val="10"/>
      <color indexed="8"/>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color indexed="16"/>
      <name val="Helvetica-Black"/>
      <family val="2"/>
    </font>
    <font>
      <sz val="10"/>
      <color indexed="16"/>
      <name val="Helvetica-Black"/>
      <charset val="204"/>
    </font>
    <font>
      <sz val="10"/>
      <color indexed="10"/>
      <name val="Times New Roman"/>
      <family val="1"/>
    </font>
    <font>
      <sz val="9.5"/>
      <color indexed="23"/>
      <name val="Helvetica-Black"/>
    </font>
    <font>
      <sz val="9.5"/>
      <color indexed="23"/>
      <name val="Helvetica-Black"/>
      <family val="2"/>
    </font>
    <font>
      <sz val="9.5"/>
      <color indexed="23"/>
      <name val="Helvetica-Black"/>
      <charset val="204"/>
    </font>
    <font>
      <sz val="10"/>
      <name val="ZapfCalligr BT"/>
    </font>
    <font>
      <b/>
      <sz val="18"/>
      <name val="Times New Roman"/>
      <family val="1"/>
      <charset val="204"/>
    </font>
    <font>
      <b/>
      <sz val="9"/>
      <name val="Palatino"/>
      <family val="1"/>
    </font>
    <font>
      <sz val="9"/>
      <color indexed="21"/>
      <name val="Helvetica-Black"/>
    </font>
    <font>
      <sz val="9"/>
      <color indexed="21"/>
      <name val="Helvetica-Black"/>
      <family val="2"/>
    </font>
    <font>
      <sz val="9"/>
      <color indexed="21"/>
      <name val="Helvetica-Black"/>
      <charset val="204"/>
    </font>
    <font>
      <b/>
      <sz val="10"/>
      <name val="Palatino"/>
      <family val="1"/>
    </font>
    <font>
      <sz val="9"/>
      <name val="Helvetica-Black"/>
    </font>
    <font>
      <sz val="9"/>
      <name val="Helvetica-Black"/>
      <family val="2"/>
    </font>
    <font>
      <sz val="9"/>
      <name val="Helvetica-Black"/>
      <charset val="204"/>
    </font>
    <font>
      <b/>
      <sz val="10"/>
      <name val="Times New Roman"/>
      <family val="1"/>
    </font>
    <font>
      <b/>
      <sz val="10"/>
      <name val="Arial"/>
      <family val="2"/>
    </font>
    <font>
      <sz val="12"/>
      <color indexed="8"/>
      <name val="Palatino"/>
      <family val="1"/>
    </font>
    <font>
      <sz val="11"/>
      <color indexed="8"/>
      <name val="Helvetica-Black"/>
    </font>
    <font>
      <sz val="11"/>
      <color indexed="8"/>
      <name val="Helvetica-Black"/>
      <family val="2"/>
    </font>
    <font>
      <sz val="11"/>
      <color indexed="8"/>
      <name val="Helvetica-Black"/>
      <charset val="204"/>
    </font>
    <font>
      <sz val="10"/>
      <name val="Times New Roman"/>
      <family val="1"/>
    </font>
    <font>
      <b/>
      <i/>
      <sz val="20"/>
      <name val="Arial"/>
      <family val="2"/>
      <charset val="204"/>
    </font>
    <font>
      <u/>
      <sz val="8"/>
      <color indexed="8"/>
      <name val="Arial"/>
      <family val="2"/>
    </font>
    <font>
      <b/>
      <i/>
      <sz val="8"/>
      <name val="Helv"/>
    </font>
    <font>
      <sz val="11"/>
      <color indexed="62"/>
      <name val="Calibri"/>
      <family val="2"/>
      <charset val="204"/>
    </font>
    <font>
      <u/>
      <sz val="11"/>
      <color theme="10"/>
      <name val="Calibri"/>
      <family val="2"/>
      <scheme val="minor"/>
    </font>
    <font>
      <u/>
      <sz val="10"/>
      <color indexed="12"/>
      <name val="Arial Cyr"/>
    </font>
    <font>
      <u/>
      <sz val="11"/>
      <color indexed="48"/>
      <name val="Calibri"/>
      <family val="2"/>
      <charset val="204"/>
    </font>
    <font>
      <b/>
      <sz val="15"/>
      <color indexed="62"/>
      <name val="Calibri"/>
      <family val="2"/>
      <charset val="204"/>
    </font>
    <font>
      <b/>
      <sz val="13"/>
      <color indexed="62"/>
      <name val="Calibri"/>
      <family val="2"/>
      <charset val="204"/>
    </font>
    <font>
      <b/>
      <sz val="11"/>
      <color indexed="8"/>
      <name val="Calibri"/>
      <family val="2"/>
      <charset val="204"/>
    </font>
    <font>
      <b/>
      <sz val="18"/>
      <color indexed="62"/>
      <name val="Cambria"/>
      <family val="2"/>
      <charset val="204"/>
    </font>
    <font>
      <sz val="12"/>
      <color theme="1"/>
      <name val="Times New Roman"/>
      <family val="2"/>
      <charset val="204"/>
    </font>
    <font>
      <sz val="8"/>
      <color indexed="8"/>
      <name val="Arial"/>
      <family val="2"/>
    </font>
    <font>
      <sz val="10"/>
      <color indexed="8"/>
      <name val="Tahoma"/>
      <family val="2"/>
    </font>
    <font>
      <sz val="8"/>
      <color theme="1"/>
      <name val="Arial"/>
      <family val="2"/>
      <charset val="204"/>
    </font>
    <font>
      <b/>
      <sz val="9"/>
      <name val="Arial"/>
      <family val="2"/>
      <charset val="204"/>
    </font>
    <font>
      <sz val="10"/>
      <color theme="1"/>
      <name val="Arial"/>
      <family val="2"/>
      <charset val="204"/>
    </font>
    <font>
      <b/>
      <sz val="10"/>
      <color theme="1"/>
      <name val="Arial"/>
      <family val="2"/>
      <charset val="204"/>
    </font>
    <font>
      <sz val="11"/>
      <color rgb="FF3366CC"/>
      <name val="Calibri"/>
      <family val="2"/>
      <charset val="204"/>
      <scheme val="minor"/>
    </font>
    <font>
      <b/>
      <u/>
      <sz val="10"/>
      <color theme="1"/>
      <name val="Arial"/>
      <family val="2"/>
      <charset val="204"/>
    </font>
    <font>
      <sz val="10"/>
      <color rgb="FFFF0000"/>
      <name val="Arial"/>
      <family val="2"/>
      <charset val="204"/>
    </font>
    <font>
      <b/>
      <sz val="9"/>
      <color theme="0"/>
      <name val="Arial"/>
      <family val="2"/>
      <charset val="204"/>
    </font>
    <font>
      <b/>
      <sz val="11"/>
      <color theme="1"/>
      <name val="Arial"/>
      <family val="2"/>
      <charset val="204"/>
    </font>
    <font>
      <sz val="11"/>
      <color theme="4"/>
      <name val="Arial"/>
      <family val="2"/>
      <charset val="204"/>
    </font>
    <font>
      <i/>
      <sz val="11"/>
      <color theme="1"/>
      <name val="Arial"/>
      <family val="2"/>
      <charset val="204"/>
    </font>
    <font>
      <sz val="11"/>
      <color theme="8" tint="-0.249977111117893"/>
      <name val="Arial"/>
      <family val="2"/>
      <charset val="204"/>
    </font>
    <font>
      <b/>
      <sz val="11"/>
      <color rgb="FF00B050"/>
      <name val="Arial"/>
      <family val="2"/>
      <charset val="204"/>
    </font>
    <font>
      <sz val="11"/>
      <color rgb="FF000000"/>
      <name val="Calibri"/>
      <family val="2"/>
      <charset val="1"/>
    </font>
    <font>
      <b/>
      <sz val="28"/>
      <color theme="1"/>
      <name val="Franklin Gothic Book"/>
      <family val="2"/>
      <charset val="204"/>
    </font>
    <font>
      <b/>
      <sz val="20"/>
      <color theme="1"/>
      <name val="Franklin Gothic Book"/>
      <family val="2"/>
      <charset val="204"/>
    </font>
    <font>
      <b/>
      <sz val="12"/>
      <color theme="1"/>
      <name val="Franklin Gothic Book"/>
      <family val="2"/>
      <charset val="204"/>
    </font>
    <font>
      <b/>
      <sz val="14"/>
      <color theme="1"/>
      <name val="Franklin Gothic Book"/>
      <family val="2"/>
      <charset val="204"/>
    </font>
    <font>
      <b/>
      <sz val="16"/>
      <color theme="1"/>
      <name val="Franklin Gothic Book"/>
      <family val="2"/>
      <charset val="204"/>
    </font>
    <font>
      <b/>
      <sz val="16"/>
      <name val="Franklin Gothic Book"/>
      <family val="2"/>
      <charset val="204"/>
    </font>
    <font>
      <b/>
      <i/>
      <sz val="16"/>
      <color theme="1"/>
      <name val="Franklin Gothic Book"/>
      <family val="2"/>
      <charset val="204"/>
    </font>
    <font>
      <b/>
      <sz val="16"/>
      <color rgb="FF000000"/>
      <name val="Franklin Gothic Book"/>
      <family val="2"/>
      <charset val="204"/>
    </font>
    <font>
      <b/>
      <sz val="24"/>
      <color theme="1"/>
      <name val="Franklin Gothic Book"/>
      <family val="2"/>
      <charset val="204"/>
    </font>
    <font>
      <sz val="11"/>
      <color rgb="FF0070C0"/>
      <name val="Segoe UI"/>
      <family val="2"/>
      <charset val="204"/>
    </font>
    <font>
      <sz val="9"/>
      <color rgb="FF0070C0"/>
      <name val="Arial"/>
      <family val="2"/>
      <charset val="204"/>
    </font>
    <font>
      <b/>
      <sz val="11"/>
      <color rgb="FF0070C0"/>
      <name val="Arial"/>
      <family val="2"/>
      <charset val="204"/>
    </font>
    <font>
      <sz val="11"/>
      <color rgb="FF0070C0"/>
      <name val="Arial"/>
      <family val="2"/>
      <charset val="204"/>
    </font>
    <font>
      <b/>
      <i/>
      <sz val="9"/>
      <name val="Arial"/>
      <family val="2"/>
      <charset val="204"/>
    </font>
    <font>
      <sz val="11"/>
      <color rgb="FF3366CC"/>
      <name val="Segoe UI"/>
      <family val="2"/>
      <charset val="204"/>
    </font>
    <font>
      <sz val="9"/>
      <color rgb="FF3366CC"/>
      <name val="Arial"/>
      <family val="2"/>
      <charset val="204"/>
    </font>
    <font>
      <sz val="11"/>
      <color rgb="FF3366CC"/>
      <name val="Arial"/>
      <family val="2"/>
      <charset val="204"/>
    </font>
    <font>
      <b/>
      <sz val="11"/>
      <color rgb="FF3366CC"/>
      <name val="Arial"/>
      <family val="2"/>
      <charset val="204"/>
    </font>
  </fonts>
  <fills count="64">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3"/>
        <bgColor indexed="64"/>
      </patternFill>
    </fill>
    <fill>
      <patternFill patternType="solid">
        <fgColor rgb="FFFFFF99"/>
        <bgColor indexed="27"/>
      </patternFill>
    </fill>
    <fill>
      <patternFill patternType="solid">
        <fgColor indexed="27"/>
        <bgColor indexed="41"/>
      </patternFill>
    </fill>
    <fill>
      <patternFill patternType="solid">
        <fgColor theme="0"/>
        <bgColor indexed="41"/>
      </patternFill>
    </fill>
    <fill>
      <patternFill patternType="solid">
        <fgColor rgb="FFFFFF00"/>
        <bgColor indexed="27"/>
      </patternFill>
    </fill>
    <fill>
      <patternFill patternType="solid">
        <fgColor rgb="FFFFFFFF"/>
        <bgColor rgb="FFFFFFFF"/>
      </patternFill>
    </fill>
    <fill>
      <patternFill patternType="solid">
        <fgColor rgb="FFFFFF00"/>
        <bgColor rgb="FFFFFFFF"/>
      </patternFill>
    </fill>
    <fill>
      <patternFill patternType="solid">
        <fgColor rgb="FF00B050"/>
        <bgColor indexed="64"/>
      </patternFill>
    </fill>
    <fill>
      <patternFill patternType="solid">
        <fgColor indexed="26"/>
        <bgColor indexed="64"/>
      </patternFill>
    </fill>
    <fill>
      <patternFill patternType="solid">
        <fgColor rgb="FFFFFF99"/>
        <bgColor indexed="64"/>
      </patternFill>
    </fill>
    <fill>
      <patternFill patternType="solid">
        <fgColor indexed="9"/>
        <bgColor indexed="64"/>
      </patternFill>
    </fill>
    <fill>
      <patternFill patternType="solid">
        <fgColor theme="4"/>
        <bgColor indexed="64"/>
      </patternFill>
    </fill>
    <fill>
      <patternFill patternType="solid">
        <fgColor theme="4" tint="0.39997558519241921"/>
        <bgColor indexed="64"/>
      </patternFill>
    </fill>
    <fill>
      <patternFill patternType="solid">
        <fgColor theme="0"/>
        <bgColor rgb="FFFFFFFF"/>
      </patternFill>
    </fill>
    <fill>
      <patternFill patternType="solid">
        <fgColor rgb="FF9DC3E6"/>
        <bgColor rgb="FF9DC3E6"/>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lightGray">
        <fgColor indexed="15"/>
      </patternFill>
    </fill>
    <fill>
      <patternFill patternType="solid">
        <fgColor indexed="43"/>
        <bgColor indexed="64"/>
      </patternFill>
    </fill>
    <fill>
      <patternFill patternType="solid">
        <fgColor indexed="55"/>
      </patternFill>
    </fill>
    <fill>
      <patternFill patternType="solid">
        <fgColor indexed="24"/>
      </patternFill>
    </fill>
    <fill>
      <patternFill patternType="solid">
        <fgColor indexed="13"/>
      </patternFill>
    </fill>
    <fill>
      <patternFill patternType="solid">
        <fgColor indexed="22"/>
      </patternFill>
    </fill>
    <fill>
      <patternFill patternType="solid">
        <fgColor indexed="31"/>
      </patternFill>
    </fill>
    <fill>
      <patternFill patternType="solid">
        <fgColor indexed="40"/>
      </patternFill>
    </fill>
    <fill>
      <patternFill patternType="solid">
        <fgColor indexed="11"/>
      </patternFill>
    </fill>
    <fill>
      <patternFill patternType="solid">
        <fgColor indexed="17"/>
      </patternFill>
    </fill>
    <fill>
      <patternFill patternType="solid">
        <fgColor indexed="16"/>
        <bgColor indexed="64"/>
      </patternFill>
    </fill>
    <fill>
      <patternFill patternType="solid">
        <fgColor indexed="8"/>
        <bgColor indexed="64"/>
      </patternFill>
    </fill>
    <fill>
      <patternFill patternType="solid">
        <fgColor indexed="63"/>
      </patternFill>
    </fill>
    <fill>
      <patternFill patternType="solid">
        <fgColor indexed="42"/>
      </patternFill>
    </fill>
    <fill>
      <patternFill patternType="solid">
        <fgColor indexed="42"/>
        <bgColor indexed="64"/>
      </patternFill>
    </fill>
    <fill>
      <patternFill patternType="solid">
        <fgColor indexed="42"/>
        <bgColor indexed="31"/>
      </patternFill>
    </fill>
    <fill>
      <patternFill patternType="solid">
        <fgColor theme="8" tint="-0.249977111117893"/>
        <bgColor indexed="64"/>
      </patternFill>
    </fill>
  </fills>
  <borders count="131">
    <border>
      <left/>
      <right/>
      <top/>
      <bottom/>
      <diagonal/>
    </border>
    <border>
      <left style="thick">
        <color auto="1"/>
      </left>
      <right style="thick">
        <color auto="1"/>
      </right>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64"/>
      </left>
      <right style="thin">
        <color auto="1"/>
      </right>
      <top style="thin">
        <color auto="1"/>
      </top>
      <bottom style="thin">
        <color auto="1"/>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top style="medium">
        <color indexed="64"/>
      </top>
      <bottom style="medium">
        <color indexed="64"/>
      </bottom>
      <diagonal/>
    </border>
    <border>
      <left style="thin">
        <color auto="1"/>
      </left>
      <right style="thin">
        <color auto="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1"/>
      </left>
      <right style="thin">
        <color theme="1"/>
      </right>
      <top style="thin">
        <color theme="1"/>
      </top>
      <bottom style="thin">
        <color theme="1"/>
      </bottom>
      <diagonal/>
    </border>
    <border>
      <left/>
      <right/>
      <top/>
      <bottom style="thin">
        <color auto="1"/>
      </bottom>
      <diagonal/>
    </border>
    <border>
      <left/>
      <right/>
      <top style="medium">
        <color auto="1"/>
      </top>
      <bottom/>
      <diagonal/>
    </border>
    <border>
      <left/>
      <right/>
      <top/>
      <bottom style="medium">
        <color auto="1"/>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diagonal/>
    </border>
    <border>
      <left style="medium">
        <color indexed="58"/>
      </left>
      <right style="thin">
        <color indexed="58"/>
      </right>
      <top style="medium">
        <color indexed="58"/>
      </top>
      <bottom style="medium">
        <color indexed="58"/>
      </bottom>
      <diagonal/>
    </border>
    <border>
      <left style="thin">
        <color indexed="58"/>
      </left>
      <right/>
      <top style="medium">
        <color indexed="58"/>
      </top>
      <bottom style="medium">
        <color indexed="58"/>
      </bottom>
      <diagonal/>
    </border>
    <border>
      <left style="medium">
        <color indexed="58"/>
      </left>
      <right style="medium">
        <color indexed="58"/>
      </right>
      <top style="medium">
        <color indexed="58"/>
      </top>
      <bottom style="medium">
        <color indexed="58"/>
      </bottom>
      <diagonal/>
    </border>
    <border>
      <left style="thin">
        <color indexed="58"/>
      </left>
      <right style="medium">
        <color indexed="58"/>
      </right>
      <top style="thin">
        <color indexed="58"/>
      </top>
      <bottom style="thin">
        <color indexed="58"/>
      </bottom>
      <diagonal/>
    </border>
    <border>
      <left/>
      <right style="thin">
        <color indexed="58"/>
      </right>
      <top/>
      <bottom/>
      <diagonal/>
    </border>
    <border>
      <left style="medium">
        <color indexed="58"/>
      </left>
      <right style="thin">
        <color indexed="58"/>
      </right>
      <top/>
      <bottom/>
      <diagonal/>
    </border>
    <border>
      <left style="thin">
        <color indexed="58"/>
      </left>
      <right/>
      <top style="thin">
        <color indexed="58"/>
      </top>
      <bottom style="thin">
        <color indexed="58"/>
      </bottom>
      <diagonal/>
    </border>
    <border>
      <left style="medium">
        <color indexed="58"/>
      </left>
      <right style="thin">
        <color indexed="58"/>
      </right>
      <top/>
      <bottom style="medium">
        <color indexed="58"/>
      </bottom>
      <diagonal/>
    </border>
    <border>
      <left style="medium">
        <color indexed="58"/>
      </left>
      <right style="medium">
        <color indexed="58"/>
      </right>
      <top/>
      <bottom style="medium">
        <color indexed="58"/>
      </bottom>
      <diagonal/>
    </border>
    <border>
      <left style="thin">
        <color indexed="58"/>
      </left>
      <right style="thin">
        <color indexed="58"/>
      </right>
      <top style="thin">
        <color indexed="58"/>
      </top>
      <bottom style="thin">
        <color indexed="58"/>
      </bottom>
      <diagonal/>
    </border>
    <border>
      <left style="medium">
        <color indexed="58"/>
      </left>
      <right style="thin">
        <color indexed="58"/>
      </right>
      <top style="thin">
        <color indexed="58"/>
      </top>
      <bottom style="thin">
        <color indexed="58"/>
      </bottom>
      <diagonal/>
    </border>
    <border>
      <left style="thin">
        <color indexed="58"/>
      </left>
      <right/>
      <top/>
      <bottom style="thin">
        <color indexed="58"/>
      </bottom>
      <diagonal/>
    </border>
    <border>
      <left style="medium">
        <color indexed="58"/>
      </left>
      <right style="thin">
        <color indexed="58"/>
      </right>
      <top style="thin">
        <color indexed="58"/>
      </top>
      <bottom/>
      <diagonal/>
    </border>
    <border>
      <left style="medium">
        <color indexed="58"/>
      </left>
      <right style="medium">
        <color indexed="58"/>
      </right>
      <top style="thin">
        <color indexed="58"/>
      </top>
      <bottom/>
      <diagonal/>
    </border>
    <border>
      <left style="medium">
        <color indexed="58"/>
      </left>
      <right style="thin">
        <color indexed="58"/>
      </right>
      <top/>
      <bottom style="thin">
        <color indexed="58"/>
      </bottom>
      <diagonal/>
    </border>
    <border>
      <left style="medium">
        <color indexed="58"/>
      </left>
      <right style="medium">
        <color indexed="58"/>
      </right>
      <top/>
      <bottom style="thin">
        <color indexed="58"/>
      </bottom>
      <diagonal/>
    </border>
    <border>
      <left style="thin">
        <color indexed="58"/>
      </left>
      <right style="medium">
        <color indexed="58"/>
      </right>
      <top/>
      <bottom style="thin">
        <color indexed="58"/>
      </bottom>
      <diagonal/>
    </border>
    <border>
      <left style="medium">
        <color indexed="58"/>
      </left>
      <right style="thin">
        <color indexed="58"/>
      </right>
      <top style="medium">
        <color indexed="58"/>
      </top>
      <bottom style="thin">
        <color indexed="58"/>
      </bottom>
      <diagonal/>
    </border>
    <border>
      <left style="medium">
        <color indexed="58"/>
      </left>
      <right style="thin">
        <color indexed="58"/>
      </right>
      <top style="medium">
        <color indexed="58"/>
      </top>
      <bottom/>
      <diagonal/>
    </border>
    <border>
      <left style="medium">
        <color indexed="58"/>
      </left>
      <right style="medium">
        <color indexed="58"/>
      </right>
      <top style="medium">
        <color indexed="58"/>
      </top>
      <bottom/>
      <diagonal/>
    </border>
    <border>
      <left style="medium">
        <color indexed="58"/>
      </left>
      <right/>
      <top style="medium">
        <color indexed="58"/>
      </top>
      <bottom style="medium">
        <color indexed="58"/>
      </bottom>
      <diagonal/>
    </border>
    <border>
      <left/>
      <right style="medium">
        <color indexed="58"/>
      </right>
      <top/>
      <bottom style="medium">
        <color indexed="58"/>
      </bottom>
      <diagonal/>
    </border>
    <border>
      <left style="medium">
        <color indexed="58"/>
      </left>
      <right/>
      <top/>
      <bottom style="medium">
        <color indexed="58"/>
      </bottom>
      <diagonal/>
    </border>
    <border>
      <left/>
      <right style="medium">
        <color indexed="58"/>
      </right>
      <top style="medium">
        <color indexed="58"/>
      </top>
      <bottom style="medium">
        <color indexed="58"/>
      </bottom>
      <diagonal/>
    </border>
    <border>
      <left/>
      <right/>
      <top style="medium">
        <color indexed="58"/>
      </top>
      <bottom style="medium">
        <color indexed="58"/>
      </bottom>
      <diagonal/>
    </border>
    <border>
      <left/>
      <right style="medium">
        <color indexed="58"/>
      </right>
      <top style="medium">
        <color indexed="58"/>
      </top>
      <bottom/>
      <diagonal/>
    </border>
    <border>
      <left style="medium">
        <color indexed="58"/>
      </left>
      <right/>
      <top style="medium">
        <color indexed="58"/>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top/>
      <bottom style="thin">
        <color auto="1"/>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right/>
      <top style="double">
        <color indexed="64"/>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top/>
      <bottom style="hair">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indexed="64"/>
      </left>
      <right/>
      <top/>
      <bottom style="medium">
        <color indexed="64"/>
      </bottom>
      <diagonal/>
    </border>
    <border>
      <left style="thick">
        <color indexed="64"/>
      </left>
      <right style="thick">
        <color indexed="64"/>
      </right>
      <top/>
      <bottom style="thick">
        <color indexed="64"/>
      </bottom>
      <diagonal/>
    </border>
    <border>
      <left style="thick">
        <color auto="1"/>
      </left>
      <right style="thick">
        <color auto="1"/>
      </right>
      <top style="thick">
        <color auto="1"/>
      </top>
      <bottom style="thick">
        <color auto="1"/>
      </bottom>
      <diagonal/>
    </border>
    <border>
      <left style="thin">
        <color auto="1"/>
      </left>
      <right style="thin">
        <color auto="1"/>
      </right>
      <top style="thin">
        <color auto="1"/>
      </top>
      <bottom/>
      <diagonal/>
    </border>
  </borders>
  <cellStyleXfs count="378">
    <xf numFmtId="0" fontId="0" fillId="0" borderId="0"/>
    <xf numFmtId="9" fontId="1"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 fillId="0" borderId="0"/>
    <xf numFmtId="0" fontId="12" fillId="0" borderId="0"/>
    <xf numFmtId="0" fontId="12" fillId="0" borderId="0"/>
    <xf numFmtId="0" fontId="14" fillId="0" borderId="0"/>
    <xf numFmtId="0" fontId="15" fillId="0" borderId="0"/>
    <xf numFmtId="0" fontId="11" fillId="0" borderId="0"/>
    <xf numFmtId="0" fontId="15" fillId="0" borderId="0"/>
    <xf numFmtId="0" fontId="3" fillId="0" borderId="0"/>
    <xf numFmtId="164" fontId="3" fillId="0" borderId="0" applyFont="0" applyFill="0" applyBorder="0" applyAlignment="0" applyProtection="0"/>
    <xf numFmtId="0" fontId="1" fillId="0" borderId="0"/>
    <xf numFmtId="174" fontId="16" fillId="0" borderId="0" applyBorder="0" applyProtection="0"/>
    <xf numFmtId="9" fontId="3" fillId="0" borderId="0" applyFont="0" applyFill="0" applyBorder="0" applyAlignment="0" applyProtection="0"/>
    <xf numFmtId="175" fontId="1" fillId="0" borderId="0"/>
    <xf numFmtId="0" fontId="17" fillId="0" borderId="0"/>
    <xf numFmtId="43" fontId="1" fillId="0" borderId="0" applyFont="0" applyFill="0" applyBorder="0" applyAlignment="0" applyProtection="0"/>
    <xf numFmtId="0" fontId="23" fillId="0" borderId="0"/>
    <xf numFmtId="0" fontId="3" fillId="0" borderId="0"/>
    <xf numFmtId="0" fontId="14" fillId="0" borderId="0"/>
    <xf numFmtId="0" fontId="15" fillId="0" borderId="0"/>
    <xf numFmtId="174" fontId="40" fillId="0" borderId="0" applyBorder="0" applyProtection="0"/>
    <xf numFmtId="0" fontId="42" fillId="0" borderId="0"/>
    <xf numFmtId="0" fontId="14" fillId="0" borderId="0"/>
    <xf numFmtId="175" fontId="1" fillId="0" borderId="0"/>
    <xf numFmtId="0" fontId="14" fillId="0" borderId="0"/>
    <xf numFmtId="175" fontId="1" fillId="0" borderId="0"/>
    <xf numFmtId="164" fontId="1" fillId="0" borderId="0" applyFont="0" applyFill="0" applyBorder="0" applyAlignment="0" applyProtection="0"/>
    <xf numFmtId="0" fontId="72" fillId="0" borderId="0"/>
    <xf numFmtId="0" fontId="73" fillId="0" borderId="0" applyFont="0" applyFill="0" applyBorder="0" applyAlignment="0"/>
    <xf numFmtId="0" fontId="71" fillId="0" borderId="0" applyNumberFormat="0" applyFill="0" applyBorder="0" applyAlignment="0" applyProtection="0"/>
    <xf numFmtId="185" fontId="12" fillId="0" borderId="0" applyFont="0" applyFill="0" applyBorder="0" applyAlignment="0" applyProtection="0"/>
    <xf numFmtId="186" fontId="12" fillId="0" borderId="0" applyFont="0" applyFill="0" applyBorder="0" applyAlignment="0" applyProtection="0"/>
    <xf numFmtId="0" fontId="12" fillId="0" borderId="0"/>
    <xf numFmtId="0" fontId="74" fillId="0" borderId="0" applyNumberFormat="0" applyFill="0" applyBorder="0" applyAlignment="0" applyProtection="0"/>
    <xf numFmtId="0" fontId="75" fillId="0" borderId="0"/>
    <xf numFmtId="0" fontId="42" fillId="0" borderId="0"/>
    <xf numFmtId="187" fontId="76" fillId="0" borderId="0">
      <alignment horizontal="center"/>
    </xf>
    <xf numFmtId="0" fontId="77" fillId="27" borderId="88" applyNumberFormat="0" applyFill="0" applyBorder="0" applyAlignment="0">
      <alignment horizontal="left"/>
    </xf>
    <xf numFmtId="0" fontId="39" fillId="27" borderId="0" applyNumberFormat="0" applyFill="0" applyBorder="0" applyAlignment="0"/>
    <xf numFmtId="0" fontId="78" fillId="28" borderId="88" applyNumberFormat="0" applyFill="0" applyBorder="0" applyAlignment="0">
      <alignment horizontal="left"/>
    </xf>
    <xf numFmtId="0" fontId="79" fillId="29" borderId="0" applyNumberFormat="0" applyFill="0" applyBorder="0" applyAlignment="0"/>
    <xf numFmtId="0" fontId="80" fillId="0" borderId="0" applyNumberFormat="0" applyFill="0" applyBorder="0" applyAlignment="0"/>
    <xf numFmtId="0" fontId="81" fillId="0" borderId="86" applyNumberFormat="0" applyFill="0" applyBorder="0" applyAlignment="0">
      <alignment horizontal="left"/>
    </xf>
    <xf numFmtId="0" fontId="82" fillId="30" borderId="12" applyNumberFormat="0" applyFill="0" applyBorder="0" applyAlignment="0">
      <alignment horizontal="centerContinuous"/>
    </xf>
    <xf numFmtId="0" fontId="83" fillId="0" borderId="0" applyNumberFormat="0" applyFill="0" applyBorder="0" applyAlignment="0"/>
    <xf numFmtId="0" fontId="83" fillId="31" borderId="45" applyNumberFormat="0" applyFill="0" applyBorder="0" applyAlignment="0"/>
    <xf numFmtId="0" fontId="84" fillId="0" borderId="86" applyNumberFormat="0" applyFill="0" applyBorder="0" applyAlignment="0"/>
    <xf numFmtId="0" fontId="83" fillId="0" borderId="0" applyNumberFormat="0" applyFill="0" applyBorder="0" applyAlignment="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72" fillId="36" borderId="0" applyNumberFormat="0" applyBorder="0" applyAlignment="0" applyProtection="0"/>
    <xf numFmtId="0" fontId="72" fillId="34"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72" fillId="36" borderId="0" applyNumberFormat="0" applyBorder="0" applyAlignment="0" applyProtection="0"/>
    <xf numFmtId="0" fontId="72" fillId="34" borderId="0" applyNumberFormat="0" applyBorder="0" applyAlignment="0" applyProtection="0"/>
    <xf numFmtId="0" fontId="72" fillId="36" borderId="0" applyNumberFormat="0" applyBorder="0" applyAlignment="0" applyProtection="0"/>
    <xf numFmtId="0" fontId="72" fillId="33" borderId="0" applyNumberFormat="0" applyBorder="0" applyAlignment="0" applyProtection="0"/>
    <xf numFmtId="0" fontId="72" fillId="37" borderId="0" applyNumberFormat="0" applyBorder="0" applyAlignment="0" applyProtection="0"/>
    <xf numFmtId="0" fontId="72" fillId="38" borderId="0" applyNumberFormat="0" applyBorder="0" applyAlignment="0" applyProtection="0"/>
    <xf numFmtId="0" fontId="72" fillId="36" borderId="0" applyNumberFormat="0" applyBorder="0" applyAlignment="0" applyProtection="0"/>
    <xf numFmtId="0" fontId="72" fillId="34" borderId="0" applyNumberFormat="0" applyBorder="0" applyAlignment="0" applyProtection="0"/>
    <xf numFmtId="0" fontId="72" fillId="36" borderId="0" applyNumberFormat="0" applyBorder="0" applyAlignment="0" applyProtection="0"/>
    <xf numFmtId="0" fontId="72" fillId="33" borderId="0" applyNumberFormat="0" applyBorder="0" applyAlignment="0" applyProtection="0"/>
    <xf numFmtId="0" fontId="72" fillId="37" borderId="0" applyNumberFormat="0" applyBorder="0" applyAlignment="0" applyProtection="0"/>
    <xf numFmtId="0" fontId="72" fillId="38" borderId="0" applyNumberFormat="0" applyBorder="0" applyAlignment="0" applyProtection="0"/>
    <xf numFmtId="0" fontId="72" fillId="36" borderId="0" applyNumberFormat="0" applyBorder="0" applyAlignment="0" applyProtection="0"/>
    <xf numFmtId="0" fontId="72" fillId="34" borderId="0" applyNumberFormat="0" applyBorder="0" applyAlignment="0" applyProtection="0"/>
    <xf numFmtId="0" fontId="85" fillId="36" borderId="0" applyNumberFormat="0" applyBorder="0" applyAlignment="0" applyProtection="0"/>
    <xf numFmtId="0" fontId="85" fillId="39" borderId="0" applyNumberFormat="0" applyBorder="0" applyAlignment="0" applyProtection="0"/>
    <xf numFmtId="0" fontId="85" fillId="40" borderId="0" applyNumberFormat="0" applyBorder="0" applyAlignment="0" applyProtection="0"/>
    <xf numFmtId="0" fontId="85" fillId="38" borderId="0" applyNumberFormat="0" applyBorder="0" applyAlignment="0" applyProtection="0"/>
    <xf numFmtId="0" fontId="85" fillId="36" borderId="0" applyNumberFormat="0" applyBorder="0" applyAlignment="0" applyProtection="0"/>
    <xf numFmtId="0" fontId="85" fillId="33" borderId="0" applyNumberFormat="0" applyBorder="0" applyAlignment="0" applyProtection="0"/>
    <xf numFmtId="0" fontId="85" fillId="36" borderId="0" applyNumberFormat="0" applyBorder="0" applyAlignment="0" applyProtection="0"/>
    <xf numFmtId="0" fontId="85" fillId="39" borderId="0" applyNumberFormat="0" applyBorder="0" applyAlignment="0" applyProtection="0"/>
    <xf numFmtId="0" fontId="85" fillId="40" borderId="0" applyNumberFormat="0" applyBorder="0" applyAlignment="0" applyProtection="0"/>
    <xf numFmtId="0" fontId="85" fillId="38" borderId="0" applyNumberFormat="0" applyBorder="0" applyAlignment="0" applyProtection="0"/>
    <xf numFmtId="0" fontId="85" fillId="36" borderId="0" applyNumberFormat="0" applyBorder="0" applyAlignment="0" applyProtection="0"/>
    <xf numFmtId="0" fontId="85" fillId="33" borderId="0" applyNumberFormat="0" applyBorder="0" applyAlignment="0" applyProtection="0"/>
    <xf numFmtId="0" fontId="86" fillId="0" borderId="0">
      <alignment horizontal="right"/>
    </xf>
    <xf numFmtId="185" fontId="12" fillId="0" borderId="0" applyFont="0" applyFill="0" applyBorder="0" applyAlignment="0" applyProtection="0"/>
    <xf numFmtId="186" fontId="12" fillId="0" borderId="0" applyFont="0" applyFill="0" applyBorder="0" applyAlignment="0" applyProtection="0"/>
    <xf numFmtId="185" fontId="12" fillId="0" borderId="0" applyFont="0" applyFill="0" applyBorder="0" applyAlignment="0" applyProtection="0"/>
    <xf numFmtId="186" fontId="12" fillId="0" borderId="0" applyFont="0" applyFill="0" applyBorder="0" applyAlignment="0" applyProtection="0"/>
    <xf numFmtId="0" fontId="85" fillId="41" borderId="0" applyNumberFormat="0" applyBorder="0" applyAlignment="0" applyProtection="0"/>
    <xf numFmtId="0" fontId="85" fillId="39" borderId="0" applyNumberFormat="0" applyBorder="0" applyAlignment="0" applyProtection="0"/>
    <xf numFmtId="0" fontId="85" fillId="40" borderId="0" applyNumberFormat="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188" fontId="12" fillId="0" borderId="0" applyFont="0" applyFill="0" applyBorder="0" applyProtection="0"/>
    <xf numFmtId="188" fontId="12" fillId="0" borderId="0" applyFont="0" applyFill="0" applyBorder="0" applyProtection="0"/>
    <xf numFmtId="188" fontId="12" fillId="0" borderId="0" applyFont="0" applyFill="0" applyBorder="0" applyProtection="0"/>
    <xf numFmtId="189" fontId="87" fillId="0" borderId="0" applyFont="0" applyFill="0" applyBorder="0" applyAlignment="0" applyProtection="0"/>
    <xf numFmtId="190" fontId="87" fillId="0" borderId="0" applyFont="0" applyFill="0" applyBorder="0" applyAlignment="0" applyProtection="0"/>
    <xf numFmtId="0" fontId="36" fillId="0" borderId="0"/>
    <xf numFmtId="0" fontId="36" fillId="0" borderId="0" applyNumberFormat="0" applyFill="0" applyBorder="0" applyAlignment="0" applyProtection="0"/>
    <xf numFmtId="0" fontId="88" fillId="0" borderId="0" applyNumberFormat="0" applyFill="0" applyBorder="0" applyAlignment="0" applyProtection="0"/>
    <xf numFmtId="0" fontId="89" fillId="45" borderId="0" applyNumberFormat="0" applyBorder="0" applyAlignment="0" applyProtection="0"/>
    <xf numFmtId="0" fontId="90" fillId="0" borderId="0" applyNumberFormat="0" applyFill="0" applyBorder="0" applyAlignment="0" applyProtection="0"/>
    <xf numFmtId="38" fontId="91" fillId="0" borderId="0" applyNumberFormat="0" applyFill="0" applyBorder="0" applyAlignment="0" applyProtection="0">
      <alignment horizontal="right"/>
      <protection locked="0"/>
    </xf>
    <xf numFmtId="0" fontId="92" fillId="0" borderId="0" applyNumberFormat="0" applyFill="0" applyBorder="0" applyAlignment="0" applyProtection="0"/>
    <xf numFmtId="191" fontId="93" fillId="0" borderId="0" applyFont="0" applyFill="0" applyBorder="0" applyAlignment="0" applyProtection="0"/>
    <xf numFmtId="0" fontId="94" fillId="0" borderId="0"/>
    <xf numFmtId="0" fontId="95" fillId="46" borderId="106" applyNumberFormat="0" applyAlignment="0" applyProtection="0"/>
    <xf numFmtId="0" fontId="12" fillId="47" borderId="0" applyNumberFormat="0" applyFont="0" applyBorder="0" applyAlignment="0"/>
    <xf numFmtId="0" fontId="12" fillId="47" borderId="0" applyNumberFormat="0" applyFont="0" applyBorder="0" applyAlignment="0"/>
    <xf numFmtId="0" fontId="12" fillId="47" borderId="0" applyNumberFormat="0" applyFont="0" applyBorder="0" applyAlignment="0"/>
    <xf numFmtId="0" fontId="96" fillId="0" borderId="45" applyNumberFormat="0" applyFont="0" applyFill="0" applyProtection="0">
      <alignment horizontal="centerContinuous" vertical="center"/>
    </xf>
    <xf numFmtId="0" fontId="17" fillId="48" borderId="0" applyNumberFormat="0" applyFont="0" applyBorder="0" applyAlignment="0" applyProtection="0"/>
    <xf numFmtId="0" fontId="17" fillId="48" borderId="0" applyNumberFormat="0" applyFont="0" applyBorder="0" applyAlignment="0" applyProtection="0"/>
    <xf numFmtId="0" fontId="17" fillId="48" borderId="0" applyNumberFormat="0" applyFont="0" applyBorder="0" applyAlignment="0" applyProtection="0"/>
    <xf numFmtId="0" fontId="97" fillId="49" borderId="107" applyNumberFormat="0" applyAlignment="0" applyProtection="0"/>
    <xf numFmtId="0" fontId="96" fillId="0" borderId="0" applyNumberFormat="0" applyFill="0" applyBorder="0" applyProtection="0">
      <alignment horizontal="center" vertical="center"/>
    </xf>
    <xf numFmtId="0" fontId="98" fillId="0" borderId="0" applyFont="0" applyFill="0" applyBorder="0" applyAlignment="0" applyProtection="0"/>
    <xf numFmtId="0" fontId="99" fillId="0" borderId="0" applyFont="0" applyFill="0" applyBorder="0" applyAlignment="0" applyProtection="0">
      <alignment horizontal="right"/>
    </xf>
    <xf numFmtId="0" fontId="99" fillId="0" borderId="0" applyFont="0" applyFill="0" applyBorder="0" applyAlignment="0" applyProtection="0"/>
    <xf numFmtId="180" fontId="3" fillId="0" borderId="0" applyFont="0" applyFill="0" applyBorder="0" applyAlignment="0" applyProtection="0"/>
    <xf numFmtId="164" fontId="3" fillId="0" borderId="0" applyFont="0" applyFill="0" applyBorder="0" applyAlignment="0" applyProtection="0"/>
    <xf numFmtId="180" fontId="72" fillId="0" borderId="0" applyFont="0" applyFill="0" applyBorder="0" applyAlignment="0" applyProtection="0"/>
    <xf numFmtId="43" fontId="12" fillId="0" borderId="0" applyFont="0" applyFill="0" applyBorder="0" applyAlignment="0" applyProtection="0"/>
    <xf numFmtId="3" fontId="100" fillId="0" borderId="0" applyFont="0" applyFill="0" applyBorder="0" applyAlignment="0" applyProtection="0"/>
    <xf numFmtId="192" fontId="73" fillId="0" borderId="0" applyFont="0" applyFill="0" applyBorder="0" applyAlignment="0" applyProtection="0"/>
    <xf numFmtId="0" fontId="99" fillId="0" borderId="0" applyFont="0" applyFill="0" applyBorder="0" applyAlignment="0" applyProtection="0">
      <alignment horizontal="right"/>
    </xf>
    <xf numFmtId="0" fontId="99" fillId="0" borderId="0" applyFont="0" applyFill="0" applyBorder="0" applyAlignment="0" applyProtection="0">
      <alignment horizontal="right"/>
    </xf>
    <xf numFmtId="193" fontId="100" fillId="0" borderId="0" applyFont="0" applyFill="0" applyBorder="0" applyAlignment="0" applyProtection="0"/>
    <xf numFmtId="14" fontId="101" fillId="0" borderId="0"/>
    <xf numFmtId="0" fontId="99" fillId="0" borderId="0" applyFont="0" applyFill="0" applyBorder="0" applyAlignment="0" applyProtection="0"/>
    <xf numFmtId="0" fontId="100" fillId="0" borderId="0" applyFont="0" applyFill="0" applyBorder="0" applyAlignment="0" applyProtection="0"/>
    <xf numFmtId="38" fontId="17" fillId="0" borderId="0" applyFont="0" applyFill="0" applyBorder="0" applyAlignment="0" applyProtection="0"/>
    <xf numFmtId="0" fontId="102" fillId="50" borderId="0" applyNumberFormat="0">
      <alignment horizontal="left"/>
    </xf>
    <xf numFmtId="0" fontId="102" fillId="51" borderId="0" applyNumberFormat="0">
      <alignment horizontal="left"/>
    </xf>
    <xf numFmtId="0" fontId="102" fillId="52" borderId="0" applyNumberFormat="0">
      <alignment horizontal="left"/>
    </xf>
    <xf numFmtId="0" fontId="102" fillId="53" borderId="0" applyNumberFormat="0">
      <alignment horizontal="left"/>
    </xf>
    <xf numFmtId="0" fontId="102" fillId="54" borderId="0" applyNumberFormat="0">
      <alignment horizontal="left"/>
    </xf>
    <xf numFmtId="0" fontId="102" fillId="55" borderId="0" applyNumberFormat="0">
      <alignment horizontal="left"/>
    </xf>
    <xf numFmtId="194" fontId="73" fillId="0" borderId="0" applyFont="0" applyFill="0" applyBorder="0" applyAlignment="0" applyProtection="0"/>
    <xf numFmtId="0" fontId="99" fillId="0" borderId="108" applyNumberFormat="0" applyFont="0" applyFill="0" applyAlignment="0" applyProtection="0"/>
    <xf numFmtId="0" fontId="103" fillId="0" borderId="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0" fontId="12" fillId="0" borderId="0" applyFont="0" applyFill="0" applyBorder="0" applyAlignment="0" applyProtection="0"/>
    <xf numFmtId="0" fontId="104" fillId="0" borderId="0" applyNumberFormat="0" applyFill="0" applyBorder="0" applyAlignment="0" applyProtection="0"/>
    <xf numFmtId="195" fontId="12" fillId="0" borderId="0" applyFont="0" applyFill="0" applyBorder="0" applyAlignment="0" applyProtection="0"/>
    <xf numFmtId="196" fontId="12" fillId="0" borderId="0" applyFont="0" applyFill="0" applyBorder="0" applyAlignment="0" applyProtection="0"/>
    <xf numFmtId="2" fontId="100" fillId="0" borderId="0" applyFont="0" applyFill="0" applyBorder="0" applyAlignment="0" applyProtection="0"/>
    <xf numFmtId="15" fontId="12" fillId="0" borderId="0">
      <alignment vertical="center"/>
    </xf>
    <xf numFmtId="15" fontId="12" fillId="0" borderId="0">
      <alignment vertical="center"/>
    </xf>
    <xf numFmtId="15" fontId="12" fillId="0" borderId="0">
      <alignment vertical="center"/>
    </xf>
    <xf numFmtId="15" fontId="12" fillId="0" borderId="0">
      <alignment vertical="center"/>
    </xf>
    <xf numFmtId="0" fontId="105" fillId="0" borderId="0" applyFill="0" applyBorder="0" applyProtection="0">
      <alignment horizontal="left"/>
    </xf>
    <xf numFmtId="0" fontId="106" fillId="36" borderId="0" applyNumberFormat="0" applyBorder="0" applyAlignment="0" applyProtection="0"/>
    <xf numFmtId="180" fontId="107" fillId="0" borderId="0" applyNumberFormat="0" applyFill="0" applyBorder="0" applyAlignment="0" applyProtection="0">
      <alignment horizontal="center"/>
    </xf>
    <xf numFmtId="0" fontId="99" fillId="0" borderId="0" applyFont="0" applyFill="0" applyBorder="0" applyAlignment="0" applyProtection="0">
      <alignment horizontal="right"/>
    </xf>
    <xf numFmtId="0" fontId="108" fillId="0" borderId="0" applyProtection="0">
      <alignment horizontal="right"/>
    </xf>
    <xf numFmtId="0" fontId="102" fillId="0" borderId="31" applyNumberFormat="0" applyAlignment="0" applyProtection="0">
      <alignment horizontal="left" vertical="center"/>
    </xf>
    <xf numFmtId="0" fontId="102" fillId="0" borderId="88">
      <alignment horizontal="left" vertical="center"/>
    </xf>
    <xf numFmtId="0" fontId="109" fillId="0" borderId="0">
      <alignment horizontal="center"/>
    </xf>
    <xf numFmtId="38" fontId="110" fillId="0" borderId="0"/>
    <xf numFmtId="38" fontId="111" fillId="0" borderId="0">
      <alignment horizontal="left"/>
    </xf>
    <xf numFmtId="0" fontId="112" fillId="0" borderId="0" applyProtection="0">
      <alignment horizontal="left"/>
    </xf>
    <xf numFmtId="0" fontId="113" fillId="0" borderId="0" applyNumberFormat="0" applyFill="0" applyBorder="0" applyAlignment="0" applyProtection="0"/>
    <xf numFmtId="0" fontId="114" fillId="0" borderId="109" applyNumberFormat="0" applyFill="0" applyBorder="0" applyAlignment="0" applyProtection="0">
      <alignment horizontal="left"/>
    </xf>
    <xf numFmtId="197" fontId="115" fillId="22" borderId="0" applyNumberFormat="0" applyBorder="0" applyAlignment="0" applyProtection="0">
      <protection locked="0"/>
    </xf>
    <xf numFmtId="0" fontId="116" fillId="0" borderId="0"/>
    <xf numFmtId="0" fontId="12" fillId="0" borderId="0"/>
    <xf numFmtId="0" fontId="12" fillId="51" borderId="0" applyNumberFormat="0" applyFont="0" applyBorder="0" applyAlignment="0"/>
    <xf numFmtId="0" fontId="12" fillId="51" borderId="0" applyNumberFormat="0" applyFont="0" applyBorder="0" applyAlignment="0"/>
    <xf numFmtId="0" fontId="12" fillId="51" borderId="0" applyNumberFormat="0" applyFont="0" applyBorder="0" applyAlignment="0"/>
    <xf numFmtId="198" fontId="12" fillId="0" borderId="0" applyFont="0" applyFill="0" applyBorder="0" applyAlignment="0" applyProtection="0"/>
    <xf numFmtId="199" fontId="12" fillId="0" borderId="0" applyFont="0" applyFill="0" applyBorder="0" applyAlignment="0" applyProtection="0"/>
    <xf numFmtId="0" fontId="74" fillId="0" borderId="110" applyNumberFormat="0" applyFill="0" applyAlignment="0" applyProtection="0"/>
    <xf numFmtId="200" fontId="12" fillId="0" borderId="0" applyFont="0" applyFill="0" applyBorder="0" applyAlignment="0" applyProtection="0"/>
    <xf numFmtId="201" fontId="12" fillId="0" borderId="0" applyFont="0" applyFill="0" applyBorder="0" applyAlignment="0" applyProtection="0"/>
    <xf numFmtId="202" fontId="12" fillId="0" borderId="0" applyFont="0" applyFill="0" applyBorder="0" applyAlignment="0" applyProtection="0"/>
    <xf numFmtId="203" fontId="12" fillId="0" borderId="0" applyFont="0" applyFill="0" applyBorder="0" applyAlignment="0" applyProtection="0"/>
    <xf numFmtId="202" fontId="12" fillId="0" borderId="0" applyFont="0" applyFill="0" applyBorder="0" applyAlignment="0" applyProtection="0"/>
    <xf numFmtId="203" fontId="12" fillId="0" borderId="0" applyFont="0" applyFill="0" applyBorder="0" applyAlignment="0" applyProtection="0"/>
    <xf numFmtId="204" fontId="73" fillId="0" borderId="0" applyFont="0" applyFill="0" applyBorder="0" applyAlignment="0" applyProtection="0"/>
    <xf numFmtId="205" fontId="73" fillId="0" borderId="0" applyFont="0" applyFill="0" applyBorder="0" applyAlignment="0" applyProtection="0"/>
    <xf numFmtId="206" fontId="73" fillId="0" borderId="0" applyFont="0" applyFill="0" applyBorder="0" applyAlignment="0" applyProtection="0"/>
    <xf numFmtId="194" fontId="117" fillId="0" borderId="0" applyFont="0" applyFill="0" applyBorder="0" applyAlignment="0" applyProtection="0"/>
    <xf numFmtId="0" fontId="118" fillId="37" borderId="0" applyNumberFormat="0" applyBorder="0" applyAlignment="0" applyProtection="0"/>
    <xf numFmtId="37" fontId="119" fillId="0" borderId="0"/>
    <xf numFmtId="0" fontId="120" fillId="0" borderId="0"/>
    <xf numFmtId="207" fontId="73" fillId="0" borderId="0"/>
    <xf numFmtId="0" fontId="1" fillId="0" borderId="0"/>
    <xf numFmtId="0" fontId="1" fillId="0" borderId="0"/>
    <xf numFmtId="0" fontId="121" fillId="0" borderId="0"/>
    <xf numFmtId="0" fontId="1" fillId="0" borderId="0"/>
    <xf numFmtId="0" fontId="1" fillId="0" borderId="0"/>
    <xf numFmtId="0" fontId="121" fillId="0" borderId="0"/>
    <xf numFmtId="0" fontId="1" fillId="0" borderId="0"/>
    <xf numFmtId="0" fontId="1" fillId="0" borderId="0"/>
    <xf numFmtId="0" fontId="121" fillId="0" borderId="0"/>
    <xf numFmtId="0" fontId="3" fillId="0" borderId="0"/>
    <xf numFmtId="0" fontId="1" fillId="0" borderId="0"/>
    <xf numFmtId="0" fontId="120" fillId="0" borderId="0"/>
    <xf numFmtId="0" fontId="122" fillId="0" borderId="0"/>
    <xf numFmtId="0" fontId="12" fillId="34" borderId="111" applyNumberFormat="0" applyFont="0" applyAlignment="0" applyProtection="0"/>
    <xf numFmtId="0" fontId="123" fillId="46" borderId="112" applyNumberFormat="0" applyAlignment="0" applyProtection="0"/>
    <xf numFmtId="40" fontId="124" fillId="46" borderId="0">
      <alignment horizontal="right"/>
    </xf>
    <xf numFmtId="0" fontId="125" fillId="51" borderId="0">
      <alignment horizontal="center"/>
    </xf>
    <xf numFmtId="0" fontId="126" fillId="56" borderId="0"/>
    <xf numFmtId="0" fontId="127" fillId="46" borderId="0" applyBorder="0">
      <alignment horizontal="centerContinuous"/>
    </xf>
    <xf numFmtId="0" fontId="128" fillId="56" borderId="0" applyBorder="0">
      <alignment horizontal="centerContinuous"/>
    </xf>
    <xf numFmtId="0" fontId="102" fillId="0" borderId="0" applyNumberFormat="0" applyFill="0" applyBorder="0" applyAlignment="0" applyProtection="0"/>
    <xf numFmtId="208" fontId="12" fillId="0" borderId="0" applyFont="0" applyFill="0" applyBorder="0" applyAlignment="0" applyProtection="0"/>
    <xf numFmtId="209" fontId="12" fillId="0" borderId="0" applyFont="0" applyFill="0" applyBorder="0" applyAlignment="0" applyProtection="0"/>
    <xf numFmtId="1" fontId="129" fillId="0" borderId="0" applyProtection="0">
      <alignment horizontal="right" vertical="center"/>
    </xf>
    <xf numFmtId="1" fontId="130" fillId="0" borderId="0" applyProtection="0">
      <alignment horizontal="right" vertical="center"/>
    </xf>
    <xf numFmtId="1" fontId="131" fillId="0" borderId="0" applyProtection="0">
      <alignment horizontal="right" vertical="center"/>
    </xf>
    <xf numFmtId="208" fontId="12" fillId="0" borderId="0" applyFont="0" applyFill="0" applyBorder="0" applyAlignment="0" applyProtection="0"/>
    <xf numFmtId="209" fontId="12" fillId="0" borderId="0" applyFont="0" applyFill="0" applyBorder="0" applyAlignment="0" applyProtection="0"/>
    <xf numFmtId="9" fontId="87" fillId="0" borderId="0" applyFont="0" applyFill="0" applyBorder="0" applyAlignment="0" applyProtection="0"/>
    <xf numFmtId="165" fontId="87"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2" fillId="0" borderId="0" applyNumberFormat="0" applyFill="0" applyBorder="0" applyAlignment="0" applyProtection="0">
      <alignment horizontal="left"/>
      <protection locked="0"/>
    </xf>
    <xf numFmtId="0" fontId="133" fillId="0" borderId="113">
      <alignment vertical="center"/>
    </xf>
    <xf numFmtId="0" fontId="134" fillId="0" borderId="113">
      <alignment vertical="center"/>
    </xf>
    <xf numFmtId="0" fontId="135" fillId="0" borderId="113">
      <alignment vertical="center"/>
    </xf>
    <xf numFmtId="0" fontId="101" fillId="0" borderId="54"/>
    <xf numFmtId="0" fontId="93" fillId="0" borderId="0" applyFill="0" applyBorder="0" applyAlignment="0" applyProtection="0"/>
    <xf numFmtId="0" fontId="86" fillId="0" borderId="0" applyNumberFormat="0" applyFill="0" applyBorder="0" applyAlignment="0" applyProtection="0">
      <alignment horizontal="center"/>
    </xf>
    <xf numFmtId="0" fontId="136" fillId="0" borderId="0"/>
    <xf numFmtId="0" fontId="137" fillId="0" borderId="0"/>
    <xf numFmtId="0" fontId="138" fillId="0" borderId="0" applyBorder="0" applyProtection="0">
      <alignment vertical="center"/>
    </xf>
    <xf numFmtId="0" fontId="138" fillId="0" borderId="45" applyBorder="0" applyProtection="0">
      <alignment horizontal="right" vertical="center"/>
    </xf>
    <xf numFmtId="0" fontId="139" fillId="57" borderId="0" applyBorder="0" applyProtection="0">
      <alignment horizontal="centerContinuous" vertical="center"/>
    </xf>
    <xf numFmtId="0" fontId="140" fillId="57" borderId="0" applyBorder="0" applyProtection="0">
      <alignment horizontal="centerContinuous" vertical="center"/>
    </xf>
    <xf numFmtId="0" fontId="141" fillId="57" borderId="0" applyBorder="0" applyProtection="0">
      <alignment horizontal="centerContinuous" vertical="center"/>
    </xf>
    <xf numFmtId="0" fontId="139" fillId="58" borderId="45" applyBorder="0" applyProtection="0">
      <alignment horizontal="centerContinuous" vertical="center"/>
    </xf>
    <xf numFmtId="0" fontId="140" fillId="58" borderId="45" applyBorder="0" applyProtection="0">
      <alignment horizontal="centerContinuous" vertical="center"/>
    </xf>
    <xf numFmtId="0" fontId="141" fillId="58" borderId="45" applyBorder="0" applyProtection="0">
      <alignment horizontal="centerContinuous" vertical="center"/>
    </xf>
    <xf numFmtId="0" fontId="142" fillId="0" borderId="0"/>
    <xf numFmtId="0" fontId="122" fillId="0" borderId="0"/>
    <xf numFmtId="0" fontId="143" fillId="0" borderId="0" applyFill="0" applyBorder="0" applyProtection="0">
      <alignment horizontal="left"/>
    </xf>
    <xf numFmtId="0" fontId="144" fillId="0" borderId="0" applyFill="0" applyBorder="0" applyProtection="0">
      <alignment horizontal="left"/>
    </xf>
    <xf numFmtId="0" fontId="145" fillId="0" borderId="0" applyFill="0" applyBorder="0" applyProtection="0">
      <alignment horizontal="left"/>
    </xf>
    <xf numFmtId="0" fontId="105" fillId="0" borderId="29" applyFill="0" applyBorder="0" applyProtection="0">
      <alignment horizontal="left" vertical="top"/>
    </xf>
    <xf numFmtId="0" fontId="146" fillId="0" borderId="0">
      <alignment horizontal="centerContinuous"/>
    </xf>
    <xf numFmtId="0" fontId="36" fillId="34" borderId="0" applyNumberFormat="0" applyBorder="0"/>
    <xf numFmtId="0" fontId="147" fillId="50" borderId="0" applyNumberFormat="0" applyBorder="0">
      <alignment horizontal="center" wrapText="1"/>
    </xf>
    <xf numFmtId="0" fontId="36" fillId="37" borderId="0" applyNumberFormat="0" applyBorder="0">
      <protection locked="0"/>
    </xf>
    <xf numFmtId="0" fontId="147" fillId="51" borderId="0" applyNumberFormat="0" applyBorder="0">
      <alignment horizontal="center" wrapText="1"/>
    </xf>
    <xf numFmtId="0" fontId="36" fillId="46" borderId="0" applyNumberFormat="0" applyBorder="0"/>
    <xf numFmtId="0" fontId="147" fillId="52" borderId="0" applyNumberFormat="0" applyBorder="0">
      <alignment horizontal="center" wrapText="1"/>
    </xf>
    <xf numFmtId="0" fontId="36" fillId="45" borderId="0" applyNumberFormat="0" applyBorder="0"/>
    <xf numFmtId="0" fontId="147" fillId="53" borderId="0" applyNumberFormat="0" applyBorder="0">
      <alignment horizontal="center" wrapText="1"/>
    </xf>
    <xf numFmtId="0" fontId="36" fillId="32" borderId="0" applyNumberFormat="0" applyBorder="0"/>
    <xf numFmtId="0" fontId="147" fillId="54" borderId="0" applyNumberFormat="0" applyBorder="0">
      <alignment horizontal="center" wrapText="1"/>
    </xf>
    <xf numFmtId="0" fontId="36" fillId="59" borderId="0" applyNumberFormat="0" applyBorder="0"/>
    <xf numFmtId="0" fontId="147" fillId="46" borderId="0" applyNumberFormat="0" applyBorder="0">
      <alignment horizontal="center" wrapText="1"/>
    </xf>
    <xf numFmtId="0" fontId="36" fillId="60" borderId="0" applyNumberFormat="0" applyBorder="0">
      <protection locked="0"/>
    </xf>
    <xf numFmtId="0" fontId="147" fillId="55" borderId="0" applyNumberFormat="0" applyBorder="0">
      <alignment horizontal="center" wrapText="1"/>
    </xf>
    <xf numFmtId="0" fontId="148" fillId="0" borderId="0"/>
    <xf numFmtId="0" fontId="149" fillId="0" borderId="0"/>
    <xf numFmtId="0" fontId="150" fillId="0" borderId="0"/>
    <xf numFmtId="0" fontId="151" fillId="0" borderId="0"/>
    <xf numFmtId="0" fontId="152" fillId="0" borderId="0" applyNumberFormat="0" applyFill="0" applyBorder="0" applyAlignment="0" applyProtection="0"/>
    <xf numFmtId="0" fontId="117" fillId="0" borderId="0" applyNumberFormat="0" applyFill="0" applyBorder="0" applyAlignment="0" applyProtection="0"/>
    <xf numFmtId="0" fontId="153" fillId="0" borderId="0"/>
    <xf numFmtId="0" fontId="100" fillId="0" borderId="114" applyNumberFormat="0" applyFont="0" applyFill="0" applyAlignment="0" applyProtection="0"/>
    <xf numFmtId="0" fontId="154" fillId="0" borderId="0">
      <alignment horizontal="fill"/>
    </xf>
    <xf numFmtId="210" fontId="12" fillId="0" borderId="0" applyFont="0" applyFill="0" applyBorder="0" applyAlignment="0" applyProtection="0"/>
    <xf numFmtId="211" fontId="12" fillId="0" borderId="0" applyFont="0" applyFill="0" applyBorder="0" applyAlignment="0" applyProtection="0"/>
    <xf numFmtId="0" fontId="74" fillId="0" borderId="0" applyNumberFormat="0" applyFill="0" applyBorder="0" applyAlignment="0" applyProtection="0"/>
    <xf numFmtId="0" fontId="155" fillId="0" borderId="45" applyBorder="0" applyProtection="0">
      <alignment horizontal="right"/>
    </xf>
    <xf numFmtId="212" fontId="93" fillId="0" borderId="0" applyFont="0" applyFill="0" applyBorder="0" applyAlignment="0" applyProtection="0"/>
    <xf numFmtId="0" fontId="85" fillId="41" borderId="0" applyNumberFormat="0" applyBorder="0" applyAlignment="0" applyProtection="0"/>
    <xf numFmtId="0" fontId="85" fillId="39" borderId="0" applyNumberFormat="0" applyBorder="0" applyAlignment="0" applyProtection="0"/>
    <xf numFmtId="0" fontId="85" fillId="40" borderId="0" applyNumberFormat="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0" fontId="156" fillId="37" borderId="106" applyNumberFormat="0" applyAlignment="0" applyProtection="0"/>
    <xf numFmtId="0" fontId="12" fillId="61" borderId="0" applyNumberFormat="0" applyFont="0" applyBorder="0" applyAlignment="0">
      <protection locked="0"/>
    </xf>
    <xf numFmtId="0" fontId="12" fillId="61" borderId="0" applyNumberFormat="0" applyFont="0" applyBorder="0" applyAlignment="0">
      <protection locked="0"/>
    </xf>
    <xf numFmtId="0" fontId="12" fillId="61" borderId="0" applyNumberFormat="0" applyFont="0" applyBorder="0" applyAlignment="0">
      <protection locked="0"/>
    </xf>
    <xf numFmtId="0" fontId="123" fillId="46" borderId="112" applyNumberFormat="0" applyAlignment="0" applyProtection="0"/>
    <xf numFmtId="0" fontId="95" fillId="46" borderId="106" applyNumberFormat="0" applyAlignment="0" applyProtection="0"/>
    <xf numFmtId="0" fontId="157" fillId="0" borderId="0" applyNumberFormat="0" applyFill="0" applyBorder="0" applyAlignment="0" applyProtection="0"/>
    <xf numFmtId="0" fontId="158" fillId="0" borderId="0" applyNumberFormat="0" applyFill="0" applyBorder="0" applyAlignment="0" applyProtection="0">
      <alignment vertical="top"/>
      <protection locked="0"/>
    </xf>
    <xf numFmtId="0" fontId="159" fillId="0" borderId="0" applyNumberFormat="0" applyFill="0" applyBorder="0" applyAlignment="0" applyProtection="0"/>
    <xf numFmtId="203" fontId="76" fillId="0" borderId="0" applyFont="0" applyFill="0" applyBorder="0" applyAlignment="0" applyProtection="0"/>
    <xf numFmtId="0" fontId="76" fillId="0" borderId="0"/>
    <xf numFmtId="0" fontId="12" fillId="0" borderId="0"/>
    <xf numFmtId="0" fontId="12" fillId="0" borderId="0"/>
    <xf numFmtId="0" fontId="12" fillId="0" borderId="0"/>
    <xf numFmtId="0" fontId="12" fillId="0" borderId="0"/>
    <xf numFmtId="0" fontId="12" fillId="0" borderId="0"/>
    <xf numFmtId="0" fontId="160" fillId="0" borderId="115" applyNumberFormat="0" applyFill="0" applyAlignment="0" applyProtection="0"/>
    <xf numFmtId="0" fontId="161" fillId="0" borderId="116" applyNumberFormat="0" applyFill="0" applyAlignment="0" applyProtection="0"/>
    <xf numFmtId="0" fontId="113" fillId="0" borderId="117" applyNumberFormat="0" applyFill="0" applyAlignment="0" applyProtection="0"/>
    <xf numFmtId="0" fontId="113" fillId="0" borderId="0" applyNumberFormat="0" applyFill="0" applyBorder="0" applyAlignment="0" applyProtection="0"/>
    <xf numFmtId="0" fontId="162" fillId="0" borderId="118" applyNumberFormat="0" applyFill="0" applyAlignment="0" applyProtection="0"/>
    <xf numFmtId="0" fontId="97" fillId="49" borderId="107" applyNumberFormat="0" applyAlignment="0" applyProtection="0"/>
    <xf numFmtId="0" fontId="163" fillId="0" borderId="0" applyNumberFormat="0" applyFill="0" applyBorder="0" applyAlignment="0" applyProtection="0"/>
    <xf numFmtId="0" fontId="118" fillId="3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21" fillId="0" borderId="0"/>
    <xf numFmtId="0" fontId="15" fillId="0" borderId="0"/>
    <xf numFmtId="0" fontId="15" fillId="0" borderId="0"/>
    <xf numFmtId="0" fontId="164" fillId="0" borderId="0"/>
    <xf numFmtId="0" fontId="3" fillId="0" borderId="0"/>
    <xf numFmtId="0" fontId="1" fillId="0" borderId="0"/>
    <xf numFmtId="0" fontId="121" fillId="0" borderId="0"/>
    <xf numFmtId="0" fontId="3" fillId="0" borderId="0"/>
    <xf numFmtId="0" fontId="12" fillId="0" borderId="0"/>
    <xf numFmtId="0" fontId="15" fillId="0" borderId="0"/>
    <xf numFmtId="0" fontId="12" fillId="0" borderId="0"/>
    <xf numFmtId="0" fontId="12" fillId="0" borderId="0"/>
    <xf numFmtId="213" fontId="36" fillId="22" borderId="0">
      <alignment shrinkToFit="1"/>
    </xf>
    <xf numFmtId="0" fontId="89" fillId="45" borderId="0" applyNumberFormat="0" applyBorder="0" applyAlignment="0" applyProtection="0"/>
    <xf numFmtId="0" fontId="104" fillId="0" borderId="0" applyNumberFormat="0" applyFill="0" applyBorder="0" applyAlignment="0" applyProtection="0"/>
    <xf numFmtId="0" fontId="12" fillId="34" borderId="111" applyNumberFormat="0" applyFont="0" applyAlignment="0" applyProtection="0"/>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76"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0" fontId="12" fillId="0" borderId="0" applyFont="0" applyFill="0" applyBorder="0">
      <alignment horizontal="right"/>
    </xf>
    <xf numFmtId="0" fontId="12" fillId="0" borderId="0" applyFont="0" applyFill="0" applyBorder="0">
      <alignment horizontal="right"/>
    </xf>
    <xf numFmtId="0" fontId="12" fillId="0" borderId="0" applyFont="0" applyFill="0" applyBorder="0">
      <alignment horizontal="right"/>
    </xf>
    <xf numFmtId="0" fontId="74" fillId="0" borderId="110" applyNumberFormat="0" applyFill="0" applyAlignment="0" applyProtection="0"/>
    <xf numFmtId="0" fontId="42" fillId="0" borderId="0"/>
    <xf numFmtId="49" fontId="14" fillId="0" borderId="85">
      <alignment horizontal="left" wrapText="1"/>
      <protection locked="0"/>
    </xf>
    <xf numFmtId="0" fontId="74" fillId="0" borderId="0" applyNumberFormat="0" applyFill="0" applyBorder="0" applyAlignment="0" applyProtection="0"/>
    <xf numFmtId="179" fontId="15" fillId="0" borderId="0" applyFont="0" applyFill="0" applyBorder="0" applyAlignment="0" applyProtection="0"/>
    <xf numFmtId="180" fontId="15" fillId="0" borderId="0" applyFont="0" applyFill="0" applyBorder="0" applyAlignment="0" applyProtection="0"/>
    <xf numFmtId="214" fontId="165" fillId="0" borderId="85">
      <alignment shrinkToFit="1"/>
      <protection locked="0"/>
    </xf>
    <xf numFmtId="215" fontId="166" fillId="22" borderId="85" applyFill="0" applyBorder="0" applyProtection="0">
      <alignment shrinkToFit="1"/>
    </xf>
    <xf numFmtId="164" fontId="1" fillId="0" borderId="0" applyFont="0" applyFill="0" applyBorder="0" applyAlignment="0" applyProtection="0"/>
    <xf numFmtId="164" fontId="1" fillId="0" borderId="0" applyFont="0" applyFill="0" applyBorder="0" applyAlignment="0" applyProtection="0"/>
    <xf numFmtId="180" fontId="3" fillId="0" borderId="0" applyFont="0" applyFill="0" applyBorder="0" applyAlignment="0" applyProtection="0"/>
    <xf numFmtId="180" fontId="15" fillId="0" borderId="0" applyFont="0" applyFill="0" applyBorder="0" applyAlignment="0" applyProtection="0"/>
    <xf numFmtId="216" fontId="121" fillId="0" borderId="0" applyFont="0" applyFill="0" applyBorder="0" applyAlignment="0" applyProtection="0"/>
    <xf numFmtId="180" fontId="3" fillId="0" borderId="0" applyFont="0" applyFill="0" applyBorder="0" applyAlignment="0" applyProtection="0"/>
    <xf numFmtId="180" fontId="15" fillId="0" borderId="0" applyFont="0" applyFill="0" applyBorder="0" applyAlignment="0" applyProtection="0"/>
    <xf numFmtId="180" fontId="167" fillId="0" borderId="0" applyFont="0" applyFill="0" applyBorder="0" applyAlignment="0" applyProtection="0"/>
    <xf numFmtId="180" fontId="3" fillId="0" borderId="0" applyFont="0" applyFill="0" applyBorder="0" applyAlignment="0" applyProtection="0"/>
    <xf numFmtId="217" fontId="76" fillId="0" borderId="0" applyFont="0" applyFill="0" applyBorder="0" applyAlignment="0" applyProtection="0"/>
    <xf numFmtId="180" fontId="1"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0" fontId="106" fillId="36" borderId="0" applyNumberFormat="0" applyBorder="0" applyAlignment="0" applyProtection="0"/>
    <xf numFmtId="2" fontId="12" fillId="0" borderId="0" applyFont="0" applyFill="0" applyBorder="0">
      <alignment horizontal="right"/>
    </xf>
    <xf numFmtId="2" fontId="12" fillId="0" borderId="0" applyFont="0" applyFill="0" applyBorder="0">
      <alignment horizontal="right"/>
    </xf>
    <xf numFmtId="2" fontId="12" fillId="0" borderId="0" applyFont="0" applyFill="0" applyBorder="0">
      <alignment horizontal="right"/>
    </xf>
    <xf numFmtId="49" fontId="147" fillId="62" borderId="85">
      <alignment horizontal="center" vertical="center" wrapText="1"/>
    </xf>
    <xf numFmtId="0" fontId="180" fillId="0" borderId="0"/>
  </cellStyleXfs>
  <cellXfs count="930">
    <xf numFmtId="0" fontId="0" fillId="0" borderId="0" xfId="0"/>
    <xf numFmtId="0" fontId="4" fillId="2" borderId="0" xfId="2" applyFont="1" applyFill="1"/>
    <xf numFmtId="0" fontId="4" fillId="3" borderId="0" xfId="2" applyFont="1" applyFill="1"/>
    <xf numFmtId="165" fontId="4" fillId="3" borderId="0" xfId="1" applyNumberFormat="1" applyFont="1" applyFill="1"/>
    <xf numFmtId="0" fontId="4" fillId="3" borderId="0" xfId="2" applyFont="1" applyFill="1" applyAlignment="1">
      <alignment horizontal="left" indent="1"/>
    </xf>
    <xf numFmtId="166" fontId="4" fillId="3" borderId="0" xfId="2" applyNumberFormat="1" applyFont="1" applyFill="1"/>
    <xf numFmtId="9" fontId="4" fillId="3" borderId="0" xfId="2" applyNumberFormat="1" applyFont="1" applyFill="1"/>
    <xf numFmtId="9" fontId="4" fillId="3" borderId="0" xfId="1" applyFont="1" applyFill="1"/>
    <xf numFmtId="166" fontId="5" fillId="3" borderId="0" xfId="1" applyNumberFormat="1" applyFont="1" applyFill="1"/>
    <xf numFmtId="0" fontId="4" fillId="4" borderId="0" xfId="2" applyFont="1" applyFill="1"/>
    <xf numFmtId="1" fontId="4" fillId="3" borderId="0" xfId="2" applyNumberFormat="1" applyFont="1" applyFill="1"/>
    <xf numFmtId="3" fontId="4" fillId="3" borderId="0" xfId="2" applyNumberFormat="1" applyFont="1" applyFill="1"/>
    <xf numFmtId="167" fontId="4" fillId="3" borderId="0" xfId="2" applyNumberFormat="1" applyFont="1" applyFill="1"/>
    <xf numFmtId="1" fontId="5" fillId="3" borderId="0" xfId="2" applyNumberFormat="1" applyFont="1" applyFill="1"/>
    <xf numFmtId="0" fontId="5" fillId="3" borderId="0" xfId="2" applyFont="1" applyFill="1"/>
    <xf numFmtId="0" fontId="6" fillId="4" borderId="0" xfId="2" applyFont="1" applyFill="1"/>
    <xf numFmtId="0" fontId="7" fillId="3" borderId="0" xfId="2" applyFont="1" applyFill="1"/>
    <xf numFmtId="166" fontId="5" fillId="3" borderId="0" xfId="2" applyNumberFormat="1" applyFont="1" applyFill="1"/>
    <xf numFmtId="0" fontId="8" fillId="3" borderId="0" xfId="2" applyFont="1" applyFill="1"/>
    <xf numFmtId="168" fontId="5" fillId="3" borderId="1" xfId="2" applyNumberFormat="1" applyFont="1" applyFill="1" applyBorder="1"/>
    <xf numFmtId="17" fontId="4" fillId="3" borderId="0" xfId="2" applyNumberFormat="1" applyFont="1" applyFill="1"/>
    <xf numFmtId="3" fontId="0" fillId="0" borderId="0" xfId="0" applyNumberFormat="1"/>
    <xf numFmtId="9" fontId="0" fillId="0" borderId="0" xfId="1" applyFont="1"/>
    <xf numFmtId="0" fontId="2" fillId="0" borderId="0" xfId="0" applyFont="1"/>
    <xf numFmtId="1" fontId="0" fillId="0" borderId="0" xfId="0" applyNumberFormat="1"/>
    <xf numFmtId="169" fontId="0" fillId="0" borderId="0" xfId="0" applyNumberFormat="1"/>
    <xf numFmtId="167" fontId="0" fillId="0" borderId="0" xfId="0" applyNumberFormat="1"/>
    <xf numFmtId="166" fontId="0" fillId="0" borderId="0" xfId="0" applyNumberFormat="1"/>
    <xf numFmtId="0" fontId="2" fillId="4" borderId="0" xfId="2" applyFont="1" applyFill="1"/>
    <xf numFmtId="0" fontId="2" fillId="5" borderId="0" xfId="2" applyFont="1" applyFill="1"/>
    <xf numFmtId="165" fontId="3" fillId="5" borderId="0" xfId="2" applyNumberFormat="1" applyFill="1" applyAlignment="1">
      <alignment horizontal="center"/>
    </xf>
    <xf numFmtId="0" fontId="3" fillId="5" borderId="0" xfId="2" applyFill="1" applyAlignment="1">
      <alignment horizontal="center"/>
    </xf>
    <xf numFmtId="0" fontId="3" fillId="0" borderId="0" xfId="2"/>
    <xf numFmtId="3" fontId="3" fillId="0" borderId="0" xfId="2" applyNumberFormat="1" applyAlignment="1">
      <alignment horizontal="center"/>
    </xf>
    <xf numFmtId="165" fontId="3" fillId="0" borderId="0" xfId="2" applyNumberFormat="1" applyAlignment="1">
      <alignment horizontal="center"/>
    </xf>
    <xf numFmtId="14" fontId="3" fillId="0" borderId="0" xfId="2" applyNumberFormat="1" applyAlignment="1">
      <alignment horizontal="center"/>
    </xf>
    <xf numFmtId="0" fontId="2" fillId="0" borderId="0" xfId="2" applyFont="1"/>
    <xf numFmtId="3" fontId="2" fillId="0" borderId="0" xfId="2" applyNumberFormat="1" applyFont="1" applyAlignment="1">
      <alignment horizontal="center"/>
    </xf>
    <xf numFmtId="0" fontId="3" fillId="0" borderId="0" xfId="2" applyAlignment="1">
      <alignment horizontal="center"/>
    </xf>
    <xf numFmtId="0" fontId="3" fillId="4" borderId="0" xfId="2" applyFill="1"/>
    <xf numFmtId="165" fontId="3" fillId="4" borderId="0" xfId="2" applyNumberFormat="1" applyFill="1" applyAlignment="1">
      <alignment horizontal="center"/>
    </xf>
    <xf numFmtId="0" fontId="3" fillId="4" borderId="0" xfId="2" applyFill="1" applyAlignment="1">
      <alignment horizontal="center"/>
    </xf>
    <xf numFmtId="3" fontId="2" fillId="5" borderId="0" xfId="2" applyNumberFormat="1" applyFont="1" applyFill="1" applyAlignment="1">
      <alignment horizontal="center"/>
    </xf>
    <xf numFmtId="0" fontId="3" fillId="5" borderId="0" xfId="2" applyFill="1"/>
    <xf numFmtId="0" fontId="0" fillId="0" borderId="0" xfId="0" applyAlignment="1">
      <alignment horizontal="right"/>
    </xf>
    <xf numFmtId="0" fontId="3" fillId="0" borderId="0" xfId="2" applyFill="1" applyAlignment="1">
      <alignment horizontal="right"/>
    </xf>
    <xf numFmtId="166" fontId="2" fillId="0" borderId="0" xfId="0" applyNumberFormat="1" applyFont="1"/>
    <xf numFmtId="0" fontId="2" fillId="0" borderId="0" xfId="0" applyFont="1" applyAlignment="1">
      <alignment horizontal="right"/>
    </xf>
    <xf numFmtId="166" fontId="0" fillId="0" borderId="0" xfId="0" applyNumberFormat="1" applyAlignment="1">
      <alignment horizontal="right"/>
    </xf>
    <xf numFmtId="9" fontId="0" fillId="0" borderId="0" xfId="0" applyNumberFormat="1"/>
    <xf numFmtId="0" fontId="0" fillId="0" borderId="0" xfId="0" applyAlignment="1">
      <alignment horizontal="left"/>
    </xf>
    <xf numFmtId="0" fontId="0" fillId="0" borderId="0" xfId="0" applyAlignment="1">
      <alignment horizontal="left" wrapText="1"/>
    </xf>
    <xf numFmtId="2" fontId="0" fillId="0" borderId="0" xfId="0" applyNumberFormat="1"/>
    <xf numFmtId="3" fontId="2" fillId="0" borderId="0" xfId="0" applyNumberFormat="1" applyFont="1"/>
    <xf numFmtId="9" fontId="0" fillId="0" borderId="0" xfId="3" applyFont="1"/>
    <xf numFmtId="0" fontId="0" fillId="0" borderId="0" xfId="0" applyAlignment="1">
      <alignment wrapText="1"/>
    </xf>
    <xf numFmtId="3" fontId="9" fillId="0" borderId="0" xfId="0" applyNumberFormat="1" applyFont="1" applyAlignment="1">
      <alignment horizontal="left" vertical="center"/>
    </xf>
    <xf numFmtId="170" fontId="9" fillId="0" borderId="0" xfId="0" applyNumberFormat="1" applyFont="1" applyAlignment="1">
      <alignment horizontal="left" vertical="center"/>
    </xf>
    <xf numFmtId="3" fontId="10" fillId="0" borderId="0" xfId="0" applyNumberFormat="1" applyFont="1" applyAlignment="1">
      <alignment horizontal="center" vertical="center"/>
    </xf>
    <xf numFmtId="171" fontId="9" fillId="0" borderId="0" xfId="0" applyNumberFormat="1" applyFont="1" applyAlignment="1">
      <alignment horizontal="left" vertical="center"/>
    </xf>
    <xf numFmtId="0" fontId="0" fillId="0" borderId="4" xfId="0" applyBorder="1" applyAlignment="1">
      <alignment horizontal="center" vertical="top"/>
    </xf>
    <xf numFmtId="0" fontId="0" fillId="0" borderId="4" xfId="0" applyBorder="1"/>
    <xf numFmtId="172" fontId="0" fillId="0" borderId="4" xfId="0" applyNumberFormat="1" applyBorder="1"/>
    <xf numFmtId="172" fontId="0" fillId="0" borderId="0" xfId="0" applyNumberFormat="1"/>
    <xf numFmtId="1" fontId="2" fillId="0" borderId="0" xfId="0" applyNumberFormat="1" applyFont="1"/>
    <xf numFmtId="0" fontId="0" fillId="0" borderId="36" xfId="0" applyBorder="1"/>
    <xf numFmtId="0" fontId="0" fillId="0" borderId="37" xfId="0" applyBorder="1"/>
    <xf numFmtId="0" fontId="0" fillId="0" borderId="38" xfId="0" applyBorder="1"/>
    <xf numFmtId="0" fontId="0" fillId="0" borderId="39" xfId="0" applyBorder="1"/>
    <xf numFmtId="0" fontId="2" fillId="0" borderId="0" xfId="0" applyFont="1" applyBorder="1"/>
    <xf numFmtId="0" fontId="0" fillId="0" borderId="0" xfId="0" applyBorder="1"/>
    <xf numFmtId="0" fontId="0" fillId="0" borderId="40" xfId="0" applyBorder="1"/>
    <xf numFmtId="0" fontId="0" fillId="0" borderId="41" xfId="0" applyBorder="1"/>
    <xf numFmtId="0" fontId="0" fillId="0" borderId="42" xfId="0" applyBorder="1"/>
    <xf numFmtId="0" fontId="0" fillId="0" borderId="43" xfId="0" applyBorder="1"/>
    <xf numFmtId="167" fontId="0" fillId="0" borderId="0" xfId="0" applyNumberFormat="1" applyBorder="1"/>
    <xf numFmtId="167" fontId="2" fillId="0" borderId="0" xfId="0" applyNumberFormat="1" applyFont="1" applyBorder="1"/>
    <xf numFmtId="0" fontId="3" fillId="7" borderId="0" xfId="2" applyFill="1"/>
    <xf numFmtId="0" fontId="3" fillId="7" borderId="30" xfId="2" applyFill="1" applyBorder="1"/>
    <xf numFmtId="0" fontId="3" fillId="7" borderId="0" xfId="2" applyFill="1" applyAlignment="1">
      <alignment horizontal="center" vertical="center"/>
    </xf>
    <xf numFmtId="3" fontId="2" fillId="5" borderId="0" xfId="2" applyNumberFormat="1" applyFont="1" applyFill="1"/>
    <xf numFmtId="3" fontId="2" fillId="5" borderId="0" xfId="1" applyNumberFormat="1" applyFont="1" applyFill="1"/>
    <xf numFmtId="3" fontId="3" fillId="0" borderId="0" xfId="2" applyNumberFormat="1" applyAlignment="1">
      <alignment horizontal="center" vertical="center"/>
    </xf>
    <xf numFmtId="3" fontId="3" fillId="0" borderId="0" xfId="2" applyNumberFormat="1" applyFill="1" applyAlignment="1">
      <alignment horizontal="center" vertical="center"/>
    </xf>
    <xf numFmtId="3" fontId="3" fillId="0" borderId="0" xfId="2" applyNumberFormat="1"/>
    <xf numFmtId="165" fontId="0" fillId="0" borderId="0" xfId="3" applyNumberFormat="1" applyFont="1" applyAlignment="1">
      <alignment horizontal="center"/>
    </xf>
    <xf numFmtId="165" fontId="0" fillId="7" borderId="0" xfId="3" applyNumberFormat="1" applyFont="1" applyFill="1" applyAlignment="1">
      <alignment horizontal="center"/>
    </xf>
    <xf numFmtId="10" fontId="3" fillId="0" borderId="0" xfId="2" applyNumberFormat="1"/>
    <xf numFmtId="17" fontId="3" fillId="0" borderId="44" xfId="2" applyNumberFormat="1" applyBorder="1"/>
    <xf numFmtId="3" fontId="3" fillId="0" borderId="44" xfId="2" applyNumberFormat="1" applyBorder="1"/>
    <xf numFmtId="0" fontId="0" fillId="3" borderId="0" xfId="0" applyFill="1"/>
    <xf numFmtId="165" fontId="0" fillId="3" borderId="0" xfId="1" applyNumberFormat="1" applyFont="1" applyFill="1"/>
    <xf numFmtId="4" fontId="0" fillId="0" borderId="0" xfId="0" applyNumberFormat="1"/>
    <xf numFmtId="0" fontId="19" fillId="0" borderId="0" xfId="0" applyFont="1"/>
    <xf numFmtId="0" fontId="0" fillId="3" borderId="0" xfId="0" applyFill="1" applyBorder="1"/>
    <xf numFmtId="3" fontId="0" fillId="3" borderId="0" xfId="0" applyNumberFormat="1" applyFill="1" applyBorder="1"/>
    <xf numFmtId="176" fontId="0" fillId="3" borderId="0" xfId="20" applyNumberFormat="1" applyFont="1" applyFill="1"/>
    <xf numFmtId="0" fontId="24" fillId="12" borderId="0" xfId="2" applyFont="1" applyFill="1"/>
    <xf numFmtId="0" fontId="24" fillId="12" borderId="0" xfId="2" applyFont="1" applyFill="1" applyAlignment="1">
      <alignment horizontal="center"/>
    </xf>
    <xf numFmtId="0" fontId="4" fillId="3" borderId="0" xfId="2" applyFont="1" applyFill="1" applyAlignment="1">
      <alignment horizontal="left"/>
    </xf>
    <xf numFmtId="10" fontId="4" fillId="3" borderId="0" xfId="2" applyNumberFormat="1" applyFont="1" applyFill="1"/>
    <xf numFmtId="0" fontId="5" fillId="3" borderId="0" xfId="2" applyFont="1" applyFill="1" applyAlignment="1">
      <alignment horizontal="left" indent="1"/>
    </xf>
    <xf numFmtId="3" fontId="5" fillId="3" borderId="0" xfId="2" applyNumberFormat="1" applyFont="1" applyFill="1"/>
    <xf numFmtId="0" fontId="4" fillId="3" borderId="0" xfId="2" applyFont="1" applyFill="1" applyAlignment="1">
      <alignment horizontal="left" indent="3"/>
    </xf>
    <xf numFmtId="3" fontId="4" fillId="3" borderId="0" xfId="2" applyNumberFormat="1" applyFont="1" applyFill="1" applyBorder="1"/>
    <xf numFmtId="0" fontId="5" fillId="4" borderId="51" xfId="2" applyFont="1" applyFill="1" applyBorder="1"/>
    <xf numFmtId="177" fontId="30" fillId="0" borderId="0" xfId="2" applyNumberFormat="1" applyFont="1" applyAlignment="1">
      <alignment horizontal="center" vertical="center"/>
    </xf>
    <xf numFmtId="164" fontId="3" fillId="0" borderId="0" xfId="2" applyNumberFormat="1"/>
    <xf numFmtId="164" fontId="0" fillId="13" borderId="58" xfId="14" applyFont="1" applyFill="1" applyBorder="1" applyAlignment="1">
      <alignment horizontal="center" vertical="center"/>
    </xf>
    <xf numFmtId="0" fontId="31" fillId="13" borderId="59" xfId="0" applyFont="1" applyFill="1" applyBorder="1" applyAlignment="1">
      <alignment horizontal="center" vertical="center"/>
    </xf>
    <xf numFmtId="0" fontId="31" fillId="13" borderId="58" xfId="0" applyFont="1" applyFill="1" applyBorder="1" applyAlignment="1">
      <alignment horizontal="center" vertical="center"/>
    </xf>
    <xf numFmtId="0" fontId="31" fillId="13" borderId="60" xfId="0" applyFont="1" applyFill="1" applyBorder="1" applyAlignment="1">
      <alignment horizontal="center" vertical="center"/>
    </xf>
    <xf numFmtId="164" fontId="32" fillId="14" borderId="61" xfId="14" applyFont="1" applyFill="1" applyBorder="1" applyAlignment="1">
      <alignment horizontal="right" vertical="center"/>
    </xf>
    <xf numFmtId="164" fontId="32" fillId="14" borderId="62" xfId="14" applyFont="1" applyFill="1" applyBorder="1" applyAlignment="1">
      <alignment horizontal="right" vertical="center"/>
    </xf>
    <xf numFmtId="164" fontId="32" fillId="14" borderId="63" xfId="14" applyFont="1" applyFill="1" applyBorder="1" applyAlignment="1">
      <alignment horizontal="right" vertical="center"/>
    </xf>
    <xf numFmtId="0" fontId="31" fillId="14" borderId="64" xfId="0" applyFont="1" applyFill="1" applyBorder="1" applyAlignment="1">
      <alignment horizontal="center" vertical="center"/>
    </xf>
    <xf numFmtId="0" fontId="31" fillId="0" borderId="65" xfId="0" applyFont="1" applyBorder="1" applyAlignment="1">
      <alignment horizontal="center" vertical="center"/>
    </xf>
    <xf numFmtId="0" fontId="31" fillId="0" borderId="66" xfId="0" applyFont="1" applyBorder="1" applyAlignment="1">
      <alignment horizontal="center" vertical="center"/>
    </xf>
    <xf numFmtId="164" fontId="32" fillId="14" borderId="61" xfId="4" applyFont="1" applyFill="1" applyBorder="1" applyAlignment="1">
      <alignment horizontal="right" vertical="center"/>
    </xf>
    <xf numFmtId="164" fontId="32" fillId="14" borderId="67" xfId="4" applyFont="1" applyFill="1" applyBorder="1" applyAlignment="1">
      <alignment horizontal="right" vertical="center"/>
    </xf>
    <xf numFmtId="164" fontId="32" fillId="14" borderId="68" xfId="4" applyFont="1" applyFill="1" applyBorder="1" applyAlignment="1">
      <alignment horizontal="right" vertical="center"/>
    </xf>
    <xf numFmtId="164" fontId="32" fillId="14" borderId="67" xfId="14" applyFont="1" applyFill="1" applyBorder="1" applyAlignment="1">
      <alignment horizontal="right" vertical="center"/>
    </xf>
    <xf numFmtId="164" fontId="32" fillId="14" borderId="68" xfId="14" applyFont="1" applyFill="1" applyBorder="1" applyAlignment="1">
      <alignment horizontal="right" vertical="center"/>
    </xf>
    <xf numFmtId="164" fontId="32" fillId="0" borderId="61" xfId="4" applyFont="1" applyBorder="1" applyAlignment="1">
      <alignment horizontal="right" vertical="center"/>
    </xf>
    <xf numFmtId="164" fontId="32" fillId="0" borderId="67" xfId="4" applyFont="1" applyBorder="1" applyAlignment="1">
      <alignment horizontal="right" vertical="center"/>
    </xf>
    <xf numFmtId="164" fontId="32" fillId="0" borderId="68" xfId="4" applyFont="1" applyBorder="1" applyAlignment="1">
      <alignment horizontal="right" vertical="center"/>
    </xf>
    <xf numFmtId="164" fontId="32" fillId="0" borderId="61" xfId="14" applyFont="1" applyBorder="1" applyAlignment="1">
      <alignment horizontal="right" vertical="center"/>
    </xf>
    <xf numFmtId="164" fontId="32" fillId="0" borderId="67" xfId="14" applyFont="1" applyBorder="1" applyAlignment="1">
      <alignment horizontal="right" vertical="center"/>
    </xf>
    <xf numFmtId="164" fontId="32" fillId="0" borderId="68" xfId="14" applyFont="1" applyBorder="1" applyAlignment="1">
      <alignment horizontal="right" vertical="center"/>
    </xf>
    <xf numFmtId="0" fontId="31" fillId="0" borderId="69" xfId="0" applyFont="1" applyBorder="1" applyAlignment="1">
      <alignment horizontal="center" vertical="center"/>
    </xf>
    <xf numFmtId="164" fontId="32" fillId="0" borderId="67" xfId="4" applyFont="1" applyFill="1" applyBorder="1" applyAlignment="1">
      <alignment horizontal="right" vertical="center"/>
    </xf>
    <xf numFmtId="164" fontId="32" fillId="0" borderId="68" xfId="4" applyFont="1" applyFill="1" applyBorder="1" applyAlignment="1">
      <alignment horizontal="right" vertical="center"/>
    </xf>
    <xf numFmtId="164" fontId="32" fillId="0" borderId="67" xfId="14" applyFont="1" applyFill="1" applyBorder="1" applyAlignment="1">
      <alignment horizontal="right" vertical="center"/>
    </xf>
    <xf numFmtId="164" fontId="32" fillId="0" borderId="68" xfId="14" applyFont="1" applyFill="1" applyBorder="1" applyAlignment="1">
      <alignment horizontal="right" vertical="center"/>
    </xf>
    <xf numFmtId="164" fontId="32" fillId="0" borderId="74" xfId="4" applyFont="1" applyBorder="1" applyAlignment="1">
      <alignment horizontal="right" vertical="center"/>
    </xf>
    <xf numFmtId="164" fontId="32" fillId="0" borderId="69" xfId="4" applyFont="1" applyBorder="1" applyAlignment="1">
      <alignment horizontal="right" vertical="center"/>
    </xf>
    <xf numFmtId="164" fontId="32" fillId="0" borderId="75" xfId="4" applyFont="1" applyBorder="1" applyAlignment="1">
      <alignment horizontal="right" vertical="center"/>
    </xf>
    <xf numFmtId="164" fontId="32" fillId="0" borderId="74" xfId="14" applyFont="1" applyBorder="1" applyAlignment="1">
      <alignment horizontal="right" vertical="center"/>
    </xf>
    <xf numFmtId="164" fontId="32" fillId="0" borderId="69" xfId="14" applyFont="1" applyBorder="1" applyAlignment="1">
      <alignment horizontal="right" vertical="center"/>
    </xf>
    <xf numFmtId="164" fontId="32" fillId="0" borderId="75" xfId="14" applyFont="1" applyBorder="1" applyAlignment="1">
      <alignment horizontal="right" vertical="center"/>
    </xf>
    <xf numFmtId="3" fontId="30" fillId="13" borderId="60" xfId="2" applyNumberFormat="1" applyFont="1" applyFill="1" applyBorder="1" applyAlignment="1">
      <alignment horizontal="center" vertical="center"/>
    </xf>
    <xf numFmtId="0" fontId="30" fillId="13" borderId="60" xfId="2" applyFont="1" applyFill="1" applyBorder="1" applyAlignment="1">
      <alignment horizontal="center" vertical="center"/>
    </xf>
    <xf numFmtId="0" fontId="30" fillId="13" borderId="78" xfId="2" applyFont="1" applyFill="1" applyBorder="1" applyAlignment="1">
      <alignment horizontal="center" vertical="center"/>
    </xf>
    <xf numFmtId="3" fontId="30" fillId="13" borderId="60" xfId="0" applyNumberFormat="1" applyFont="1" applyFill="1" applyBorder="1" applyAlignment="1">
      <alignment horizontal="center" vertical="center"/>
    </xf>
    <xf numFmtId="0" fontId="30" fillId="13" borderId="60" xfId="0" applyFont="1" applyFill="1" applyBorder="1" applyAlignment="1">
      <alignment horizontal="center" vertical="center"/>
    </xf>
    <xf numFmtId="0" fontId="30" fillId="13" borderId="78" xfId="0" applyFont="1" applyFill="1" applyBorder="1" applyAlignment="1">
      <alignment horizontal="center" vertical="center"/>
    </xf>
    <xf numFmtId="164" fontId="0" fillId="13" borderId="0" xfId="4" applyFont="1" applyFill="1" applyBorder="1" applyAlignment="1">
      <alignment horizontal="center" vertical="center"/>
    </xf>
    <xf numFmtId="0" fontId="31" fillId="13" borderId="0" xfId="2" applyFont="1" applyFill="1" applyBorder="1" applyAlignment="1">
      <alignment horizontal="center" vertical="center"/>
    </xf>
    <xf numFmtId="164" fontId="0" fillId="13" borderId="58" xfId="4" applyFont="1" applyFill="1" applyBorder="1" applyAlignment="1">
      <alignment horizontal="center" vertical="center"/>
    </xf>
    <xf numFmtId="164" fontId="0" fillId="13" borderId="76" xfId="4" applyFont="1" applyFill="1" applyBorder="1" applyAlignment="1">
      <alignment horizontal="center" vertical="center"/>
    </xf>
    <xf numFmtId="0" fontId="31" fillId="13" borderId="59" xfId="2" applyFont="1" applyFill="1" applyBorder="1" applyAlignment="1">
      <alignment horizontal="center" vertical="center"/>
    </xf>
    <xf numFmtId="0" fontId="31" fillId="13" borderId="58" xfId="2" applyFont="1" applyFill="1" applyBorder="1" applyAlignment="1">
      <alignment horizontal="center" vertical="center"/>
    </xf>
    <xf numFmtId="0" fontId="31" fillId="13" borderId="60" xfId="2" applyFont="1" applyFill="1" applyBorder="1" applyAlignment="1">
      <alignment horizontal="center" vertical="center"/>
    </xf>
    <xf numFmtId="164" fontId="32" fillId="14" borderId="62" xfId="4" applyFont="1" applyFill="1" applyBorder="1" applyAlignment="1">
      <alignment horizontal="right" vertical="center"/>
    </xf>
    <xf numFmtId="164" fontId="32" fillId="14" borderId="63" xfId="4" applyFont="1" applyFill="1" applyBorder="1" applyAlignment="1">
      <alignment horizontal="right" vertical="center"/>
    </xf>
    <xf numFmtId="0" fontId="31" fillId="14" borderId="64" xfId="2" applyFont="1" applyFill="1" applyBorder="1" applyAlignment="1">
      <alignment horizontal="center" vertical="center"/>
    </xf>
    <xf numFmtId="0" fontId="31" fillId="0" borderId="65" xfId="2" applyFont="1" applyBorder="1" applyAlignment="1">
      <alignment horizontal="center" vertical="center"/>
    </xf>
    <xf numFmtId="0" fontId="31" fillId="0" borderId="66" xfId="2" applyFont="1" applyBorder="1" applyAlignment="1">
      <alignment horizontal="center" vertical="center"/>
    </xf>
    <xf numFmtId="0" fontId="31" fillId="0" borderId="69" xfId="2" applyFont="1" applyBorder="1" applyAlignment="1">
      <alignment horizontal="center" vertical="center"/>
    </xf>
    <xf numFmtId="0" fontId="33" fillId="0" borderId="0" xfId="2" applyFont="1"/>
    <xf numFmtId="164" fontId="33" fillId="0" borderId="0" xfId="2" applyNumberFormat="1" applyFont="1"/>
    <xf numFmtId="0" fontId="34" fillId="0" borderId="0" xfId="2" applyFont="1"/>
    <xf numFmtId="49" fontId="34" fillId="0" borderId="0" xfId="2" applyNumberFormat="1" applyFont="1"/>
    <xf numFmtId="1" fontId="30" fillId="0" borderId="0" xfId="2" applyNumberFormat="1" applyFont="1" applyAlignment="1">
      <alignment horizontal="center" vertical="center"/>
    </xf>
    <xf numFmtId="0" fontId="11" fillId="0" borderId="0" xfId="2" applyFont="1"/>
    <xf numFmtId="0" fontId="30" fillId="0" borderId="0" xfId="2" applyFont="1"/>
    <xf numFmtId="0" fontId="30" fillId="0" borderId="0" xfId="2" applyFont="1" applyAlignment="1">
      <alignment horizontal="center" vertical="center"/>
    </xf>
    <xf numFmtId="0" fontId="35" fillId="0" borderId="0" xfId="2" applyFont="1"/>
    <xf numFmtId="166" fontId="2" fillId="11" borderId="0" xfId="2" applyNumberFormat="1" applyFont="1" applyFill="1"/>
    <xf numFmtId="0" fontId="3" fillId="11" borderId="0" xfId="2" applyFill="1"/>
    <xf numFmtId="0" fontId="2" fillId="11" borderId="0" xfId="2" applyFont="1" applyFill="1" applyAlignment="1">
      <alignment horizontal="right"/>
    </xf>
    <xf numFmtId="164" fontId="0" fillId="13" borderId="65" xfId="4" applyFont="1" applyFill="1" applyBorder="1" applyAlignment="1">
      <alignment horizontal="center" vertical="center"/>
    </xf>
    <xf numFmtId="164" fontId="32" fillId="15" borderId="61" xfId="4" applyFont="1" applyFill="1" applyBorder="1" applyAlignment="1">
      <alignment horizontal="right" vertical="center"/>
    </xf>
    <xf numFmtId="164" fontId="32" fillId="15" borderId="67" xfId="4" applyFont="1" applyFill="1" applyBorder="1" applyAlignment="1">
      <alignment horizontal="right" vertical="center"/>
    </xf>
    <xf numFmtId="0" fontId="30" fillId="16" borderId="60" xfId="2" applyFont="1" applyFill="1" applyBorder="1" applyAlignment="1">
      <alignment horizontal="center" vertical="center"/>
    </xf>
    <xf numFmtId="17" fontId="30" fillId="16" borderId="60" xfId="2" applyNumberFormat="1" applyFont="1" applyFill="1" applyBorder="1" applyAlignment="1">
      <alignment horizontal="center" vertical="center"/>
    </xf>
    <xf numFmtId="17" fontId="30" fillId="16" borderId="78" xfId="0" applyNumberFormat="1" applyFont="1" applyFill="1" applyBorder="1" applyAlignment="1">
      <alignment horizontal="center" vertical="center"/>
    </xf>
    <xf numFmtId="17" fontId="30" fillId="13" borderId="78" xfId="0" applyNumberFormat="1" applyFont="1" applyFill="1" applyBorder="1" applyAlignment="1">
      <alignment horizontal="center" vertical="center"/>
    </xf>
    <xf numFmtId="0" fontId="3" fillId="0" borderId="0" xfId="2" applyBorder="1"/>
    <xf numFmtId="3" fontId="30" fillId="13" borderId="78" xfId="0" applyNumberFormat="1" applyFont="1" applyFill="1" applyBorder="1" applyAlignment="1">
      <alignment horizontal="center" vertical="center"/>
    </xf>
    <xf numFmtId="0" fontId="30" fillId="0" borderId="0" xfId="0" applyFont="1" applyFill="1" applyBorder="1" applyAlignment="1">
      <alignment vertical="center"/>
    </xf>
    <xf numFmtId="0" fontId="3" fillId="0" borderId="0" xfId="2" applyFill="1"/>
    <xf numFmtId="164" fontId="12" fillId="14" borderId="74" xfId="4" applyFont="1" applyFill="1" applyBorder="1" applyAlignment="1">
      <alignment horizontal="right" vertical="center"/>
    </xf>
    <xf numFmtId="164" fontId="12" fillId="14" borderId="62" xfId="4" applyFont="1" applyFill="1" applyBorder="1" applyAlignment="1">
      <alignment horizontal="right" vertical="center"/>
    </xf>
    <xf numFmtId="164" fontId="12" fillId="14" borderId="63" xfId="4" applyFont="1" applyFill="1" applyBorder="1" applyAlignment="1">
      <alignment horizontal="right" vertical="center"/>
    </xf>
    <xf numFmtId="0" fontId="31" fillId="14" borderId="64" xfId="22" applyFont="1" applyFill="1" applyBorder="1" applyAlignment="1">
      <alignment horizontal="center" vertical="center"/>
    </xf>
    <xf numFmtId="0" fontId="31" fillId="0" borderId="65" xfId="22" applyFont="1" applyBorder="1" applyAlignment="1">
      <alignment horizontal="center" vertical="center"/>
    </xf>
    <xf numFmtId="164" fontId="12" fillId="14" borderId="67" xfId="4" applyFont="1" applyFill="1" applyBorder="1" applyAlignment="1">
      <alignment horizontal="right" vertical="center"/>
    </xf>
    <xf numFmtId="164" fontId="12" fillId="15" borderId="67" xfId="4" applyFont="1" applyFill="1" applyBorder="1" applyAlignment="1">
      <alignment horizontal="right" vertical="center"/>
    </xf>
    <xf numFmtId="0" fontId="31" fillId="0" borderId="69" xfId="22" applyFont="1" applyBorder="1" applyAlignment="1">
      <alignment horizontal="center" vertical="center"/>
    </xf>
    <xf numFmtId="0" fontId="2" fillId="3" borderId="0" xfId="0" applyFont="1" applyFill="1"/>
    <xf numFmtId="165" fontId="3" fillId="0" borderId="0" xfId="1" applyNumberFormat="1" applyFont="1"/>
    <xf numFmtId="178" fontId="0" fillId="3" borderId="0" xfId="0" applyNumberFormat="1" applyFill="1"/>
    <xf numFmtId="176" fontId="0" fillId="3" borderId="0" xfId="0" applyNumberFormat="1" applyFill="1"/>
    <xf numFmtId="9" fontId="0" fillId="3" borderId="0" xfId="1" applyFont="1" applyFill="1"/>
    <xf numFmtId="9" fontId="0" fillId="3" borderId="0" xfId="1" applyNumberFormat="1" applyFont="1" applyFill="1"/>
    <xf numFmtId="0" fontId="29" fillId="3" borderId="0" xfId="0" applyFont="1" applyFill="1"/>
    <xf numFmtId="9" fontId="0" fillId="3" borderId="0" xfId="0" applyNumberFormat="1" applyFill="1"/>
    <xf numFmtId="3" fontId="2" fillId="0" borderId="50" xfId="0" applyNumberFormat="1" applyFont="1" applyBorder="1"/>
    <xf numFmtId="3" fontId="2" fillId="0" borderId="86" xfId="0" applyNumberFormat="1" applyFont="1" applyBorder="1"/>
    <xf numFmtId="0" fontId="2" fillId="0" borderId="49" xfId="0" applyFont="1" applyFill="1" applyBorder="1"/>
    <xf numFmtId="3" fontId="0" fillId="0" borderId="57" xfId="0" applyNumberFormat="1" applyBorder="1"/>
    <xf numFmtId="3" fontId="0" fillId="0" borderId="0" xfId="0" applyNumberFormat="1" applyBorder="1"/>
    <xf numFmtId="0" fontId="0" fillId="0" borderId="12" xfId="0" applyBorder="1"/>
    <xf numFmtId="0" fontId="0" fillId="7" borderId="57" xfId="0" applyFill="1" applyBorder="1"/>
    <xf numFmtId="0" fontId="0" fillId="7" borderId="0" xfId="0" applyFill="1" applyBorder="1"/>
    <xf numFmtId="16" fontId="0" fillId="7" borderId="0" xfId="0" applyNumberFormat="1" applyFill="1" applyBorder="1"/>
    <xf numFmtId="0" fontId="2" fillId="7" borderId="0" xfId="0" applyFont="1" applyFill="1" applyBorder="1"/>
    <xf numFmtId="0" fontId="2" fillId="7" borderId="12" xfId="0" applyFont="1" applyFill="1" applyBorder="1"/>
    <xf numFmtId="0" fontId="0" fillId="0" borderId="57" xfId="0" applyBorder="1"/>
    <xf numFmtId="0" fontId="2" fillId="0" borderId="12" xfId="0" applyFont="1" applyBorder="1"/>
    <xf numFmtId="3" fontId="2" fillId="0" borderId="57" xfId="0" applyNumberFormat="1" applyFont="1" applyBorder="1"/>
    <xf numFmtId="3" fontId="2" fillId="0" borderId="0" xfId="0" applyNumberFormat="1" applyFont="1" applyBorder="1"/>
    <xf numFmtId="0" fontId="0" fillId="0" borderId="48" xfId="0" applyBorder="1"/>
    <xf numFmtId="0" fontId="2" fillId="0" borderId="21" xfId="0" applyFont="1" applyBorder="1"/>
    <xf numFmtId="3" fontId="41" fillId="0" borderId="57" xfId="0" applyNumberFormat="1" applyFont="1" applyBorder="1"/>
    <xf numFmtId="3" fontId="41" fillId="0" borderId="0" xfId="0" applyNumberFormat="1" applyFont="1" applyBorder="1"/>
    <xf numFmtId="0" fontId="43" fillId="0" borderId="0" xfId="26" applyFont="1"/>
    <xf numFmtId="9" fontId="47" fillId="20" borderId="94" xfId="26" applyNumberFormat="1" applyFont="1" applyFill="1" applyBorder="1" applyAlignment="1">
      <alignment horizontal="center"/>
    </xf>
    <xf numFmtId="9" fontId="43" fillId="20" borderId="19" xfId="26" applyNumberFormat="1" applyFont="1" applyFill="1" applyBorder="1" applyAlignment="1">
      <alignment horizontal="center"/>
    </xf>
    <xf numFmtId="9" fontId="43" fillId="0" borderId="19" xfId="26" applyNumberFormat="1" applyFont="1" applyBorder="1" applyAlignment="1">
      <alignment horizontal="center"/>
    </xf>
    <xf numFmtId="0" fontId="47" fillId="0" borderId="17" xfId="26" applyFont="1" applyBorder="1" applyAlignment="1">
      <alignment horizontal="center" vertical="top" wrapText="1"/>
    </xf>
    <xf numFmtId="14" fontId="47" fillId="0" borderId="0" xfId="26" applyNumberFormat="1" applyFont="1" applyAlignment="1">
      <alignment horizontal="left"/>
    </xf>
    <xf numFmtId="0" fontId="48" fillId="0" borderId="0" xfId="26" applyFont="1"/>
    <xf numFmtId="14" fontId="47" fillId="0" borderId="0" xfId="26" applyNumberFormat="1" applyFont="1" applyAlignment="1">
      <alignment horizontal="left" vertical="center"/>
    </xf>
    <xf numFmtId="0" fontId="47" fillId="0" borderId="0" xfId="26" applyFont="1"/>
    <xf numFmtId="3" fontId="47" fillId="20" borderId="11" xfId="26" applyNumberFormat="1" applyFont="1" applyFill="1" applyBorder="1" applyAlignment="1">
      <alignment horizontal="right" vertical="top" wrapText="1"/>
    </xf>
    <xf numFmtId="3" fontId="47" fillId="20" borderId="11" xfId="26" applyNumberFormat="1" applyFont="1" applyFill="1" applyBorder="1" applyAlignment="1">
      <alignment horizontal="center" vertical="top" wrapText="1"/>
    </xf>
    <xf numFmtId="0" fontId="47" fillId="20" borderId="11" xfId="26" applyFont="1" applyFill="1" applyBorder="1" applyAlignment="1">
      <alignment horizontal="left" vertical="top" wrapText="1"/>
    </xf>
    <xf numFmtId="0" fontId="47" fillId="20" borderId="98" xfId="26" applyFont="1" applyFill="1" applyBorder="1" applyAlignment="1">
      <alignment horizontal="right" vertical="top" wrapText="1"/>
    </xf>
    <xf numFmtId="3" fontId="47" fillId="20" borderId="85" xfId="26" applyNumberFormat="1" applyFont="1" applyFill="1" applyBorder="1" applyAlignment="1">
      <alignment horizontal="right" vertical="top" wrapText="1"/>
    </xf>
    <xf numFmtId="3" fontId="47" fillId="20" borderId="85" xfId="26" applyNumberFormat="1" applyFont="1" applyFill="1" applyBorder="1" applyAlignment="1">
      <alignment horizontal="center" vertical="top" wrapText="1"/>
    </xf>
    <xf numFmtId="0" fontId="47" fillId="20" borderId="85" xfId="26" applyFont="1" applyFill="1" applyBorder="1" applyAlignment="1">
      <alignment horizontal="left" vertical="top" wrapText="1"/>
    </xf>
    <xf numFmtId="0" fontId="47" fillId="20" borderId="28" xfId="26" applyFont="1" applyFill="1" applyBorder="1" applyAlignment="1">
      <alignment horizontal="right" vertical="top" wrapText="1"/>
    </xf>
    <xf numFmtId="0" fontId="43" fillId="3" borderId="85" xfId="26" applyFont="1" applyFill="1" applyBorder="1"/>
    <xf numFmtId="3" fontId="43" fillId="3" borderId="85" xfId="26" applyNumberFormat="1" applyFont="1" applyFill="1" applyBorder="1" applyAlignment="1" applyProtection="1">
      <alignment horizontal="center" wrapText="1"/>
      <protection locked="0"/>
    </xf>
    <xf numFmtId="0" fontId="43" fillId="3" borderId="85" xfId="26" applyFont="1" applyFill="1" applyBorder="1" applyAlignment="1">
      <alignment horizontal="left" vertical="top" wrapText="1"/>
    </xf>
    <xf numFmtId="0" fontId="47" fillId="3" borderId="28" xfId="26" applyFont="1" applyFill="1" applyBorder="1" applyAlignment="1" applyProtection="1">
      <alignment horizontal="left" vertical="top" wrapText="1"/>
      <protection locked="0"/>
    </xf>
    <xf numFmtId="0" fontId="43" fillId="0" borderId="85" xfId="26" applyFont="1" applyBorder="1"/>
    <xf numFmtId="3" fontId="47" fillId="3" borderId="85" xfId="26" applyNumberFormat="1" applyFont="1" applyFill="1" applyBorder="1" applyAlignment="1" applyProtection="1">
      <alignment horizontal="center" wrapText="1"/>
      <protection locked="0"/>
    </xf>
    <xf numFmtId="180" fontId="43" fillId="3" borderId="85" xfId="26" applyNumberFormat="1" applyFont="1" applyFill="1" applyBorder="1" applyAlignment="1" applyProtection="1">
      <alignment horizontal="left" vertical="top" wrapText="1"/>
      <protection locked="0"/>
    </xf>
    <xf numFmtId="14" fontId="43" fillId="3" borderId="85" xfId="26" applyNumberFormat="1" applyFont="1" applyFill="1" applyBorder="1"/>
    <xf numFmtId="179" fontId="43" fillId="3" borderId="85" xfId="26" applyNumberFormat="1" applyFont="1" applyFill="1" applyBorder="1" applyAlignment="1" applyProtection="1">
      <alignment horizontal="center" wrapText="1"/>
      <protection locked="0"/>
    </xf>
    <xf numFmtId="0" fontId="43" fillId="3" borderId="28" xfId="26" applyFont="1" applyFill="1" applyBorder="1" applyAlignment="1" applyProtection="1">
      <alignment horizontal="left" vertical="top" wrapText="1"/>
      <protection locked="0"/>
    </xf>
    <xf numFmtId="183" fontId="43" fillId="3" borderId="85" xfId="26" applyNumberFormat="1" applyFont="1" applyFill="1" applyBorder="1" applyAlignment="1" applyProtection="1">
      <alignment horizontal="center" vertical="top" wrapText="1"/>
      <protection locked="0"/>
    </xf>
    <xf numFmtId="0" fontId="43" fillId="3" borderId="28" xfId="26" applyFont="1" applyFill="1" applyBorder="1" applyAlignment="1">
      <alignment horizontal="left" wrapText="1"/>
    </xf>
    <xf numFmtId="0" fontId="49" fillId="6" borderId="14" xfId="26" applyFont="1" applyFill="1" applyBorder="1" applyAlignment="1">
      <alignment horizontal="center" vertical="top" wrapText="1"/>
    </xf>
    <xf numFmtId="183" fontId="47" fillId="20" borderId="11" xfId="26" applyNumberFormat="1" applyFont="1" applyFill="1" applyBorder="1" applyAlignment="1">
      <alignment horizontal="left" vertical="top" wrapText="1"/>
    </xf>
    <xf numFmtId="0" fontId="47" fillId="8" borderId="11" xfId="26" applyFont="1" applyFill="1" applyBorder="1" applyAlignment="1">
      <alignment horizontal="center" vertical="top" wrapText="1"/>
    </xf>
    <xf numFmtId="0" fontId="43" fillId="8" borderId="10" xfId="26" applyFont="1" applyFill="1" applyBorder="1" applyAlignment="1">
      <alignment vertical="top" wrapText="1"/>
    </xf>
    <xf numFmtId="0" fontId="43" fillId="20" borderId="10" xfId="26" applyFont="1" applyFill="1" applyBorder="1" applyAlignment="1">
      <alignment vertical="top" wrapText="1"/>
    </xf>
    <xf numFmtId="9" fontId="51" fillId="20" borderId="11" xfId="26" applyNumberFormat="1" applyFont="1" applyFill="1" applyBorder="1" applyAlignment="1">
      <alignment horizontal="center" vertical="top" wrapText="1"/>
    </xf>
    <xf numFmtId="0" fontId="49" fillId="20" borderId="98" xfId="26" applyFont="1" applyFill="1" applyBorder="1" applyAlignment="1">
      <alignment horizontal="right" vertical="top" wrapText="1"/>
    </xf>
    <xf numFmtId="0" fontId="47" fillId="20" borderId="92" xfId="26" applyFont="1" applyFill="1" applyBorder="1" applyAlignment="1">
      <alignment horizontal="left" vertical="top" wrapText="1"/>
    </xf>
    <xf numFmtId="183" fontId="47" fillId="20" borderId="92" xfId="26" applyNumberFormat="1" applyFont="1" applyFill="1" applyBorder="1" applyAlignment="1">
      <alignment horizontal="left" vertical="top" wrapText="1"/>
    </xf>
    <xf numFmtId="3" fontId="47" fillId="8" borderId="92" xfId="26" applyNumberFormat="1" applyFont="1" applyFill="1" applyBorder="1" applyAlignment="1">
      <alignment horizontal="center" vertical="top" wrapText="1"/>
    </xf>
    <xf numFmtId="0" fontId="47" fillId="20" borderId="92" xfId="26" applyFont="1" applyFill="1" applyBorder="1" applyAlignment="1">
      <alignment horizontal="center" vertical="top" wrapText="1"/>
    </xf>
    <xf numFmtId="0" fontId="47" fillId="20" borderId="104" xfId="26" applyFont="1" applyFill="1" applyBorder="1" applyAlignment="1">
      <alignment horizontal="left" vertical="top" wrapText="1"/>
    </xf>
    <xf numFmtId="183" fontId="47" fillId="20" borderId="85" xfId="26" applyNumberFormat="1" applyFont="1" applyFill="1" applyBorder="1" applyAlignment="1">
      <alignment horizontal="left" vertical="top" wrapText="1"/>
    </xf>
    <xf numFmtId="0" fontId="47" fillId="8" borderId="85" xfId="26" applyFont="1" applyFill="1" applyBorder="1" applyAlignment="1">
      <alignment horizontal="center" vertical="top" wrapText="1"/>
    </xf>
    <xf numFmtId="0" fontId="47" fillId="20" borderId="85" xfId="26" applyFont="1" applyFill="1" applyBorder="1" applyAlignment="1">
      <alignment horizontal="center" vertical="top" wrapText="1"/>
    </xf>
    <xf numFmtId="181" fontId="47" fillId="8" borderId="85" xfId="26" applyNumberFormat="1" applyFont="1" applyFill="1" applyBorder="1" applyAlignment="1">
      <alignment horizontal="center" vertical="top" wrapText="1"/>
    </xf>
    <xf numFmtId="3" fontId="47" fillId="8" borderId="85" xfId="26" applyNumberFormat="1" applyFont="1" applyFill="1" applyBorder="1" applyAlignment="1">
      <alignment horizontal="center" vertical="top" wrapText="1"/>
    </xf>
    <xf numFmtId="0" fontId="52" fillId="20" borderId="85" xfId="26" applyFont="1" applyFill="1" applyBorder="1" applyAlignment="1">
      <alignment horizontal="center" vertical="top" wrapText="1"/>
    </xf>
    <xf numFmtId="0" fontId="43" fillId="20" borderId="85" xfId="26" applyFont="1" applyFill="1" applyBorder="1" applyAlignment="1" applyProtection="1">
      <alignment horizontal="left" vertical="top" wrapText="1"/>
      <protection locked="0"/>
    </xf>
    <xf numFmtId="183" fontId="43" fillId="20" borderId="85" xfId="26" applyNumberFormat="1" applyFont="1" applyFill="1" applyBorder="1" applyAlignment="1" applyProtection="1">
      <alignment horizontal="center" vertical="top" wrapText="1"/>
      <protection locked="0"/>
    </xf>
    <xf numFmtId="9" fontId="43" fillId="20" borderId="85" xfId="26" applyNumberFormat="1" applyFont="1" applyFill="1" applyBorder="1" applyAlignment="1" applyProtection="1">
      <alignment horizontal="center" vertical="top" wrapText="1"/>
      <protection locked="0"/>
    </xf>
    <xf numFmtId="0" fontId="43" fillId="20" borderId="85" xfId="26" applyFont="1" applyFill="1" applyBorder="1" applyAlignment="1" applyProtection="1">
      <alignment horizontal="center" vertical="top" wrapText="1"/>
      <protection locked="0"/>
    </xf>
    <xf numFmtId="0" fontId="43" fillId="20" borderId="85" xfId="26" applyFont="1" applyFill="1" applyBorder="1" applyAlignment="1">
      <alignment wrapText="1"/>
    </xf>
    <xf numFmtId="0" fontId="47" fillId="20" borderId="28" xfId="26" applyFont="1" applyFill="1" applyBorder="1" applyAlignment="1">
      <alignment wrapText="1"/>
    </xf>
    <xf numFmtId="181" fontId="43" fillId="0" borderId="85" xfId="27" applyNumberFormat="1" applyFont="1" applyBorder="1" applyAlignment="1">
      <alignment horizontal="center" vertical="top" wrapText="1"/>
    </xf>
    <xf numFmtId="181" fontId="43" fillId="20" borderId="85" xfId="26" applyNumberFormat="1" applyFont="1" applyFill="1" applyBorder="1" applyAlignment="1" applyProtection="1">
      <alignment horizontal="center" vertical="top" wrapText="1"/>
      <protection locked="0"/>
    </xf>
    <xf numFmtId="0" fontId="43" fillId="0" borderId="0" xfId="26" applyFont="1" applyAlignment="1">
      <alignment horizontal="left" wrapText="1"/>
    </xf>
    <xf numFmtId="10" fontId="43" fillId="0" borderId="85" xfId="17" applyNumberFormat="1" applyFont="1" applyFill="1" applyBorder="1" applyAlignment="1" applyProtection="1">
      <alignment horizontal="left" wrapText="1"/>
      <protection locked="0"/>
    </xf>
    <xf numFmtId="9" fontId="43" fillId="0" borderId="85" xfId="17" applyFont="1" applyFill="1" applyBorder="1" applyAlignment="1" applyProtection="1">
      <alignment horizontal="left" wrapText="1"/>
      <protection locked="0"/>
    </xf>
    <xf numFmtId="3" fontId="49" fillId="20" borderId="14" xfId="26" applyNumberFormat="1" applyFont="1" applyFill="1" applyBorder="1" applyAlignment="1">
      <alignment horizontal="center" vertical="top" wrapText="1"/>
    </xf>
    <xf numFmtId="0" fontId="49" fillId="20" borderId="24" xfId="26" applyFont="1" applyFill="1" applyBorder="1" applyAlignment="1">
      <alignment horizontal="left" vertical="top" wrapText="1"/>
    </xf>
    <xf numFmtId="0" fontId="49" fillId="20" borderId="24" xfId="26" applyFont="1" applyFill="1" applyBorder="1" applyAlignment="1">
      <alignment horizontal="left" wrapText="1"/>
    </xf>
    <xf numFmtId="175" fontId="20" fillId="0" borderId="0" xfId="28" applyFont="1"/>
    <xf numFmtId="0" fontId="54" fillId="0" borderId="0" xfId="28" applyNumberFormat="1" applyFont="1" applyAlignment="1">
      <alignment horizontal="center"/>
    </xf>
    <xf numFmtId="0" fontId="54" fillId="0" borderId="0" xfId="28" applyNumberFormat="1" applyFont="1"/>
    <xf numFmtId="14" fontId="20" fillId="0" borderId="0" xfId="28" applyNumberFormat="1" applyFont="1" applyAlignment="1">
      <alignment horizontal="center" vertical="center"/>
    </xf>
    <xf numFmtId="49" fontId="54" fillId="0" borderId="0" xfId="28" applyNumberFormat="1" applyFont="1" applyAlignment="1">
      <alignment horizontal="center" vertical="center"/>
    </xf>
    <xf numFmtId="49" fontId="20" fillId="0" borderId="0" xfId="28" applyNumberFormat="1" applyFont="1" applyAlignment="1">
      <alignment horizontal="center" vertical="center"/>
    </xf>
    <xf numFmtId="49" fontId="54" fillId="0" borderId="0" xfId="28" applyNumberFormat="1" applyFont="1"/>
    <xf numFmtId="175" fontId="54" fillId="0" borderId="0" xfId="28" applyFont="1"/>
    <xf numFmtId="2" fontId="55" fillId="21" borderId="27" xfId="19" applyNumberFormat="1" applyFont="1" applyFill="1" applyBorder="1" applyAlignment="1" applyProtection="1">
      <alignment vertical="center" wrapText="1"/>
      <protection locked="0"/>
    </xf>
    <xf numFmtId="2" fontId="55" fillId="21" borderId="26" xfId="19" applyNumberFormat="1" applyFont="1" applyFill="1" applyBorder="1" applyAlignment="1" applyProtection="1">
      <alignment vertical="center" wrapText="1"/>
      <protection locked="0"/>
    </xf>
    <xf numFmtId="49" fontId="55" fillId="21" borderId="94" xfId="19" applyNumberFormat="1" applyFont="1" applyFill="1" applyBorder="1" applyAlignment="1" applyProtection="1">
      <alignment horizontal="center" vertical="center" wrapText="1"/>
      <protection locked="0"/>
    </xf>
    <xf numFmtId="49" fontId="55" fillId="21" borderId="11" xfId="19" applyNumberFormat="1" applyFont="1" applyFill="1" applyBorder="1" applyAlignment="1" applyProtection="1">
      <alignment horizontal="center" vertical="center" wrapText="1"/>
      <protection locked="0"/>
    </xf>
    <xf numFmtId="14" fontId="55" fillId="21" borderId="19" xfId="19" applyNumberFormat="1" applyFont="1" applyFill="1" applyBorder="1" applyAlignment="1" applyProtection="1">
      <alignment horizontal="center" vertical="center" wrapText="1"/>
      <protection locked="0"/>
    </xf>
    <xf numFmtId="14" fontId="55" fillId="21" borderId="85" xfId="19" applyNumberFormat="1" applyFont="1" applyFill="1" applyBorder="1" applyAlignment="1" applyProtection="1">
      <alignment horizontal="center" vertical="center" wrapText="1"/>
      <protection locked="0"/>
    </xf>
    <xf numFmtId="49" fontId="55" fillId="21" borderId="17" xfId="19" applyNumberFormat="1" applyFont="1" applyFill="1" applyBorder="1" applyAlignment="1" applyProtection="1">
      <alignment horizontal="center" vertical="center" wrapText="1"/>
      <protection locked="0"/>
    </xf>
    <xf numFmtId="49" fontId="55" fillId="21" borderId="8" xfId="19" applyNumberFormat="1" applyFont="1" applyFill="1" applyBorder="1" applyAlignment="1" applyProtection="1">
      <alignment horizontal="center" vertical="center" wrapText="1"/>
      <protection locked="0"/>
    </xf>
    <xf numFmtId="14" fontId="55" fillId="21" borderId="85" xfId="19" applyNumberFormat="1" applyFont="1" applyFill="1" applyBorder="1" applyAlignment="1" applyProtection="1">
      <alignment vertical="center" wrapText="1"/>
      <protection locked="0"/>
    </xf>
    <xf numFmtId="49" fontId="55" fillId="0" borderId="0" xfId="28" applyNumberFormat="1" applyFont="1" applyAlignment="1">
      <alignment horizontal="right"/>
    </xf>
    <xf numFmtId="175" fontId="55" fillId="0" borderId="0" xfId="28" applyFont="1" applyAlignment="1">
      <alignment horizontal="right"/>
    </xf>
    <xf numFmtId="175" fontId="55" fillId="0" borderId="0" xfId="28" applyFont="1" applyAlignment="1">
      <alignment horizontal="center"/>
    </xf>
    <xf numFmtId="1" fontId="55" fillId="21" borderId="85" xfId="19" applyNumberFormat="1" applyFont="1" applyFill="1" applyBorder="1" applyAlignment="1" applyProtection="1">
      <alignment vertical="center" wrapText="1"/>
      <protection locked="0"/>
    </xf>
    <xf numFmtId="164" fontId="55" fillId="21" borderId="85" xfId="19" applyNumberFormat="1" applyFont="1" applyFill="1" applyBorder="1" applyAlignment="1" applyProtection="1">
      <alignment vertical="center" wrapText="1"/>
      <protection locked="0"/>
    </xf>
    <xf numFmtId="173" fontId="19" fillId="0" borderId="85" xfId="0" applyNumberFormat="1" applyFont="1" applyBorder="1"/>
    <xf numFmtId="173" fontId="18" fillId="0" borderId="85" xfId="0" applyNumberFormat="1" applyFont="1" applyBorder="1"/>
    <xf numFmtId="0" fontId="19" fillId="0" borderId="85" xfId="0" applyFont="1" applyBorder="1"/>
    <xf numFmtId="14" fontId="19" fillId="0" borderId="85" xfId="0" applyNumberFormat="1" applyFont="1" applyBorder="1"/>
    <xf numFmtId="0" fontId="18" fillId="0" borderId="85" xfId="0" applyFont="1" applyBorder="1"/>
    <xf numFmtId="173" fontId="13" fillId="0" borderId="85" xfId="29" applyNumberFormat="1" applyFont="1" applyBorder="1" applyAlignment="1">
      <alignment horizontal="right" vertical="top"/>
    </xf>
    <xf numFmtId="14" fontId="13" fillId="0" borderId="85" xfId="29" applyNumberFormat="1" applyFont="1" applyBorder="1" applyAlignment="1">
      <alignment horizontal="right" vertical="top" wrapText="1"/>
    </xf>
    <xf numFmtId="14" fontId="18" fillId="0" borderId="85" xfId="0" applyNumberFormat="1" applyFont="1" applyBorder="1" applyAlignment="1">
      <alignment horizontal="right" vertical="top"/>
    </xf>
    <xf numFmtId="14" fontId="19" fillId="0" borderId="85" xfId="0" applyNumberFormat="1" applyFont="1" applyBorder="1" applyAlignment="1">
      <alignment horizontal="right" vertical="top"/>
    </xf>
    <xf numFmtId="14" fontId="19" fillId="0" borderId="90" xfId="0" applyNumberFormat="1" applyFont="1" applyBorder="1" applyAlignment="1">
      <alignment horizontal="center"/>
    </xf>
    <xf numFmtId="0" fontId="18" fillId="0" borderId="85" xfId="0" applyFont="1" applyBorder="1" applyAlignment="1">
      <alignment vertical="top" wrapText="1"/>
    </xf>
    <xf numFmtId="0" fontId="19" fillId="0" borderId="85" xfId="0" applyFont="1" applyBorder="1" applyAlignment="1">
      <alignment vertical="top" wrapText="1"/>
    </xf>
    <xf numFmtId="9" fontId="2" fillId="3" borderId="85" xfId="1" applyNumberFormat="1" applyFont="1" applyFill="1" applyBorder="1"/>
    <xf numFmtId="9" fontId="2" fillId="3" borderId="0" xfId="1" applyNumberFormat="1" applyFont="1" applyFill="1"/>
    <xf numFmtId="9" fontId="0" fillId="0" borderId="0" xfId="1" applyFont="1" applyBorder="1"/>
    <xf numFmtId="165" fontId="0" fillId="0" borderId="0" xfId="1" applyNumberFormat="1" applyFont="1" applyBorder="1"/>
    <xf numFmtId="0" fontId="2" fillId="0" borderId="46" xfId="0" applyFont="1" applyBorder="1"/>
    <xf numFmtId="3" fontId="2" fillId="0" borderId="46" xfId="0" applyNumberFormat="1" applyFont="1" applyBorder="1"/>
    <xf numFmtId="3" fontId="2" fillId="0" borderId="48" xfId="0" applyNumberFormat="1" applyFont="1" applyBorder="1"/>
    <xf numFmtId="0" fontId="2" fillId="0" borderId="49" xfId="0" applyFont="1" applyBorder="1"/>
    <xf numFmtId="0" fontId="2" fillId="0" borderId="86" xfId="0" applyFont="1" applyBorder="1"/>
    <xf numFmtId="165" fontId="2" fillId="0" borderId="86" xfId="0" applyNumberFormat="1" applyFont="1" applyBorder="1"/>
    <xf numFmtId="0" fontId="2" fillId="0" borderId="21" xfId="0" applyFont="1" applyFill="1" applyBorder="1"/>
    <xf numFmtId="0" fontId="0" fillId="0" borderId="46" xfId="0" applyBorder="1"/>
    <xf numFmtId="0" fontId="2" fillId="0" borderId="12" xfId="0" applyFont="1" applyFill="1" applyBorder="1"/>
    <xf numFmtId="0" fontId="2" fillId="0" borderId="48" xfId="0" applyFont="1" applyBorder="1"/>
    <xf numFmtId="0" fontId="0" fillId="0" borderId="46" xfId="0" applyFont="1" applyBorder="1"/>
    <xf numFmtId="0" fontId="0" fillId="0" borderId="48" xfId="0" applyFont="1" applyBorder="1"/>
    <xf numFmtId="0" fontId="0" fillId="0" borderId="0" xfId="0" applyFont="1" applyBorder="1"/>
    <xf numFmtId="3" fontId="0" fillId="0" borderId="0" xfId="0" applyNumberFormat="1" applyFont="1" applyBorder="1"/>
    <xf numFmtId="0" fontId="0" fillId="0" borderId="86" xfId="0" applyFont="1" applyBorder="1"/>
    <xf numFmtId="3" fontId="0" fillId="0" borderId="86" xfId="0" applyNumberFormat="1" applyFont="1" applyBorder="1"/>
    <xf numFmtId="0" fontId="28" fillId="23" borderId="21" xfId="0" applyFont="1" applyFill="1" applyBorder="1"/>
    <xf numFmtId="0" fontId="0" fillId="23" borderId="46" xfId="0" applyFill="1" applyBorder="1"/>
    <xf numFmtId="16" fontId="0" fillId="7" borderId="46" xfId="0" applyNumberFormat="1" applyFill="1" applyBorder="1"/>
    <xf numFmtId="0" fontId="0" fillId="7" borderId="46" xfId="0" applyFill="1" applyBorder="1"/>
    <xf numFmtId="0" fontId="0" fillId="7" borderId="48" xfId="0" applyFill="1" applyBorder="1"/>
    <xf numFmtId="0" fontId="0" fillId="7" borderId="46" xfId="0" applyFont="1" applyFill="1" applyBorder="1"/>
    <xf numFmtId="0" fontId="2" fillId="7" borderId="57" xfId="0" applyFont="1" applyFill="1" applyBorder="1"/>
    <xf numFmtId="0" fontId="2" fillId="0" borderId="57" xfId="0" applyFont="1" applyBorder="1"/>
    <xf numFmtId="0" fontId="2" fillId="0" borderId="50" xfId="0" applyFont="1" applyBorder="1"/>
    <xf numFmtId="3" fontId="2" fillId="11" borderId="0" xfId="0" applyNumberFormat="1" applyFont="1" applyFill="1" applyBorder="1"/>
    <xf numFmtId="3" fontId="2" fillId="11" borderId="23" xfId="0" applyNumberFormat="1" applyFont="1" applyFill="1" applyBorder="1"/>
    <xf numFmtId="0" fontId="20" fillId="3" borderId="0" xfId="13" applyFont="1" applyFill="1"/>
    <xf numFmtId="3" fontId="21" fillId="3" borderId="88" xfId="13" applyNumberFormat="1" applyFont="1" applyFill="1" applyBorder="1"/>
    <xf numFmtId="9" fontId="20" fillId="3" borderId="0" xfId="13" applyNumberFormat="1" applyFont="1" applyFill="1"/>
    <xf numFmtId="0" fontId="21" fillId="3" borderId="88" xfId="13" applyFont="1" applyFill="1" applyBorder="1" applyAlignment="1">
      <alignment horizontal="right"/>
    </xf>
    <xf numFmtId="3" fontId="20" fillId="3" borderId="0" xfId="13" applyNumberFormat="1" applyFont="1" applyFill="1"/>
    <xf numFmtId="0" fontId="20" fillId="3" borderId="0" xfId="13" applyFont="1" applyFill="1" applyAlignment="1">
      <alignment horizontal="right"/>
    </xf>
    <xf numFmtId="0" fontId="21" fillId="3" borderId="88" xfId="13" applyFont="1" applyFill="1" applyBorder="1"/>
    <xf numFmtId="0" fontId="20" fillId="3" borderId="88" xfId="13" applyFont="1" applyFill="1" applyBorder="1"/>
    <xf numFmtId="0" fontId="21" fillId="3" borderId="0" xfId="13" applyFont="1" applyFill="1" applyAlignment="1">
      <alignment horizontal="right"/>
    </xf>
    <xf numFmtId="3" fontId="21" fillId="3" borderId="35" xfId="13" applyNumberFormat="1" applyFont="1" applyFill="1" applyBorder="1"/>
    <xf numFmtId="3" fontId="21" fillId="3" borderId="0" xfId="13" applyNumberFormat="1" applyFont="1" applyFill="1"/>
    <xf numFmtId="0" fontId="60" fillId="3" borderId="88" xfId="13" applyFont="1" applyFill="1" applyBorder="1" applyAlignment="1">
      <alignment horizontal="center"/>
    </xf>
    <xf numFmtId="0" fontId="20" fillId="3" borderId="34" xfId="13" applyFont="1" applyFill="1" applyBorder="1"/>
    <xf numFmtId="0" fontId="20" fillId="3" borderId="85" xfId="13" applyFont="1" applyFill="1" applyBorder="1"/>
    <xf numFmtId="0" fontId="61" fillId="3" borderId="85" xfId="13" applyFont="1" applyFill="1" applyBorder="1" applyAlignment="1">
      <alignment horizontal="center"/>
    </xf>
    <xf numFmtId="3" fontId="20" fillId="3" borderId="34" xfId="13" applyNumberFormat="1" applyFont="1" applyFill="1" applyBorder="1"/>
    <xf numFmtId="3" fontId="20" fillId="3" borderId="85" xfId="13" applyNumberFormat="1" applyFont="1" applyFill="1" applyBorder="1"/>
    <xf numFmtId="0" fontId="21" fillId="3" borderId="85" xfId="13" applyFont="1" applyFill="1" applyBorder="1"/>
    <xf numFmtId="184" fontId="62" fillId="18" borderId="34" xfId="16" applyNumberFormat="1" applyFont="1" applyFill="1" applyBorder="1"/>
    <xf numFmtId="3" fontId="21" fillId="3" borderId="85" xfId="13" applyNumberFormat="1" applyFont="1" applyFill="1" applyBorder="1"/>
    <xf numFmtId="174" fontId="63" fillId="17" borderId="91" xfId="16" applyFont="1" applyFill="1" applyBorder="1" applyAlignment="1">
      <alignment horizontal="center"/>
    </xf>
    <xf numFmtId="0" fontId="20" fillId="3" borderId="85" xfId="13" applyFont="1" applyFill="1" applyBorder="1" applyAlignment="1">
      <alignment horizontal="left" indent="2"/>
    </xf>
    <xf numFmtId="3" fontId="64" fillId="3" borderId="85" xfId="13" applyNumberFormat="1" applyFont="1" applyFill="1" applyBorder="1"/>
    <xf numFmtId="0" fontId="61" fillId="3" borderId="0" xfId="13" applyFont="1" applyFill="1" applyAlignment="1">
      <alignment horizontal="center"/>
    </xf>
    <xf numFmtId="184" fontId="20" fillId="3" borderId="0" xfId="13" applyNumberFormat="1" applyFont="1" applyFill="1"/>
    <xf numFmtId="184" fontId="65" fillId="17" borderId="0" xfId="16" applyNumberFormat="1" applyFont="1" applyFill="1" applyBorder="1"/>
    <xf numFmtId="184" fontId="65" fillId="17" borderId="91" xfId="16" applyNumberFormat="1" applyFont="1" applyFill="1" applyBorder="1"/>
    <xf numFmtId="184" fontId="63" fillId="17" borderId="91" xfId="16" applyNumberFormat="1" applyFont="1" applyFill="1" applyBorder="1"/>
    <xf numFmtId="174" fontId="63" fillId="17" borderId="91" xfId="16" applyFont="1" applyFill="1" applyBorder="1"/>
    <xf numFmtId="1" fontId="64" fillId="3" borderId="85" xfId="13" applyNumberFormat="1" applyFont="1" applyFill="1" applyBorder="1"/>
    <xf numFmtId="166" fontId="20" fillId="3" borderId="34" xfId="13" applyNumberFormat="1" applyFont="1" applyFill="1" applyBorder="1"/>
    <xf numFmtId="1" fontId="20" fillId="3" borderId="0" xfId="13" applyNumberFormat="1" applyFont="1" applyFill="1"/>
    <xf numFmtId="1" fontId="20" fillId="3" borderId="85" xfId="13" applyNumberFormat="1" applyFont="1" applyFill="1" applyBorder="1"/>
    <xf numFmtId="1" fontId="20" fillId="3" borderId="34" xfId="13" applyNumberFormat="1" applyFont="1" applyFill="1" applyBorder="1"/>
    <xf numFmtId="184" fontId="16" fillId="17" borderId="0" xfId="16" applyNumberFormat="1" applyFill="1" applyBorder="1"/>
    <xf numFmtId="184" fontId="66" fillId="0" borderId="91" xfId="16" applyNumberFormat="1" applyFont="1" applyBorder="1"/>
    <xf numFmtId="174" fontId="16" fillId="17" borderId="91" xfId="16" applyFill="1" applyBorder="1"/>
    <xf numFmtId="174" fontId="67" fillId="17" borderId="91" xfId="16" applyFont="1" applyFill="1" applyBorder="1" applyAlignment="1">
      <alignment horizontal="center"/>
    </xf>
    <xf numFmtId="0" fontId="21" fillId="24" borderId="33" xfId="13" applyFont="1" applyFill="1" applyBorder="1" applyAlignment="1">
      <alignment horizontal="center"/>
    </xf>
    <xf numFmtId="0" fontId="21" fillId="24" borderId="0" xfId="13" applyFont="1" applyFill="1" applyAlignment="1">
      <alignment horizontal="center"/>
    </xf>
    <xf numFmtId="0" fontId="21" fillId="24" borderId="48" xfId="13" applyFont="1" applyFill="1" applyBorder="1" applyAlignment="1">
      <alignment horizontal="center"/>
    </xf>
    <xf numFmtId="0" fontId="21" fillId="24" borderId="46" xfId="13" applyFont="1" applyFill="1" applyBorder="1"/>
    <xf numFmtId="0" fontId="21" fillId="24" borderId="46" xfId="13" applyFont="1" applyFill="1" applyBorder="1" applyAlignment="1">
      <alignment horizontal="center"/>
    </xf>
    <xf numFmtId="0" fontId="21" fillId="24" borderId="21" xfId="13" applyFont="1" applyFill="1" applyBorder="1"/>
    <xf numFmtId="3" fontId="21" fillId="3" borderId="34" xfId="13" applyNumberFormat="1" applyFont="1" applyFill="1" applyBorder="1"/>
    <xf numFmtId="3" fontId="21" fillId="11" borderId="85" xfId="13" applyNumberFormat="1" applyFont="1" applyFill="1" applyBorder="1"/>
    <xf numFmtId="0" fontId="60" fillId="3" borderId="85" xfId="13" applyFont="1" applyFill="1" applyBorder="1" applyAlignment="1">
      <alignment horizontal="center"/>
    </xf>
    <xf numFmtId="3" fontId="21" fillId="11" borderId="34" xfId="13" applyNumberFormat="1" applyFont="1" applyFill="1" applyBorder="1"/>
    <xf numFmtId="174" fontId="68" fillId="17" borderId="91" xfId="16" applyFont="1" applyFill="1" applyBorder="1" applyAlignment="1">
      <alignment horizontal="center"/>
    </xf>
    <xf numFmtId="184" fontId="65" fillId="18" borderId="34" xfId="16" applyNumberFormat="1" applyFont="1" applyFill="1" applyBorder="1"/>
    <xf numFmtId="184" fontId="65" fillId="25" borderId="91" xfId="16" applyNumberFormat="1" applyFont="1" applyFill="1" applyBorder="1"/>
    <xf numFmtId="174" fontId="65" fillId="17" borderId="91" xfId="16" applyFont="1" applyFill="1" applyBorder="1"/>
    <xf numFmtId="174" fontId="69" fillId="17" borderId="91" xfId="16" applyFont="1" applyFill="1" applyBorder="1" applyAlignment="1">
      <alignment horizontal="center"/>
    </xf>
    <xf numFmtId="184" fontId="16" fillId="25" borderId="0" xfId="16" applyNumberFormat="1" applyFill="1" applyBorder="1"/>
    <xf numFmtId="184" fontId="16" fillId="25" borderId="91" xfId="16" applyNumberFormat="1" applyFill="1" applyBorder="1"/>
    <xf numFmtId="0" fontId="63" fillId="0" borderId="0" xfId="21" applyFont="1"/>
    <xf numFmtId="174" fontId="63" fillId="17" borderId="0" xfId="16" applyFont="1" applyFill="1"/>
    <xf numFmtId="174" fontId="70" fillId="17" borderId="0" xfId="16" applyFont="1" applyFill="1"/>
    <xf numFmtId="0" fontId="21" fillId="3" borderId="34" xfId="13" applyFont="1" applyFill="1" applyBorder="1"/>
    <xf numFmtId="174" fontId="65" fillId="17" borderId="0" xfId="16" applyFont="1" applyFill="1"/>
    <xf numFmtId="1" fontId="21" fillId="11" borderId="34" xfId="13" applyNumberFormat="1" applyFont="1" applyFill="1" applyBorder="1"/>
    <xf numFmtId="174" fontId="63" fillId="17" borderId="91" xfId="16" applyFont="1" applyFill="1" applyBorder="1" applyAlignment="1">
      <alignment horizontal="left" indent="1"/>
    </xf>
    <xf numFmtId="184" fontId="63" fillId="25" borderId="91" xfId="16" applyNumberFormat="1" applyFont="1" applyFill="1" applyBorder="1"/>
    <xf numFmtId="174" fontId="63" fillId="25" borderId="91" xfId="16" applyFont="1" applyFill="1" applyBorder="1"/>
    <xf numFmtId="174" fontId="69" fillId="25" borderId="91" xfId="16" applyFont="1" applyFill="1" applyBorder="1" applyAlignment="1">
      <alignment horizontal="center"/>
    </xf>
    <xf numFmtId="184" fontId="16" fillId="18" borderId="34" xfId="16" applyNumberFormat="1" applyFill="1" applyBorder="1"/>
    <xf numFmtId="174" fontId="65" fillId="26" borderId="91" xfId="16" applyFont="1" applyFill="1" applyBorder="1" applyAlignment="1">
      <alignment horizontal="center"/>
    </xf>
    <xf numFmtId="174" fontId="65" fillId="26" borderId="91" xfId="16" applyFont="1" applyFill="1" applyBorder="1"/>
    <xf numFmtId="174" fontId="63" fillId="17" borderId="0" xfId="16" applyFont="1" applyFill="1" applyBorder="1"/>
    <xf numFmtId="0" fontId="63" fillId="3" borderId="0" xfId="21" applyFont="1" applyFill="1"/>
    <xf numFmtId="3" fontId="63" fillId="3" borderId="88" xfId="21" applyNumberFormat="1" applyFont="1" applyFill="1" applyBorder="1"/>
    <xf numFmtId="0" fontId="63" fillId="3" borderId="88" xfId="21" applyFont="1" applyFill="1" applyBorder="1"/>
    <xf numFmtId="2" fontId="63" fillId="3" borderId="0" xfId="21" applyNumberFormat="1" applyFont="1" applyFill="1"/>
    <xf numFmtId="0" fontId="70" fillId="3" borderId="0" xfId="21" applyFont="1" applyFill="1"/>
    <xf numFmtId="3" fontId="26" fillId="3" borderId="0" xfId="2" applyNumberFormat="1" applyFont="1" applyFill="1" applyBorder="1"/>
    <xf numFmtId="0" fontId="49" fillId="20" borderId="14" xfId="26" applyFont="1" applyFill="1" applyBorder="1" applyAlignment="1">
      <alignment horizontal="center" vertical="top" wrapText="1"/>
    </xf>
    <xf numFmtId="0" fontId="49" fillId="20" borderId="85" xfId="26" applyFont="1" applyFill="1" applyBorder="1" applyAlignment="1">
      <alignment horizontal="center" vertical="top" wrapText="1"/>
    </xf>
    <xf numFmtId="183" fontId="49" fillId="20" borderId="14" xfId="26" applyNumberFormat="1" applyFont="1" applyFill="1" applyBorder="1" applyAlignment="1">
      <alignment horizontal="center" vertical="top" wrapText="1"/>
    </xf>
    <xf numFmtId="175" fontId="20" fillId="0" borderId="0" xfId="28" applyFont="1" applyAlignment="1">
      <alignment horizontal="center"/>
    </xf>
    <xf numFmtId="175" fontId="54" fillId="0" borderId="0" xfId="28" applyFont="1" applyAlignment="1">
      <alignment horizontal="right" wrapText="1"/>
    </xf>
    <xf numFmtId="49" fontId="54" fillId="0" borderId="24" xfId="28" applyNumberFormat="1" applyFont="1" applyBorder="1" applyAlignment="1">
      <alignment horizontal="center"/>
    </xf>
    <xf numFmtId="49" fontId="54" fillId="0" borderId="14" xfId="28" applyNumberFormat="1" applyFont="1" applyBorder="1" applyAlignment="1">
      <alignment horizontal="center"/>
    </xf>
    <xf numFmtId="165" fontId="22" fillId="11" borderId="23" xfId="1" applyNumberFormat="1" applyFont="1" applyFill="1" applyBorder="1"/>
    <xf numFmtId="178" fontId="2" fillId="11" borderId="21" xfId="0" applyNumberFormat="1" applyFont="1" applyFill="1" applyBorder="1"/>
    <xf numFmtId="178" fontId="2" fillId="11" borderId="48" xfId="0" applyNumberFormat="1" applyFont="1" applyFill="1" applyBorder="1"/>
    <xf numFmtId="178" fontId="2" fillId="11" borderId="49" xfId="0" applyNumberFormat="1" applyFont="1" applyFill="1" applyBorder="1"/>
    <xf numFmtId="178" fontId="2" fillId="11" borderId="50" xfId="0" applyNumberFormat="1" applyFont="1" applyFill="1" applyBorder="1"/>
    <xf numFmtId="176" fontId="2" fillId="3" borderId="0" xfId="0" applyNumberFormat="1" applyFont="1" applyFill="1"/>
    <xf numFmtId="9" fontId="2" fillId="3" borderId="0" xfId="1" applyNumberFormat="1" applyFont="1" applyFill="1" applyBorder="1"/>
    <xf numFmtId="178" fontId="2" fillId="3" borderId="21" xfId="0" applyNumberFormat="1" applyFont="1" applyFill="1" applyBorder="1"/>
    <xf numFmtId="178" fontId="2" fillId="3" borderId="87" xfId="0" applyNumberFormat="1" applyFont="1" applyFill="1" applyBorder="1"/>
    <xf numFmtId="178" fontId="2" fillId="3" borderId="48" xfId="0" applyNumberFormat="1" applyFont="1" applyFill="1" applyBorder="1"/>
    <xf numFmtId="178" fontId="2" fillId="3" borderId="49" xfId="0" applyNumberFormat="1" applyFont="1" applyFill="1" applyBorder="1"/>
    <xf numFmtId="178" fontId="2" fillId="3" borderId="47" xfId="0" applyNumberFormat="1" applyFont="1" applyFill="1" applyBorder="1"/>
    <xf numFmtId="178" fontId="2" fillId="3" borderId="50" xfId="0" applyNumberFormat="1" applyFont="1" applyFill="1" applyBorder="1"/>
    <xf numFmtId="14" fontId="43" fillId="0" borderId="0" xfId="26" applyNumberFormat="1" applyFont="1"/>
    <xf numFmtId="0" fontId="49" fillId="0" borderId="0" xfId="26" applyFont="1" applyAlignment="1">
      <alignment horizontal="left" vertical="top" wrapText="1"/>
    </xf>
    <xf numFmtId="0" fontId="43" fillId="0" borderId="0" xfId="26" applyFont="1" applyProtection="1">
      <protection locked="0"/>
    </xf>
    <xf numFmtId="179" fontId="43" fillId="0" borderId="0" xfId="26" applyNumberFormat="1" applyFont="1" applyProtection="1">
      <protection locked="0"/>
    </xf>
    <xf numFmtId="3" fontId="43" fillId="0" borderId="0" xfId="26" applyNumberFormat="1" applyFont="1" applyProtection="1">
      <protection locked="0"/>
    </xf>
    <xf numFmtId="10" fontId="47" fillId="0" borderId="0" xfId="26" applyNumberFormat="1" applyFont="1" applyAlignment="1">
      <alignment horizontal="right"/>
    </xf>
    <xf numFmtId="0" fontId="43" fillId="0" borderId="24" xfId="26" applyFont="1" applyBorder="1" applyAlignment="1">
      <alignment horizontal="left" vertical="center" wrapText="1"/>
    </xf>
    <xf numFmtId="0" fontId="43" fillId="0" borderId="14" xfId="26" applyFont="1" applyBorder="1" applyAlignment="1" applyProtection="1">
      <alignment horizontal="left" wrapText="1"/>
      <protection locked="0"/>
    </xf>
    <xf numFmtId="0" fontId="49" fillId="0" borderId="14" xfId="26" applyFont="1" applyBorder="1" applyAlignment="1">
      <alignment horizontal="center" vertical="top" wrapText="1"/>
    </xf>
    <xf numFmtId="3" fontId="43" fillId="0" borderId="85" xfId="26" applyNumberFormat="1" applyFont="1" applyBorder="1" applyAlignment="1" applyProtection="1">
      <alignment horizontal="center" wrapText="1"/>
      <protection locked="0"/>
    </xf>
    <xf numFmtId="14" fontId="43" fillId="0" borderId="85" xfId="26" applyNumberFormat="1" applyFont="1" applyBorder="1" applyAlignment="1" applyProtection="1">
      <alignment horizontal="left" wrapText="1"/>
      <protection locked="0"/>
    </xf>
    <xf numFmtId="0" fontId="49" fillId="0" borderId="85" xfId="26" applyFont="1" applyBorder="1" applyAlignment="1">
      <alignment horizontal="center" vertical="top" wrapText="1"/>
    </xf>
    <xf numFmtId="0" fontId="49" fillId="0" borderId="100" xfId="26" applyFont="1" applyBorder="1" applyAlignment="1">
      <alignment horizontal="center" vertical="top" wrapText="1"/>
    </xf>
    <xf numFmtId="0" fontId="43" fillId="0" borderId="85" xfId="26" applyFont="1" applyBorder="1" applyAlignment="1" applyProtection="1">
      <alignment horizontal="left" wrapText="1"/>
      <protection locked="0"/>
    </xf>
    <xf numFmtId="3" fontId="49" fillId="0" borderId="14" xfId="26" applyNumberFormat="1" applyFont="1" applyBorder="1" applyAlignment="1">
      <alignment horizontal="center" vertical="top" wrapText="1"/>
    </xf>
    <xf numFmtId="3" fontId="43" fillId="0" borderId="14" xfId="26" applyNumberFormat="1" applyFont="1" applyBorder="1" applyAlignment="1" applyProtection="1">
      <alignment horizontal="left" wrapText="1"/>
      <protection locked="0"/>
    </xf>
    <xf numFmtId="3" fontId="43" fillId="0" borderId="14" xfId="26" applyNumberFormat="1" applyFont="1" applyBorder="1" applyAlignment="1" applyProtection="1">
      <alignment horizontal="right" wrapText="1"/>
      <protection locked="0"/>
    </xf>
    <xf numFmtId="2" fontId="49" fillId="0" borderId="14" xfId="26" applyNumberFormat="1" applyFont="1" applyBorder="1" applyAlignment="1">
      <alignment horizontal="center" vertical="top" wrapText="1"/>
    </xf>
    <xf numFmtId="14" fontId="49" fillId="0" borderId="14" xfId="26" applyNumberFormat="1" applyFont="1" applyBorder="1" applyAlignment="1">
      <alignment horizontal="center" vertical="top" wrapText="1"/>
    </xf>
    <xf numFmtId="0" fontId="49" fillId="0" borderId="14" xfId="26" applyFont="1" applyBorder="1" applyAlignment="1">
      <alignment horizontal="right" vertical="top" wrapText="1"/>
    </xf>
    <xf numFmtId="3" fontId="43" fillId="0" borderId="0" xfId="26" applyNumberFormat="1" applyFont="1"/>
    <xf numFmtId="0" fontId="43" fillId="0" borderId="85" xfId="26" applyFont="1" applyBorder="1" applyAlignment="1" applyProtection="1">
      <alignment horizontal="center" wrapText="1"/>
      <protection locked="0"/>
    </xf>
    <xf numFmtId="0" fontId="43" fillId="0" borderId="14" xfId="26" applyFont="1" applyBorder="1" applyAlignment="1">
      <alignment horizontal="right" vertical="top" wrapText="1"/>
    </xf>
    <xf numFmtId="0" fontId="43" fillId="0" borderId="85" xfId="26" applyFont="1" applyBorder="1" applyAlignment="1">
      <alignment horizontal="center" vertical="top" wrapText="1"/>
    </xf>
    <xf numFmtId="0" fontId="43" fillId="0" borderId="100" xfId="26" applyFont="1" applyBorder="1" applyAlignment="1">
      <alignment horizontal="right" vertical="top" wrapText="1"/>
    </xf>
    <xf numFmtId="0" fontId="43" fillId="0" borderId="85" xfId="26" applyFont="1" applyBorder="1" applyAlignment="1">
      <alignment horizontal="left" vertical="center" wrapText="1"/>
    </xf>
    <xf numFmtId="0" fontId="43" fillId="0" borderId="85" xfId="27" applyFont="1" applyBorder="1" applyAlignment="1">
      <alignment horizontal="left" vertical="top" wrapText="1" indent="1"/>
    </xf>
    <xf numFmtId="0" fontId="43" fillId="0" borderId="85" xfId="26" applyFont="1" applyBorder="1" applyAlignment="1">
      <alignment wrapText="1"/>
    </xf>
    <xf numFmtId="0" fontId="43" fillId="0" borderId="85" xfId="26" applyFont="1" applyBorder="1" applyAlignment="1" applyProtection="1">
      <alignment horizontal="left" vertical="top" wrapText="1"/>
      <protection locked="0"/>
    </xf>
    <xf numFmtId="0" fontId="43" fillId="0" borderId="85" xfId="26" applyFont="1" applyBorder="1" applyAlignment="1" applyProtection="1">
      <alignment horizontal="center" vertical="top" wrapText="1"/>
      <protection locked="0"/>
    </xf>
    <xf numFmtId="179" fontId="43" fillId="0" borderId="85" xfId="26" applyNumberFormat="1" applyFont="1" applyBorder="1" applyAlignment="1" applyProtection="1">
      <alignment horizontal="center" vertical="top" wrapText="1"/>
      <protection locked="0"/>
    </xf>
    <xf numFmtId="14" fontId="43" fillId="0" borderId="85" xfId="26" applyNumberFormat="1" applyFont="1" applyBorder="1" applyAlignment="1" applyProtection="1">
      <alignment horizontal="left" vertical="top" wrapText="1"/>
      <protection locked="0"/>
    </xf>
    <xf numFmtId="0" fontId="43" fillId="20" borderId="92" xfId="26" applyFont="1" applyFill="1" applyBorder="1"/>
    <xf numFmtId="0" fontId="43" fillId="20" borderId="85" xfId="26" applyFont="1" applyFill="1" applyBorder="1"/>
    <xf numFmtId="0" fontId="46" fillId="0" borderId="0" xfId="26" applyFont="1"/>
    <xf numFmtId="0" fontId="47" fillId="0" borderId="0" xfId="26" applyFont="1" applyAlignment="1">
      <alignment horizontal="left" vertical="top" wrapText="1"/>
    </xf>
    <xf numFmtId="0" fontId="47" fillId="0" borderId="0" xfId="26" applyFont="1" applyAlignment="1">
      <alignment horizontal="center" vertical="top" wrapText="1"/>
    </xf>
    <xf numFmtId="183" fontId="47" fillId="0" borderId="0" xfId="26" applyNumberFormat="1" applyFont="1" applyAlignment="1">
      <alignment horizontal="left" vertical="top" wrapText="1"/>
    </xf>
    <xf numFmtId="3" fontId="47" fillId="0" borderId="0" xfId="26" applyNumberFormat="1" applyFont="1" applyAlignment="1">
      <alignment horizontal="right" vertical="top" wrapText="1"/>
    </xf>
    <xf numFmtId="183" fontId="43" fillId="0" borderId="0" xfId="26" applyNumberFormat="1" applyFont="1"/>
    <xf numFmtId="0" fontId="50" fillId="0" borderId="0" xfId="26" applyFont="1" applyAlignment="1">
      <alignment vertical="top" wrapText="1"/>
    </xf>
    <xf numFmtId="0" fontId="43" fillId="3" borderId="85" xfId="26" applyFont="1" applyFill="1" applyBorder="1" applyAlignment="1" applyProtection="1">
      <alignment horizontal="left" vertical="top" wrapText="1"/>
      <protection locked="0"/>
    </xf>
    <xf numFmtId="0" fontId="43" fillId="3" borderId="19" xfId="26" applyFont="1" applyFill="1" applyBorder="1" applyAlignment="1" applyProtection="1">
      <alignment horizontal="left" vertical="top" wrapText="1"/>
      <protection locked="0"/>
    </xf>
    <xf numFmtId="0" fontId="47" fillId="0" borderId="28" xfId="26" applyFont="1" applyBorder="1" applyAlignment="1" applyProtection="1">
      <alignment horizontal="left" vertical="top" wrapText="1"/>
      <protection locked="0"/>
    </xf>
    <xf numFmtId="0" fontId="43" fillId="0" borderId="85" xfId="26" applyFont="1" applyBorder="1" applyAlignment="1">
      <alignment horizontal="left" vertical="top" wrapText="1"/>
    </xf>
    <xf numFmtId="0" fontId="43" fillId="0" borderId="19" xfId="26" applyFont="1" applyBorder="1" applyAlignment="1" applyProtection="1">
      <alignment horizontal="left" vertical="top" wrapText="1"/>
      <protection locked="0"/>
    </xf>
    <xf numFmtId="3" fontId="47" fillId="20" borderId="85" xfId="26" applyNumberFormat="1" applyFont="1" applyFill="1" applyBorder="1"/>
    <xf numFmtId="3" fontId="47" fillId="20" borderId="19" xfId="26" applyNumberFormat="1" applyFont="1" applyFill="1" applyBorder="1"/>
    <xf numFmtId="3" fontId="47" fillId="20" borderId="11" xfId="26" applyNumberFormat="1" applyFont="1" applyFill="1" applyBorder="1"/>
    <xf numFmtId="3" fontId="47" fillId="20" borderId="94" xfId="26" applyNumberFormat="1" applyFont="1" applyFill="1" applyBorder="1"/>
    <xf numFmtId="3" fontId="47" fillId="0" borderId="0" xfId="26" applyNumberFormat="1" applyFont="1" applyAlignment="1" applyProtection="1">
      <alignment horizontal="left" vertical="top" wrapText="1"/>
      <protection locked="0"/>
    </xf>
    <xf numFmtId="0" fontId="47" fillId="0" borderId="0" xfId="26" applyFont="1" applyAlignment="1">
      <alignment horizontal="left"/>
    </xf>
    <xf numFmtId="0" fontId="43" fillId="0" borderId="0" xfId="26" applyFont="1" applyAlignment="1">
      <alignment horizontal="left" vertical="top" wrapText="1"/>
    </xf>
    <xf numFmtId="182" fontId="43" fillId="0" borderId="0" xfId="26" applyNumberFormat="1" applyFont="1" applyAlignment="1">
      <alignment horizontal="left" vertical="top" wrapText="1"/>
    </xf>
    <xf numFmtId="3" fontId="47" fillId="0" borderId="0" xfId="26" applyNumberFormat="1" applyFont="1" applyAlignment="1" applyProtection="1">
      <alignment horizontal="right" vertical="top" wrapText="1"/>
      <protection locked="0"/>
    </xf>
    <xf numFmtId="4" fontId="43" fillId="0" borderId="0" xfId="26" applyNumberFormat="1" applyFont="1"/>
    <xf numFmtId="14" fontId="43" fillId="0" borderId="89" xfId="26" applyNumberFormat="1" applyFont="1" applyBorder="1"/>
    <xf numFmtId="10" fontId="43" fillId="0" borderId="19" xfId="26" applyNumberFormat="1" applyFont="1" applyBorder="1" applyAlignment="1">
      <alignment horizontal="center"/>
    </xf>
    <xf numFmtId="0" fontId="43" fillId="0" borderId="88" xfId="27" applyFont="1" applyBorder="1" applyAlignment="1">
      <alignment horizontal="left" vertical="top" wrapText="1"/>
    </xf>
    <xf numFmtId="0" fontId="43" fillId="0" borderId="90" xfId="27" applyFont="1" applyBorder="1" applyAlignment="1">
      <alignment horizontal="left" vertical="top" wrapText="1"/>
    </xf>
    <xf numFmtId="14" fontId="43" fillId="0" borderId="85" xfId="26" applyNumberFormat="1" applyFont="1" applyBorder="1"/>
    <xf numFmtId="9" fontId="43" fillId="0" borderId="85" xfId="26" applyNumberFormat="1" applyFont="1" applyBorder="1" applyAlignment="1">
      <alignment horizontal="center"/>
    </xf>
    <xf numFmtId="9" fontId="43" fillId="0" borderId="96" xfId="26" applyNumberFormat="1" applyFont="1" applyBorder="1" applyAlignment="1">
      <alignment horizontal="center"/>
    </xf>
    <xf numFmtId="0" fontId="44" fillId="0" borderId="0" xfId="26" applyFont="1"/>
    <xf numFmtId="179" fontId="44" fillId="0" borderId="0" xfId="26" applyNumberFormat="1" applyFont="1"/>
    <xf numFmtId="180" fontId="43" fillId="0" borderId="0" xfId="26" applyNumberFormat="1" applyFont="1"/>
    <xf numFmtId="180" fontId="44" fillId="0" borderId="0" xfId="26" applyNumberFormat="1" applyFont="1"/>
    <xf numFmtId="179" fontId="43" fillId="0" borderId="0" xfId="26" applyNumberFormat="1" applyFont="1"/>
    <xf numFmtId="180" fontId="45" fillId="0" borderId="0" xfId="26" applyNumberFormat="1" applyFont="1"/>
    <xf numFmtId="179" fontId="38" fillId="0" borderId="0" xfId="13" applyNumberFormat="1" applyFont="1" applyProtection="1">
      <protection locked="0"/>
    </xf>
    <xf numFmtId="0" fontId="57" fillId="0" borderId="0" xfId="28" applyNumberFormat="1" applyFont="1" applyAlignment="1">
      <alignment horizontal="center"/>
    </xf>
    <xf numFmtId="175" fontId="56" fillId="19" borderId="8" xfId="28" applyFont="1" applyFill="1" applyBorder="1" applyAlignment="1">
      <alignment horizontal="center" vertical="top" wrapText="1"/>
    </xf>
    <xf numFmtId="175" fontId="56" fillId="19" borderId="85" xfId="28" applyFont="1" applyFill="1" applyBorder="1" applyAlignment="1">
      <alignment horizontal="center" vertical="top" wrapText="1"/>
    </xf>
    <xf numFmtId="175" fontId="56" fillId="19" borderId="11" xfId="28" applyFont="1" applyFill="1" applyBorder="1" applyAlignment="1">
      <alignment horizontal="center" vertical="top" wrapText="1"/>
    </xf>
    <xf numFmtId="2" fontId="54" fillId="0" borderId="14" xfId="28" applyNumberFormat="1" applyFont="1" applyBorder="1"/>
    <xf numFmtId="2" fontId="54" fillId="0" borderId="15" xfId="28" applyNumberFormat="1" applyFont="1" applyBorder="1"/>
    <xf numFmtId="2" fontId="54" fillId="0" borderId="85" xfId="28" applyNumberFormat="1" applyFont="1" applyBorder="1"/>
    <xf numFmtId="2" fontId="54" fillId="0" borderId="19" xfId="28" applyNumberFormat="1" applyFont="1" applyBorder="1"/>
    <xf numFmtId="0" fontId="54" fillId="0" borderId="93" xfId="28" applyNumberFormat="1" applyFont="1" applyBorder="1" applyAlignment="1">
      <alignment horizontal="center" vertical="center"/>
    </xf>
    <xf numFmtId="172" fontId="19" fillId="0" borderId="85" xfId="0" applyNumberFormat="1" applyFont="1" applyBorder="1"/>
    <xf numFmtId="172" fontId="18" fillId="0" borderId="85" xfId="0" applyNumberFormat="1" applyFont="1" applyBorder="1"/>
    <xf numFmtId="0" fontId="13" fillId="22" borderId="85" xfId="29" applyFont="1" applyFill="1" applyBorder="1" applyAlignment="1">
      <alignment vertical="top"/>
    </xf>
    <xf numFmtId="173" fontId="19" fillId="0" borderId="85" xfId="0" applyNumberFormat="1" applyFont="1" applyBorder="1" applyAlignment="1">
      <alignment horizontal="right"/>
    </xf>
    <xf numFmtId="0" fontId="0" fillId="3" borderId="12" xfId="0" applyFill="1" applyBorder="1"/>
    <xf numFmtId="3" fontId="41" fillId="3" borderId="0" xfId="0" applyNumberFormat="1" applyFont="1" applyFill="1" applyBorder="1"/>
    <xf numFmtId="3" fontId="2" fillId="0" borderId="85" xfId="0" applyNumberFormat="1" applyFont="1" applyBorder="1"/>
    <xf numFmtId="3" fontId="22" fillId="0" borderId="0" xfId="0" applyNumberFormat="1" applyFont="1" applyBorder="1"/>
    <xf numFmtId="3" fontId="28" fillId="11" borderId="0" xfId="0" applyNumberFormat="1" applyFont="1" applyFill="1" applyBorder="1"/>
    <xf numFmtId="3" fontId="22" fillId="3" borderId="0" xfId="0" applyNumberFormat="1" applyFont="1" applyFill="1" applyBorder="1"/>
    <xf numFmtId="3" fontId="0" fillId="0" borderId="0" xfId="0" applyNumberFormat="1" applyFill="1" applyBorder="1"/>
    <xf numFmtId="0" fontId="12" fillId="3" borderId="0" xfId="12" applyFont="1" applyFill="1"/>
    <xf numFmtId="0" fontId="37" fillId="3" borderId="119" xfId="12" applyFont="1" applyFill="1" applyBorder="1"/>
    <xf numFmtId="0" fontId="168" fillId="3" borderId="119" xfId="32" applyFont="1" applyFill="1" applyBorder="1"/>
    <xf numFmtId="0" fontId="168" fillId="3" borderId="119" xfId="12" applyFont="1" applyFill="1" applyBorder="1" applyAlignment="1">
      <alignment horizontal="center"/>
    </xf>
    <xf numFmtId="0" fontId="37" fillId="3" borderId="119" xfId="32" applyFont="1" applyFill="1" applyBorder="1"/>
    <xf numFmtId="0" fontId="37" fillId="3" borderId="119" xfId="12" applyFont="1" applyFill="1" applyBorder="1" applyAlignment="1">
      <alignment horizontal="center"/>
    </xf>
    <xf numFmtId="2" fontId="37" fillId="3" borderId="119" xfId="32" applyNumberFormat="1" applyFont="1" applyFill="1" applyBorder="1"/>
    <xf numFmtId="176" fontId="171" fillId="3" borderId="0" xfId="0" applyNumberFormat="1" applyFont="1" applyFill="1"/>
    <xf numFmtId="0" fontId="171" fillId="3" borderId="0" xfId="0" applyFont="1" applyFill="1"/>
    <xf numFmtId="176" fontId="171" fillId="11" borderId="0" xfId="0" applyNumberFormat="1" applyFont="1" applyFill="1"/>
    <xf numFmtId="9" fontId="171" fillId="3" borderId="0" xfId="0" applyNumberFormat="1" applyFont="1" applyFill="1"/>
    <xf numFmtId="3" fontId="37" fillId="3" borderId="119" xfId="12" applyNumberFormat="1" applyFont="1" applyFill="1" applyBorder="1"/>
    <xf numFmtId="3" fontId="168" fillId="3" borderId="119" xfId="12" applyNumberFormat="1" applyFont="1" applyFill="1" applyBorder="1"/>
    <xf numFmtId="0" fontId="169" fillId="0" borderId="0" xfId="0" applyFont="1"/>
    <xf numFmtId="0" fontId="170" fillId="0" borderId="0" xfId="0" applyFont="1"/>
    <xf numFmtId="3" fontId="5" fillId="0" borderId="0" xfId="2" applyNumberFormat="1" applyFont="1" applyFill="1"/>
    <xf numFmtId="3" fontId="169" fillId="0" borderId="0" xfId="0" applyNumberFormat="1" applyFont="1"/>
    <xf numFmtId="0" fontId="172" fillId="0" borderId="0" xfId="0" applyFont="1"/>
    <xf numFmtId="0" fontId="170" fillId="0" borderId="93" xfId="0" applyFont="1" applyBorder="1" applyAlignment="1">
      <alignment horizontal="center"/>
    </xf>
    <xf numFmtId="2" fontId="37" fillId="3" borderId="119" xfId="32" applyNumberFormat="1" applyFont="1" applyFill="1" applyBorder="1" applyAlignment="1">
      <alignment horizontal="left" indent="2"/>
    </xf>
    <xf numFmtId="2" fontId="37" fillId="3" borderId="119" xfId="32" applyNumberFormat="1" applyFont="1" applyFill="1" applyBorder="1" applyAlignment="1">
      <alignment horizontal="left"/>
    </xf>
    <xf numFmtId="0" fontId="173" fillId="3" borderId="0" xfId="12" applyFont="1" applyFill="1"/>
    <xf numFmtId="167" fontId="37" fillId="3" borderId="119" xfId="12" applyNumberFormat="1" applyFont="1" applyFill="1" applyBorder="1"/>
    <xf numFmtId="0" fontId="37" fillId="3" borderId="0" xfId="12" applyFont="1" applyFill="1" applyBorder="1"/>
    <xf numFmtId="2" fontId="37" fillId="3" borderId="0" xfId="32" applyNumberFormat="1" applyFont="1" applyFill="1" applyBorder="1" applyAlignment="1">
      <alignment horizontal="left"/>
    </xf>
    <xf numFmtId="0" fontId="37" fillId="3" borderId="0" xfId="12" applyFont="1" applyFill="1" applyBorder="1" applyAlignment="1">
      <alignment horizontal="center"/>
    </xf>
    <xf numFmtId="167" fontId="37" fillId="3" borderId="0" xfId="12" applyNumberFormat="1" applyFont="1" applyFill="1" applyBorder="1"/>
    <xf numFmtId="0" fontId="39" fillId="3" borderId="0" xfId="12" applyFont="1" applyFill="1" applyAlignment="1"/>
    <xf numFmtId="176" fontId="0" fillId="3" borderId="0" xfId="0" applyNumberFormat="1" applyFill="1" applyBorder="1"/>
    <xf numFmtId="176" fontId="0" fillId="3" borderId="0" xfId="0" applyNumberFormat="1" applyFont="1" applyFill="1" applyBorder="1"/>
    <xf numFmtId="0" fontId="171" fillId="3" borderId="93" xfId="0" applyFont="1" applyFill="1" applyBorder="1" applyAlignment="1">
      <alignment horizontal="center"/>
    </xf>
    <xf numFmtId="176" fontId="171" fillId="3" borderId="93" xfId="0" applyNumberFormat="1" applyFont="1" applyFill="1" applyBorder="1" applyAlignment="1">
      <alignment horizontal="center"/>
    </xf>
    <xf numFmtId="0" fontId="168" fillId="5" borderId="122" xfId="12" applyFont="1" applyFill="1" applyBorder="1" applyAlignment="1">
      <alignment horizontal="center" vertical="center"/>
    </xf>
    <xf numFmtId="0" fontId="10" fillId="3" borderId="0" xfId="2" applyFont="1" applyFill="1"/>
    <xf numFmtId="0" fontId="175" fillId="3" borderId="0" xfId="2" applyFont="1" applyFill="1"/>
    <xf numFmtId="0" fontId="45" fillId="63" borderId="0" xfId="2" applyFont="1" applyFill="1"/>
    <xf numFmtId="0" fontId="10" fillId="3" borderId="0" xfId="2" applyFont="1" applyFill="1" applyAlignment="1">
      <alignment horizontal="left"/>
    </xf>
    <xf numFmtId="10" fontId="176" fillId="3" borderId="0" xfId="1" applyNumberFormat="1" applyFont="1" applyFill="1"/>
    <xf numFmtId="10" fontId="10" fillId="3" borderId="0" xfId="2" applyNumberFormat="1" applyFont="1" applyFill="1"/>
    <xf numFmtId="3" fontId="10" fillId="3" borderId="0" xfId="2" applyNumberFormat="1" applyFont="1" applyFill="1"/>
    <xf numFmtId="0" fontId="10" fillId="3" borderId="0" xfId="2" applyFont="1" applyFill="1" applyAlignment="1">
      <alignment horizontal="left" indent="1"/>
    </xf>
    <xf numFmtId="3" fontId="43" fillId="3" borderId="0" xfId="2" applyNumberFormat="1" applyFont="1" applyFill="1" applyBorder="1"/>
    <xf numFmtId="3" fontId="175" fillId="3" borderId="0" xfId="2" applyNumberFormat="1" applyFont="1" applyFill="1"/>
    <xf numFmtId="3" fontId="10" fillId="3" borderId="0" xfId="2" applyNumberFormat="1" applyFont="1" applyFill="1" applyBorder="1"/>
    <xf numFmtId="0" fontId="177" fillId="3" borderId="0" xfId="2" applyFont="1" applyFill="1"/>
    <xf numFmtId="167" fontId="10" fillId="3" borderId="0" xfId="2" applyNumberFormat="1" applyFont="1" applyFill="1"/>
    <xf numFmtId="165" fontId="10" fillId="3" borderId="0" xfId="1" applyNumberFormat="1" applyFont="1" applyFill="1"/>
    <xf numFmtId="165" fontId="10" fillId="3" borderId="0" xfId="1" applyNumberFormat="1" applyFont="1" applyFill="1" applyBorder="1"/>
    <xf numFmtId="165" fontId="10" fillId="3" borderId="0" xfId="2" applyNumberFormat="1" applyFont="1" applyFill="1"/>
    <xf numFmtId="10" fontId="178" fillId="3" borderId="0" xfId="1" applyNumberFormat="1" applyFont="1" applyFill="1"/>
    <xf numFmtId="3" fontId="168" fillId="3" borderId="121" xfId="12" applyNumberFormat="1" applyFont="1" applyFill="1" applyBorder="1"/>
    <xf numFmtId="0" fontId="168" fillId="9" borderId="119" xfId="12" applyFont="1" applyFill="1" applyBorder="1" applyAlignment="1">
      <alignment horizontal="center" vertical="center"/>
    </xf>
    <xf numFmtId="0" fontId="43" fillId="3" borderId="0" xfId="2" applyFont="1" applyFill="1" applyAlignment="1">
      <alignment horizontal="left"/>
    </xf>
    <xf numFmtId="0" fontId="168" fillId="5" borderId="119" xfId="12" applyFont="1" applyFill="1" applyBorder="1" applyAlignment="1">
      <alignment horizontal="center" vertical="center"/>
    </xf>
    <xf numFmtId="0" fontId="175" fillId="3" borderId="0" xfId="2" applyFont="1" applyFill="1" applyBorder="1" applyAlignment="1">
      <alignment horizontal="left" indent="1"/>
    </xf>
    <xf numFmtId="0" fontId="10" fillId="3" borderId="0" xfId="2" applyFont="1" applyFill="1" applyBorder="1" applyAlignment="1">
      <alignment horizontal="left" indent="1"/>
    </xf>
    <xf numFmtId="0" fontId="12" fillId="3" borderId="123" xfId="12" applyFont="1" applyFill="1" applyBorder="1" applyAlignment="1"/>
    <xf numFmtId="0" fontId="12" fillId="3" borderId="0" xfId="12" applyFont="1" applyFill="1" applyBorder="1" applyAlignment="1"/>
    <xf numFmtId="49" fontId="174" fillId="63" borderId="119" xfId="12" applyNumberFormat="1" applyFont="1" applyFill="1" applyBorder="1" applyAlignment="1">
      <alignment horizontal="center" vertical="center" wrapText="1"/>
    </xf>
    <xf numFmtId="49" fontId="174" fillId="63" borderId="119" xfId="12" applyNumberFormat="1" applyFont="1" applyFill="1" applyBorder="1" applyAlignment="1">
      <alignment horizontal="center" vertical="center"/>
    </xf>
    <xf numFmtId="0" fontId="174" fillId="63" borderId="119" xfId="12" applyFont="1" applyFill="1" applyBorder="1" applyAlignment="1">
      <alignment horizontal="center" vertical="center"/>
    </xf>
    <xf numFmtId="0" fontId="45" fillId="5" borderId="0" xfId="2" applyFont="1" applyFill="1" applyAlignment="1">
      <alignment horizontal="center"/>
    </xf>
    <xf numFmtId="3" fontId="47" fillId="5" borderId="0" xfId="2" applyNumberFormat="1" applyFont="1" applyFill="1"/>
    <xf numFmtId="0" fontId="10" fillId="5" borderId="0" xfId="2" applyFont="1" applyFill="1"/>
    <xf numFmtId="3" fontId="175" fillId="5" borderId="0" xfId="2" applyNumberFormat="1" applyFont="1" applyFill="1"/>
    <xf numFmtId="0" fontId="47" fillId="5" borderId="0" xfId="2" applyFont="1" applyFill="1"/>
    <xf numFmtId="0" fontId="45" fillId="63" borderId="0" xfId="2" applyFont="1" applyFill="1" applyAlignment="1">
      <alignment horizontal="center"/>
    </xf>
    <xf numFmtId="0" fontId="175" fillId="3" borderId="0" xfId="2" applyFont="1" applyFill="1" applyAlignment="1">
      <alignment horizontal="center"/>
    </xf>
    <xf numFmtId="0" fontId="47" fillId="5" borderId="0" xfId="2" applyFont="1" applyFill="1" applyAlignment="1">
      <alignment horizontal="center"/>
    </xf>
    <xf numFmtId="0" fontId="10" fillId="3" borderId="0" xfId="2" applyFont="1" applyFill="1" applyAlignment="1">
      <alignment horizontal="center"/>
    </xf>
    <xf numFmtId="167" fontId="10" fillId="3" borderId="0" xfId="2" applyNumberFormat="1" applyFont="1" applyFill="1" applyAlignment="1">
      <alignment horizontal="center"/>
    </xf>
    <xf numFmtId="0" fontId="175" fillId="3" borderId="0" xfId="2" applyFont="1" applyFill="1" applyBorder="1" applyAlignment="1">
      <alignment horizontal="center"/>
    </xf>
    <xf numFmtId="0" fontId="10" fillId="3" borderId="0" xfId="2" applyFont="1" applyFill="1" applyBorder="1" applyAlignment="1">
      <alignment horizontal="center"/>
    </xf>
    <xf numFmtId="0" fontId="179" fillId="5" borderId="0" xfId="2" applyFont="1" applyFill="1" applyAlignment="1">
      <alignment horizontal="center"/>
    </xf>
    <xf numFmtId="0" fontId="175" fillId="5" borderId="0" xfId="2" applyFont="1" applyFill="1" applyBorder="1" applyAlignment="1">
      <alignment horizontal="center"/>
    </xf>
    <xf numFmtId="9" fontId="170" fillId="11" borderId="23" xfId="0" applyNumberFormat="1" applyFont="1" applyFill="1" applyBorder="1" applyAlignment="1">
      <alignment horizontal="center" vertical="center"/>
    </xf>
    <xf numFmtId="3" fontId="47" fillId="11" borderId="23" xfId="2" applyNumberFormat="1" applyFont="1" applyFill="1" applyBorder="1"/>
    <xf numFmtId="165" fontId="47" fillId="11" borderId="23" xfId="1" applyNumberFormat="1" applyFont="1" applyFill="1" applyBorder="1"/>
    <xf numFmtId="0" fontId="171" fillId="3" borderId="0" xfId="0" applyFont="1" applyFill="1" applyBorder="1" applyAlignment="1">
      <alignment horizontal="center"/>
    </xf>
    <xf numFmtId="176" fontId="171" fillId="3" borderId="0" xfId="0" applyNumberFormat="1" applyFont="1" applyFill="1" applyBorder="1" applyAlignment="1">
      <alignment horizontal="center"/>
    </xf>
    <xf numFmtId="9" fontId="28" fillId="11" borderId="51" xfId="0" applyNumberFormat="1" applyFont="1" applyFill="1" applyBorder="1" applyAlignment="1">
      <alignment horizontal="center"/>
    </xf>
    <xf numFmtId="9" fontId="28" fillId="11" borderId="52" xfId="0" applyNumberFormat="1" applyFont="1" applyFill="1" applyBorder="1" applyAlignment="1">
      <alignment horizontal="center"/>
    </xf>
    <xf numFmtId="9" fontId="28" fillId="11" borderId="23" xfId="0" applyNumberFormat="1" applyFont="1" applyFill="1" applyBorder="1" applyAlignment="1">
      <alignment horizontal="center"/>
    </xf>
    <xf numFmtId="165" fontId="28" fillId="11" borderId="23" xfId="1" applyNumberFormat="1" applyFont="1" applyFill="1" applyBorder="1"/>
    <xf numFmtId="0" fontId="175" fillId="5" borderId="0" xfId="2" applyFont="1" applyFill="1"/>
    <xf numFmtId="0" fontId="175" fillId="5" borderId="0" xfId="2" applyFont="1" applyFill="1" applyAlignment="1">
      <alignment horizontal="center"/>
    </xf>
    <xf numFmtId="0" fontId="175" fillId="5" borderId="31" xfId="2" applyFont="1" applyFill="1" applyBorder="1" applyAlignment="1">
      <alignment horizontal="center"/>
    </xf>
    <xf numFmtId="0" fontId="175" fillId="5" borderId="51" xfId="2" applyFont="1" applyFill="1" applyBorder="1"/>
    <xf numFmtId="3" fontId="175" fillId="5" borderId="31" xfId="2" applyNumberFormat="1" applyFont="1" applyFill="1" applyBorder="1"/>
    <xf numFmtId="3" fontId="175" fillId="5" borderId="52" xfId="2" applyNumberFormat="1" applyFont="1" applyFill="1" applyBorder="1"/>
    <xf numFmtId="165" fontId="175" fillId="11" borderId="23" xfId="1" applyNumberFormat="1" applyFont="1" applyFill="1" applyBorder="1"/>
    <xf numFmtId="3" fontId="5" fillId="5" borderId="0" xfId="2" applyNumberFormat="1" applyFont="1" applyFill="1"/>
    <xf numFmtId="3" fontId="47" fillId="11" borderId="23" xfId="1" applyNumberFormat="1" applyFont="1" applyFill="1" applyBorder="1"/>
    <xf numFmtId="3" fontId="48" fillId="3" borderId="0" xfId="2" applyNumberFormat="1" applyFont="1" applyFill="1"/>
    <xf numFmtId="0" fontId="175" fillId="3" borderId="0" xfId="2" applyFont="1" applyFill="1" applyAlignment="1">
      <alignment horizontal="left" indent="1"/>
    </xf>
    <xf numFmtId="3" fontId="175" fillId="3" borderId="0" xfId="2" applyNumberFormat="1" applyFont="1" applyFill="1" applyBorder="1"/>
    <xf numFmtId="0" fontId="45" fillId="63" borderId="0" xfId="2" applyFont="1" applyFill="1" applyAlignment="1">
      <alignment horizontal="left"/>
    </xf>
    <xf numFmtId="0" fontId="10" fillId="63" borderId="0" xfId="2" applyFont="1" applyFill="1" applyAlignment="1">
      <alignment horizontal="center"/>
    </xf>
    <xf numFmtId="0" fontId="10" fillId="63" borderId="0" xfId="2" applyFont="1" applyFill="1"/>
    <xf numFmtId="49" fontId="175" fillId="3" borderId="0" xfId="2" applyNumberFormat="1" applyFont="1" applyFill="1" applyAlignment="1">
      <alignment horizontal="left" indent="1"/>
    </xf>
    <xf numFmtId="49" fontId="10" fillId="3" borderId="0" xfId="2" applyNumberFormat="1" applyFont="1" applyFill="1" applyAlignment="1">
      <alignment horizontal="left" indent="1"/>
    </xf>
    <xf numFmtId="0" fontId="180" fillId="0" borderId="0" xfId="377"/>
    <xf numFmtId="0" fontId="182" fillId="0" borderId="124" xfId="377" applyFont="1" applyBorder="1" applyAlignment="1">
      <alignment horizontal="center" vertical="center"/>
    </xf>
    <xf numFmtId="0" fontId="182" fillId="0" borderId="125" xfId="377" applyFont="1" applyBorder="1" applyAlignment="1">
      <alignment horizontal="center" vertical="center"/>
    </xf>
    <xf numFmtId="0" fontId="183" fillId="11" borderId="100" xfId="377" applyFont="1" applyFill="1" applyBorder="1" applyAlignment="1">
      <alignment horizontal="center" vertical="center" wrapText="1"/>
    </xf>
    <xf numFmtId="2" fontId="183" fillId="3" borderId="32" xfId="377" applyNumberFormat="1" applyFont="1" applyFill="1" applyBorder="1" applyAlignment="1">
      <alignment horizontal="center" vertical="center" wrapText="1"/>
    </xf>
    <xf numFmtId="0" fontId="183" fillId="11" borderId="14" xfId="377" applyFont="1" applyFill="1" applyBorder="1" applyAlignment="1">
      <alignment horizontal="center" vertical="center" wrapText="1"/>
    </xf>
    <xf numFmtId="2" fontId="183" fillId="3" borderId="127" xfId="377" applyNumberFormat="1" applyFont="1" applyFill="1" applyBorder="1" applyAlignment="1">
      <alignment horizontal="center" vertical="center" wrapText="1"/>
    </xf>
    <xf numFmtId="2" fontId="183" fillId="3" borderId="128" xfId="377" applyNumberFormat="1" applyFont="1" applyFill="1" applyBorder="1" applyAlignment="1">
      <alignment horizontal="center" vertical="center" wrapText="1"/>
    </xf>
    <xf numFmtId="0" fontId="185" fillId="3" borderId="129" xfId="377" applyFont="1" applyFill="1" applyBorder="1" applyAlignment="1">
      <alignment horizontal="center" vertical="center" wrapText="1"/>
    </xf>
    <xf numFmtId="166" fontId="186" fillId="3" borderId="129" xfId="377" applyNumberFormat="1" applyFont="1" applyFill="1" applyBorder="1" applyAlignment="1">
      <alignment horizontal="center" vertical="center" wrapText="1"/>
    </xf>
    <xf numFmtId="0" fontId="186" fillId="3" borderId="129" xfId="377" applyFont="1" applyFill="1" applyBorder="1" applyAlignment="1">
      <alignment horizontal="center" vertical="center" wrapText="1"/>
    </xf>
    <xf numFmtId="166" fontId="186" fillId="11" borderId="129" xfId="377" applyNumberFormat="1" applyFont="1" applyFill="1" applyBorder="1" applyAlignment="1">
      <alignment horizontal="center" vertical="center" wrapText="1"/>
    </xf>
    <xf numFmtId="2" fontId="186" fillId="3" borderId="129" xfId="377" applyNumberFormat="1" applyFont="1" applyFill="1" applyBorder="1" applyAlignment="1">
      <alignment horizontal="center" vertical="center" wrapText="1"/>
    </xf>
    <xf numFmtId="166" fontId="185" fillId="3" borderId="129" xfId="377" applyNumberFormat="1" applyFont="1" applyFill="1" applyBorder="1" applyAlignment="1">
      <alignment horizontal="center" vertical="center"/>
    </xf>
    <xf numFmtId="0" fontId="185" fillId="11" borderId="129" xfId="377" applyFont="1" applyFill="1" applyBorder="1" applyAlignment="1">
      <alignment horizontal="center" vertical="center" wrapText="1"/>
    </xf>
    <xf numFmtId="2" fontId="185" fillId="3" borderId="129" xfId="377" applyNumberFormat="1" applyFont="1" applyFill="1" applyBorder="1" applyAlignment="1">
      <alignment horizontal="center" vertical="center" wrapText="1"/>
    </xf>
    <xf numFmtId="2" fontId="185" fillId="3" borderId="129" xfId="377" applyNumberFormat="1" applyFont="1" applyFill="1" applyBorder="1" applyAlignment="1">
      <alignment horizontal="center" vertical="center"/>
    </xf>
    <xf numFmtId="0" fontId="185" fillId="3" borderId="129" xfId="377" applyFont="1" applyFill="1" applyBorder="1" applyAlignment="1">
      <alignment horizontal="center" vertical="center"/>
    </xf>
    <xf numFmtId="166" fontId="185" fillId="11" borderId="129" xfId="377" applyNumberFormat="1" applyFont="1" applyFill="1" applyBorder="1" applyAlignment="1">
      <alignment horizontal="center" vertical="center"/>
    </xf>
    <xf numFmtId="166" fontId="187" fillId="3" borderId="129" xfId="377" applyNumberFormat="1" applyFont="1" applyFill="1" applyBorder="1" applyAlignment="1">
      <alignment horizontal="center" vertical="center"/>
    </xf>
    <xf numFmtId="0" fontId="185" fillId="11" borderId="129" xfId="377" applyFont="1" applyFill="1" applyBorder="1" applyAlignment="1">
      <alignment horizontal="center" vertical="center"/>
    </xf>
    <xf numFmtId="166" fontId="185" fillId="3" borderId="129" xfId="377" applyNumberFormat="1" applyFont="1" applyFill="1" applyBorder="1" applyAlignment="1">
      <alignment horizontal="center" vertical="center" wrapText="1"/>
    </xf>
    <xf numFmtId="166" fontId="185" fillId="11" borderId="129" xfId="377" applyNumberFormat="1" applyFont="1" applyFill="1" applyBorder="1" applyAlignment="1">
      <alignment horizontal="center" vertical="center" wrapText="1"/>
    </xf>
    <xf numFmtId="2" fontId="185" fillId="11" borderId="129" xfId="377" applyNumberFormat="1" applyFont="1" applyFill="1" applyBorder="1" applyAlignment="1">
      <alignment horizontal="center" vertical="center"/>
    </xf>
    <xf numFmtId="0" fontId="180" fillId="0" borderId="0" xfId="377" applyAlignment="1">
      <alignment horizontal="center" vertical="center"/>
    </xf>
    <xf numFmtId="0" fontId="183" fillId="3" borderId="14" xfId="377" applyFont="1" applyFill="1" applyBorder="1" applyAlignment="1">
      <alignment horizontal="center" vertical="center" wrapText="1"/>
    </xf>
    <xf numFmtId="0" fontId="183" fillId="3" borderId="85" xfId="377" applyFont="1" applyFill="1" applyBorder="1" applyAlignment="1">
      <alignment horizontal="center" vertical="center" wrapText="1"/>
    </xf>
    <xf numFmtId="0" fontId="183" fillId="0" borderId="90" xfId="377" applyFont="1" applyBorder="1" applyAlignment="1">
      <alignment horizontal="center" vertical="center"/>
    </xf>
    <xf numFmtId="0" fontId="183" fillId="0" borderId="129" xfId="377" applyFont="1" applyBorder="1" applyAlignment="1">
      <alignment horizontal="center" vertical="center" wrapText="1"/>
    </xf>
    <xf numFmtId="0" fontId="183" fillId="11" borderId="129" xfId="377" applyFont="1" applyFill="1" applyBorder="1" applyAlignment="1">
      <alignment horizontal="center" vertical="center" wrapText="1"/>
    </xf>
    <xf numFmtId="0" fontId="183" fillId="3" borderId="129" xfId="377" applyFont="1" applyFill="1" applyBorder="1" applyAlignment="1">
      <alignment horizontal="center" vertical="center" wrapText="1"/>
    </xf>
    <xf numFmtId="0" fontId="185" fillId="0" borderId="129" xfId="377" applyFont="1" applyBorder="1" applyAlignment="1">
      <alignment horizontal="center" vertical="center" wrapText="1"/>
    </xf>
    <xf numFmtId="0" fontId="183" fillId="0" borderId="100" xfId="377" applyFont="1" applyBorder="1" applyAlignment="1">
      <alignment horizontal="center" vertical="center"/>
    </xf>
    <xf numFmtId="0" fontId="183" fillId="11" borderId="129" xfId="377" applyFont="1" applyFill="1" applyBorder="1" applyAlignment="1">
      <alignment horizontal="center" vertical="center"/>
    </xf>
    <xf numFmtId="0" fontId="183" fillId="0" borderId="89" xfId="377" applyFont="1" applyBorder="1" applyAlignment="1">
      <alignment horizontal="center" vertical="center" wrapText="1"/>
    </xf>
    <xf numFmtId="0" fontId="183" fillId="0" borderId="0" xfId="377" applyFont="1" applyAlignment="1">
      <alignment horizontal="center" vertical="center"/>
    </xf>
    <xf numFmtId="0" fontId="183" fillId="0" borderId="13" xfId="377" applyFont="1" applyBorder="1" applyAlignment="1">
      <alignment horizontal="center" vertical="center" wrapText="1"/>
    </xf>
    <xf numFmtId="0" fontId="183" fillId="11" borderId="13" xfId="377" applyFont="1" applyFill="1" applyBorder="1" applyAlignment="1">
      <alignment horizontal="center" vertical="center" wrapText="1"/>
    </xf>
    <xf numFmtId="0" fontId="183" fillId="3" borderId="13" xfId="377" applyFont="1" applyFill="1" applyBorder="1" applyAlignment="1">
      <alignment horizontal="center" vertical="center" wrapText="1"/>
    </xf>
    <xf numFmtId="0" fontId="183" fillId="0" borderId="85" xfId="377" applyFont="1" applyBorder="1" applyAlignment="1">
      <alignment horizontal="center" vertical="center" wrapText="1"/>
    </xf>
    <xf numFmtId="0" fontId="183" fillId="0" borderId="129" xfId="377" applyFont="1" applyBorder="1" applyAlignment="1">
      <alignment horizontal="center" vertical="center"/>
    </xf>
    <xf numFmtId="0" fontId="183" fillId="0" borderId="85" xfId="377" applyFont="1" applyBorder="1" applyAlignment="1">
      <alignment horizontal="center" vertical="center"/>
    </xf>
    <xf numFmtId="0" fontId="183" fillId="0" borderId="57" xfId="377" applyFont="1" applyBorder="1" applyAlignment="1">
      <alignment horizontal="center" vertical="center" wrapText="1"/>
    </xf>
    <xf numFmtId="0" fontId="183" fillId="11" borderId="130" xfId="377" applyFont="1" applyFill="1" applyBorder="1" applyAlignment="1">
      <alignment horizontal="center" vertical="center"/>
    </xf>
    <xf numFmtId="0" fontId="183" fillId="11" borderId="130" xfId="377" applyFont="1" applyFill="1" applyBorder="1" applyAlignment="1">
      <alignment horizontal="center" vertical="center" wrapText="1"/>
    </xf>
    <xf numFmtId="0" fontId="183" fillId="0" borderId="130" xfId="377" applyFont="1" applyBorder="1" applyAlignment="1">
      <alignment horizontal="center" vertical="center" wrapText="1"/>
    </xf>
    <xf numFmtId="0" fontId="183" fillId="3" borderId="130" xfId="377" applyFont="1" applyFill="1" applyBorder="1" applyAlignment="1">
      <alignment horizontal="center" vertical="center" wrapText="1"/>
    </xf>
    <xf numFmtId="0" fontId="183" fillId="0" borderId="50" xfId="377" applyFont="1" applyBorder="1" applyAlignment="1">
      <alignment horizontal="center" vertical="center" wrapText="1"/>
    </xf>
    <xf numFmtId="0" fontId="183" fillId="11" borderId="85" xfId="377" applyFont="1" applyFill="1" applyBorder="1" applyAlignment="1">
      <alignment horizontal="center" vertical="center"/>
    </xf>
    <xf numFmtId="0" fontId="183" fillId="11" borderId="85" xfId="377" applyFont="1" applyFill="1" applyBorder="1" applyAlignment="1">
      <alignment horizontal="center" vertical="center" wrapText="1"/>
    </xf>
    <xf numFmtId="0" fontId="183" fillId="11" borderId="14" xfId="377" applyFont="1" applyFill="1" applyBorder="1" applyAlignment="1">
      <alignment horizontal="center" vertical="center"/>
    </xf>
    <xf numFmtId="0" fontId="183" fillId="0" borderId="14" xfId="377" applyFont="1" applyBorder="1" applyAlignment="1">
      <alignment horizontal="center" vertical="center" wrapText="1"/>
    </xf>
    <xf numFmtId="0" fontId="183" fillId="0" borderId="85" xfId="377" applyFont="1" applyBorder="1" applyAlignment="1">
      <alignment horizontal="center" vertical="center" textRotation="90" wrapText="1"/>
    </xf>
    <xf numFmtId="0" fontId="183" fillId="0" borderId="89" xfId="377" applyFont="1" applyBorder="1" applyAlignment="1">
      <alignment horizontal="center" vertical="center" textRotation="90" wrapText="1"/>
    </xf>
    <xf numFmtId="0" fontId="183" fillId="0" borderId="14" xfId="377" applyFont="1" applyBorder="1" applyAlignment="1">
      <alignment horizontal="center" vertical="center"/>
    </xf>
    <xf numFmtId="0" fontId="183" fillId="3" borderId="23" xfId="377" applyFont="1" applyFill="1" applyBorder="1" applyAlignment="1">
      <alignment horizontal="center" vertical="center" wrapText="1"/>
    </xf>
    <xf numFmtId="0" fontId="183" fillId="11" borderId="23" xfId="377" applyFont="1" applyFill="1" applyBorder="1" applyAlignment="1">
      <alignment horizontal="center" vertical="center" wrapText="1"/>
    </xf>
    <xf numFmtId="166" fontId="185" fillId="10" borderId="129" xfId="377" applyNumberFormat="1" applyFont="1" applyFill="1" applyBorder="1" applyAlignment="1">
      <alignment horizontal="center" vertical="center"/>
    </xf>
    <xf numFmtId="0" fontId="185" fillId="10" borderId="129" xfId="377" applyFont="1" applyFill="1" applyBorder="1" applyAlignment="1">
      <alignment horizontal="center" vertical="center"/>
    </xf>
    <xf numFmtId="0" fontId="183" fillId="10" borderId="129" xfId="377" applyFont="1" applyFill="1" applyBorder="1" applyAlignment="1">
      <alignment horizontal="center" vertical="center" wrapText="1"/>
    </xf>
    <xf numFmtId="166" fontId="185" fillId="9" borderId="129" xfId="377" applyNumberFormat="1" applyFont="1" applyFill="1" applyBorder="1" applyAlignment="1">
      <alignment horizontal="center" vertical="center"/>
    </xf>
    <xf numFmtId="0" fontId="185" fillId="9" borderId="129" xfId="377" applyFont="1" applyFill="1" applyBorder="1" applyAlignment="1">
      <alignment horizontal="center" vertical="center"/>
    </xf>
    <xf numFmtId="0" fontId="183" fillId="9" borderId="129" xfId="377" applyFont="1" applyFill="1" applyBorder="1" applyAlignment="1">
      <alignment horizontal="center" vertical="center" wrapText="1"/>
    </xf>
    <xf numFmtId="167" fontId="5" fillId="4" borderId="31" xfId="2" applyNumberFormat="1" applyFont="1" applyFill="1" applyBorder="1"/>
    <xf numFmtId="167" fontId="5" fillId="4" borderId="52" xfId="2" applyNumberFormat="1" applyFont="1" applyFill="1" applyBorder="1"/>
    <xf numFmtId="3" fontId="10" fillId="0" borderId="0" xfId="2" applyNumberFormat="1" applyFont="1" applyFill="1"/>
    <xf numFmtId="10" fontId="190" fillId="3" borderId="0" xfId="1" applyNumberFormat="1" applyFont="1" applyFill="1"/>
    <xf numFmtId="10" fontId="190" fillId="0" borderId="0" xfId="2" applyNumberFormat="1" applyFont="1" applyFill="1" applyAlignment="1">
      <alignment horizontal="right"/>
    </xf>
    <xf numFmtId="0" fontId="5" fillId="0" borderId="0" xfId="2" applyFont="1" applyFill="1"/>
    <xf numFmtId="0" fontId="4" fillId="0" borderId="0" xfId="2" applyFont="1" applyFill="1"/>
    <xf numFmtId="0" fontId="5" fillId="5" borderId="0" xfId="2" applyFont="1" applyFill="1"/>
    <xf numFmtId="3" fontId="25" fillId="5" borderId="0" xfId="2" applyNumberFormat="1" applyFont="1" applyFill="1"/>
    <xf numFmtId="0" fontId="24" fillId="5" borderId="0" xfId="2" applyFont="1" applyFill="1" applyAlignment="1">
      <alignment horizontal="center"/>
    </xf>
    <xf numFmtId="0" fontId="4" fillId="5" borderId="0" xfId="2" applyFont="1" applyFill="1"/>
    <xf numFmtId="0" fontId="25" fillId="5" borderId="0" xfId="2" applyFont="1" applyFill="1"/>
    <xf numFmtId="167" fontId="5" fillId="5" borderId="0" xfId="2" applyNumberFormat="1" applyFont="1" applyFill="1"/>
    <xf numFmtId="167" fontId="5" fillId="0" borderId="0" xfId="2" applyNumberFormat="1" applyFont="1" applyFill="1"/>
    <xf numFmtId="0" fontId="4" fillId="0" borderId="0" xfId="2" applyFont="1" applyFill="1" applyAlignment="1">
      <alignment horizontal="left" indent="1"/>
    </xf>
    <xf numFmtId="3" fontId="4" fillId="0" borderId="0" xfId="2" applyNumberFormat="1" applyFont="1" applyFill="1" applyBorder="1"/>
    <xf numFmtId="3" fontId="27" fillId="11" borderId="22" xfId="2" applyNumberFormat="1" applyFont="1" applyFill="1" applyBorder="1"/>
    <xf numFmtId="3" fontId="25" fillId="3" borderId="0" xfId="2" applyNumberFormat="1" applyFont="1" applyFill="1"/>
    <xf numFmtId="3" fontId="191" fillId="3" borderId="119" xfId="12" applyNumberFormat="1" applyFont="1" applyFill="1" applyBorder="1"/>
    <xf numFmtId="167" fontId="191" fillId="3" borderId="119" xfId="12" applyNumberFormat="1" applyFont="1" applyFill="1" applyBorder="1"/>
    <xf numFmtId="167" fontId="192" fillId="11" borderId="23" xfId="1" applyNumberFormat="1" applyFont="1" applyFill="1" applyBorder="1"/>
    <xf numFmtId="167" fontId="193" fillId="3" borderId="0" xfId="2" applyNumberFormat="1" applyFont="1" applyFill="1"/>
    <xf numFmtId="3" fontId="192" fillId="5" borderId="0" xfId="2" applyNumberFormat="1" applyFont="1" applyFill="1"/>
    <xf numFmtId="3" fontId="193" fillId="3" borderId="0" xfId="2" applyNumberFormat="1" applyFont="1" applyFill="1"/>
    <xf numFmtId="3" fontId="193" fillId="3" borderId="0" xfId="2" applyNumberFormat="1" applyFont="1" applyFill="1" applyBorder="1"/>
    <xf numFmtId="0" fontId="39" fillId="3" borderId="0" xfId="2" applyFont="1" applyFill="1"/>
    <xf numFmtId="0" fontId="12" fillId="3" borderId="0" xfId="2" applyFont="1" applyFill="1"/>
    <xf numFmtId="0" fontId="194" fillId="4" borderId="0" xfId="2" applyFont="1" applyFill="1"/>
    <xf numFmtId="0" fontId="168" fillId="4" borderId="0" xfId="2" applyFont="1" applyFill="1" applyAlignment="1">
      <alignment horizontal="center"/>
    </xf>
    <xf numFmtId="0" fontId="168" fillId="3" borderId="0" xfId="2" applyFont="1" applyFill="1"/>
    <xf numFmtId="3" fontId="168" fillId="3" borderId="0" xfId="2" applyNumberFormat="1" applyFont="1" applyFill="1"/>
    <xf numFmtId="3" fontId="168" fillId="5" borderId="0" xfId="2" applyNumberFormat="1" applyFont="1" applyFill="1"/>
    <xf numFmtId="0" fontId="37" fillId="3" borderId="0" xfId="2" applyFont="1" applyFill="1"/>
    <xf numFmtId="3" fontId="37" fillId="3" borderId="0" xfId="2" applyNumberFormat="1" applyFont="1" applyFill="1"/>
    <xf numFmtId="3" fontId="37" fillId="5" borderId="0" xfId="2" applyNumberFormat="1" applyFont="1" applyFill="1"/>
    <xf numFmtId="0" fontId="37" fillId="3" borderId="0" xfId="15" applyFont="1" applyFill="1" applyAlignment="1">
      <alignment horizontal="left" indent="3"/>
    </xf>
    <xf numFmtId="0" fontId="37" fillId="5" borderId="0" xfId="2" applyFont="1" applyFill="1"/>
    <xf numFmtId="0" fontId="168" fillId="5" borderId="0" xfId="2" applyFont="1" applyFill="1" applyAlignment="1">
      <alignment horizontal="left" indent="1"/>
    </xf>
    <xf numFmtId="3" fontId="37" fillId="3" borderId="0" xfId="2" quotePrefix="1" applyNumberFormat="1" applyFont="1" applyFill="1" applyAlignment="1">
      <alignment horizontal="right"/>
    </xf>
    <xf numFmtId="3" fontId="37" fillId="5" borderId="0" xfId="2" quotePrefix="1" applyNumberFormat="1" applyFont="1" applyFill="1" applyAlignment="1">
      <alignment horizontal="right"/>
    </xf>
    <xf numFmtId="0" fontId="37" fillId="3" borderId="0" xfId="2" applyFont="1" applyFill="1" applyAlignment="1">
      <alignment horizontal="left" indent="2"/>
    </xf>
    <xf numFmtId="0" fontId="168" fillId="5" borderId="0" xfId="2" applyFont="1" applyFill="1"/>
    <xf numFmtId="0" fontId="168" fillId="5" borderId="88" xfId="2" applyFont="1" applyFill="1" applyBorder="1"/>
    <xf numFmtId="3" fontId="168" fillId="5" borderId="88" xfId="2" applyNumberFormat="1" applyFont="1" applyFill="1" applyBorder="1"/>
    <xf numFmtId="176" fontId="12" fillId="3" borderId="0" xfId="20" applyNumberFormat="1" applyFont="1" applyFill="1"/>
    <xf numFmtId="0" fontId="32" fillId="3" borderId="0" xfId="2" applyFont="1" applyFill="1"/>
    <xf numFmtId="3" fontId="12" fillId="3" borderId="0" xfId="2" applyNumberFormat="1" applyFont="1" applyFill="1"/>
    <xf numFmtId="9" fontId="195" fillId="3" borderId="0" xfId="1" applyFont="1" applyFill="1"/>
    <xf numFmtId="167" fontId="196" fillId="3" borderId="119" xfId="12" applyNumberFormat="1" applyFont="1" applyFill="1" applyBorder="1"/>
    <xf numFmtId="167" fontId="196" fillId="3" borderId="120" xfId="12" applyNumberFormat="1" applyFont="1" applyFill="1" applyBorder="1"/>
    <xf numFmtId="3" fontId="196" fillId="3" borderId="119" xfId="12" applyNumberFormat="1" applyFont="1" applyFill="1" applyBorder="1"/>
    <xf numFmtId="3" fontId="196" fillId="3" borderId="120" xfId="12" applyNumberFormat="1" applyFont="1" applyFill="1" applyBorder="1"/>
    <xf numFmtId="3" fontId="197" fillId="3" borderId="0" xfId="2" applyNumberFormat="1" applyFont="1" applyFill="1"/>
    <xf numFmtId="3" fontId="197" fillId="3" borderId="0" xfId="2" applyNumberFormat="1" applyFont="1" applyFill="1" applyBorder="1"/>
    <xf numFmtId="3" fontId="198" fillId="5" borderId="0" xfId="2" applyNumberFormat="1" applyFont="1" applyFill="1"/>
    <xf numFmtId="3" fontId="195" fillId="3" borderId="0" xfId="2" applyNumberFormat="1" applyFont="1" applyFill="1"/>
    <xf numFmtId="0" fontId="3" fillId="7" borderId="30" xfId="2" applyFill="1" applyBorder="1" applyAlignment="1">
      <alignment horizontal="center"/>
    </xf>
    <xf numFmtId="0" fontId="32" fillId="9" borderId="119" xfId="12" applyFont="1" applyFill="1" applyBorder="1" applyAlignment="1">
      <alignment horizontal="center"/>
    </xf>
    <xf numFmtId="0" fontId="168" fillId="5" borderId="119" xfId="12" applyFont="1" applyFill="1" applyBorder="1" applyAlignment="1">
      <alignment horizontal="center" vertical="center" wrapText="1"/>
    </xf>
    <xf numFmtId="0" fontId="12" fillId="3" borderId="0" xfId="12" applyFont="1" applyFill="1" applyAlignment="1">
      <alignment horizontal="center"/>
    </xf>
    <xf numFmtId="0" fontId="168" fillId="5" borderId="119" xfId="12" applyFont="1" applyFill="1" applyBorder="1" applyAlignment="1">
      <alignment horizontal="center" vertical="center"/>
    </xf>
    <xf numFmtId="0" fontId="168" fillId="5" borderId="120" xfId="12" applyFont="1" applyFill="1" applyBorder="1" applyAlignment="1">
      <alignment horizontal="center" vertical="center" wrapText="1"/>
    </xf>
    <xf numFmtId="0" fontId="32" fillId="5" borderId="119" xfId="12" applyFont="1" applyFill="1" applyBorder="1" applyAlignment="1">
      <alignment horizontal="center"/>
    </xf>
    <xf numFmtId="0" fontId="168" fillId="9" borderId="119" xfId="12" applyFont="1" applyFill="1" applyBorder="1" applyAlignment="1">
      <alignment horizontal="center" vertical="center" wrapText="1"/>
    </xf>
    <xf numFmtId="0" fontId="188" fillId="0" borderId="124" xfId="377" applyFont="1" applyBorder="1" applyAlignment="1">
      <alignment horizontal="center" vertical="center" wrapText="1"/>
    </xf>
    <xf numFmtId="0" fontId="188" fillId="0" borderId="125" xfId="377" applyFont="1" applyBorder="1" applyAlignment="1">
      <alignment horizontal="center" vertical="center" wrapText="1"/>
    </xf>
    <xf numFmtId="0" fontId="188" fillId="0" borderId="126" xfId="377" applyFont="1" applyBorder="1" applyAlignment="1">
      <alignment horizontal="center" vertical="center" wrapText="1"/>
    </xf>
    <xf numFmtId="0" fontId="182" fillId="3" borderId="125" xfId="377" applyFont="1" applyFill="1" applyBorder="1" applyAlignment="1">
      <alignment horizontal="center" vertical="center"/>
    </xf>
    <xf numFmtId="0" fontId="188" fillId="3" borderId="124" xfId="377" applyFont="1" applyFill="1" applyBorder="1" applyAlignment="1">
      <alignment horizontal="center" vertical="center" wrapText="1"/>
    </xf>
    <xf numFmtId="0" fontId="188" fillId="3" borderId="125" xfId="377" applyFont="1" applyFill="1" applyBorder="1" applyAlignment="1">
      <alignment horizontal="center" vertical="center" wrapText="1"/>
    </xf>
    <xf numFmtId="0" fontId="188" fillId="3" borderId="126" xfId="377" applyFont="1" applyFill="1" applyBorder="1" applyAlignment="1">
      <alignment horizontal="center" vertical="center" wrapText="1"/>
    </xf>
    <xf numFmtId="0" fontId="189" fillId="3" borderId="125" xfId="377" applyFont="1" applyFill="1" applyBorder="1" applyAlignment="1">
      <alignment horizontal="center" vertical="center"/>
    </xf>
    <xf numFmtId="0" fontId="185" fillId="3" borderId="124" xfId="377" applyFont="1" applyFill="1" applyBorder="1" applyAlignment="1">
      <alignment horizontal="center" vertical="center" wrapText="1"/>
    </xf>
    <xf numFmtId="0" fontId="185" fillId="3" borderId="125" xfId="377" applyFont="1" applyFill="1" applyBorder="1" applyAlignment="1">
      <alignment horizontal="center" vertical="center" wrapText="1"/>
    </xf>
    <xf numFmtId="0" fontId="185" fillId="3" borderId="126" xfId="377" applyFont="1" applyFill="1" applyBorder="1" applyAlignment="1">
      <alignment horizontal="center" vertical="center" wrapText="1"/>
    </xf>
    <xf numFmtId="0" fontId="183" fillId="11" borderId="33" xfId="377" applyFont="1" applyFill="1" applyBorder="1" applyAlignment="1">
      <alignment horizontal="center" vertical="center" wrapText="1"/>
    </xf>
    <xf numFmtId="0" fontId="183" fillId="11" borderId="35" xfId="377" applyFont="1" applyFill="1" applyBorder="1" applyAlignment="1">
      <alignment horizontal="center" vertical="center" wrapText="1"/>
    </xf>
    <xf numFmtId="2" fontId="183" fillId="3" borderId="33" xfId="377" applyNumberFormat="1" applyFont="1" applyFill="1" applyBorder="1" applyAlignment="1">
      <alignment horizontal="center" vertical="center" wrapText="1"/>
    </xf>
    <xf numFmtId="2" fontId="183" fillId="3" borderId="35" xfId="377" applyNumberFormat="1" applyFont="1" applyFill="1" applyBorder="1" applyAlignment="1">
      <alignment horizontal="center" vertical="center" wrapText="1"/>
    </xf>
    <xf numFmtId="0" fontId="184" fillId="0" borderId="31" xfId="377" applyFont="1" applyBorder="1" applyAlignment="1">
      <alignment horizontal="center" wrapText="1"/>
    </xf>
    <xf numFmtId="0" fontId="184" fillId="0" borderId="52" xfId="377" applyFont="1" applyBorder="1" applyAlignment="1">
      <alignment horizontal="center" wrapText="1"/>
    </xf>
    <xf numFmtId="0" fontId="182" fillId="3" borderId="124" xfId="377" applyFont="1" applyFill="1" applyBorder="1" applyAlignment="1">
      <alignment horizontal="center" vertical="center" wrapText="1"/>
    </xf>
    <xf numFmtId="0" fontId="182" fillId="3" borderId="125" xfId="377" applyFont="1" applyFill="1" applyBorder="1" applyAlignment="1">
      <alignment horizontal="center" vertical="center" wrapText="1"/>
    </xf>
    <xf numFmtId="0" fontId="182" fillId="3" borderId="126" xfId="377" applyFont="1" applyFill="1" applyBorder="1" applyAlignment="1">
      <alignment horizontal="center" vertical="center" wrapText="1"/>
    </xf>
    <xf numFmtId="0" fontId="181" fillId="3" borderId="109" xfId="377" applyFont="1" applyFill="1" applyBorder="1" applyAlignment="1">
      <alignment horizontal="center"/>
    </xf>
    <xf numFmtId="0" fontId="182" fillId="0" borderId="124" xfId="377" applyFont="1" applyBorder="1" applyAlignment="1">
      <alignment horizontal="center" vertical="center"/>
    </xf>
    <xf numFmtId="0" fontId="182" fillId="0" borderId="125" xfId="377" applyFont="1" applyBorder="1" applyAlignment="1">
      <alignment horizontal="center" vertical="center"/>
    </xf>
    <xf numFmtId="0" fontId="182" fillId="0" borderId="126" xfId="377" applyFont="1" applyBorder="1" applyAlignment="1">
      <alignment horizontal="center" vertical="center"/>
    </xf>
    <xf numFmtId="0" fontId="183" fillId="3" borderId="33" xfId="377" applyFont="1" applyFill="1" applyBorder="1" applyAlignment="1">
      <alignment horizontal="center" vertical="center" wrapText="1"/>
    </xf>
    <xf numFmtId="0" fontId="183" fillId="3" borderId="35" xfId="377" applyFont="1" applyFill="1" applyBorder="1" applyAlignment="1">
      <alignment horizontal="center" vertical="center" wrapText="1"/>
    </xf>
    <xf numFmtId="0" fontId="183" fillId="3" borderId="23" xfId="377" applyFont="1" applyFill="1" applyBorder="1" applyAlignment="1">
      <alignment horizontal="center" vertical="center" wrapText="1"/>
    </xf>
    <xf numFmtId="0" fontId="183" fillId="11" borderId="23" xfId="377" applyFont="1" applyFill="1" applyBorder="1" applyAlignment="1">
      <alignment horizontal="center" vertical="center" wrapText="1"/>
    </xf>
    <xf numFmtId="0" fontId="182" fillId="3" borderId="86" xfId="377" applyFont="1" applyFill="1" applyBorder="1" applyAlignment="1">
      <alignment horizontal="center" vertical="center"/>
    </xf>
    <xf numFmtId="0" fontId="183" fillId="0" borderId="23" xfId="377" applyFont="1" applyBorder="1" applyAlignment="1">
      <alignment horizontal="center" vertical="center" wrapText="1"/>
    </xf>
    <xf numFmtId="167" fontId="183" fillId="3" borderId="23" xfId="377" applyNumberFormat="1" applyFont="1" applyFill="1" applyBorder="1" applyAlignment="1">
      <alignment horizontal="center" vertical="center" wrapText="1"/>
    </xf>
    <xf numFmtId="0" fontId="183" fillId="3" borderId="23" xfId="377" applyFont="1" applyFill="1" applyBorder="1" applyAlignment="1">
      <alignment horizontal="center" vertical="center"/>
    </xf>
    <xf numFmtId="0" fontId="183" fillId="0" borderId="14" xfId="377" applyFont="1" applyBorder="1" applyAlignment="1">
      <alignment horizontal="center" vertical="center" wrapText="1"/>
    </xf>
    <xf numFmtId="0" fontId="183" fillId="0" borderId="85" xfId="377" applyFont="1" applyBorder="1" applyAlignment="1">
      <alignment horizontal="center" vertical="center" wrapText="1"/>
    </xf>
    <xf numFmtId="0" fontId="183" fillId="0" borderId="130" xfId="377" applyFont="1" applyBorder="1" applyAlignment="1">
      <alignment horizontal="center" vertical="center" wrapText="1"/>
    </xf>
    <xf numFmtId="0" fontId="183" fillId="0" borderId="85" xfId="377" applyFont="1" applyBorder="1" applyAlignment="1">
      <alignment horizontal="center" vertical="center" textRotation="90" wrapText="1"/>
    </xf>
    <xf numFmtId="0" fontId="183" fillId="0" borderId="89" xfId="377" applyFont="1" applyBorder="1" applyAlignment="1">
      <alignment horizontal="center" vertical="center" textRotation="90" wrapText="1"/>
    </xf>
    <xf numFmtId="0" fontId="183" fillId="0" borderId="14" xfId="377" applyFont="1" applyBorder="1" applyAlignment="1">
      <alignment horizontal="center" vertical="center" textRotation="90" wrapText="1"/>
    </xf>
    <xf numFmtId="0" fontId="170" fillId="11" borderId="23" xfId="0" applyFont="1" applyFill="1" applyBorder="1" applyAlignment="1">
      <alignment horizontal="center" vertical="center"/>
    </xf>
    <xf numFmtId="0" fontId="31" fillId="0" borderId="71" xfId="0" applyFont="1" applyBorder="1" applyAlignment="1">
      <alignment horizontal="center" vertical="center"/>
    </xf>
    <xf numFmtId="0" fontId="31" fillId="0" borderId="66" xfId="0" applyFont="1" applyBorder="1" applyAlignment="1">
      <alignment horizontal="center" vertical="center"/>
    </xf>
    <xf numFmtId="0" fontId="31" fillId="0" borderId="70" xfId="0" applyFont="1" applyBorder="1" applyAlignment="1">
      <alignment horizontal="center" vertical="center"/>
    </xf>
    <xf numFmtId="0" fontId="31" fillId="0" borderId="65" xfId="0" applyFont="1" applyBorder="1" applyAlignment="1">
      <alignment horizontal="center" vertical="center"/>
    </xf>
    <xf numFmtId="0" fontId="31" fillId="0" borderId="73" xfId="0" applyFont="1" applyBorder="1" applyAlignment="1">
      <alignment horizontal="center" vertical="center"/>
    </xf>
    <xf numFmtId="0" fontId="31" fillId="0" borderId="72" xfId="0" applyFont="1" applyBorder="1" applyAlignment="1">
      <alignment horizontal="center" vertical="center"/>
    </xf>
    <xf numFmtId="0" fontId="31" fillId="0" borderId="77" xfId="0" applyFont="1" applyBorder="1" applyAlignment="1">
      <alignment horizontal="center" vertical="center"/>
    </xf>
    <xf numFmtId="0" fontId="31" fillId="0" borderId="76" xfId="0" applyFont="1" applyBorder="1" applyAlignment="1">
      <alignment horizontal="center" vertical="center"/>
    </xf>
    <xf numFmtId="0" fontId="31" fillId="13" borderId="77" xfId="2" applyFont="1" applyFill="1" applyBorder="1" applyAlignment="1">
      <alignment horizontal="center" vertical="center"/>
    </xf>
    <xf numFmtId="0" fontId="31" fillId="13" borderId="66" xfId="2" applyFont="1" applyFill="1" applyBorder="1" applyAlignment="1">
      <alignment horizontal="center" vertical="center"/>
    </xf>
    <xf numFmtId="0" fontId="31" fillId="13" borderId="84" xfId="2" applyFont="1" applyFill="1" applyBorder="1" applyAlignment="1">
      <alignment horizontal="center" vertical="center"/>
    </xf>
    <xf numFmtId="0" fontId="31" fillId="13" borderId="83" xfId="2" applyFont="1" applyFill="1" applyBorder="1" applyAlignment="1">
      <alignment horizontal="center" vertical="center"/>
    </xf>
    <xf numFmtId="0" fontId="31" fillId="13" borderId="80" xfId="2" applyFont="1" applyFill="1" applyBorder="1" applyAlignment="1">
      <alignment horizontal="center" vertical="center"/>
    </xf>
    <xf numFmtId="0" fontId="31" fillId="13" borderId="79" xfId="2" applyFont="1" applyFill="1" applyBorder="1" applyAlignment="1">
      <alignment horizontal="center" vertical="center"/>
    </xf>
    <xf numFmtId="0" fontId="30" fillId="13" borderId="78" xfId="2" applyFont="1" applyFill="1" applyBorder="1" applyAlignment="1">
      <alignment horizontal="center" vertical="center"/>
    </xf>
    <xf numFmtId="0" fontId="30" fillId="13" borderId="82" xfId="2" applyFont="1" applyFill="1" applyBorder="1" applyAlignment="1">
      <alignment horizontal="center" vertical="center"/>
    </xf>
    <xf numFmtId="0" fontId="30" fillId="13" borderId="81" xfId="2" applyFont="1" applyFill="1" applyBorder="1" applyAlignment="1">
      <alignment horizontal="center" vertical="center"/>
    </xf>
    <xf numFmtId="0" fontId="31" fillId="0" borderId="77" xfId="2" applyFont="1" applyBorder="1" applyAlignment="1">
      <alignment horizontal="center" vertical="center"/>
    </xf>
    <xf numFmtId="0" fontId="31" fillId="0" borderId="73" xfId="2" applyFont="1" applyBorder="1" applyAlignment="1">
      <alignment horizontal="center" vertical="center"/>
    </xf>
    <xf numFmtId="0" fontId="31" fillId="0" borderId="76" xfId="2" applyFont="1" applyBorder="1" applyAlignment="1">
      <alignment horizontal="center" vertical="center"/>
    </xf>
    <xf numFmtId="0" fontId="31" fillId="0" borderId="72" xfId="2" applyFont="1" applyBorder="1" applyAlignment="1">
      <alignment horizontal="center" vertical="center"/>
    </xf>
    <xf numFmtId="0" fontId="31" fillId="0" borderId="71" xfId="2" applyFont="1" applyBorder="1" applyAlignment="1">
      <alignment horizontal="center" vertical="center"/>
    </xf>
    <xf numFmtId="0" fontId="31" fillId="0" borderId="70" xfId="2" applyFont="1" applyBorder="1" applyAlignment="1">
      <alignment horizontal="center" vertical="center"/>
    </xf>
    <xf numFmtId="0" fontId="31" fillId="0" borderId="66" xfId="2" applyFont="1" applyBorder="1" applyAlignment="1">
      <alignment horizontal="center" vertical="center"/>
    </xf>
    <xf numFmtId="0" fontId="31" fillId="0" borderId="65" xfId="2" applyFont="1" applyBorder="1" applyAlignment="1">
      <alignment horizontal="center" vertical="center"/>
    </xf>
    <xf numFmtId="0" fontId="31" fillId="13" borderId="77" xfId="0" applyFont="1" applyFill="1" applyBorder="1" applyAlignment="1">
      <alignment horizontal="center" vertical="center"/>
    </xf>
    <xf numFmtId="0" fontId="31" fillId="13" borderId="66" xfId="0" applyFont="1" applyFill="1" applyBorder="1" applyAlignment="1">
      <alignment horizontal="center" vertical="center"/>
    </xf>
    <xf numFmtId="0" fontId="31" fillId="13" borderId="84" xfId="0" applyFont="1" applyFill="1" applyBorder="1" applyAlignment="1">
      <alignment horizontal="center" vertical="center"/>
    </xf>
    <xf numFmtId="0" fontId="31" fillId="13" borderId="83" xfId="0" applyFont="1" applyFill="1" applyBorder="1" applyAlignment="1">
      <alignment horizontal="center" vertical="center"/>
    </xf>
    <xf numFmtId="0" fontId="31" fillId="13" borderId="80" xfId="0" applyFont="1" applyFill="1" applyBorder="1" applyAlignment="1">
      <alignment horizontal="center" vertical="center"/>
    </xf>
    <xf numFmtId="0" fontId="31" fillId="13" borderId="79" xfId="0" applyFont="1" applyFill="1" applyBorder="1" applyAlignment="1">
      <alignment horizontal="center" vertical="center"/>
    </xf>
    <xf numFmtId="0" fontId="30" fillId="13" borderId="78" xfId="0" applyFont="1" applyFill="1" applyBorder="1" applyAlignment="1">
      <alignment horizontal="center" vertical="center"/>
    </xf>
    <xf numFmtId="0" fontId="30" fillId="13" borderId="82" xfId="0" applyFont="1" applyFill="1" applyBorder="1" applyAlignment="1">
      <alignment horizontal="center" vertical="center"/>
    </xf>
    <xf numFmtId="0" fontId="30" fillId="13" borderId="81" xfId="0" applyFont="1" applyFill="1" applyBorder="1" applyAlignment="1">
      <alignment horizontal="center" vertical="center"/>
    </xf>
    <xf numFmtId="0" fontId="31" fillId="0" borderId="76" xfId="22" applyFont="1" applyBorder="1" applyAlignment="1">
      <alignment horizontal="center" vertical="center"/>
    </xf>
    <xf numFmtId="0" fontId="31" fillId="0" borderId="72" xfId="22" applyFont="1" applyBorder="1" applyAlignment="1">
      <alignment horizontal="center" vertical="center"/>
    </xf>
    <xf numFmtId="0" fontId="31" fillId="0" borderId="70" xfId="22" applyFont="1" applyBorder="1" applyAlignment="1">
      <alignment horizontal="center" vertical="center"/>
    </xf>
    <xf numFmtId="0" fontId="31" fillId="0" borderId="65" xfId="22" applyFont="1" applyBorder="1" applyAlignment="1">
      <alignment horizontal="center" vertical="center"/>
    </xf>
    <xf numFmtId="0" fontId="31" fillId="13" borderId="84" xfId="0" applyFont="1" applyFill="1" applyBorder="1" applyAlignment="1">
      <alignment horizontal="center" vertical="center" wrapText="1"/>
    </xf>
    <xf numFmtId="0" fontId="31" fillId="13" borderId="83" xfId="0" applyFont="1" applyFill="1" applyBorder="1" applyAlignment="1">
      <alignment horizontal="center" vertical="center" wrapText="1"/>
    </xf>
    <xf numFmtId="0" fontId="31" fillId="13" borderId="80" xfId="0" applyFont="1" applyFill="1" applyBorder="1" applyAlignment="1">
      <alignment horizontal="center" vertical="center" wrapText="1"/>
    </xf>
    <xf numFmtId="0" fontId="31" fillId="13" borderId="79" xfId="0" applyFont="1" applyFill="1" applyBorder="1" applyAlignment="1">
      <alignment horizontal="center" vertical="center" wrapText="1"/>
    </xf>
    <xf numFmtId="0" fontId="43" fillId="0" borderId="87" xfId="26" applyFont="1" applyBorder="1" applyAlignment="1">
      <alignment horizontal="left" wrapText="1"/>
    </xf>
    <xf numFmtId="0" fontId="43" fillId="0" borderId="0" xfId="26" applyFont="1" applyAlignment="1">
      <alignment horizontal="left" wrapText="1"/>
    </xf>
    <xf numFmtId="0" fontId="47" fillId="0" borderId="97" xfId="26" applyFont="1" applyBorder="1"/>
    <xf numFmtId="0" fontId="43" fillId="0" borderId="88" xfId="13" applyFont="1" applyBorder="1"/>
    <xf numFmtId="0" fontId="43" fillId="0" borderId="90" xfId="13" applyFont="1" applyBorder="1"/>
    <xf numFmtId="0" fontId="43" fillId="0" borderId="89" xfId="26" applyFont="1" applyBorder="1"/>
    <xf numFmtId="14" fontId="43" fillId="0" borderId="89" xfId="26" applyNumberFormat="1" applyFont="1" applyBorder="1" applyAlignment="1">
      <alignment horizontal="center"/>
    </xf>
    <xf numFmtId="0" fontId="43" fillId="0" borderId="90" xfId="13" applyFont="1" applyBorder="1" applyAlignment="1">
      <alignment horizontal="center"/>
    </xf>
    <xf numFmtId="0" fontId="47" fillId="20" borderId="55" xfId="26" applyFont="1" applyFill="1" applyBorder="1"/>
    <xf numFmtId="0" fontId="43" fillId="0" borderId="56" xfId="26" applyFont="1" applyBorder="1"/>
    <xf numFmtId="0" fontId="43" fillId="0" borderId="10" xfId="26" applyFont="1" applyBorder="1"/>
    <xf numFmtId="3" fontId="47" fillId="20" borderId="11" xfId="26" applyNumberFormat="1" applyFont="1" applyFill="1" applyBorder="1" applyAlignment="1">
      <alignment horizontal="right"/>
    </xf>
    <xf numFmtId="0" fontId="43" fillId="20" borderId="95" xfId="26" applyFont="1" applyFill="1" applyBorder="1"/>
    <xf numFmtId="0" fontId="43" fillId="20" borderId="10" xfId="26" applyFont="1" applyFill="1" applyBorder="1"/>
    <xf numFmtId="0" fontId="47" fillId="20" borderId="97" xfId="26" applyFont="1" applyFill="1" applyBorder="1"/>
    <xf numFmtId="0" fontId="43" fillId="0" borderId="88" xfId="26" applyFont="1" applyBorder="1"/>
    <xf numFmtId="0" fontId="43" fillId="0" borderId="90" xfId="26" applyFont="1" applyBorder="1"/>
    <xf numFmtId="0" fontId="43" fillId="20" borderId="89" xfId="26" applyFont="1" applyFill="1" applyBorder="1"/>
    <xf numFmtId="0" fontId="43" fillId="20" borderId="90" xfId="26" applyFont="1" applyFill="1" applyBorder="1"/>
    <xf numFmtId="3" fontId="47" fillId="6" borderId="11" xfId="26" applyNumberFormat="1" applyFont="1" applyFill="1" applyBorder="1" applyAlignment="1">
      <alignment horizontal="right"/>
    </xf>
    <xf numFmtId="0" fontId="43" fillId="0" borderId="97" xfId="26" applyFont="1" applyBorder="1" applyAlignment="1">
      <alignment horizontal="left"/>
    </xf>
    <xf numFmtId="0" fontId="43" fillId="0" borderId="88" xfId="26" applyFont="1" applyBorder="1" applyAlignment="1">
      <alignment horizontal="left"/>
    </xf>
    <xf numFmtId="0" fontId="43" fillId="0" borderId="90" xfId="26" applyFont="1" applyBorder="1" applyAlignment="1">
      <alignment horizontal="left"/>
    </xf>
    <xf numFmtId="3" fontId="43" fillId="0" borderId="85" xfId="26" applyNumberFormat="1" applyFont="1" applyBorder="1" applyAlignment="1">
      <alignment horizontal="right"/>
    </xf>
    <xf numFmtId="0" fontId="43" fillId="0" borderId="85" xfId="26" applyFont="1" applyBorder="1" applyAlignment="1">
      <alignment horizontal="center"/>
    </xf>
    <xf numFmtId="0" fontId="43" fillId="0" borderId="89" xfId="27" applyFont="1" applyBorder="1" applyAlignment="1">
      <alignment horizontal="left" vertical="top" wrapText="1"/>
    </xf>
    <xf numFmtId="0" fontId="43" fillId="0" borderId="88" xfId="27" applyFont="1" applyBorder="1" applyAlignment="1">
      <alignment horizontal="left" vertical="top" wrapText="1"/>
    </xf>
    <xf numFmtId="0" fontId="43" fillId="0" borderId="90" xfId="27" applyFont="1" applyBorder="1" applyAlignment="1">
      <alignment horizontal="left" vertical="top" wrapText="1"/>
    </xf>
    <xf numFmtId="181" fontId="43" fillId="0" borderId="89" xfId="26" applyNumberFormat="1" applyFont="1" applyBorder="1" applyAlignment="1" applyProtection="1">
      <alignment horizontal="right" vertical="top" wrapText="1"/>
      <protection locked="0"/>
    </xf>
    <xf numFmtId="181" fontId="43" fillId="0" borderId="90" xfId="26" applyNumberFormat="1" applyFont="1" applyBorder="1" applyAlignment="1" applyProtection="1">
      <alignment horizontal="right" vertical="top" wrapText="1"/>
      <protection locked="0"/>
    </xf>
    <xf numFmtId="0" fontId="47" fillId="0" borderId="8" xfId="26" applyFont="1" applyBorder="1" applyAlignment="1">
      <alignment horizontal="center" vertical="top" wrapText="1"/>
    </xf>
    <xf numFmtId="181" fontId="43" fillId="20" borderId="89" xfId="26" applyNumberFormat="1" applyFont="1" applyFill="1" applyBorder="1"/>
    <xf numFmtId="3" fontId="43" fillId="3" borderId="85" xfId="26" applyNumberFormat="1" applyFont="1" applyFill="1" applyBorder="1" applyAlignment="1" applyProtection="1">
      <alignment horizontal="left" vertical="top" wrapText="1"/>
      <protection locked="0"/>
    </xf>
    <xf numFmtId="0" fontId="43" fillId="3" borderId="85" xfId="26" applyFont="1" applyFill="1" applyBorder="1" applyAlignment="1">
      <alignment horizontal="left"/>
    </xf>
    <xf numFmtId="3" fontId="47" fillId="20" borderId="85" xfId="26" applyNumberFormat="1" applyFont="1" applyFill="1" applyBorder="1" applyAlignment="1" applyProtection="1">
      <alignment horizontal="left" vertical="top" wrapText="1"/>
      <protection locked="0"/>
    </xf>
    <xf numFmtId="0" fontId="47" fillId="20" borderId="85" xfId="26" applyFont="1" applyFill="1" applyBorder="1" applyAlignment="1">
      <alignment horizontal="left"/>
    </xf>
    <xf numFmtId="3" fontId="47" fillId="20" borderId="11" xfId="26" applyNumberFormat="1" applyFont="1" applyFill="1" applyBorder="1" applyAlignment="1" applyProtection="1">
      <alignment horizontal="left" vertical="top" wrapText="1"/>
      <protection locked="0"/>
    </xf>
    <xf numFmtId="0" fontId="47" fillId="20" borderId="11" xfId="26" applyFont="1" applyFill="1" applyBorder="1" applyAlignment="1">
      <alignment horizontal="left"/>
    </xf>
    <xf numFmtId="0" fontId="47" fillId="0" borderId="53" xfId="26" applyFont="1" applyBorder="1" applyAlignment="1">
      <alignment horizontal="center" vertical="top" wrapText="1"/>
    </xf>
    <xf numFmtId="0" fontId="43" fillId="0" borderId="54" xfId="26" applyFont="1" applyBorder="1" applyAlignment="1">
      <alignment horizontal="center" vertical="top" wrapText="1"/>
    </xf>
    <xf numFmtId="0" fontId="43" fillId="0" borderId="6" xfId="26" applyFont="1" applyBorder="1" applyAlignment="1">
      <alignment horizontal="center" vertical="top" wrapText="1"/>
    </xf>
    <xf numFmtId="3" fontId="43" fillId="0" borderId="85" xfId="26" applyNumberFormat="1" applyFont="1" applyBorder="1" applyAlignment="1" applyProtection="1">
      <alignment horizontal="left" vertical="top" wrapText="1"/>
      <protection locked="0"/>
    </xf>
    <xf numFmtId="0" fontId="43" fillId="0" borderId="85" xfId="26" applyFont="1" applyBorder="1" applyAlignment="1">
      <alignment horizontal="left"/>
    </xf>
    <xf numFmtId="3" fontId="43" fillId="3" borderId="89" xfId="26" applyNumberFormat="1" applyFont="1" applyFill="1" applyBorder="1" applyAlignment="1" applyProtection="1">
      <alignment horizontal="center" vertical="top" wrapText="1"/>
      <protection locked="0"/>
    </xf>
    <xf numFmtId="3" fontId="43" fillId="3" borderId="90" xfId="26" applyNumberFormat="1" applyFont="1" applyFill="1" applyBorder="1" applyAlignment="1" applyProtection="1">
      <alignment horizontal="center" vertical="top" wrapText="1"/>
      <protection locked="0"/>
    </xf>
    <xf numFmtId="0" fontId="49" fillId="20" borderId="101" xfId="26" applyFont="1" applyFill="1" applyBorder="1" applyAlignment="1">
      <alignment horizontal="center" vertical="top" wrapText="1"/>
    </xf>
    <xf numFmtId="0" fontId="49" fillId="20" borderId="29" xfId="26" applyFont="1" applyFill="1" applyBorder="1" applyAlignment="1">
      <alignment horizontal="center" vertical="top" wrapText="1"/>
    </xf>
    <xf numFmtId="0" fontId="49" fillId="20" borderId="99" xfId="26" applyFont="1" applyFill="1" applyBorder="1" applyAlignment="1">
      <alignment horizontal="center" vertical="top" wrapText="1"/>
    </xf>
    <xf numFmtId="0" fontId="49" fillId="20" borderId="9" xfId="26" applyFont="1" applyFill="1" applyBorder="1" applyAlignment="1">
      <alignment horizontal="center" vertical="top" wrapText="1"/>
    </xf>
    <xf numFmtId="0" fontId="49" fillId="20" borderId="16" xfId="26" applyFont="1" applyFill="1" applyBorder="1" applyAlignment="1">
      <alignment horizontal="center" vertical="top" wrapText="1"/>
    </xf>
    <xf numFmtId="0" fontId="49" fillId="20" borderId="15" xfId="26" applyFont="1" applyFill="1" applyBorder="1" applyAlignment="1">
      <alignment horizontal="center" vertical="top" wrapText="1"/>
    </xf>
    <xf numFmtId="0" fontId="49" fillId="3" borderId="89" xfId="26" applyFont="1" applyFill="1" applyBorder="1" applyAlignment="1">
      <alignment horizontal="center" vertical="top" wrapText="1"/>
    </xf>
    <xf numFmtId="0" fontId="49" fillId="3" borderId="90" xfId="26" applyFont="1" applyFill="1" applyBorder="1" applyAlignment="1">
      <alignment horizontal="center" vertical="top" wrapText="1"/>
    </xf>
    <xf numFmtId="14" fontId="49" fillId="0" borderId="89" xfId="26" applyNumberFormat="1" applyFont="1" applyBorder="1" applyAlignment="1">
      <alignment horizontal="center" vertical="top" wrapText="1"/>
    </xf>
    <xf numFmtId="0" fontId="49" fillId="0" borderId="90" xfId="26" applyFont="1" applyBorder="1" applyAlignment="1">
      <alignment horizontal="center" vertical="top" wrapText="1"/>
    </xf>
    <xf numFmtId="0" fontId="49" fillId="20" borderId="85" xfId="26" applyFont="1" applyFill="1" applyBorder="1" applyAlignment="1">
      <alignment horizontal="center" vertical="top" wrapText="1"/>
    </xf>
    <xf numFmtId="0" fontId="49" fillId="20" borderId="7" xfId="26" applyFont="1" applyFill="1" applyBorder="1" applyAlignment="1">
      <alignment horizontal="center" vertical="top" wrapText="1"/>
    </xf>
    <xf numFmtId="0" fontId="49" fillId="20" borderId="13" xfId="26" applyFont="1" applyFill="1" applyBorder="1" applyAlignment="1">
      <alignment horizontal="center" vertical="top" wrapText="1"/>
    </xf>
    <xf numFmtId="0" fontId="49" fillId="20" borderId="14" xfId="26" applyFont="1" applyFill="1" applyBorder="1" applyAlignment="1">
      <alignment horizontal="center" vertical="top" wrapText="1"/>
    </xf>
    <xf numFmtId="183" fontId="49" fillId="20" borderId="7" xfId="26" applyNumberFormat="1" applyFont="1" applyFill="1" applyBorder="1" applyAlignment="1">
      <alignment horizontal="center" vertical="top" wrapText="1"/>
    </xf>
    <xf numFmtId="183" fontId="49" fillId="20" borderId="13" xfId="26" applyNumberFormat="1" applyFont="1" applyFill="1" applyBorder="1" applyAlignment="1">
      <alignment horizontal="center" vertical="top" wrapText="1"/>
    </xf>
    <xf numFmtId="183" fontId="49" fillId="20" borderId="14" xfId="26" applyNumberFormat="1" applyFont="1" applyFill="1" applyBorder="1" applyAlignment="1">
      <alignment horizontal="center" vertical="top" wrapText="1"/>
    </xf>
    <xf numFmtId="0" fontId="43" fillId="0" borderId="13" xfId="13" applyFont="1" applyBorder="1" applyAlignment="1">
      <alignment horizontal="center" vertical="top" wrapText="1"/>
    </xf>
    <xf numFmtId="0" fontId="43" fillId="0" borderId="14" xfId="13" applyFont="1" applyBorder="1" applyAlignment="1">
      <alignment horizontal="center" vertical="top" wrapText="1"/>
    </xf>
    <xf numFmtId="0" fontId="49" fillId="20" borderId="5" xfId="26" applyFont="1" applyFill="1" applyBorder="1" applyAlignment="1">
      <alignment horizontal="center" vertical="top" wrapText="1"/>
    </xf>
    <xf numFmtId="0" fontId="49" fillId="20" borderId="18" xfId="26" applyFont="1" applyFill="1" applyBorder="1" applyAlignment="1">
      <alignment horizontal="center" vertical="top" wrapText="1"/>
    </xf>
    <xf numFmtId="0" fontId="49" fillId="20" borderId="24" xfId="26" applyFont="1" applyFill="1" applyBorder="1" applyAlignment="1">
      <alignment horizontal="center" vertical="top" wrapText="1"/>
    </xf>
    <xf numFmtId="0" fontId="49" fillId="20" borderId="103" xfId="26" applyFont="1" applyFill="1" applyBorder="1" applyAlignment="1">
      <alignment horizontal="center" vertical="top" wrapText="1"/>
    </xf>
    <xf numFmtId="0" fontId="49" fillId="20" borderId="20" xfId="26" applyFont="1" applyFill="1" applyBorder="1" applyAlignment="1">
      <alignment horizontal="center" vertical="top" wrapText="1"/>
    </xf>
    <xf numFmtId="0" fontId="49" fillId="20" borderId="100" xfId="26" applyFont="1" applyFill="1" applyBorder="1" applyAlignment="1">
      <alignment horizontal="center" vertical="top" wrapText="1"/>
    </xf>
    <xf numFmtId="0" fontId="49" fillId="20" borderId="102" xfId="26" applyFont="1" applyFill="1" applyBorder="1" applyAlignment="1">
      <alignment horizontal="center" vertical="top" wrapText="1"/>
    </xf>
    <xf numFmtId="0" fontId="49" fillId="20" borderId="54" xfId="26" applyFont="1" applyFill="1" applyBorder="1" applyAlignment="1">
      <alignment horizontal="center" vertical="top" wrapText="1"/>
    </xf>
    <xf numFmtId="0" fontId="49" fillId="20" borderId="6" xfId="26" applyFont="1" applyFill="1" applyBorder="1" applyAlignment="1">
      <alignment horizontal="center" vertical="top" wrapText="1"/>
    </xf>
    <xf numFmtId="14" fontId="55" fillId="21" borderId="51" xfId="19" applyNumberFormat="1" applyFont="1" applyFill="1" applyBorder="1" applyAlignment="1" applyProtection="1">
      <alignment horizontal="center" vertical="center" wrapText="1"/>
      <protection locked="0"/>
    </xf>
    <xf numFmtId="14" fontId="55" fillId="21" borderId="25" xfId="19" applyNumberFormat="1" applyFont="1" applyFill="1" applyBorder="1" applyAlignment="1" applyProtection="1">
      <alignment horizontal="center" vertical="center" wrapText="1"/>
      <protection locked="0"/>
    </xf>
    <xf numFmtId="175" fontId="20" fillId="0" borderId="0" xfId="28" applyFont="1" applyAlignment="1">
      <alignment horizontal="center"/>
    </xf>
    <xf numFmtId="175" fontId="54" fillId="0" borderId="0" xfId="28" applyFont="1" applyAlignment="1">
      <alignment horizontal="right" wrapText="1"/>
    </xf>
    <xf numFmtId="175" fontId="1" fillId="0" borderId="0" xfId="28" applyAlignment="1">
      <alignment horizontal="right" wrapText="1"/>
    </xf>
    <xf numFmtId="49" fontId="58" fillId="0" borderId="0" xfId="28" applyNumberFormat="1" applyFont="1" applyAlignment="1">
      <alignment horizontal="center"/>
    </xf>
    <xf numFmtId="49" fontId="55" fillId="19" borderId="105" xfId="28" applyNumberFormat="1" applyFont="1" applyFill="1" applyBorder="1" applyAlignment="1">
      <alignment horizontal="center" vertical="center" wrapText="1"/>
    </xf>
    <xf numFmtId="49" fontId="55" fillId="19" borderId="28" xfId="28" applyNumberFormat="1" applyFont="1" applyFill="1" applyBorder="1" applyAlignment="1">
      <alignment horizontal="center" vertical="center" wrapText="1"/>
    </xf>
    <xf numFmtId="49" fontId="55" fillId="19" borderId="98" xfId="28" applyNumberFormat="1" applyFont="1" applyFill="1" applyBorder="1" applyAlignment="1">
      <alignment horizontal="center" vertical="center" wrapText="1"/>
    </xf>
    <xf numFmtId="49" fontId="54" fillId="0" borderId="24" xfId="28" applyNumberFormat="1" applyFont="1" applyBorder="1" applyAlignment="1">
      <alignment horizontal="center"/>
    </xf>
    <xf numFmtId="49" fontId="54" fillId="0" borderId="14" xfId="28" applyNumberFormat="1" applyFont="1" applyBorder="1" applyAlignment="1">
      <alignment horizontal="center"/>
    </xf>
    <xf numFmtId="49" fontId="54" fillId="0" borderId="28" xfId="28" applyNumberFormat="1" applyFont="1" applyBorder="1" applyAlignment="1">
      <alignment horizontal="center"/>
    </xf>
    <xf numFmtId="49" fontId="54" fillId="0" borderId="85" xfId="28" applyNumberFormat="1" applyFont="1" applyBorder="1" applyAlignment="1">
      <alignment horizontal="center"/>
    </xf>
    <xf numFmtId="0" fontId="18" fillId="0" borderId="99" xfId="0" applyFont="1" applyBorder="1" applyAlignment="1">
      <alignment horizontal="left"/>
    </xf>
    <xf numFmtId="0" fontId="18" fillId="0" borderId="93" xfId="0" applyFont="1" applyBorder="1" applyAlignment="1">
      <alignment horizontal="left"/>
    </xf>
    <xf numFmtId="0" fontId="19" fillId="0" borderId="89" xfId="0" applyFont="1" applyBorder="1" applyAlignment="1">
      <alignment horizontal="center" vertical="top" wrapText="1"/>
    </xf>
    <xf numFmtId="0" fontId="19" fillId="0" borderId="88" xfId="0" applyFont="1" applyBorder="1" applyAlignment="1">
      <alignment horizontal="center" vertical="top" wrapText="1"/>
    </xf>
    <xf numFmtId="0" fontId="19" fillId="0" borderId="90" xfId="0" applyFont="1" applyBorder="1" applyAlignment="1">
      <alignment horizontal="center" vertical="top" wrapText="1"/>
    </xf>
    <xf numFmtId="0" fontId="0" fillId="0" borderId="2" xfId="0" applyBorder="1" applyAlignment="1">
      <alignment horizontal="center" vertical="top"/>
    </xf>
    <xf numFmtId="0" fontId="0" fillId="0" borderId="3" xfId="0" applyBorder="1" applyAlignment="1">
      <alignment horizontal="center" vertical="top"/>
    </xf>
  </cellXfs>
  <cellStyles count="378">
    <cellStyle name="_Бюджет ПРОДО 2008" xfId="39" xr:uid="{00000000-0005-0000-0000-000006000000}"/>
    <cellStyle name="_Бюджет ПРОДО 2008_Показатели" xfId="40" xr:uid="{00000000-0005-0000-0000-000007000000}"/>
    <cellStyle name=";;;" xfId="33" xr:uid="{00000000-0005-0000-0000-000000000000}"/>
    <cellStyle name="?" xfId="34" xr:uid="{00000000-0005-0000-0000-000001000000}"/>
    <cellStyle name="?_Показатели" xfId="38" xr:uid="{00000000-0005-0000-0000-000005000000}"/>
    <cellStyle name="???????_vaqduGfTSN7qyUJNWHRlcWo3H" xfId="37" xr:uid="{00000000-0005-0000-0000-000004000000}"/>
    <cellStyle name="???????? [0]_vaqduGfTSN7qyUJNWHRlcWo3H" xfId="35" xr:uid="{00000000-0005-0000-0000-000002000000}"/>
    <cellStyle name="????????_vaqduGfTSN7qyUJNWHRlcWo3H" xfId="36" xr:uid="{00000000-0005-0000-0000-000003000000}"/>
    <cellStyle name="0,00;0;" xfId="41" xr:uid="{00000000-0005-0000-0000-000008000000}"/>
    <cellStyle name="1Outputbox1" xfId="42" xr:uid="{00000000-0005-0000-0000-000009000000}"/>
    <cellStyle name="1Outputbox2" xfId="43" xr:uid="{00000000-0005-0000-0000-00000A000000}"/>
    <cellStyle name="1Outputheader" xfId="44" xr:uid="{00000000-0005-0000-0000-00000B000000}"/>
    <cellStyle name="1Outputheader2" xfId="45" xr:uid="{00000000-0005-0000-0000-00000C000000}"/>
    <cellStyle name="1Outputsubtitle" xfId="46" xr:uid="{00000000-0005-0000-0000-00000D000000}"/>
    <cellStyle name="1Outputtitle" xfId="47" xr:uid="{00000000-0005-0000-0000-00000E000000}"/>
    <cellStyle name="1Profileheader" xfId="48" xr:uid="{00000000-0005-0000-0000-00000F000000}"/>
    <cellStyle name="1Profilelowerbox" xfId="49" xr:uid="{00000000-0005-0000-0000-000010000000}"/>
    <cellStyle name="1Profilesubheader" xfId="50" xr:uid="{00000000-0005-0000-0000-000011000000}"/>
    <cellStyle name="1Profiletitle" xfId="51" xr:uid="{00000000-0005-0000-0000-000012000000}"/>
    <cellStyle name="1Profiletopbox" xfId="52" xr:uid="{00000000-0005-0000-0000-000013000000}"/>
    <cellStyle name="20% - Акцент1 2" xfId="59" xr:uid="{00000000-0005-0000-0000-00001A000000}"/>
    <cellStyle name="20% - Акцент2 2" xfId="60" xr:uid="{00000000-0005-0000-0000-00001B000000}"/>
    <cellStyle name="20% - Акцент3 2" xfId="61" xr:uid="{00000000-0005-0000-0000-00001C000000}"/>
    <cellStyle name="20% - Акцент4 2" xfId="62" xr:uid="{00000000-0005-0000-0000-00001D000000}"/>
    <cellStyle name="20% - Акцент5 2" xfId="63" xr:uid="{00000000-0005-0000-0000-00001E000000}"/>
    <cellStyle name="20% - Акцент6 2" xfId="64" xr:uid="{00000000-0005-0000-0000-00001F000000}"/>
    <cellStyle name="20% - Accent1" xfId="53" xr:uid="{00000000-0005-0000-0000-000014000000}"/>
    <cellStyle name="20% - Accent2" xfId="54" xr:uid="{00000000-0005-0000-0000-000015000000}"/>
    <cellStyle name="20% - Accent3" xfId="55" xr:uid="{00000000-0005-0000-0000-000016000000}"/>
    <cellStyle name="20% - Accent4" xfId="56" xr:uid="{00000000-0005-0000-0000-000017000000}"/>
    <cellStyle name="20% - Accent5" xfId="57" xr:uid="{00000000-0005-0000-0000-000018000000}"/>
    <cellStyle name="20% - Accent6" xfId="58" xr:uid="{00000000-0005-0000-0000-000019000000}"/>
    <cellStyle name="40% - Акцент1 2" xfId="71" xr:uid="{00000000-0005-0000-0000-000026000000}"/>
    <cellStyle name="40% - Акцент2 2" xfId="72" xr:uid="{00000000-0005-0000-0000-000027000000}"/>
    <cellStyle name="40% - Акцент3 2" xfId="73" xr:uid="{00000000-0005-0000-0000-000028000000}"/>
    <cellStyle name="40% - Акцент4 2" xfId="74" xr:uid="{00000000-0005-0000-0000-000029000000}"/>
    <cellStyle name="40% - Акцент5 2" xfId="75" xr:uid="{00000000-0005-0000-0000-00002A000000}"/>
    <cellStyle name="40% - Акцент6 2" xfId="76" xr:uid="{00000000-0005-0000-0000-00002B000000}"/>
    <cellStyle name="40% - Accent1" xfId="65" xr:uid="{00000000-0005-0000-0000-000020000000}"/>
    <cellStyle name="40% - Accent2" xfId="66" xr:uid="{00000000-0005-0000-0000-000021000000}"/>
    <cellStyle name="40% - Accent3" xfId="67" xr:uid="{00000000-0005-0000-0000-000022000000}"/>
    <cellStyle name="40% - Accent4" xfId="68" xr:uid="{00000000-0005-0000-0000-000023000000}"/>
    <cellStyle name="40% - Accent5" xfId="69" xr:uid="{00000000-0005-0000-0000-000024000000}"/>
    <cellStyle name="40% - Accent6" xfId="70" xr:uid="{00000000-0005-0000-0000-000025000000}"/>
    <cellStyle name="60% - Акцент1 2" xfId="83" xr:uid="{00000000-0005-0000-0000-000032000000}"/>
    <cellStyle name="60% - Акцент2 2" xfId="84" xr:uid="{00000000-0005-0000-0000-000033000000}"/>
    <cellStyle name="60% - Акцент3 2" xfId="85" xr:uid="{00000000-0005-0000-0000-000034000000}"/>
    <cellStyle name="60% - Акцент4 2" xfId="86" xr:uid="{00000000-0005-0000-0000-000035000000}"/>
    <cellStyle name="60% - Акцент5 2" xfId="87" xr:uid="{00000000-0005-0000-0000-000036000000}"/>
    <cellStyle name="60% - Акцент6 2" xfId="88" xr:uid="{00000000-0005-0000-0000-000037000000}"/>
    <cellStyle name="60% - Accent1" xfId="77" xr:uid="{00000000-0005-0000-0000-00002C000000}"/>
    <cellStyle name="60% - Accent2" xfId="78" xr:uid="{00000000-0005-0000-0000-00002D000000}"/>
    <cellStyle name="60% - Accent3" xfId="79" xr:uid="{00000000-0005-0000-0000-00002E000000}"/>
    <cellStyle name="60% - Accent4" xfId="80" xr:uid="{00000000-0005-0000-0000-00002F000000}"/>
    <cellStyle name="60% - Accent5" xfId="81" xr:uid="{00000000-0005-0000-0000-000030000000}"/>
    <cellStyle name="60% - Accent6" xfId="82" xr:uid="{00000000-0005-0000-0000-000031000000}"/>
    <cellStyle name="8pt" xfId="89" xr:uid="{00000000-0005-0000-0000-000038000000}"/>
    <cellStyle name="Акцент1 2" xfId="289" xr:uid="{00000000-0005-0000-0000-00000A010000}"/>
    <cellStyle name="Акцент2 2" xfId="290" xr:uid="{00000000-0005-0000-0000-00000B010000}"/>
    <cellStyle name="Акцент3 2" xfId="291" xr:uid="{00000000-0005-0000-0000-00000C010000}"/>
    <cellStyle name="Акцент4 2" xfId="292" xr:uid="{00000000-0005-0000-0000-00000D010000}"/>
    <cellStyle name="Акцент5 2" xfId="293" xr:uid="{00000000-0005-0000-0000-00000E010000}"/>
    <cellStyle name="Акцент6 2" xfId="294" xr:uid="{00000000-0005-0000-0000-00000F010000}"/>
    <cellStyle name="Ввод  2" xfId="295" xr:uid="{00000000-0005-0000-0000-000010010000}"/>
    <cellStyle name="Ввод данных" xfId="296" xr:uid="{00000000-0005-0000-0000-000011010000}"/>
    <cellStyle name="Ввод данных 2" xfId="297" xr:uid="{00000000-0005-0000-0000-000012010000}"/>
    <cellStyle name="Ввод данных 3" xfId="298" xr:uid="{00000000-0005-0000-0000-000013010000}"/>
    <cellStyle name="Вывод 2" xfId="299" xr:uid="{00000000-0005-0000-0000-000014010000}"/>
    <cellStyle name="Вычисление 2" xfId="300" xr:uid="{00000000-0005-0000-0000-000015010000}"/>
    <cellStyle name="Гиперссылка 2" xfId="301" xr:uid="{00000000-0005-0000-0000-000016010000}"/>
    <cellStyle name="Гиперссылка 2 2" xfId="302" xr:uid="{00000000-0005-0000-0000-000017010000}"/>
    <cellStyle name="Гиперссылка 2_Показатели" xfId="303" xr:uid="{00000000-0005-0000-0000-000018010000}"/>
    <cellStyle name="Денежный 2" xfId="304" xr:uid="{00000000-0005-0000-0000-000019010000}"/>
    <cellStyle name="Ђ_x0005_" xfId="305" xr:uid="{00000000-0005-0000-0000-00001A010000}"/>
    <cellStyle name="е" xfId="306" xr:uid="{00000000-0005-0000-0000-00001B010000}"/>
    <cellStyle name="е 2" xfId="307" xr:uid="{00000000-0005-0000-0000-00001C010000}"/>
    <cellStyle name="е 3" xfId="308" xr:uid="{00000000-0005-0000-0000-00001D010000}"/>
    <cellStyle name="е_Показатели" xfId="310" xr:uid="{00000000-0005-0000-0000-00001F010000}"/>
    <cellStyle name="е_CF Рассвет_40 000" xfId="309" xr:uid="{00000000-0005-0000-0000-00001E010000}"/>
    <cellStyle name="Заголовок 1 2" xfId="311" xr:uid="{00000000-0005-0000-0000-000020010000}"/>
    <cellStyle name="Заголовок 2 2" xfId="312" xr:uid="{00000000-0005-0000-0000-000021010000}"/>
    <cellStyle name="Заголовок 3 2" xfId="313" xr:uid="{00000000-0005-0000-0000-000022010000}"/>
    <cellStyle name="Заголовок 4 2" xfId="314" xr:uid="{00000000-0005-0000-0000-000023010000}"/>
    <cellStyle name="Итог 2" xfId="315" xr:uid="{00000000-0005-0000-0000-000024010000}"/>
    <cellStyle name="Контрольная ячейка 2" xfId="316" xr:uid="{00000000-0005-0000-0000-000025010000}"/>
    <cellStyle name="Название 2" xfId="317" xr:uid="{00000000-0005-0000-0000-000026010000}"/>
    <cellStyle name="Нейтральный 2" xfId="318" xr:uid="{00000000-0005-0000-0000-000027010000}"/>
    <cellStyle name="Обычный" xfId="0" builtinId="0"/>
    <cellStyle name="Обычный 10" xfId="319" xr:uid="{00000000-0005-0000-0000-000029010000}"/>
    <cellStyle name="Обычный 11" xfId="320" xr:uid="{00000000-0005-0000-0000-00002A010000}"/>
    <cellStyle name="Обычный 12" xfId="321" xr:uid="{00000000-0005-0000-0000-00002B010000}"/>
    <cellStyle name="Обычный 13" xfId="322" xr:uid="{00000000-0005-0000-0000-00002C010000}"/>
    <cellStyle name="Обычный 14 2" xfId="323" xr:uid="{00000000-0005-0000-0000-00002D010000}"/>
    <cellStyle name="Обычный 2" xfId="12" xr:uid="{00000000-0005-0000-0000-00002E010000}"/>
    <cellStyle name="Обычный 2 2" xfId="11" xr:uid="{00000000-0005-0000-0000-00002F010000}"/>
    <cellStyle name="Обычный 2 2 2" xfId="8" xr:uid="{00000000-0005-0000-0000-000030010000}"/>
    <cellStyle name="Обычный 2 2 3" xfId="28" xr:uid="{00000000-0005-0000-0000-000031010000}"/>
    <cellStyle name="Обычный 2 2_Показатели" xfId="324" xr:uid="{00000000-0005-0000-0000-000032010000}"/>
    <cellStyle name="Обычный 2 3" xfId="13" xr:uid="{00000000-0005-0000-0000-000033010000}"/>
    <cellStyle name="Обычный 2 4" xfId="15" xr:uid="{00000000-0005-0000-0000-000034010000}"/>
    <cellStyle name="Обычный 2 5" xfId="18" xr:uid="{00000000-0005-0000-0000-000035010000}"/>
    <cellStyle name="Обычный 2_Входные данные" xfId="325" xr:uid="{00000000-0005-0000-0000-000036010000}"/>
    <cellStyle name="Обычный 3" xfId="21" xr:uid="{00000000-0005-0000-0000-000037010000}"/>
    <cellStyle name="Обычный 3 2" xfId="23" xr:uid="{00000000-0005-0000-0000-000038010000}"/>
    <cellStyle name="Обычный 3 2 2" xfId="24" xr:uid="{00000000-0005-0000-0000-000039010000}"/>
    <cellStyle name="Обычный 3 3" xfId="30" xr:uid="{00000000-0005-0000-0000-00003A010000}"/>
    <cellStyle name="Обычный 3 4" xfId="326" xr:uid="{00000000-0005-0000-0000-00003B010000}"/>
    <cellStyle name="Обычный 3_Входные данные" xfId="327" xr:uid="{00000000-0005-0000-0000-00003C010000}"/>
    <cellStyle name="Обычный 4" xfId="7" xr:uid="{00000000-0005-0000-0000-00003D010000}"/>
    <cellStyle name="Обычный 4 2" xfId="22" xr:uid="{00000000-0005-0000-0000-00003E010000}"/>
    <cellStyle name="Обычный 5" xfId="328" xr:uid="{00000000-0005-0000-0000-00003F010000}"/>
    <cellStyle name="Обычный 5 2" xfId="329" xr:uid="{00000000-0005-0000-0000-000040010000}"/>
    <cellStyle name="Обычный 5_Показатели" xfId="330" xr:uid="{00000000-0005-0000-0000-000041010000}"/>
    <cellStyle name="Обычный 6" xfId="6" xr:uid="{00000000-0005-0000-0000-000042010000}"/>
    <cellStyle name="Обычный 6 2" xfId="331" xr:uid="{00000000-0005-0000-0000-000043010000}"/>
    <cellStyle name="Обычный 7" xfId="332" xr:uid="{00000000-0005-0000-0000-000044010000}"/>
    <cellStyle name="Обычный 7 2" xfId="333" xr:uid="{00000000-0005-0000-0000-000045010000}"/>
    <cellStyle name="Обычный 7 3" xfId="334" xr:uid="{00000000-0005-0000-0000-000046010000}"/>
    <cellStyle name="Обычный 7_Показатели" xfId="335" xr:uid="{00000000-0005-0000-0000-000047010000}"/>
    <cellStyle name="Обычный 8" xfId="32" xr:uid="{00000000-0005-0000-0000-000048010000}"/>
    <cellStyle name="Обычный 9" xfId="377" xr:uid="{E6F4D112-FA11-4DEB-BCD4-AEB725F94652}"/>
    <cellStyle name="Обычный_Лист1" xfId="29" xr:uid="{00000000-0005-0000-0000-000049010000}"/>
    <cellStyle name="Обычный_Лист2" xfId="27" xr:uid="{00000000-0005-0000-0000-00004A010000}"/>
    <cellStyle name="Основной" xfId="336" xr:uid="{00000000-0005-0000-0000-00004B010000}"/>
    <cellStyle name="Плохой 2" xfId="337" xr:uid="{00000000-0005-0000-0000-00004C010000}"/>
    <cellStyle name="Пояснение 2" xfId="338" xr:uid="{00000000-0005-0000-0000-00004D010000}"/>
    <cellStyle name="Примечание 2" xfId="339" xr:uid="{00000000-0005-0000-0000-00004E010000}"/>
    <cellStyle name="Процент_ГСМ (з)" xfId="340" xr:uid="{00000000-0005-0000-0000-00004F010000}"/>
    <cellStyle name="Процентный" xfId="1" builtinId="5"/>
    <cellStyle name="Процентный 2" xfId="17" xr:uid="{00000000-0005-0000-0000-000051010000}"/>
    <cellStyle name="Процентный 2 2" xfId="341" xr:uid="{00000000-0005-0000-0000-000052010000}"/>
    <cellStyle name="Процентный 2 3" xfId="342" xr:uid="{00000000-0005-0000-0000-000053010000}"/>
    <cellStyle name="Процентный 3" xfId="343" xr:uid="{00000000-0005-0000-0000-000054010000}"/>
    <cellStyle name="Процентный 3 2" xfId="344" xr:uid="{00000000-0005-0000-0000-000055010000}"/>
    <cellStyle name="Процентный 4" xfId="345" xr:uid="{00000000-0005-0000-0000-000056010000}"/>
    <cellStyle name="Процентный 4 2" xfId="346" xr:uid="{00000000-0005-0000-0000-000057010000}"/>
    <cellStyle name="Расчетный" xfId="347" xr:uid="{00000000-0005-0000-0000-000058010000}"/>
    <cellStyle name="Расчетный 2" xfId="348" xr:uid="{00000000-0005-0000-0000-000059010000}"/>
    <cellStyle name="Расчетный 3" xfId="349" xr:uid="{00000000-0005-0000-0000-00005A010000}"/>
    <cellStyle name="Связанная ячейка 2" xfId="350" xr:uid="{00000000-0005-0000-0000-00005B010000}"/>
    <cellStyle name="Стиль 1" xfId="351" xr:uid="{00000000-0005-0000-0000-00005C010000}"/>
    <cellStyle name="Текст" xfId="352" xr:uid="{00000000-0005-0000-0000-00005D010000}"/>
    <cellStyle name="Текст предупреждения 2" xfId="353" xr:uid="{00000000-0005-0000-0000-00005E010000}"/>
    <cellStyle name="Тысячи [0]_2 пг2001г пр-в ДОК" xfId="354" xr:uid="{00000000-0005-0000-0000-00005F010000}"/>
    <cellStyle name="Тысячи_2 пг2001г пр-в ДОК" xfId="355" xr:uid="{00000000-0005-0000-0000-000060010000}"/>
    <cellStyle name="Финанс[Кр]" xfId="357" xr:uid="{00000000-0005-0000-0000-000062010000}"/>
    <cellStyle name="Финанс[US]" xfId="356" xr:uid="{00000000-0005-0000-0000-000061010000}"/>
    <cellStyle name="Финансовый" xfId="20" builtinId="3"/>
    <cellStyle name="Финансовый 2" xfId="14" xr:uid="{00000000-0005-0000-0000-000064010000}"/>
    <cellStyle name="Финансовый 2 2" xfId="358" xr:uid="{00000000-0005-0000-0000-000065010000}"/>
    <cellStyle name="Финансовый 2 2 2" xfId="359" xr:uid="{00000000-0005-0000-0000-000066010000}"/>
    <cellStyle name="Финансовый 2 2 3" xfId="360" xr:uid="{00000000-0005-0000-0000-000067010000}"/>
    <cellStyle name="Финансовый 2 2 4" xfId="361" xr:uid="{00000000-0005-0000-0000-000068010000}"/>
    <cellStyle name="Финансовый 2 2_Показатели" xfId="362" xr:uid="{00000000-0005-0000-0000-000069010000}"/>
    <cellStyle name="Финансовый 2 3" xfId="363" xr:uid="{00000000-0005-0000-0000-00006A010000}"/>
    <cellStyle name="Финансовый 2 4" xfId="364" xr:uid="{00000000-0005-0000-0000-00006B010000}"/>
    <cellStyle name="Финансовый 2 5" xfId="365" xr:uid="{00000000-0005-0000-0000-00006C010000}"/>
    <cellStyle name="Финансовый 3" xfId="31" xr:uid="{00000000-0005-0000-0000-00006D010000}"/>
    <cellStyle name="Финансовый 3 2" xfId="366" xr:uid="{00000000-0005-0000-0000-00006E010000}"/>
    <cellStyle name="Финансовый 3 3" xfId="367" xr:uid="{00000000-0005-0000-0000-00006F010000}"/>
    <cellStyle name="Финансовый 4" xfId="368" xr:uid="{00000000-0005-0000-0000-000070010000}"/>
    <cellStyle name="Финансовый 5" xfId="369" xr:uid="{00000000-0005-0000-0000-000071010000}"/>
    <cellStyle name="Финансовый 6" xfId="370" xr:uid="{00000000-0005-0000-0000-000072010000}"/>
    <cellStyle name="Финансовый 7" xfId="371" xr:uid="{00000000-0005-0000-0000-000073010000}"/>
    <cellStyle name="Хороший 2" xfId="372" xr:uid="{00000000-0005-0000-0000-000074010000}"/>
    <cellStyle name="Ценовой" xfId="373" xr:uid="{00000000-0005-0000-0000-000075010000}"/>
    <cellStyle name="Ценовой 2" xfId="374" xr:uid="{00000000-0005-0000-0000-000076010000}"/>
    <cellStyle name="Ценовой 3" xfId="375" xr:uid="{00000000-0005-0000-0000-000077010000}"/>
    <cellStyle name="Шапка" xfId="376" xr:uid="{00000000-0005-0000-0000-000078010000}"/>
    <cellStyle name="Aaia?iue [0]_vaqduGfTSN7qyUJNWHRlcWo3H" xfId="90" xr:uid="{00000000-0005-0000-0000-000039000000}"/>
    <cellStyle name="Aaia?iue_vaqduGfTSN7qyUJNWHRlcWo3H" xfId="91" xr:uid="{00000000-0005-0000-0000-00003A000000}"/>
    <cellStyle name="Äåíåæíûé [0]_vaqduGfTSN7qyUJNWHRlcWo3H" xfId="92" xr:uid="{00000000-0005-0000-0000-00003B000000}"/>
    <cellStyle name="Äåíåæíûé_vaqduGfTSN7qyUJNWHRlcWo3H" xfId="93" xr:uid="{00000000-0005-0000-0000-00003C000000}"/>
    <cellStyle name="Accent1" xfId="94" xr:uid="{00000000-0005-0000-0000-00003D000000}"/>
    <cellStyle name="Accent2" xfId="95" xr:uid="{00000000-0005-0000-0000-00003E000000}"/>
    <cellStyle name="Accent3" xfId="96" xr:uid="{00000000-0005-0000-0000-00003F000000}"/>
    <cellStyle name="Accent4" xfId="97" xr:uid="{00000000-0005-0000-0000-000040000000}"/>
    <cellStyle name="Accent5" xfId="98" xr:uid="{00000000-0005-0000-0000-000041000000}"/>
    <cellStyle name="Accent6" xfId="99" xr:uid="{00000000-0005-0000-0000-000042000000}"/>
    <cellStyle name="acct" xfId="100" xr:uid="{00000000-0005-0000-0000-000043000000}"/>
    <cellStyle name="acct 2" xfId="101" xr:uid="{00000000-0005-0000-0000-000044000000}"/>
    <cellStyle name="acct 3" xfId="102" xr:uid="{00000000-0005-0000-0000-000045000000}"/>
    <cellStyle name="AeE­ [0]_?A°??µAoC?" xfId="103" xr:uid="{00000000-0005-0000-0000-000046000000}"/>
    <cellStyle name="AeE­_?A°??µAoC?" xfId="104" xr:uid="{00000000-0005-0000-0000-000047000000}"/>
    <cellStyle name="AFE" xfId="105" xr:uid="{00000000-0005-0000-0000-000048000000}"/>
    <cellStyle name="Arial 10" xfId="106" xr:uid="{00000000-0005-0000-0000-000049000000}"/>
    <cellStyle name="Arial 12" xfId="107" xr:uid="{00000000-0005-0000-0000-00004A000000}"/>
    <cellStyle name="Bad" xfId="108" xr:uid="{00000000-0005-0000-0000-00004B000000}"/>
    <cellStyle name="BLACK" xfId="109" xr:uid="{00000000-0005-0000-0000-00004C000000}"/>
    <cellStyle name="Blue" xfId="110" xr:uid="{00000000-0005-0000-0000-00004D000000}"/>
    <cellStyle name="Body" xfId="111" xr:uid="{00000000-0005-0000-0000-00004E000000}"/>
    <cellStyle name="British Pound" xfId="112" xr:uid="{00000000-0005-0000-0000-00004F000000}"/>
    <cellStyle name="C?AO_?A°??µAoC?" xfId="113" xr:uid="{00000000-0005-0000-0000-000050000000}"/>
    <cellStyle name="Calculation" xfId="114" xr:uid="{00000000-0005-0000-0000-000051000000}"/>
    <cellStyle name="Case" xfId="115" xr:uid="{00000000-0005-0000-0000-000052000000}"/>
    <cellStyle name="Case 2" xfId="116" xr:uid="{00000000-0005-0000-0000-000053000000}"/>
    <cellStyle name="Case 3" xfId="117" xr:uid="{00000000-0005-0000-0000-000054000000}"/>
    <cellStyle name="Center Across" xfId="118" xr:uid="{00000000-0005-0000-0000-000055000000}"/>
    <cellStyle name="Check" xfId="119" xr:uid="{00000000-0005-0000-0000-000056000000}"/>
    <cellStyle name="Check 2" xfId="120" xr:uid="{00000000-0005-0000-0000-000057000000}"/>
    <cellStyle name="Check 3" xfId="121" xr:uid="{00000000-0005-0000-0000-000058000000}"/>
    <cellStyle name="Check Cell" xfId="122" xr:uid="{00000000-0005-0000-0000-000059000000}"/>
    <cellStyle name="Column Heading" xfId="123" xr:uid="{00000000-0005-0000-0000-00005A000000}"/>
    <cellStyle name="Comma [1]" xfId="124" xr:uid="{00000000-0005-0000-0000-00005B000000}"/>
    <cellStyle name="Comma 0" xfId="125" xr:uid="{00000000-0005-0000-0000-00005C000000}"/>
    <cellStyle name="Comma 0*" xfId="126" xr:uid="{00000000-0005-0000-0000-00005D000000}"/>
    <cellStyle name="Comma 171" xfId="127" xr:uid="{00000000-0005-0000-0000-00005E000000}"/>
    <cellStyle name="Comma 2" xfId="4" xr:uid="{00000000-0005-0000-0000-00005F000000}"/>
    <cellStyle name="Comma 2 2" xfId="128" xr:uid="{00000000-0005-0000-0000-000060000000}"/>
    <cellStyle name="Comma 3" xfId="5" xr:uid="{00000000-0005-0000-0000-000061000000}"/>
    <cellStyle name="Comma 4" xfId="129" xr:uid="{00000000-0005-0000-0000-000062000000}"/>
    <cellStyle name="Comma_CF model v9" xfId="130" xr:uid="{00000000-0005-0000-0000-000063000000}"/>
    <cellStyle name="Comma0" xfId="131" xr:uid="{00000000-0005-0000-0000-000064000000}"/>
    <cellStyle name="Currency [1]" xfId="132" xr:uid="{00000000-0005-0000-0000-000065000000}"/>
    <cellStyle name="Currency 0" xfId="133" xr:uid="{00000000-0005-0000-0000-000066000000}"/>
    <cellStyle name="Currency 2" xfId="134" xr:uid="{00000000-0005-0000-0000-000067000000}"/>
    <cellStyle name="Currency0" xfId="135" xr:uid="{00000000-0005-0000-0000-000068000000}"/>
    <cellStyle name="Date" xfId="136" xr:uid="{00000000-0005-0000-0000-000069000000}"/>
    <cellStyle name="Date Aligned" xfId="137" xr:uid="{00000000-0005-0000-0000-00006A000000}"/>
    <cellStyle name="Date_LRP Model (13.05.02)" xfId="138" xr:uid="{00000000-0005-0000-0000-00006B000000}"/>
    <cellStyle name="Dec_0" xfId="139" xr:uid="{00000000-0005-0000-0000-00006C000000}"/>
    <cellStyle name="DividerBlue" xfId="140" xr:uid="{00000000-0005-0000-0000-00006D000000}"/>
    <cellStyle name="DividerGreen" xfId="141" xr:uid="{00000000-0005-0000-0000-00006E000000}"/>
    <cellStyle name="DividerGrey" xfId="142" xr:uid="{00000000-0005-0000-0000-00006F000000}"/>
    <cellStyle name="DividerLilac" xfId="143" xr:uid="{00000000-0005-0000-0000-000070000000}"/>
    <cellStyle name="DividerPink" xfId="144" xr:uid="{00000000-0005-0000-0000-000071000000}"/>
    <cellStyle name="DividerYellow" xfId="145" xr:uid="{00000000-0005-0000-0000-000072000000}"/>
    <cellStyle name="Dollars" xfId="146" xr:uid="{00000000-0005-0000-0000-000073000000}"/>
    <cellStyle name="Dotted Line" xfId="147" xr:uid="{00000000-0005-0000-0000-000074000000}"/>
    <cellStyle name="Double Accounting" xfId="148" xr:uid="{00000000-0005-0000-0000-000075000000}"/>
    <cellStyle name="Euro" xfId="149" xr:uid="{00000000-0005-0000-0000-000076000000}"/>
    <cellStyle name="Euro 2" xfId="150" xr:uid="{00000000-0005-0000-0000-000077000000}"/>
    <cellStyle name="Euro 3" xfId="151" xr:uid="{00000000-0005-0000-0000-000078000000}"/>
    <cellStyle name="Euro_Показатели" xfId="152" xr:uid="{00000000-0005-0000-0000-000079000000}"/>
    <cellStyle name="Excel Built-in Normal" xfId="16" xr:uid="{00000000-0005-0000-0000-00007A000000}"/>
    <cellStyle name="Excel Built-in Normal 2" xfId="25" xr:uid="{00000000-0005-0000-0000-00007B000000}"/>
    <cellStyle name="Explanatory Text" xfId="153" xr:uid="{00000000-0005-0000-0000-00007C000000}"/>
    <cellStyle name="Ezres [0]_Document" xfId="154" xr:uid="{00000000-0005-0000-0000-00007D000000}"/>
    <cellStyle name="Ezres_Document" xfId="155" xr:uid="{00000000-0005-0000-0000-00007E000000}"/>
    <cellStyle name="Fixed" xfId="156" xr:uid="{00000000-0005-0000-0000-00007F000000}"/>
    <cellStyle name="footer" xfId="157" xr:uid="{00000000-0005-0000-0000-000080000000}"/>
    <cellStyle name="footer 2" xfId="158" xr:uid="{00000000-0005-0000-0000-000081000000}"/>
    <cellStyle name="footer 3" xfId="159" xr:uid="{00000000-0005-0000-0000-000082000000}"/>
    <cellStyle name="footer_Показатели" xfId="160" xr:uid="{00000000-0005-0000-0000-000083000000}"/>
    <cellStyle name="Footnote" xfId="161" xr:uid="{00000000-0005-0000-0000-000084000000}"/>
    <cellStyle name="Good" xfId="162" xr:uid="{00000000-0005-0000-0000-000085000000}"/>
    <cellStyle name="Green" xfId="163" xr:uid="{00000000-0005-0000-0000-000086000000}"/>
    <cellStyle name="Hard Percent" xfId="164" xr:uid="{00000000-0005-0000-0000-000087000000}"/>
    <cellStyle name="Header" xfId="165" xr:uid="{00000000-0005-0000-0000-000088000000}"/>
    <cellStyle name="Header1" xfId="166" xr:uid="{00000000-0005-0000-0000-000089000000}"/>
    <cellStyle name="Header2" xfId="167" xr:uid="{00000000-0005-0000-0000-00008A000000}"/>
    <cellStyle name="heading" xfId="168" xr:uid="{00000000-0005-0000-0000-00008B000000}"/>
    <cellStyle name="Heading 1" xfId="169" xr:uid="{00000000-0005-0000-0000-00008C000000}"/>
    <cellStyle name="Heading 2" xfId="170" xr:uid="{00000000-0005-0000-0000-00008D000000}"/>
    <cellStyle name="Heading 3" xfId="171" xr:uid="{00000000-0005-0000-0000-00008E000000}"/>
    <cellStyle name="Heading 4" xfId="172" xr:uid="{00000000-0005-0000-0000-00008F000000}"/>
    <cellStyle name="HeadingS" xfId="173" xr:uid="{00000000-0005-0000-0000-000090000000}"/>
    <cellStyle name="Hide" xfId="174" xr:uid="{00000000-0005-0000-0000-000091000000}"/>
    <cellStyle name="Iau?iue_o10-n" xfId="175" xr:uid="{00000000-0005-0000-0000-000092000000}"/>
    <cellStyle name="Îáû÷íûé_vaqduGfTSN7qyUJNWHRlcWo3H" xfId="176" xr:uid="{00000000-0005-0000-0000-000093000000}"/>
    <cellStyle name="Input" xfId="177" xr:uid="{00000000-0005-0000-0000-000094000000}"/>
    <cellStyle name="Input 2" xfId="178" xr:uid="{00000000-0005-0000-0000-000095000000}"/>
    <cellStyle name="Input 3" xfId="179" xr:uid="{00000000-0005-0000-0000-000096000000}"/>
    <cellStyle name="Komma [0]_Arcen" xfId="180" xr:uid="{00000000-0005-0000-0000-000097000000}"/>
    <cellStyle name="Komma_Arcen" xfId="181" xr:uid="{00000000-0005-0000-0000-000098000000}"/>
    <cellStyle name="Linked Cell" xfId="182" xr:uid="{00000000-0005-0000-0000-000099000000}"/>
    <cellStyle name="Milliers [0]_BUDGET" xfId="183" xr:uid="{00000000-0005-0000-0000-00009A000000}"/>
    <cellStyle name="Milliers_BUDGET" xfId="184" xr:uid="{00000000-0005-0000-0000-00009B000000}"/>
    <cellStyle name="Mon?taire [0]_BUDGET" xfId="185" xr:uid="{00000000-0005-0000-0000-00009C000000}"/>
    <cellStyle name="Mon?taire_BUDGET" xfId="186" xr:uid="{00000000-0005-0000-0000-00009D000000}"/>
    <cellStyle name="Monétaire [0]_BUDGET" xfId="187" xr:uid="{00000000-0005-0000-0000-00009E000000}"/>
    <cellStyle name="Monétaire_BUDGET" xfId="188" xr:uid="{00000000-0005-0000-0000-00009F000000}"/>
    <cellStyle name="Multiple" xfId="189" xr:uid="{00000000-0005-0000-0000-0000A0000000}"/>
    <cellStyle name="Multiple [0]" xfId="190" xr:uid="{00000000-0005-0000-0000-0000A1000000}"/>
    <cellStyle name="Multiple [1]" xfId="191" xr:uid="{00000000-0005-0000-0000-0000A2000000}"/>
    <cellStyle name="Multiple_1 Dec" xfId="192" xr:uid="{00000000-0005-0000-0000-0000A3000000}"/>
    <cellStyle name="Neutral" xfId="193" xr:uid="{00000000-0005-0000-0000-0000A4000000}"/>
    <cellStyle name="no dec" xfId="194" xr:uid="{00000000-0005-0000-0000-0000A5000000}"/>
    <cellStyle name="Norm?l_1." xfId="195" xr:uid="{00000000-0005-0000-0000-0000A6000000}"/>
    <cellStyle name="Normal - Style1" xfId="196" xr:uid="{00000000-0005-0000-0000-0000A7000000}"/>
    <cellStyle name="Normal 2" xfId="2" xr:uid="{00000000-0005-0000-0000-0000A8000000}"/>
    <cellStyle name="Normal 2 2" xfId="197" xr:uid="{00000000-0005-0000-0000-0000A9000000}"/>
    <cellStyle name="Normal 2 2 2" xfId="198" xr:uid="{00000000-0005-0000-0000-0000AA000000}"/>
    <cellStyle name="Normal 2 2_Показатели" xfId="199" xr:uid="{00000000-0005-0000-0000-0000AB000000}"/>
    <cellStyle name="Normal 2 3" xfId="200" xr:uid="{00000000-0005-0000-0000-0000AC000000}"/>
    <cellStyle name="Normal 2 3 2" xfId="201" xr:uid="{00000000-0005-0000-0000-0000AD000000}"/>
    <cellStyle name="Normal 2 3_Показатели" xfId="202" xr:uid="{00000000-0005-0000-0000-0000AE000000}"/>
    <cellStyle name="Normal 2 4" xfId="203" xr:uid="{00000000-0005-0000-0000-0000AF000000}"/>
    <cellStyle name="Normal 2 5" xfId="204" xr:uid="{00000000-0005-0000-0000-0000B0000000}"/>
    <cellStyle name="Normal 2_Показатели" xfId="205" xr:uid="{00000000-0005-0000-0000-0000B1000000}"/>
    <cellStyle name="Normal 3" xfId="9" xr:uid="{00000000-0005-0000-0000-0000B2000000}"/>
    <cellStyle name="Normal 3 2" xfId="10" xr:uid="{00000000-0005-0000-0000-0000B3000000}"/>
    <cellStyle name="Normal 33" xfId="206" xr:uid="{00000000-0005-0000-0000-0000B4000000}"/>
    <cellStyle name="Normal 4" xfId="207" xr:uid="{00000000-0005-0000-0000-0000B5000000}"/>
    <cellStyle name="Normál_1." xfId="208" xr:uid="{00000000-0005-0000-0000-0000B6000000}"/>
    <cellStyle name="Normal_20100524 - Credit application - WC - v0" xfId="19" xr:uid="{00000000-0005-0000-0000-0000B7000000}"/>
    <cellStyle name="Normal_полн.форма вер.3 с изм. от 30.09.10 контракт" xfId="26" xr:uid="{00000000-0005-0000-0000-0000B8000000}"/>
    <cellStyle name="NormalGB" xfId="209" xr:uid="{00000000-0005-0000-0000-0000B9000000}"/>
    <cellStyle name="Note" xfId="210" xr:uid="{00000000-0005-0000-0000-0000BA000000}"/>
    <cellStyle name="Output" xfId="211" xr:uid="{00000000-0005-0000-0000-0000BB000000}"/>
    <cellStyle name="Output Amounts" xfId="212" xr:uid="{00000000-0005-0000-0000-0000BC000000}"/>
    <cellStyle name="Output Column Headings" xfId="213" xr:uid="{00000000-0005-0000-0000-0000BD000000}"/>
    <cellStyle name="Output Line Items" xfId="214" xr:uid="{00000000-0005-0000-0000-0000BE000000}"/>
    <cellStyle name="Output Report Heading" xfId="215" xr:uid="{00000000-0005-0000-0000-0000BF000000}"/>
    <cellStyle name="Output Report Title" xfId="216" xr:uid="{00000000-0005-0000-0000-0000C0000000}"/>
    <cellStyle name="Outputtitle" xfId="217" xr:uid="{00000000-0005-0000-0000-0000C1000000}"/>
    <cellStyle name="P?nznem [0]_Document" xfId="218" xr:uid="{00000000-0005-0000-0000-0000C2000000}"/>
    <cellStyle name="P?nznem_Document" xfId="219" xr:uid="{00000000-0005-0000-0000-0000C3000000}"/>
    <cellStyle name="Page Number" xfId="220" xr:uid="{00000000-0005-0000-0000-0000C4000000}"/>
    <cellStyle name="Page Number 2" xfId="221" xr:uid="{00000000-0005-0000-0000-0000C5000000}"/>
    <cellStyle name="Page Number_Показатели" xfId="222" xr:uid="{00000000-0005-0000-0000-0000C6000000}"/>
    <cellStyle name="Pénznem [0]_Document" xfId="223" xr:uid="{00000000-0005-0000-0000-0000C7000000}"/>
    <cellStyle name="Pénznem_Document" xfId="224" xr:uid="{00000000-0005-0000-0000-0000C8000000}"/>
    <cellStyle name="Percent [0]" xfId="225" xr:uid="{00000000-0005-0000-0000-0000C9000000}"/>
    <cellStyle name="Percent [1]" xfId="226" xr:uid="{00000000-0005-0000-0000-0000CA000000}"/>
    <cellStyle name="Percent 107" xfId="227" xr:uid="{00000000-0005-0000-0000-0000CB000000}"/>
    <cellStyle name="Percent 2" xfId="3" xr:uid="{00000000-0005-0000-0000-0000CC000000}"/>
    <cellStyle name="Percent 2 2" xfId="228" xr:uid="{00000000-0005-0000-0000-0000CD000000}"/>
    <cellStyle name="Percent 2 2 2" xfId="229" xr:uid="{00000000-0005-0000-0000-0000CE000000}"/>
    <cellStyle name="Percent 2 2 3" xfId="230" xr:uid="{00000000-0005-0000-0000-0000CF000000}"/>
    <cellStyle name="Percent 2 3" xfId="231" xr:uid="{00000000-0005-0000-0000-0000D0000000}"/>
    <cellStyle name="Percent 2 3 2" xfId="232" xr:uid="{00000000-0005-0000-0000-0000D1000000}"/>
    <cellStyle name="Percent 2 4" xfId="233" xr:uid="{00000000-0005-0000-0000-0000D2000000}"/>
    <cellStyle name="Percent 2 5" xfId="234" xr:uid="{00000000-0005-0000-0000-0000D3000000}"/>
    <cellStyle name="Percent 3" xfId="235" xr:uid="{00000000-0005-0000-0000-0000D4000000}"/>
    <cellStyle name="Percent 4" xfId="236" xr:uid="{00000000-0005-0000-0000-0000D5000000}"/>
    <cellStyle name="Red" xfId="237" xr:uid="{00000000-0005-0000-0000-0000D6000000}"/>
    <cellStyle name="Salomon Logo" xfId="238" xr:uid="{00000000-0005-0000-0000-0000D7000000}"/>
    <cellStyle name="Salomon Logo 2" xfId="239" xr:uid="{00000000-0005-0000-0000-0000D8000000}"/>
    <cellStyle name="Salomon Logo_Показатели" xfId="240" xr:uid="{00000000-0005-0000-0000-0000D9000000}"/>
    <cellStyle name="ScotchRule" xfId="241" xr:uid="{00000000-0005-0000-0000-0000DA000000}"/>
    <cellStyle name="Single Accounting" xfId="242" xr:uid="{00000000-0005-0000-0000-0000DB000000}"/>
    <cellStyle name="small" xfId="243" xr:uid="{00000000-0005-0000-0000-0000DC000000}"/>
    <cellStyle name="Standard_tabelle" xfId="244" xr:uid="{00000000-0005-0000-0000-0000DD000000}"/>
    <cellStyle name="Subtitle" xfId="245" xr:uid="{00000000-0005-0000-0000-0000DE000000}"/>
    <cellStyle name="Table Head" xfId="246" xr:uid="{00000000-0005-0000-0000-0000DF000000}"/>
    <cellStyle name="Table Head Aligned" xfId="247" xr:uid="{00000000-0005-0000-0000-0000E0000000}"/>
    <cellStyle name="Table Head Blue" xfId="248" xr:uid="{00000000-0005-0000-0000-0000E1000000}"/>
    <cellStyle name="Table Head Blue 2" xfId="249" xr:uid="{00000000-0005-0000-0000-0000E2000000}"/>
    <cellStyle name="Table Head Blue_Показатели" xfId="250" xr:uid="{00000000-0005-0000-0000-0000E3000000}"/>
    <cellStyle name="Table Head Green" xfId="251" xr:uid="{00000000-0005-0000-0000-0000E4000000}"/>
    <cellStyle name="Table Head Green 2" xfId="252" xr:uid="{00000000-0005-0000-0000-0000E5000000}"/>
    <cellStyle name="Table Head Green_Показатели" xfId="253" xr:uid="{00000000-0005-0000-0000-0000E6000000}"/>
    <cellStyle name="Table Head_Val_Sum_Graph" xfId="254" xr:uid="{00000000-0005-0000-0000-0000E7000000}"/>
    <cellStyle name="Table Text" xfId="255" xr:uid="{00000000-0005-0000-0000-0000E8000000}"/>
    <cellStyle name="Table Title" xfId="256" xr:uid="{00000000-0005-0000-0000-0000E9000000}"/>
    <cellStyle name="Table Title 2" xfId="257" xr:uid="{00000000-0005-0000-0000-0000EA000000}"/>
    <cellStyle name="Table Title_Показатели" xfId="258" xr:uid="{00000000-0005-0000-0000-0000EB000000}"/>
    <cellStyle name="Table Units" xfId="259" xr:uid="{00000000-0005-0000-0000-0000EC000000}"/>
    <cellStyle name="Table_Header" xfId="260" xr:uid="{00000000-0005-0000-0000-0000ED000000}"/>
    <cellStyle name="TableBlueBody" xfId="261" xr:uid="{00000000-0005-0000-0000-0000EE000000}"/>
    <cellStyle name="TableBlueHeader" xfId="262" xr:uid="{00000000-0005-0000-0000-0000EF000000}"/>
    <cellStyle name="TableGreenBody" xfId="263" xr:uid="{00000000-0005-0000-0000-0000F0000000}"/>
    <cellStyle name="TableGreenHeader" xfId="264" xr:uid="{00000000-0005-0000-0000-0000F1000000}"/>
    <cellStyle name="TableGreyBody" xfId="265" xr:uid="{00000000-0005-0000-0000-0000F2000000}"/>
    <cellStyle name="TableGreyHeader" xfId="266" xr:uid="{00000000-0005-0000-0000-0000F3000000}"/>
    <cellStyle name="TableLilacBody" xfId="267" xr:uid="{00000000-0005-0000-0000-0000F4000000}"/>
    <cellStyle name="TableLilacHeader" xfId="268" xr:uid="{00000000-0005-0000-0000-0000F5000000}"/>
    <cellStyle name="TablePinkBody" xfId="269" xr:uid="{00000000-0005-0000-0000-0000F6000000}"/>
    <cellStyle name="TablePinkHeader" xfId="270" xr:uid="{00000000-0005-0000-0000-0000F7000000}"/>
    <cellStyle name="TableWhiteBody" xfId="271" xr:uid="{00000000-0005-0000-0000-0000F8000000}"/>
    <cellStyle name="TableWhiteHeader" xfId="272" xr:uid="{00000000-0005-0000-0000-0000F9000000}"/>
    <cellStyle name="TableYellowBody" xfId="273" xr:uid="{00000000-0005-0000-0000-0000FA000000}"/>
    <cellStyle name="TableYellowHeader" xfId="274" xr:uid="{00000000-0005-0000-0000-0000FB000000}"/>
    <cellStyle name="Text 1" xfId="275" xr:uid="{00000000-0005-0000-0000-0000FC000000}"/>
    <cellStyle name="Text Head 1" xfId="276" xr:uid="{00000000-0005-0000-0000-0000FD000000}"/>
    <cellStyle name="Text Head 1 2" xfId="277" xr:uid="{00000000-0005-0000-0000-0000FE000000}"/>
    <cellStyle name="Text Head 1_Показатели" xfId="278" xr:uid="{00000000-0005-0000-0000-0000FF000000}"/>
    <cellStyle name="Times 10" xfId="279" xr:uid="{00000000-0005-0000-0000-000000010000}"/>
    <cellStyle name="Times 12" xfId="280" xr:uid="{00000000-0005-0000-0000-000001010000}"/>
    <cellStyle name="Title" xfId="281" xr:uid="{00000000-0005-0000-0000-000002010000}"/>
    <cellStyle name="Total" xfId="282" xr:uid="{00000000-0005-0000-0000-000003010000}"/>
    <cellStyle name="Underline_Single" xfId="283" xr:uid="{00000000-0005-0000-0000-000004010000}"/>
    <cellStyle name="Valuta [0]_Arcen" xfId="284" xr:uid="{00000000-0005-0000-0000-000005010000}"/>
    <cellStyle name="Valuta_Arcen" xfId="285" xr:uid="{00000000-0005-0000-0000-000006010000}"/>
    <cellStyle name="Warning Text" xfId="286" xr:uid="{00000000-0005-0000-0000-000007010000}"/>
    <cellStyle name="year" xfId="287" xr:uid="{00000000-0005-0000-0000-000008010000}"/>
    <cellStyle name="Yen" xfId="288" xr:uid="{00000000-0005-0000-0000-000009010000}"/>
  </cellStyles>
  <dxfs count="1">
    <dxf>
      <font>
        <condense val="0"/>
        <extend val="0"/>
        <color indexed="8"/>
      </font>
    </dxf>
  </dxfs>
  <tableStyles count="0" defaultTableStyle="TableStyleMedium2" defaultPivotStyle="PivotStyleLight16"/>
  <colors>
    <mruColors>
      <color rgb="FF3366CC"/>
      <color rgb="FF000096"/>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'For Pres'!$F$15</c:f>
              <c:strCache>
                <c:ptCount val="1"/>
                <c:pt idx="0">
                  <c:v>Яблоко сортовое</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Pres'!$M$285:$U$285</c:f>
              <c:strCache>
                <c:ptCount val="9"/>
                <c:pt idx="0">
                  <c:v>2018</c:v>
                </c:pt>
                <c:pt idx="1">
                  <c:v>19/20</c:v>
                </c:pt>
                <c:pt idx="2">
                  <c:v>20/21</c:v>
                </c:pt>
                <c:pt idx="3">
                  <c:v>21/22</c:v>
                </c:pt>
                <c:pt idx="4">
                  <c:v>22/23</c:v>
                </c:pt>
                <c:pt idx="5">
                  <c:v>23/24</c:v>
                </c:pt>
                <c:pt idx="6">
                  <c:v>24/25</c:v>
                </c:pt>
                <c:pt idx="7">
                  <c:v>25/26</c:v>
                </c:pt>
                <c:pt idx="8">
                  <c:v>26/27</c:v>
                </c:pt>
              </c:strCache>
            </c:strRef>
          </c:cat>
          <c:val>
            <c:numRef>
              <c:f>'For Pres'!$G$15:$O$15</c:f>
              <c:numCache>
                <c:formatCode>0.0</c:formatCode>
                <c:ptCount val="9"/>
                <c:pt idx="0">
                  <c:v>8.2763030000000004</c:v>
                </c:pt>
                <c:pt idx="1">
                  <c:v>11.225901479059074</c:v>
                </c:pt>
                <c:pt idx="2">
                  <c:v>13.578352432858917</c:v>
                </c:pt>
                <c:pt idx="3">
                  <c:v>16.127479114583867</c:v>
                </c:pt>
                <c:pt idx="4">
                  <c:v>16.680115201880085</c:v>
                </c:pt>
                <c:pt idx="5">
                  <c:v>17.050671325619867</c:v>
                </c:pt>
                <c:pt idx="6">
                  <c:v>17.420623326831155</c:v>
                </c:pt>
                <c:pt idx="7">
                  <c:v>17.57957072803892</c:v>
                </c:pt>
                <c:pt idx="8">
                  <c:v>17.57957072803892</c:v>
                </c:pt>
              </c:numCache>
            </c:numRef>
          </c:val>
          <c:extLst>
            <c:ext xmlns:c16="http://schemas.microsoft.com/office/drawing/2014/chart" uri="{C3380CC4-5D6E-409C-BE32-E72D297353CC}">
              <c16:uniqueId val="{00000000-9B4C-49AF-B47A-E786D3C3F6C3}"/>
            </c:ext>
          </c:extLst>
        </c:ser>
        <c:ser>
          <c:idx val="1"/>
          <c:order val="1"/>
          <c:tx>
            <c:strRef>
              <c:f>'For Pres'!$F$16</c:f>
              <c:strCache>
                <c:ptCount val="1"/>
                <c:pt idx="0">
                  <c:v>Яблоко несортовое</c:v>
                </c:pt>
              </c:strCache>
            </c:strRef>
          </c:tx>
          <c:spPr>
            <a:solidFill>
              <a:srgbClr val="3366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Pres'!$M$285:$U$285</c:f>
              <c:strCache>
                <c:ptCount val="9"/>
                <c:pt idx="0">
                  <c:v>2018</c:v>
                </c:pt>
                <c:pt idx="1">
                  <c:v>19/20</c:v>
                </c:pt>
                <c:pt idx="2">
                  <c:v>20/21</c:v>
                </c:pt>
                <c:pt idx="3">
                  <c:v>21/22</c:v>
                </c:pt>
                <c:pt idx="4">
                  <c:v>22/23</c:v>
                </c:pt>
                <c:pt idx="5">
                  <c:v>23/24</c:v>
                </c:pt>
                <c:pt idx="6">
                  <c:v>24/25</c:v>
                </c:pt>
                <c:pt idx="7">
                  <c:v>25/26</c:v>
                </c:pt>
                <c:pt idx="8">
                  <c:v>26/27</c:v>
                </c:pt>
              </c:strCache>
            </c:strRef>
          </c:cat>
          <c:val>
            <c:numRef>
              <c:f>'For Pres'!$G$16:$O$16</c:f>
              <c:numCache>
                <c:formatCode>0.0</c:formatCode>
                <c:ptCount val="9"/>
                <c:pt idx="0">
                  <c:v>5.6181380000000001</c:v>
                </c:pt>
                <c:pt idx="1">
                  <c:v>6.8203584148330654</c:v>
                </c:pt>
                <c:pt idx="2">
                  <c:v>7.311420540770186</c:v>
                </c:pt>
                <c:pt idx="3">
                  <c:v>6.9117767633930871</c:v>
                </c:pt>
                <c:pt idx="4">
                  <c:v>7.1486208008057517</c:v>
                </c:pt>
                <c:pt idx="5">
                  <c:v>7.3074305681228022</c:v>
                </c:pt>
                <c:pt idx="6">
                  <c:v>7.4659814257847827</c:v>
                </c:pt>
                <c:pt idx="7">
                  <c:v>7.5341017405881106</c:v>
                </c:pt>
                <c:pt idx="8">
                  <c:v>7.5341017405881106</c:v>
                </c:pt>
              </c:numCache>
            </c:numRef>
          </c:val>
          <c:extLst>
            <c:ext xmlns:c16="http://schemas.microsoft.com/office/drawing/2014/chart" uri="{C3380CC4-5D6E-409C-BE32-E72D297353CC}">
              <c16:uniqueId val="{00000001-9B4C-49AF-B47A-E786D3C3F6C3}"/>
            </c:ext>
          </c:extLst>
        </c:ser>
        <c:dLbls>
          <c:showLegendKey val="0"/>
          <c:showVal val="0"/>
          <c:showCatName val="0"/>
          <c:showSerName val="0"/>
          <c:showPercent val="0"/>
          <c:showBubbleSize val="0"/>
        </c:dLbls>
        <c:gapWidth val="33"/>
        <c:overlap val="100"/>
        <c:axId val="88509440"/>
        <c:axId val="88507904"/>
      </c:barChart>
      <c:lineChart>
        <c:grouping val="standard"/>
        <c:varyColors val="0"/>
        <c:ser>
          <c:idx val="2"/>
          <c:order val="2"/>
          <c:tx>
            <c:strRef>
              <c:f>'For Pres'!$F$17</c:f>
              <c:strCache>
                <c:ptCount val="1"/>
                <c:pt idx="0">
                  <c:v>Доля сортового яблока</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numFmt formatCode="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'Модель урожая яблок'!#REF!</c:f>
              <c:extLst xmlns:c15="http://schemas.microsoft.com/office/drawing/2012/chart"/>
            </c:multiLvlStrRef>
          </c:cat>
          <c:val>
            <c:numRef>
              <c:f>'For Pres'!$G$17:$O$17</c:f>
              <c:numCache>
                <c:formatCode>0%</c:formatCode>
                <c:ptCount val="9"/>
                <c:pt idx="0">
                  <c:v>0.62</c:v>
                </c:pt>
                <c:pt idx="1">
                  <c:v>0.62206249633246968</c:v>
                </c:pt>
                <c:pt idx="2">
                  <c:v>0.65</c:v>
                </c:pt>
                <c:pt idx="3">
                  <c:v>0.7</c:v>
                </c:pt>
                <c:pt idx="4">
                  <c:v>0.7</c:v>
                </c:pt>
                <c:pt idx="5">
                  <c:v>0.7</c:v>
                </c:pt>
                <c:pt idx="6">
                  <c:v>0.7</c:v>
                </c:pt>
                <c:pt idx="7">
                  <c:v>0.7</c:v>
                </c:pt>
                <c:pt idx="8">
                  <c:v>0.7</c:v>
                </c:pt>
              </c:numCache>
            </c:numRef>
          </c:val>
          <c:smooth val="0"/>
          <c:extLst>
            <c:ext xmlns:c16="http://schemas.microsoft.com/office/drawing/2014/chart" uri="{C3380CC4-5D6E-409C-BE32-E72D297353CC}">
              <c16:uniqueId val="{00000002-9B4C-49AF-B47A-E786D3C3F6C3}"/>
            </c:ext>
          </c:extLst>
        </c:ser>
        <c:dLbls>
          <c:showLegendKey val="0"/>
          <c:showVal val="0"/>
          <c:showCatName val="0"/>
          <c:showSerName val="0"/>
          <c:showPercent val="0"/>
          <c:showBubbleSize val="0"/>
        </c:dLbls>
        <c:marker val="1"/>
        <c:smooth val="0"/>
        <c:axId val="88506368"/>
        <c:axId val="88492288"/>
      </c:lineChart>
      <c:valAx>
        <c:axId val="88492288"/>
        <c:scaling>
          <c:orientation val="minMax"/>
          <c:max val="0.8"/>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0"/>
          <a:lstStyle/>
          <a:p>
            <a:pPr>
              <a:defRPr sz="900" b="0" i="0" u="none" strike="noStrike" kern="1200" baseline="0">
                <a:solidFill>
                  <a:schemeClr val="bg1"/>
                </a:solidFill>
                <a:latin typeface="+mn-lt"/>
                <a:ea typeface="+mn-ea"/>
                <a:cs typeface="+mn-cs"/>
              </a:defRPr>
            </a:pPr>
            <a:endParaRPr lang="ru-RU"/>
          </a:p>
        </c:txPr>
        <c:crossAx val="88506368"/>
        <c:crosses val="max"/>
        <c:crossBetween val="between"/>
      </c:valAx>
      <c:catAx>
        <c:axId val="885063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8492288"/>
        <c:crosses val="autoZero"/>
        <c:auto val="1"/>
        <c:lblAlgn val="ctr"/>
        <c:lblOffset val="100"/>
        <c:noMultiLvlLbl val="0"/>
      </c:catAx>
      <c:valAx>
        <c:axId val="88507904"/>
        <c:scaling>
          <c:orientation val="minMax"/>
          <c:max val="35"/>
          <c:min val="0"/>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8509440"/>
        <c:crosses val="autoZero"/>
        <c:crossBetween val="between"/>
      </c:valAx>
      <c:catAx>
        <c:axId val="88509440"/>
        <c:scaling>
          <c:orientation val="minMax"/>
        </c:scaling>
        <c:delete val="1"/>
        <c:axPos val="b"/>
        <c:numFmt formatCode="General" sourceLinked="1"/>
        <c:majorTickMark val="out"/>
        <c:minorTickMark val="none"/>
        <c:tickLblPos val="none"/>
        <c:crossAx val="88507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'For Pres'!$C$125</c:f>
              <c:strCache>
                <c:ptCount val="1"/>
                <c:pt idx="0">
                  <c:v>Прирост Чистого Оборотного Капитала</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Pres'!$N$285:$U$285</c:f>
              <c:strCache>
                <c:ptCount val="8"/>
                <c:pt idx="0">
                  <c:v>19/20</c:v>
                </c:pt>
                <c:pt idx="1">
                  <c:v>20/21</c:v>
                </c:pt>
                <c:pt idx="2">
                  <c:v>21/22</c:v>
                </c:pt>
                <c:pt idx="3">
                  <c:v>22/23</c:v>
                </c:pt>
                <c:pt idx="4">
                  <c:v>23/24</c:v>
                </c:pt>
                <c:pt idx="5">
                  <c:v>24/25</c:v>
                </c:pt>
                <c:pt idx="6">
                  <c:v>25/26</c:v>
                </c:pt>
                <c:pt idx="7">
                  <c:v>26/27</c:v>
                </c:pt>
              </c:strCache>
            </c:strRef>
          </c:cat>
          <c:val>
            <c:numRef>
              <c:f>'For Pres'!$F$125:$M$125</c:f>
              <c:numCache>
                <c:formatCode>0.0</c:formatCode>
                <c:ptCount val="8"/>
                <c:pt idx="0">
                  <c:v>62.834097020430697</c:v>
                </c:pt>
                <c:pt idx="1">
                  <c:v>31.40194719556786</c:v>
                </c:pt>
                <c:pt idx="2">
                  <c:v>29.799940076935222</c:v>
                </c:pt>
                <c:pt idx="3">
                  <c:v>15.854384932906163</c:v>
                </c:pt>
                <c:pt idx="4">
                  <c:v>15.052514368134144</c:v>
                </c:pt>
                <c:pt idx="5">
                  <c:v>12.953599618602631</c:v>
                </c:pt>
                <c:pt idx="6">
                  <c:v>10.300362739726145</c:v>
                </c:pt>
                <c:pt idx="7">
                  <c:v>8.1946753785691104</c:v>
                </c:pt>
              </c:numCache>
            </c:numRef>
          </c:val>
          <c:extLst>
            <c:ext xmlns:c16="http://schemas.microsoft.com/office/drawing/2014/chart" uri="{C3380CC4-5D6E-409C-BE32-E72D297353CC}">
              <c16:uniqueId val="{00000000-7C79-4BF0-A4A3-BF696A64B6DF}"/>
            </c:ext>
          </c:extLst>
        </c:ser>
        <c:dLbls>
          <c:showLegendKey val="0"/>
          <c:showVal val="1"/>
          <c:showCatName val="0"/>
          <c:showSerName val="0"/>
          <c:showPercent val="0"/>
          <c:showBubbleSize val="0"/>
        </c:dLbls>
        <c:gapWidth val="73"/>
        <c:overlap val="-27"/>
        <c:axId val="89084288"/>
        <c:axId val="89085824"/>
      </c:barChart>
      <c:catAx>
        <c:axId val="8908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9085824"/>
        <c:crosses val="autoZero"/>
        <c:auto val="1"/>
        <c:lblAlgn val="ctr"/>
        <c:lblOffset val="100"/>
        <c:noMultiLvlLbl val="0"/>
      </c:catAx>
      <c:valAx>
        <c:axId val="89085824"/>
        <c:scaling>
          <c:orientation val="minMax"/>
        </c:scaling>
        <c:delete val="1"/>
        <c:axPos val="l"/>
        <c:numFmt formatCode="0.0" sourceLinked="1"/>
        <c:majorTickMark val="none"/>
        <c:minorTickMark val="none"/>
        <c:tickLblPos val="none"/>
        <c:crossAx val="890842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1"/>
          <c:showCatName val="0"/>
          <c:showSerName val="0"/>
          <c:showPercent val="0"/>
          <c:showBubbleSize val="0"/>
        </c:dLbls>
        <c:gapWidth val="73"/>
        <c:overlap val="-27"/>
        <c:axId val="89108480"/>
        <c:axId val="89110016"/>
      </c:barChart>
      <c:catAx>
        <c:axId val="8910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9110016"/>
        <c:crosses val="autoZero"/>
        <c:auto val="1"/>
        <c:lblAlgn val="ctr"/>
        <c:lblOffset val="100"/>
        <c:noMultiLvlLbl val="0"/>
      </c:catAx>
      <c:valAx>
        <c:axId val="89110016"/>
        <c:scaling>
          <c:orientation val="minMax"/>
        </c:scaling>
        <c:delete val="1"/>
        <c:axPos val="l"/>
        <c:numFmt formatCode="0.0" sourceLinked="1"/>
        <c:majorTickMark val="none"/>
        <c:minorTickMark val="none"/>
        <c:tickLblPos val="none"/>
        <c:crossAx val="891084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'For Pres'!$C$142</c:f>
              <c:strCache>
                <c:ptCount val="1"/>
                <c:pt idx="0">
                  <c:v>Прогноз налога по ЕСХН</c:v>
                </c:pt>
              </c:strCache>
            </c:strRef>
          </c:tx>
          <c:spPr>
            <a:solidFill>
              <a:srgbClr val="000096"/>
            </a:solidFill>
            <a:ln>
              <a:noFill/>
            </a:ln>
            <a:effectLst/>
          </c:spPr>
          <c:invertIfNegative val="0"/>
          <c:dLbls>
            <c:dLbl>
              <c:idx val="0"/>
              <c:layout>
                <c:manualLayout>
                  <c:x val="0"/>
                  <c:y val="8.67739790981797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E8-4637-BE03-E03C87C40A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Pres'!$F$142:$M$142</c:f>
              <c:numCache>
                <c:formatCode>0.0</c:formatCode>
                <c:ptCount val="8"/>
                <c:pt idx="0">
                  <c:v>7.4923719924618526</c:v>
                </c:pt>
                <c:pt idx="1">
                  <c:v>8.9934531537075824</c:v>
                </c:pt>
                <c:pt idx="2">
                  <c:v>18.568053538346689</c:v>
                </c:pt>
                <c:pt idx="3">
                  <c:v>20.667162354454117</c:v>
                </c:pt>
                <c:pt idx="4">
                  <c:v>22.536848442622052</c:v>
                </c:pt>
                <c:pt idx="5">
                  <c:v>24.162112946434821</c:v>
                </c:pt>
                <c:pt idx="6">
                  <c:v>25.455653932101871</c:v>
                </c:pt>
                <c:pt idx="7">
                  <c:v>26.480092565427519</c:v>
                </c:pt>
              </c:numCache>
            </c:numRef>
          </c:val>
          <c:extLst>
            <c:ext xmlns:c15="http://schemas.microsoft.com/office/drawing/2012/chart" uri="{02D57815-91ED-43cb-92C2-25804820EDAC}">
              <c15:filteredCategoryTitle>
                <c15:cat>
                  <c:multiLvlStrRef>
                    <c:extLst>
                      <c:ext uri="{02D57815-91ED-43cb-92C2-25804820EDAC}">
                        <c15:formulaRef>
                          <c15:sqref>'Модель урожая яблок'!#REF!</c15:sqref>
                        </c15:formulaRef>
                      </c:ext>
                    </c:extLst>
                  </c:multiLvlStrRef>
                </c15:cat>
              </c15:filteredCategoryTitle>
            </c:ext>
            <c:ext xmlns:c16="http://schemas.microsoft.com/office/drawing/2014/chart" uri="{C3380CC4-5D6E-409C-BE32-E72D297353CC}">
              <c16:uniqueId val="{00000001-9AE8-4637-BE03-E03C87C40A31}"/>
            </c:ext>
          </c:extLst>
        </c:ser>
        <c:dLbls>
          <c:showLegendKey val="0"/>
          <c:showVal val="1"/>
          <c:showCatName val="0"/>
          <c:showSerName val="0"/>
          <c:showPercent val="0"/>
          <c:showBubbleSize val="0"/>
        </c:dLbls>
        <c:gapWidth val="38"/>
        <c:axId val="89003520"/>
        <c:axId val="89005056"/>
      </c:barChart>
      <c:catAx>
        <c:axId val="89003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9005056"/>
        <c:crosses val="autoZero"/>
        <c:auto val="1"/>
        <c:lblAlgn val="ctr"/>
        <c:lblOffset val="100"/>
        <c:noMultiLvlLbl val="0"/>
      </c:catAx>
      <c:valAx>
        <c:axId val="89005056"/>
        <c:scaling>
          <c:orientation val="minMax"/>
        </c:scaling>
        <c:delete val="1"/>
        <c:axPos val="l"/>
        <c:numFmt formatCode="0.0" sourceLinked="1"/>
        <c:majorTickMark val="none"/>
        <c:minorTickMark val="none"/>
        <c:tickLblPos val="none"/>
        <c:crossAx val="890035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22599030564025E-2"/>
          <c:y val="4.9584811501404674E-2"/>
          <c:w val="0.88388042309189063"/>
          <c:h val="0.61536348293370291"/>
        </c:manualLayout>
      </c:layout>
      <c:barChart>
        <c:barDir val="col"/>
        <c:grouping val="stacked"/>
        <c:varyColors val="0"/>
        <c:ser>
          <c:idx val="0"/>
          <c:order val="0"/>
          <c:tx>
            <c:strRef>
              <c:f>'For Pres'!$C$143</c:f>
              <c:strCache>
                <c:ptCount val="1"/>
                <c:pt idx="0">
                  <c:v>Субсидии по операционной деятельности</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Pres'!$F$143:$M$143</c:f>
              <c:numCache>
                <c:formatCode>0.0</c:formatCode>
                <c:ptCount val="8"/>
                <c:pt idx="0">
                  <c:v>8.5</c:v>
                </c:pt>
                <c:pt idx="1">
                  <c:v>8.7476608194114736</c:v>
                </c:pt>
                <c:pt idx="2">
                  <c:v>9.0305301395005415</c:v>
                </c:pt>
                <c:pt idx="3">
                  <c:v>9.3709811257597124</c:v>
                </c:pt>
                <c:pt idx="4">
                  <c:v>9.7598768424787412</c:v>
                </c:pt>
                <c:pt idx="5">
                  <c:v>10.052673147753103</c:v>
                </c:pt>
                <c:pt idx="6">
                  <c:v>10.354253342185697</c:v>
                </c:pt>
                <c:pt idx="7">
                  <c:v>10.664880942451267</c:v>
                </c:pt>
              </c:numCache>
            </c:numRef>
          </c:val>
          <c:extLst>
            <c:ext xmlns:c15="http://schemas.microsoft.com/office/drawing/2012/chart" uri="{02D57815-91ED-43cb-92C2-25804820EDAC}">
              <c15:filteredCategoryTitle>
                <c15:cat>
                  <c:multiLvlStrRef>
                    <c:extLst>
                      <c:ext uri="{02D57815-91ED-43cb-92C2-25804820EDAC}">
                        <c15:formulaRef>
                          <c15:sqref>'Модель урожая яблок'!#REF!</c15:sqref>
                        </c15:formulaRef>
                      </c:ext>
                    </c:extLst>
                  </c:multiLvlStrRef>
                </c15:cat>
              </c15:filteredCategoryTitle>
            </c:ext>
            <c:ext xmlns:c16="http://schemas.microsoft.com/office/drawing/2014/chart" uri="{C3380CC4-5D6E-409C-BE32-E72D297353CC}">
              <c16:uniqueId val="{00000000-298B-4C1F-9267-65FC433578BE}"/>
            </c:ext>
          </c:extLst>
        </c:ser>
        <c:ser>
          <c:idx val="2"/>
          <c:order val="1"/>
          <c:tx>
            <c:strRef>
              <c:f>'For Pres'!$C$145</c:f>
              <c:strCache>
                <c:ptCount val="1"/>
                <c:pt idx="0">
                  <c:v>Компенсация по CapEx</c:v>
                </c:pt>
              </c:strCache>
            </c:strRef>
          </c:tx>
          <c:spPr>
            <a:solidFill>
              <a:srgbClr val="3366CC"/>
            </a:solidFill>
            <a:ln>
              <a:no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8B-4C1F-9267-65FC433578B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8B-4C1F-9267-65FC433578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Pres'!$F$145:$M$145</c:f>
              <c:numCache>
                <c:formatCode>0.0</c:formatCode>
                <c:ptCount val="8"/>
                <c:pt idx="0">
                  <c:v>30</c:v>
                </c:pt>
                <c:pt idx="1">
                  <c:v>44.808</c:v>
                </c:pt>
                <c:pt idx="2" formatCode="General">
                  <c:v>0</c:v>
                </c:pt>
                <c:pt idx="3" formatCode="General">
                  <c:v>0</c:v>
                </c:pt>
                <c:pt idx="4" formatCode="General">
                  <c:v>0</c:v>
                </c:pt>
                <c:pt idx="5" formatCode="General">
                  <c:v>0</c:v>
                </c:pt>
                <c:pt idx="6" formatCode="General">
                  <c:v>0</c:v>
                </c:pt>
                <c:pt idx="7" formatCode="General">
                  <c:v>0</c:v>
                </c:pt>
              </c:numCache>
            </c:numRef>
          </c:val>
          <c:extLst>
            <c:ext xmlns:c15="http://schemas.microsoft.com/office/drawing/2012/chart" uri="{02D57815-91ED-43cb-92C2-25804820EDAC}">
              <c15:filteredCategoryTitle>
                <c15:cat>
                  <c:multiLvlStrRef>
                    <c:extLst>
                      <c:ext uri="{02D57815-91ED-43cb-92C2-25804820EDAC}">
                        <c15:formulaRef>
                          <c15:sqref>'Модель урожая яблок'!#REF!</c15:sqref>
                        </c15:formulaRef>
                      </c:ext>
                    </c:extLst>
                  </c:multiLvlStrRef>
                </c15:cat>
              </c15:filteredCategoryTitle>
            </c:ext>
            <c:ext xmlns:c16="http://schemas.microsoft.com/office/drawing/2014/chart" uri="{C3380CC4-5D6E-409C-BE32-E72D297353CC}">
              <c16:uniqueId val="{00000003-298B-4C1F-9267-65FC433578BE}"/>
            </c:ext>
          </c:extLst>
        </c:ser>
        <c:ser>
          <c:idx val="1"/>
          <c:order val="2"/>
          <c:tx>
            <c:strRef>
              <c:f>'For Pres'!$C$144</c:f>
              <c:strCache>
                <c:ptCount val="1"/>
                <c:pt idx="0">
                  <c:v>Компенсация процентов</c:v>
                </c:pt>
              </c:strCache>
            </c:strRef>
          </c:tx>
          <c:spPr>
            <a:solidFill>
              <a:schemeClr val="bg2">
                <a:lumMod val="75000"/>
              </a:schemeClr>
            </a:solidFill>
            <a:ln>
              <a:noFill/>
            </a:ln>
            <a:effectLst/>
          </c:spPr>
          <c:invertIfNegative val="0"/>
          <c:dLbls>
            <c:dLbl>
              <c:idx val="0"/>
              <c:layout>
                <c:manualLayout>
                  <c:x val="0"/>
                  <c:y val="-4.50771013649133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8B-4C1F-9267-65FC433578B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8B-4C1F-9267-65FC433578BE}"/>
                </c:ext>
              </c:extLst>
            </c:dLbl>
            <c:dLbl>
              <c:idx val="2"/>
              <c:layout>
                <c:manualLayout>
                  <c:x val="-5.0960537408357106E-17"/>
                  <c:y val="-1.35231304094740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8B-4C1F-9267-65FC433578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Pres'!$F$144:$M$144</c:f>
              <c:numCache>
                <c:formatCode>0.0</c:formatCode>
                <c:ptCount val="8"/>
                <c:pt idx="0">
                  <c:v>1.1801150699999998</c:v>
                </c:pt>
                <c:pt idx="1">
                  <c:v>0.76426499771428558</c:v>
                </c:pt>
                <c:pt idx="2">
                  <c:v>0.28659937414285708</c:v>
                </c:pt>
                <c:pt idx="3" formatCode="General">
                  <c:v>0</c:v>
                </c:pt>
                <c:pt idx="4" formatCode="General">
                  <c:v>0</c:v>
                </c:pt>
                <c:pt idx="5" formatCode="General">
                  <c:v>0</c:v>
                </c:pt>
                <c:pt idx="6" formatCode="General">
                  <c:v>0</c:v>
                </c:pt>
                <c:pt idx="7" formatCode="General">
                  <c:v>0</c:v>
                </c:pt>
              </c:numCache>
            </c:numRef>
          </c:val>
          <c:extLst>
            <c:ext xmlns:c15="http://schemas.microsoft.com/office/drawing/2012/chart" uri="{02D57815-91ED-43cb-92C2-25804820EDAC}">
              <c15:filteredCategoryTitle>
                <c15:cat>
                  <c:multiLvlStrRef>
                    <c:extLst>
                      <c:ext uri="{02D57815-91ED-43cb-92C2-25804820EDAC}">
                        <c15:formulaRef>
                          <c15:sqref>'Модель урожая яблок'!#REF!</c15:sqref>
                        </c15:formulaRef>
                      </c:ext>
                    </c:extLst>
                  </c:multiLvlStrRef>
                </c15:cat>
              </c15:filteredCategoryTitle>
            </c:ext>
            <c:ext xmlns:c16="http://schemas.microsoft.com/office/drawing/2014/chart" uri="{C3380CC4-5D6E-409C-BE32-E72D297353CC}">
              <c16:uniqueId val="{00000007-298B-4C1F-9267-65FC433578BE}"/>
            </c:ext>
          </c:extLst>
        </c:ser>
        <c:dLbls>
          <c:showLegendKey val="0"/>
          <c:showVal val="0"/>
          <c:showCatName val="0"/>
          <c:showSerName val="0"/>
          <c:showPercent val="0"/>
          <c:showBubbleSize val="0"/>
        </c:dLbls>
        <c:gapWidth val="73"/>
        <c:overlap val="100"/>
        <c:axId val="89149440"/>
        <c:axId val="89150976"/>
      </c:barChart>
      <c:catAx>
        <c:axId val="8914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9150976"/>
        <c:crosses val="autoZero"/>
        <c:auto val="1"/>
        <c:lblAlgn val="ctr"/>
        <c:lblOffset val="100"/>
        <c:noMultiLvlLbl val="0"/>
      </c:catAx>
      <c:valAx>
        <c:axId val="89150976"/>
        <c:scaling>
          <c:orientation val="minMax"/>
        </c:scaling>
        <c:delete val="1"/>
        <c:axPos val="l"/>
        <c:numFmt formatCode="0.0" sourceLinked="1"/>
        <c:majorTickMark val="none"/>
        <c:minorTickMark val="none"/>
        <c:tickLblPos val="none"/>
        <c:crossAx val="89149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Pres'!$N$285:$U$285</c:f>
              <c:strCache>
                <c:ptCount val="8"/>
                <c:pt idx="0">
                  <c:v>19/20</c:v>
                </c:pt>
                <c:pt idx="1">
                  <c:v>20/21</c:v>
                </c:pt>
                <c:pt idx="2">
                  <c:v>21/22</c:v>
                </c:pt>
                <c:pt idx="3">
                  <c:v>22/23</c:v>
                </c:pt>
                <c:pt idx="4">
                  <c:v>23/24</c:v>
                </c:pt>
                <c:pt idx="5">
                  <c:v>24/25</c:v>
                </c:pt>
                <c:pt idx="6">
                  <c:v>25/26</c:v>
                </c:pt>
                <c:pt idx="7">
                  <c:v>26/27</c:v>
                </c:pt>
              </c:strCache>
            </c:strRef>
          </c:cat>
          <c:val>
            <c:numRef>
              <c:f>'For Pres'!$F$142:$M$142</c:f>
              <c:numCache>
                <c:formatCode>0.0</c:formatCode>
                <c:ptCount val="8"/>
                <c:pt idx="0">
                  <c:v>7.4923719924618526</c:v>
                </c:pt>
                <c:pt idx="1">
                  <c:v>8.9934531537075824</c:v>
                </c:pt>
                <c:pt idx="2">
                  <c:v>18.568053538346689</c:v>
                </c:pt>
                <c:pt idx="3">
                  <c:v>20.667162354454117</c:v>
                </c:pt>
                <c:pt idx="4">
                  <c:v>22.536848442622052</c:v>
                </c:pt>
                <c:pt idx="5">
                  <c:v>24.162112946434821</c:v>
                </c:pt>
                <c:pt idx="6">
                  <c:v>25.455653932101871</c:v>
                </c:pt>
                <c:pt idx="7">
                  <c:v>26.480092565427519</c:v>
                </c:pt>
              </c:numCache>
            </c:numRef>
          </c:val>
          <c:extLst>
            <c:ext xmlns:c16="http://schemas.microsoft.com/office/drawing/2014/chart" uri="{C3380CC4-5D6E-409C-BE32-E72D297353CC}">
              <c16:uniqueId val="{00000000-61AD-4352-A25E-6C3BDCFB44AC}"/>
            </c:ext>
          </c:extLst>
        </c:ser>
        <c:dLbls>
          <c:showLegendKey val="0"/>
          <c:showVal val="1"/>
          <c:showCatName val="0"/>
          <c:showSerName val="0"/>
          <c:showPercent val="0"/>
          <c:showBubbleSize val="0"/>
        </c:dLbls>
        <c:gapWidth val="73"/>
        <c:overlap val="-27"/>
        <c:axId val="89187840"/>
        <c:axId val="89189376"/>
      </c:barChart>
      <c:catAx>
        <c:axId val="8918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9189376"/>
        <c:crosses val="autoZero"/>
        <c:auto val="1"/>
        <c:lblAlgn val="ctr"/>
        <c:lblOffset val="100"/>
        <c:noMultiLvlLbl val="0"/>
      </c:catAx>
      <c:valAx>
        <c:axId val="89189376"/>
        <c:scaling>
          <c:orientation val="minMax"/>
          <c:max val="3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91878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70147600371244E-2"/>
          <c:y val="5.0925925925925923E-2"/>
          <c:w val="0.83389519275870194"/>
          <c:h val="0.79224482356372372"/>
        </c:manualLayout>
      </c:layout>
      <c:barChart>
        <c:barDir val="col"/>
        <c:grouping val="clustered"/>
        <c:varyColors val="0"/>
        <c:ser>
          <c:idx val="0"/>
          <c:order val="0"/>
          <c:tx>
            <c:strRef>
              <c:f>'For Pres'!$F$188</c:f>
              <c:strCache>
                <c:ptCount val="1"/>
                <c:pt idx="0">
                  <c:v>EBITDA</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Pres'!$G$188:$N$188</c:f>
              <c:numCache>
                <c:formatCode>#,##0</c:formatCode>
                <c:ptCount val="8"/>
                <c:pt idx="0">
                  <c:v>234.92435693632544</c:v>
                </c:pt>
                <c:pt idx="1">
                  <c:v>303.07191277507911</c:v>
                </c:pt>
                <c:pt idx="2">
                  <c:v>390.89334794214079</c:v>
                </c:pt>
                <c:pt idx="3">
                  <c:v>419.77946413562483</c:v>
                </c:pt>
                <c:pt idx="4">
                  <c:v>447.08159146986372</c:v>
                </c:pt>
                <c:pt idx="5">
                  <c:v>470.65516430612513</c:v>
                </c:pt>
                <c:pt idx="6">
                  <c:v>489.27144840369442</c:v>
                </c:pt>
                <c:pt idx="7">
                  <c:v>503.94959185580512</c:v>
                </c:pt>
              </c:numCache>
            </c:numRef>
          </c:val>
          <c:extLst>
            <c:ext xmlns:c15="http://schemas.microsoft.com/office/drawing/2012/chart" uri="{02D57815-91ED-43cb-92C2-25804820EDAC}">
              <c15:filteredCategoryTitle>
                <c15:cat>
                  <c:multiLvlStrRef>
                    <c:extLst>
                      <c:ext uri="{02D57815-91ED-43cb-92C2-25804820EDAC}">
                        <c15:formulaRef>
                          <c15:sqref>'Модель урожая яблок'!#REF!</c15:sqref>
                        </c15:formulaRef>
                      </c:ext>
                    </c:extLst>
                  </c:multiLvlStrRef>
                </c15:cat>
              </c15:filteredCategoryTitle>
            </c:ext>
            <c:ext xmlns:c16="http://schemas.microsoft.com/office/drawing/2014/chart" uri="{C3380CC4-5D6E-409C-BE32-E72D297353CC}">
              <c16:uniqueId val="{00000000-789E-460A-9AC4-EC86B0A6636A}"/>
            </c:ext>
          </c:extLst>
        </c:ser>
        <c:ser>
          <c:idx val="2"/>
          <c:order val="2"/>
          <c:tx>
            <c:strRef>
              <c:f>'For Pres'!$F$187</c:f>
              <c:strCache>
                <c:ptCount val="1"/>
                <c:pt idx="0">
                  <c:v>Выручка</c:v>
                </c:pt>
              </c:strCache>
            </c:strRef>
          </c:tx>
          <c:spPr>
            <a:solidFill>
              <a:srgbClr val="3366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Pres'!$G$187:$N$187</c:f>
              <c:numCache>
                <c:formatCode>#,##0</c:formatCode>
                <c:ptCount val="8"/>
                <c:pt idx="0">
                  <c:v>572.15827585305647</c:v>
                </c:pt>
                <c:pt idx="1">
                  <c:v>704.04811643931191</c:v>
                </c:pt>
                <c:pt idx="2">
                  <c:v>847.32398968540099</c:v>
                </c:pt>
                <c:pt idx="3">
                  <c:v>909.39775308135142</c:v>
                </c:pt>
                <c:pt idx="4">
                  <c:v>968.17884334498115</c:v>
                </c:pt>
                <c:pt idx="5">
                  <c:v>1018.8611919991969</c:v>
                </c:pt>
                <c:pt idx="6">
                  <c:v>1059.0020983918409</c:v>
                </c:pt>
                <c:pt idx="7">
                  <c:v>1090.7721613435961</c:v>
                </c:pt>
              </c:numCache>
            </c:numRef>
          </c:val>
          <c:extLst>
            <c:ext xmlns:c16="http://schemas.microsoft.com/office/drawing/2014/chart" uri="{C3380CC4-5D6E-409C-BE32-E72D297353CC}">
              <c16:uniqueId val="{00000001-789E-460A-9AC4-EC86B0A6636A}"/>
            </c:ext>
          </c:extLst>
        </c:ser>
        <c:dLbls>
          <c:showLegendKey val="0"/>
          <c:showVal val="0"/>
          <c:showCatName val="0"/>
          <c:showSerName val="0"/>
          <c:showPercent val="0"/>
          <c:showBubbleSize val="0"/>
        </c:dLbls>
        <c:gapWidth val="73"/>
        <c:overlap val="-10"/>
        <c:axId val="89470080"/>
        <c:axId val="89255296"/>
      </c:barChart>
      <c:lineChart>
        <c:grouping val="standard"/>
        <c:varyColors val="0"/>
        <c:ser>
          <c:idx val="1"/>
          <c:order val="1"/>
          <c:tx>
            <c:strRef>
              <c:f>'For Pres'!$F$189</c:f>
              <c:strCache>
                <c:ptCount val="1"/>
                <c:pt idx="0">
                  <c:v>EBITDA маржа, %</c:v>
                </c:pt>
              </c:strCache>
            </c:strRef>
          </c:tx>
          <c:spPr>
            <a:ln w="28575" cap="rnd">
              <a:solidFill>
                <a:schemeClr val="bg2">
                  <a:lumMod val="50000"/>
                </a:schemeClr>
              </a:solidFill>
              <a:round/>
            </a:ln>
            <a:effectLst/>
          </c:spPr>
          <c:marker>
            <c:symbol val="circle"/>
            <c:size val="5"/>
            <c:spPr>
              <a:solidFill>
                <a:schemeClr val="bg2">
                  <a:lumMod val="50000"/>
                </a:schemeClr>
              </a:solidFill>
              <a:ln w="9525">
                <a:solidFill>
                  <a:schemeClr val="bg2">
                    <a:lumMod val="50000"/>
                  </a:schemeClr>
                </a:solidFill>
              </a:ln>
              <a:effectLst/>
            </c:spPr>
          </c:marker>
          <c:dLbls>
            <c:dLbl>
              <c:idx val="0"/>
              <c:layout>
                <c:manualLayout>
                  <c:x val="-6.465155733860263E-2"/>
                  <c:y val="-2.6620370370370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9E-460A-9AC4-EC86B0A6636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Pres'!$G$189:$N$189</c:f>
              <c:numCache>
                <c:formatCode>0%</c:formatCode>
                <c:ptCount val="8"/>
                <c:pt idx="0">
                  <c:v>0.41059330407493655</c:v>
                </c:pt>
                <c:pt idx="1">
                  <c:v>0.43047045464427941</c:v>
                </c:pt>
                <c:pt idx="2">
                  <c:v>0.4613268982119505</c:v>
                </c:pt>
                <c:pt idx="3">
                  <c:v>0.46160160690222518</c:v>
                </c:pt>
                <c:pt idx="4">
                  <c:v>0.4617758325778244</c:v>
                </c:pt>
                <c:pt idx="5">
                  <c:v>0.46194238037726354</c:v>
                </c:pt>
                <c:pt idx="6">
                  <c:v>0.46201178368454876</c:v>
                </c:pt>
                <c:pt idx="7">
                  <c:v>0.4620117836845487</c:v>
                </c:pt>
              </c:numCache>
            </c:numRef>
          </c:val>
          <c:smooth val="0"/>
          <c:extLst>
            <c:ext xmlns:c16="http://schemas.microsoft.com/office/drawing/2014/chart" uri="{C3380CC4-5D6E-409C-BE32-E72D297353CC}">
              <c16:uniqueId val="{00000003-789E-460A-9AC4-EC86B0A6636A}"/>
            </c:ext>
          </c:extLst>
        </c:ser>
        <c:dLbls>
          <c:showLegendKey val="0"/>
          <c:showVal val="0"/>
          <c:showCatName val="0"/>
          <c:showSerName val="0"/>
          <c:showPercent val="0"/>
          <c:showBubbleSize val="0"/>
        </c:dLbls>
        <c:marker val="1"/>
        <c:smooth val="0"/>
        <c:axId val="89473408"/>
        <c:axId val="89471616"/>
      </c:lineChart>
      <c:valAx>
        <c:axId val="89255296"/>
        <c:scaling>
          <c:orientation val="minMax"/>
          <c:max val="12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9470080"/>
        <c:crosses val="max"/>
        <c:crossBetween val="between"/>
      </c:valAx>
      <c:catAx>
        <c:axId val="89470080"/>
        <c:scaling>
          <c:orientation val="minMax"/>
        </c:scaling>
        <c:delete val="1"/>
        <c:axPos val="b"/>
        <c:numFmt formatCode="General" sourceLinked="1"/>
        <c:majorTickMark val="out"/>
        <c:minorTickMark val="none"/>
        <c:tickLblPos val="none"/>
        <c:crossAx val="89255296"/>
        <c:crosses val="autoZero"/>
        <c:auto val="1"/>
        <c:lblAlgn val="ctr"/>
        <c:lblOffset val="100"/>
        <c:noMultiLvlLbl val="0"/>
      </c:catAx>
      <c:valAx>
        <c:axId val="89471616"/>
        <c:scaling>
          <c:orientation val="minMax"/>
          <c:max val="0.5"/>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9473408"/>
        <c:crosses val="autoZero"/>
        <c:crossBetween val="between"/>
      </c:valAx>
      <c:catAx>
        <c:axId val="89473408"/>
        <c:scaling>
          <c:orientation val="minMax"/>
        </c:scaling>
        <c:delete val="1"/>
        <c:axPos val="b"/>
        <c:majorTickMark val="out"/>
        <c:minorTickMark val="none"/>
        <c:tickLblPos val="none"/>
        <c:crossAx val="894716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714257415936194E-2"/>
          <c:y val="0.10762336905399719"/>
          <c:w val="0.81467513494775412"/>
          <c:h val="0.67157217686389681"/>
        </c:manualLayout>
      </c:layout>
      <c:barChart>
        <c:barDir val="col"/>
        <c:grouping val="clustered"/>
        <c:varyColors val="0"/>
        <c:ser>
          <c:idx val="0"/>
          <c:order val="0"/>
          <c:tx>
            <c:strRef>
              <c:f>'For Pres'!$F$202</c:f>
              <c:strCache>
                <c:ptCount val="1"/>
                <c:pt idx="0">
                  <c:v>Чистая Прибыль</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Pres'!$N$285:$U$285</c:f>
              <c:strCache>
                <c:ptCount val="8"/>
                <c:pt idx="0">
                  <c:v>19/20</c:v>
                </c:pt>
                <c:pt idx="1">
                  <c:v>20/21</c:v>
                </c:pt>
                <c:pt idx="2">
                  <c:v>21/22</c:v>
                </c:pt>
                <c:pt idx="3">
                  <c:v>22/23</c:v>
                </c:pt>
                <c:pt idx="4">
                  <c:v>23/24</c:v>
                </c:pt>
                <c:pt idx="5">
                  <c:v>24/25</c:v>
                </c:pt>
                <c:pt idx="6">
                  <c:v>25/26</c:v>
                </c:pt>
                <c:pt idx="7">
                  <c:v>26/27</c:v>
                </c:pt>
              </c:strCache>
            </c:strRef>
          </c:cat>
          <c:val>
            <c:numRef>
              <c:f>'For Pres'!$G$202:$N$202</c:f>
              <c:numCache>
                <c:formatCode>#,##0</c:formatCode>
                <c:ptCount val="8"/>
                <c:pt idx="0">
                  <c:v>188.17609610267567</c:v>
                </c:pt>
                <c:pt idx="1">
                  <c:v>277.17969418373031</c:v>
                </c:pt>
                <c:pt idx="2">
                  <c:v>312.65297776577842</c:v>
                </c:pt>
                <c:pt idx="3">
                  <c:v>346.10752355147611</c:v>
                </c:pt>
                <c:pt idx="4">
                  <c:v>376.36770862521178</c:v>
                </c:pt>
                <c:pt idx="5">
                  <c:v>402.52889834233571</c:v>
                </c:pt>
                <c:pt idx="6">
                  <c:v>423.51404764989854</c:v>
                </c:pt>
                <c:pt idx="7">
                  <c:v>440.30485032007613</c:v>
                </c:pt>
              </c:numCache>
            </c:numRef>
          </c:val>
          <c:extLst>
            <c:ext xmlns:c16="http://schemas.microsoft.com/office/drawing/2014/chart" uri="{C3380CC4-5D6E-409C-BE32-E72D297353CC}">
              <c16:uniqueId val="{00000000-58C1-41A7-AF13-0483F3DFB9A3}"/>
            </c:ext>
          </c:extLst>
        </c:ser>
        <c:dLbls>
          <c:showLegendKey val="0"/>
          <c:showVal val="1"/>
          <c:showCatName val="0"/>
          <c:showSerName val="0"/>
          <c:showPercent val="0"/>
          <c:showBubbleSize val="0"/>
        </c:dLbls>
        <c:gapWidth val="73"/>
        <c:overlap val="-27"/>
        <c:axId val="89504768"/>
        <c:axId val="89527040"/>
      </c:barChart>
      <c:lineChart>
        <c:grouping val="standard"/>
        <c:varyColors val="0"/>
        <c:ser>
          <c:idx val="1"/>
          <c:order val="1"/>
          <c:tx>
            <c:strRef>
              <c:f>'For Pres'!$F$203</c:f>
              <c:strCache>
                <c:ptCount val="1"/>
                <c:pt idx="0">
                  <c:v>Рентабильность </c:v>
                </c:pt>
              </c:strCache>
            </c:strRef>
          </c:tx>
          <c:spPr>
            <a:ln w="28575" cap="rnd">
              <a:solidFill>
                <a:schemeClr val="bg2">
                  <a:lumMod val="50000"/>
                </a:schemeClr>
              </a:solidFill>
              <a:round/>
            </a:ln>
            <a:effectLst/>
          </c:spPr>
          <c:marker>
            <c:symbol val="circ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Pres'!$G$203:$N$203</c:f>
              <c:numCache>
                <c:formatCode>0%</c:formatCode>
                <c:ptCount val="8"/>
                <c:pt idx="0">
                  <c:v>0.32888818364484107</c:v>
                </c:pt>
                <c:pt idx="1">
                  <c:v>0.39369424860555374</c:v>
                </c:pt>
                <c:pt idx="2">
                  <c:v>0.36898870039294168</c:v>
                </c:pt>
                <c:pt idx="3">
                  <c:v>0.38058981603896114</c:v>
                </c:pt>
                <c:pt idx="4">
                  <c:v>0.38873779489426891</c:v>
                </c:pt>
                <c:pt idx="5">
                  <c:v>0.39507727009652654</c:v>
                </c:pt>
                <c:pt idx="6">
                  <c:v>0.39991804387642893</c:v>
                </c:pt>
                <c:pt idx="7">
                  <c:v>0.4036634467987481</c:v>
                </c:pt>
              </c:numCache>
            </c:numRef>
          </c:val>
          <c:smooth val="0"/>
          <c:extLst>
            <c:ext xmlns:c16="http://schemas.microsoft.com/office/drawing/2014/chart" uri="{C3380CC4-5D6E-409C-BE32-E72D297353CC}">
              <c16:uniqueId val="{00000001-58C1-41A7-AF13-0483F3DFB9A3}"/>
            </c:ext>
          </c:extLst>
        </c:ser>
        <c:dLbls>
          <c:showLegendKey val="0"/>
          <c:showVal val="1"/>
          <c:showCatName val="0"/>
          <c:showSerName val="0"/>
          <c:showPercent val="0"/>
          <c:showBubbleSize val="0"/>
        </c:dLbls>
        <c:marker val="1"/>
        <c:smooth val="0"/>
        <c:axId val="89534464"/>
        <c:axId val="89528576"/>
      </c:lineChart>
      <c:catAx>
        <c:axId val="89504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9527040"/>
        <c:crosses val="autoZero"/>
        <c:auto val="1"/>
        <c:lblAlgn val="ctr"/>
        <c:lblOffset val="100"/>
        <c:noMultiLvlLbl val="0"/>
      </c:catAx>
      <c:valAx>
        <c:axId val="89527040"/>
        <c:scaling>
          <c:orientation val="minMax"/>
          <c:max val="6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9504768"/>
        <c:crosses val="autoZero"/>
        <c:crossBetween val="between"/>
      </c:valAx>
      <c:valAx>
        <c:axId val="895285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9534464"/>
        <c:crosses val="max"/>
        <c:crossBetween val="between"/>
      </c:valAx>
      <c:catAx>
        <c:axId val="89534464"/>
        <c:scaling>
          <c:orientation val="minMax"/>
        </c:scaling>
        <c:delete val="1"/>
        <c:axPos val="b"/>
        <c:majorTickMark val="out"/>
        <c:minorTickMark val="none"/>
        <c:tickLblPos val="none"/>
        <c:crossAx val="895285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'For Pres'!$F$206</c:f>
              <c:strCache>
                <c:ptCount val="1"/>
                <c:pt idx="0">
                  <c:v>Свободный денежный поток Бизнеса</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Pres'!$N$285:$U$285</c:f>
              <c:strCache>
                <c:ptCount val="8"/>
                <c:pt idx="0">
                  <c:v>19/20</c:v>
                </c:pt>
                <c:pt idx="1">
                  <c:v>20/21</c:v>
                </c:pt>
                <c:pt idx="2">
                  <c:v>21/22</c:v>
                </c:pt>
                <c:pt idx="3">
                  <c:v>22/23</c:v>
                </c:pt>
                <c:pt idx="4">
                  <c:v>23/24</c:v>
                </c:pt>
                <c:pt idx="5">
                  <c:v>24/25</c:v>
                </c:pt>
                <c:pt idx="6">
                  <c:v>25/26</c:v>
                </c:pt>
                <c:pt idx="7">
                  <c:v>26/27</c:v>
                </c:pt>
              </c:strCache>
            </c:strRef>
          </c:cat>
          <c:val>
            <c:numRef>
              <c:f>'For Pres'!$G$206:$N$206</c:f>
              <c:numCache>
                <c:formatCode>#,##0</c:formatCode>
                <c:ptCount val="8"/>
                <c:pt idx="0">
                  <c:v>171.98240143932622</c:v>
                </c:pt>
                <c:pt idx="1">
                  <c:v>234.26983762002945</c:v>
                </c:pt>
                <c:pt idx="2">
                  <c:v>339.11954164832252</c:v>
                </c:pt>
                <c:pt idx="3">
                  <c:v>379.67789910142238</c:v>
                </c:pt>
                <c:pt idx="4">
                  <c:v>405.72156598659876</c:v>
                </c:pt>
                <c:pt idx="5">
                  <c:v>429.65566918840375</c:v>
                </c:pt>
                <c:pt idx="6">
                  <c:v>449.51513570260192</c:v>
                </c:pt>
                <c:pt idx="7">
                  <c:v>465.15451900166602</c:v>
                </c:pt>
              </c:numCache>
            </c:numRef>
          </c:val>
          <c:extLst>
            <c:ext xmlns:c16="http://schemas.microsoft.com/office/drawing/2014/chart" uri="{C3380CC4-5D6E-409C-BE32-E72D297353CC}">
              <c16:uniqueId val="{00000000-D7CD-46F3-B50F-DEF9D5DAF2FA}"/>
            </c:ext>
          </c:extLst>
        </c:ser>
        <c:dLbls>
          <c:showLegendKey val="0"/>
          <c:showVal val="1"/>
          <c:showCatName val="0"/>
          <c:showSerName val="0"/>
          <c:showPercent val="0"/>
          <c:showBubbleSize val="0"/>
        </c:dLbls>
        <c:gapWidth val="73"/>
        <c:overlap val="-27"/>
        <c:axId val="89550848"/>
        <c:axId val="89552384"/>
      </c:barChart>
      <c:catAx>
        <c:axId val="8955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9552384"/>
        <c:crosses val="autoZero"/>
        <c:auto val="1"/>
        <c:lblAlgn val="ctr"/>
        <c:lblOffset val="100"/>
        <c:noMultiLvlLbl val="0"/>
      </c:catAx>
      <c:valAx>
        <c:axId val="89552384"/>
        <c:scaling>
          <c:orientation val="minMax"/>
          <c:max val="6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955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02176581539488E-2"/>
          <c:y val="0.10139910744595416"/>
          <c:w val="0.89019685039370255"/>
          <c:h val="0.74569663167104339"/>
        </c:manualLayout>
      </c:layout>
      <c:barChart>
        <c:barDir val="col"/>
        <c:grouping val="clustered"/>
        <c:varyColors val="0"/>
        <c:ser>
          <c:idx val="0"/>
          <c:order val="0"/>
          <c:tx>
            <c:strRef>
              <c:f>'For Pres'!$F$209</c:f>
              <c:strCache>
                <c:ptCount val="1"/>
                <c:pt idx="0">
                  <c:v>Свободный денежный поток Акционеров</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Pres'!$N$285:$U$285</c:f>
              <c:strCache>
                <c:ptCount val="8"/>
                <c:pt idx="0">
                  <c:v>19/20</c:v>
                </c:pt>
                <c:pt idx="1">
                  <c:v>20/21</c:v>
                </c:pt>
                <c:pt idx="2">
                  <c:v>21/22</c:v>
                </c:pt>
                <c:pt idx="3">
                  <c:v>22/23</c:v>
                </c:pt>
                <c:pt idx="4">
                  <c:v>23/24</c:v>
                </c:pt>
                <c:pt idx="5">
                  <c:v>24/25</c:v>
                </c:pt>
                <c:pt idx="6">
                  <c:v>25/26</c:v>
                </c:pt>
                <c:pt idx="7">
                  <c:v>26/27</c:v>
                </c:pt>
              </c:strCache>
            </c:strRef>
          </c:cat>
          <c:val>
            <c:numRef>
              <c:f>'For Pres'!$G$209:$N$209</c:f>
              <c:numCache>
                <c:formatCode>#,##0</c:formatCode>
                <c:ptCount val="8"/>
                <c:pt idx="0">
                  <c:v>5.206070429326239</c:v>
                </c:pt>
                <c:pt idx="1">
                  <c:v>178.85705653774374</c:v>
                </c:pt>
                <c:pt idx="2">
                  <c:v>269.89259494246545</c:v>
                </c:pt>
                <c:pt idx="3">
                  <c:v>354.08725302142244</c:v>
                </c:pt>
                <c:pt idx="4">
                  <c:v>384.10756598659879</c:v>
                </c:pt>
                <c:pt idx="5">
                  <c:v>410.79526918840372</c:v>
                </c:pt>
                <c:pt idx="6">
                  <c:v>449.51513570260192</c:v>
                </c:pt>
                <c:pt idx="7">
                  <c:v>465.15451900166602</c:v>
                </c:pt>
              </c:numCache>
            </c:numRef>
          </c:val>
          <c:extLst>
            <c:ext xmlns:c16="http://schemas.microsoft.com/office/drawing/2014/chart" uri="{C3380CC4-5D6E-409C-BE32-E72D297353CC}">
              <c16:uniqueId val="{00000000-45B9-4530-9EFD-8FACF43F617D}"/>
            </c:ext>
          </c:extLst>
        </c:ser>
        <c:dLbls>
          <c:showLegendKey val="0"/>
          <c:showVal val="1"/>
          <c:showCatName val="0"/>
          <c:showSerName val="0"/>
          <c:showPercent val="0"/>
          <c:showBubbleSize val="0"/>
        </c:dLbls>
        <c:gapWidth val="73"/>
        <c:overlap val="-27"/>
        <c:axId val="89667072"/>
        <c:axId val="89668608"/>
      </c:barChart>
      <c:catAx>
        <c:axId val="8966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9668608"/>
        <c:crosses val="autoZero"/>
        <c:auto val="1"/>
        <c:lblAlgn val="ctr"/>
        <c:lblOffset val="100"/>
        <c:noMultiLvlLbl val="0"/>
      </c:catAx>
      <c:valAx>
        <c:axId val="89668608"/>
        <c:scaling>
          <c:orientation val="minMax"/>
          <c:max val="6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9667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'For Pres'!$F$215</c:f>
              <c:strCache>
                <c:ptCount val="1"/>
                <c:pt idx="0">
                  <c:v>Прогноз процентных платежей </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Pres'!$G$215:$M$215</c:f>
              <c:numCache>
                <c:formatCode>#,##0</c:formatCode>
                <c:ptCount val="7"/>
                <c:pt idx="0">
                  <c:v>15.685055098749999</c:v>
                </c:pt>
                <c:pt idx="1">
                  <c:v>10.235771080000001</c:v>
                </c:pt>
                <c:pt idx="2">
                  <c:v>6.5722710800000002</c:v>
                </c:pt>
                <c:pt idx="3">
                  <c:v>3.8693710800000001</c:v>
                </c:pt>
                <c:pt idx="4">
                  <c:v>2.9827249999999998</c:v>
                </c:pt>
                <c:pt idx="5">
                  <c:v>1.3597624999999998</c:v>
                </c:pt>
                <c:pt idx="6">
                  <c:v>0</c:v>
                </c:pt>
              </c:numCache>
            </c:numRef>
          </c:val>
          <c:extLst>
            <c:ext xmlns:c15="http://schemas.microsoft.com/office/drawing/2012/chart" uri="{02D57815-91ED-43cb-92C2-25804820EDAC}">
              <c15:filteredCategoryTitle>
                <c15:cat>
                  <c:multiLvlStrRef>
                    <c:extLst>
                      <c:ext uri="{02D57815-91ED-43cb-92C2-25804820EDAC}">
                        <c15:formulaRef>
                          <c15:sqref>'Модель урожая яблок'!#REF!</c15:sqref>
                        </c15:formulaRef>
                      </c:ext>
                    </c:extLst>
                  </c:multiLvlStrRef>
                </c15:cat>
              </c15:filteredCategoryTitle>
            </c:ext>
            <c:ext xmlns:c16="http://schemas.microsoft.com/office/drawing/2014/chart" uri="{C3380CC4-5D6E-409C-BE32-E72D297353CC}">
              <c16:uniqueId val="{00000000-6BDD-40C0-BF87-A04C95143DFD}"/>
            </c:ext>
          </c:extLst>
        </c:ser>
        <c:dLbls>
          <c:showLegendKey val="0"/>
          <c:showVal val="1"/>
          <c:showCatName val="0"/>
          <c:showSerName val="0"/>
          <c:showPercent val="0"/>
          <c:showBubbleSize val="0"/>
        </c:dLbls>
        <c:gapWidth val="73"/>
        <c:overlap val="-27"/>
        <c:axId val="89685376"/>
        <c:axId val="89601152"/>
      </c:barChart>
      <c:catAx>
        <c:axId val="8968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9601152"/>
        <c:crosses val="autoZero"/>
        <c:auto val="1"/>
        <c:lblAlgn val="ctr"/>
        <c:lblOffset val="100"/>
        <c:noMultiLvlLbl val="0"/>
      </c:catAx>
      <c:valAx>
        <c:axId val="89601152"/>
        <c:scaling>
          <c:orientation val="minMax"/>
          <c:max val="2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96853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'For Pres'!$F$39</c:f>
              <c:strCache>
                <c:ptCount val="1"/>
                <c:pt idx="0">
                  <c:v>Яблоко сортовое</c:v>
                </c:pt>
              </c:strCache>
            </c:strRef>
          </c:tx>
          <c:spPr>
            <a:ln w="28575" cap="rnd">
              <a:solidFill>
                <a:srgbClr val="000096"/>
              </a:solidFill>
              <a:round/>
            </a:ln>
            <a:effectLst/>
          </c:spPr>
          <c:marker>
            <c:symbol val="circle"/>
            <c:size val="5"/>
            <c:spPr>
              <a:solidFill>
                <a:srgbClr val="000096"/>
              </a:solidFill>
              <a:ln w="9525">
                <a:solidFill>
                  <a:srgbClr val="00009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Pres'!$G$39:$O$39</c:f>
              <c:numCache>
                <c:formatCode>0</c:formatCode>
                <c:ptCount val="9"/>
                <c:pt idx="0">
                  <c:v>40</c:v>
                </c:pt>
                <c:pt idx="1">
                  <c:v>44</c:v>
                </c:pt>
                <c:pt idx="2">
                  <c:v>45.282008947541748</c:v>
                </c:pt>
                <c:pt idx="3">
                  <c:v>46.746273663296918</c:v>
                </c:pt>
                <c:pt idx="4">
                  <c:v>48.508608180403215</c:v>
                </c:pt>
                <c:pt idx="5">
                  <c:v>50.521715419889951</c:v>
                </c:pt>
                <c:pt idx="6">
                  <c:v>52.037366882486651</c:v>
                </c:pt>
                <c:pt idx="7">
                  <c:v>53.598487888961252</c:v>
                </c:pt>
                <c:pt idx="8">
                  <c:v>55.206442525630088</c:v>
                </c:pt>
              </c:numCache>
            </c:numRef>
          </c:val>
          <c:smooth val="0"/>
          <c:extLst>
            <c:ext xmlns:c15="http://schemas.microsoft.com/office/drawing/2012/chart" uri="{02D57815-91ED-43cb-92C2-25804820EDAC}">
              <c15:filteredCategoryTitle>
                <c15:cat>
                  <c:multiLvlStrRef>
                    <c:extLst>
                      <c:ext uri="{02D57815-91ED-43cb-92C2-25804820EDAC}">
                        <c15:formulaRef>
                          <c15:sqref>'Модель урожая яблок'!#REF!</c15:sqref>
                        </c15:formulaRef>
                      </c:ext>
                    </c:extLst>
                  </c:multiLvlStrRef>
                </c15:cat>
              </c15:filteredCategoryTitle>
            </c:ext>
            <c:ext xmlns:c16="http://schemas.microsoft.com/office/drawing/2014/chart" uri="{C3380CC4-5D6E-409C-BE32-E72D297353CC}">
              <c16:uniqueId val="{00000000-3D64-484B-B8D3-EFB9A01CF286}"/>
            </c:ext>
          </c:extLst>
        </c:ser>
        <c:ser>
          <c:idx val="1"/>
          <c:order val="1"/>
          <c:tx>
            <c:strRef>
              <c:f>'For Pres'!$F$40</c:f>
              <c:strCache>
                <c:ptCount val="1"/>
                <c:pt idx="0">
                  <c:v>Яблоко несортовое </c:v>
                </c:pt>
              </c:strCache>
            </c:strRef>
          </c:tx>
          <c:spPr>
            <a:ln w="28575" cap="rnd">
              <a:solidFill>
                <a:srgbClr val="3366CC"/>
              </a:solidFill>
              <a:round/>
            </a:ln>
            <a:effectLst/>
          </c:spPr>
          <c:marker>
            <c:symbol val="circle"/>
            <c:size val="5"/>
            <c:spPr>
              <a:solidFill>
                <a:srgbClr val="3366CC"/>
              </a:solidFill>
              <a:ln w="9525">
                <a:solidFill>
                  <a:srgbClr val="3366CC"/>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Pres'!$G$40:$O$40</c:f>
              <c:numCache>
                <c:formatCode>0</c:formatCode>
                <c:ptCount val="9"/>
                <c:pt idx="0">
                  <c:v>5</c:v>
                </c:pt>
                <c:pt idx="1">
                  <c:v>8.1281647389514937</c:v>
                </c:pt>
                <c:pt idx="2">
                  <c:v>8.364991555370338</c:v>
                </c:pt>
                <c:pt idx="3">
                  <c:v>8.6354866651678837</c:v>
                </c:pt>
                <c:pt idx="4">
                  <c:v>8.9610445124447136</c:v>
                </c:pt>
                <c:pt idx="5">
                  <c:v>9.3329278597111696</c:v>
                </c:pt>
                <c:pt idx="6">
                  <c:v>9.6129156955025046</c:v>
                </c:pt>
                <c:pt idx="7">
                  <c:v>9.9013031663675797</c:v>
                </c:pt>
                <c:pt idx="8">
                  <c:v>10.198342261358608</c:v>
                </c:pt>
              </c:numCache>
            </c:numRef>
          </c:val>
          <c:smooth val="0"/>
          <c:extLst>
            <c:ext xmlns:c15="http://schemas.microsoft.com/office/drawing/2012/chart" uri="{02D57815-91ED-43cb-92C2-25804820EDAC}">
              <c15:filteredCategoryTitle>
                <c15:cat>
                  <c:multiLvlStrRef>
                    <c:extLst>
                      <c:ext uri="{02D57815-91ED-43cb-92C2-25804820EDAC}">
                        <c15:formulaRef>
                          <c15:sqref>'Модель урожая яблок'!#REF!</c15:sqref>
                        </c15:formulaRef>
                      </c:ext>
                    </c:extLst>
                  </c:multiLvlStrRef>
                </c15:cat>
              </c15:filteredCategoryTitle>
            </c:ext>
            <c:ext xmlns:c16="http://schemas.microsoft.com/office/drawing/2014/chart" uri="{C3380CC4-5D6E-409C-BE32-E72D297353CC}">
              <c16:uniqueId val="{00000001-3D64-484B-B8D3-EFB9A01CF286}"/>
            </c:ext>
          </c:extLst>
        </c:ser>
        <c:dLbls>
          <c:showLegendKey val="0"/>
          <c:showVal val="1"/>
          <c:showCatName val="0"/>
          <c:showSerName val="0"/>
          <c:showPercent val="0"/>
          <c:showBubbleSize val="0"/>
        </c:dLbls>
        <c:marker val="1"/>
        <c:smooth val="0"/>
        <c:axId val="88179456"/>
        <c:axId val="88180992"/>
      </c:lineChart>
      <c:catAx>
        <c:axId val="8817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8180992"/>
        <c:crosses val="autoZero"/>
        <c:auto val="1"/>
        <c:lblAlgn val="ctr"/>
        <c:lblOffset val="100"/>
        <c:noMultiLvlLbl val="0"/>
      </c:catAx>
      <c:valAx>
        <c:axId val="88180992"/>
        <c:scaling>
          <c:orientation val="minMax"/>
          <c:max val="6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8179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'For Pres'!$F$212</c:f>
              <c:strCache>
                <c:ptCount val="1"/>
                <c:pt idx="0">
                  <c:v>Погашение банковских кредитов</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Pres'!$G$212:$M$212</c:f>
              <c:numCache>
                <c:formatCode>#,##0</c:formatCode>
                <c:ptCount val="7"/>
                <c:pt idx="0">
                  <c:v>155.30000000000001</c:v>
                </c:pt>
                <c:pt idx="1">
                  <c:v>48.5</c:v>
                </c:pt>
                <c:pt idx="2">
                  <c:v>65.5</c:v>
                </c:pt>
                <c:pt idx="3">
                  <c:v>24.1</c:v>
                </c:pt>
                <c:pt idx="4">
                  <c:v>20.83</c:v>
                </c:pt>
                <c:pt idx="5">
                  <c:v>18.600000000000001</c:v>
                </c:pt>
                <c:pt idx="6">
                  <c:v>0</c:v>
                </c:pt>
              </c:numCache>
            </c:numRef>
          </c:val>
          <c:extLst>
            <c:ext xmlns:c15="http://schemas.microsoft.com/office/drawing/2012/chart" uri="{02D57815-91ED-43cb-92C2-25804820EDAC}">
              <c15:filteredCategoryTitle>
                <c15:cat>
                  <c:multiLvlStrRef>
                    <c:extLst>
                      <c:ext uri="{02D57815-91ED-43cb-92C2-25804820EDAC}">
                        <c15:formulaRef>
                          <c15:sqref>'Модель урожая яблок'!#REF!</c15:sqref>
                        </c15:formulaRef>
                      </c:ext>
                    </c:extLst>
                  </c:multiLvlStrRef>
                </c15:cat>
              </c15:filteredCategoryTitle>
            </c:ext>
            <c:ext xmlns:c16="http://schemas.microsoft.com/office/drawing/2014/chart" uri="{C3380CC4-5D6E-409C-BE32-E72D297353CC}">
              <c16:uniqueId val="{00000000-9FAC-4E03-89BF-9178C44C8E1E}"/>
            </c:ext>
          </c:extLst>
        </c:ser>
        <c:dLbls>
          <c:showLegendKey val="0"/>
          <c:showVal val="1"/>
          <c:showCatName val="0"/>
          <c:showSerName val="0"/>
          <c:showPercent val="0"/>
          <c:showBubbleSize val="0"/>
        </c:dLbls>
        <c:gapWidth val="73"/>
        <c:overlap val="-27"/>
        <c:axId val="89621248"/>
        <c:axId val="89622784"/>
      </c:barChart>
      <c:catAx>
        <c:axId val="8962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9622784"/>
        <c:crosses val="autoZero"/>
        <c:auto val="1"/>
        <c:lblAlgn val="ctr"/>
        <c:lblOffset val="100"/>
        <c:noMultiLvlLbl val="0"/>
      </c:catAx>
      <c:valAx>
        <c:axId val="89622784"/>
        <c:scaling>
          <c:orientation val="minMax"/>
          <c:max val="13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96212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'For Pres'!$F$217</c:f>
              <c:strCache>
                <c:ptCount val="1"/>
                <c:pt idx="0">
                  <c:v>Остаток на конец периода </c:v>
                </c:pt>
              </c:strCache>
            </c:strRef>
          </c:tx>
          <c:spPr>
            <a:solidFill>
              <a:srgbClr val="000096"/>
            </a:solidFill>
            <a:ln>
              <a:noFill/>
            </a:ln>
            <a:effectLst/>
          </c:spPr>
          <c:invertIfNegative val="0"/>
          <c:dLbls>
            <c:dLbl>
              <c:idx val="5"/>
              <c:layout>
                <c:manualLayout>
                  <c:x val="0"/>
                  <c:y val="9.72225867599883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C1-4914-BC15-44ED2FDE91A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Pres'!$G$217:$L$217</c:f>
              <c:numCache>
                <c:formatCode>#,##0</c:formatCode>
                <c:ptCount val="6"/>
                <c:pt idx="0">
                  <c:v>177.52980499999998</c:v>
                </c:pt>
                <c:pt idx="1">
                  <c:v>129.02980499999998</c:v>
                </c:pt>
                <c:pt idx="2">
                  <c:v>63.529804999999996</c:v>
                </c:pt>
                <c:pt idx="3">
                  <c:v>39.429804999999995</c:v>
                </c:pt>
                <c:pt idx="4">
                  <c:v>18.599804999999993</c:v>
                </c:pt>
                <c:pt idx="5" formatCode="#\ ##0.0">
                  <c:v>-1.9500000000698491E-4</c:v>
                </c:pt>
              </c:numCache>
            </c:numRef>
          </c:val>
          <c:extLst>
            <c:ext xmlns:c15="http://schemas.microsoft.com/office/drawing/2012/chart" uri="{02D57815-91ED-43cb-92C2-25804820EDAC}">
              <c15:filteredCategoryTitle>
                <c15:cat>
                  <c:multiLvlStrRef>
                    <c:extLst>
                      <c:ext uri="{02D57815-91ED-43cb-92C2-25804820EDAC}">
                        <c15:formulaRef>
                          <c15:sqref>'Модель урожая яблок'!#REF!</c15:sqref>
                        </c15:formulaRef>
                      </c:ext>
                    </c:extLst>
                  </c:multiLvlStrRef>
                </c15:cat>
              </c15:filteredCategoryTitle>
            </c:ext>
            <c:ext xmlns:c16="http://schemas.microsoft.com/office/drawing/2014/chart" uri="{C3380CC4-5D6E-409C-BE32-E72D297353CC}">
              <c16:uniqueId val="{00000001-F2C1-4914-BC15-44ED2FDE91A3}"/>
            </c:ext>
          </c:extLst>
        </c:ser>
        <c:dLbls>
          <c:showLegendKey val="0"/>
          <c:showVal val="1"/>
          <c:showCatName val="0"/>
          <c:showSerName val="0"/>
          <c:showPercent val="0"/>
          <c:showBubbleSize val="0"/>
        </c:dLbls>
        <c:gapWidth val="73"/>
        <c:overlap val="-27"/>
        <c:axId val="89725568"/>
        <c:axId val="89735552"/>
      </c:barChart>
      <c:catAx>
        <c:axId val="8972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9735552"/>
        <c:crosses val="autoZero"/>
        <c:auto val="1"/>
        <c:lblAlgn val="ctr"/>
        <c:lblOffset val="100"/>
        <c:noMultiLvlLbl val="0"/>
      </c:catAx>
      <c:valAx>
        <c:axId val="89735552"/>
        <c:scaling>
          <c:orientation val="minMax"/>
          <c:max val="3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97255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23056830126452"/>
          <c:y val="3.0840664416000602E-2"/>
          <c:w val="0.80608157387406221"/>
          <c:h val="0.77548134069448438"/>
        </c:manualLayout>
      </c:layout>
      <c:barChart>
        <c:barDir val="col"/>
        <c:grouping val="clustered"/>
        <c:varyColors val="0"/>
        <c:ser>
          <c:idx val="0"/>
          <c:order val="0"/>
          <c:tx>
            <c:strRef>
              <c:f>'For Pres'!$F$187</c:f>
              <c:strCache>
                <c:ptCount val="1"/>
                <c:pt idx="0">
                  <c:v>Выручка</c:v>
                </c:pt>
              </c:strCache>
            </c:strRef>
          </c:tx>
          <c:spPr>
            <a:solidFill>
              <a:srgbClr val="3366CC"/>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Pres'!$N$285:$U$285</c:f>
              <c:strCache>
                <c:ptCount val="8"/>
                <c:pt idx="0">
                  <c:v>19/20</c:v>
                </c:pt>
                <c:pt idx="1">
                  <c:v>20/21</c:v>
                </c:pt>
                <c:pt idx="2">
                  <c:v>21/22</c:v>
                </c:pt>
                <c:pt idx="3">
                  <c:v>22/23</c:v>
                </c:pt>
                <c:pt idx="4">
                  <c:v>23/24</c:v>
                </c:pt>
                <c:pt idx="5">
                  <c:v>24/25</c:v>
                </c:pt>
                <c:pt idx="6">
                  <c:v>25/26</c:v>
                </c:pt>
                <c:pt idx="7">
                  <c:v>26/27</c:v>
                </c:pt>
              </c:strCache>
            </c:strRef>
          </c:cat>
          <c:val>
            <c:numRef>
              <c:f>'For Pres'!$G$187:$N$187</c:f>
              <c:numCache>
                <c:formatCode>#,##0</c:formatCode>
                <c:ptCount val="8"/>
                <c:pt idx="0">
                  <c:v>572.15827585305647</c:v>
                </c:pt>
                <c:pt idx="1">
                  <c:v>704.04811643931191</c:v>
                </c:pt>
                <c:pt idx="2">
                  <c:v>847.32398968540099</c:v>
                </c:pt>
                <c:pt idx="3">
                  <c:v>909.39775308135142</c:v>
                </c:pt>
                <c:pt idx="4">
                  <c:v>968.17884334498115</c:v>
                </c:pt>
                <c:pt idx="5">
                  <c:v>1018.8611919991969</c:v>
                </c:pt>
                <c:pt idx="6">
                  <c:v>1059.0020983918409</c:v>
                </c:pt>
                <c:pt idx="7">
                  <c:v>1090.7721613435961</c:v>
                </c:pt>
              </c:numCache>
            </c:numRef>
          </c:val>
          <c:extLst>
            <c:ext xmlns:c16="http://schemas.microsoft.com/office/drawing/2014/chart" uri="{C3380CC4-5D6E-409C-BE32-E72D297353CC}">
              <c16:uniqueId val="{00000000-F281-43FA-AC53-08CABED4C723}"/>
            </c:ext>
          </c:extLst>
        </c:ser>
        <c:ser>
          <c:idx val="1"/>
          <c:order val="1"/>
          <c:tx>
            <c:strRef>
              <c:f>'For Pres'!$F$188</c:f>
              <c:strCache>
                <c:ptCount val="1"/>
                <c:pt idx="0">
                  <c:v>EBITDA</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Pres'!$N$285:$U$285</c:f>
              <c:strCache>
                <c:ptCount val="8"/>
                <c:pt idx="0">
                  <c:v>19/20</c:v>
                </c:pt>
                <c:pt idx="1">
                  <c:v>20/21</c:v>
                </c:pt>
                <c:pt idx="2">
                  <c:v>21/22</c:v>
                </c:pt>
                <c:pt idx="3">
                  <c:v>22/23</c:v>
                </c:pt>
                <c:pt idx="4">
                  <c:v>23/24</c:v>
                </c:pt>
                <c:pt idx="5">
                  <c:v>24/25</c:v>
                </c:pt>
                <c:pt idx="6">
                  <c:v>25/26</c:v>
                </c:pt>
                <c:pt idx="7">
                  <c:v>26/27</c:v>
                </c:pt>
              </c:strCache>
            </c:strRef>
          </c:cat>
          <c:val>
            <c:numRef>
              <c:f>'For Pres'!$G$188:$N$188</c:f>
              <c:numCache>
                <c:formatCode>#,##0</c:formatCode>
                <c:ptCount val="8"/>
                <c:pt idx="0">
                  <c:v>234.92435693632544</c:v>
                </c:pt>
                <c:pt idx="1">
                  <c:v>303.07191277507911</c:v>
                </c:pt>
                <c:pt idx="2">
                  <c:v>390.89334794214079</c:v>
                </c:pt>
                <c:pt idx="3">
                  <c:v>419.77946413562483</c:v>
                </c:pt>
                <c:pt idx="4">
                  <c:v>447.08159146986372</c:v>
                </c:pt>
                <c:pt idx="5">
                  <c:v>470.65516430612513</c:v>
                </c:pt>
                <c:pt idx="6">
                  <c:v>489.27144840369442</c:v>
                </c:pt>
                <c:pt idx="7">
                  <c:v>503.94959185580512</c:v>
                </c:pt>
              </c:numCache>
            </c:numRef>
          </c:val>
          <c:extLst>
            <c:ext xmlns:c16="http://schemas.microsoft.com/office/drawing/2014/chart" uri="{C3380CC4-5D6E-409C-BE32-E72D297353CC}">
              <c16:uniqueId val="{00000001-F281-43FA-AC53-08CABED4C723}"/>
            </c:ext>
          </c:extLst>
        </c:ser>
        <c:dLbls>
          <c:showLegendKey val="0"/>
          <c:showVal val="0"/>
          <c:showCatName val="0"/>
          <c:showSerName val="0"/>
          <c:showPercent val="0"/>
          <c:showBubbleSize val="0"/>
        </c:dLbls>
        <c:gapWidth val="73"/>
        <c:overlap val="-11"/>
        <c:axId val="89878912"/>
        <c:axId val="89880448"/>
      </c:barChart>
      <c:lineChart>
        <c:grouping val="standard"/>
        <c:varyColors val="0"/>
        <c:ser>
          <c:idx val="2"/>
          <c:order val="2"/>
          <c:tx>
            <c:strRef>
              <c:f>'For Pres'!$F$189</c:f>
              <c:strCache>
                <c:ptCount val="1"/>
                <c:pt idx="0">
                  <c:v>EBITDA маржа,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Pres'!$G$189:$N$189</c:f>
              <c:numCache>
                <c:formatCode>0%</c:formatCode>
                <c:ptCount val="8"/>
                <c:pt idx="0">
                  <c:v>0.41059330407493655</c:v>
                </c:pt>
                <c:pt idx="1">
                  <c:v>0.43047045464427941</c:v>
                </c:pt>
                <c:pt idx="2">
                  <c:v>0.4613268982119505</c:v>
                </c:pt>
                <c:pt idx="3">
                  <c:v>0.46160160690222518</c:v>
                </c:pt>
                <c:pt idx="4">
                  <c:v>0.4617758325778244</c:v>
                </c:pt>
                <c:pt idx="5">
                  <c:v>0.46194238037726354</c:v>
                </c:pt>
                <c:pt idx="6">
                  <c:v>0.46201178368454876</c:v>
                </c:pt>
                <c:pt idx="7">
                  <c:v>0.4620117836845487</c:v>
                </c:pt>
              </c:numCache>
            </c:numRef>
          </c:val>
          <c:smooth val="0"/>
          <c:extLst>
            <c:ext xmlns:c16="http://schemas.microsoft.com/office/drawing/2014/chart" uri="{C3380CC4-5D6E-409C-BE32-E72D297353CC}">
              <c16:uniqueId val="{00000002-F281-43FA-AC53-08CABED4C723}"/>
            </c:ext>
          </c:extLst>
        </c:ser>
        <c:dLbls>
          <c:showLegendKey val="0"/>
          <c:showVal val="0"/>
          <c:showCatName val="0"/>
          <c:showSerName val="0"/>
          <c:showPercent val="0"/>
          <c:showBubbleSize val="0"/>
        </c:dLbls>
        <c:marker val="1"/>
        <c:smooth val="0"/>
        <c:axId val="89887872"/>
        <c:axId val="89881984"/>
      </c:lineChart>
      <c:catAx>
        <c:axId val="89878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9880448"/>
        <c:crosses val="autoZero"/>
        <c:auto val="1"/>
        <c:lblAlgn val="ctr"/>
        <c:lblOffset val="100"/>
        <c:noMultiLvlLbl val="0"/>
      </c:catAx>
      <c:valAx>
        <c:axId val="89880448"/>
        <c:scaling>
          <c:orientation val="minMax"/>
          <c:max val="14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9878912"/>
        <c:crosses val="autoZero"/>
        <c:crossBetween val="between"/>
      </c:valAx>
      <c:valAx>
        <c:axId val="89881984"/>
        <c:scaling>
          <c:orientation val="minMax"/>
          <c:max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9887872"/>
        <c:crosses val="max"/>
        <c:crossBetween val="between"/>
      </c:valAx>
      <c:catAx>
        <c:axId val="89887872"/>
        <c:scaling>
          <c:orientation val="minMax"/>
        </c:scaling>
        <c:delete val="1"/>
        <c:axPos val="b"/>
        <c:majorTickMark val="out"/>
        <c:minorTickMark val="none"/>
        <c:tickLblPos val="none"/>
        <c:crossAx val="898819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'For Pres'!$F$260</c:f>
              <c:strCache>
                <c:ptCount val="1"/>
                <c:pt idx="0">
                  <c:v>Интеринвест</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Pres'!$G$259:$M$259</c:f>
              <c:strCache>
                <c:ptCount val="7"/>
                <c:pt idx="0">
                  <c:v>2017Ф</c:v>
                </c:pt>
                <c:pt idx="1">
                  <c:v>2018Ф</c:v>
                </c:pt>
                <c:pt idx="2">
                  <c:v>19/20Ф</c:v>
                </c:pt>
                <c:pt idx="3">
                  <c:v>20/21П</c:v>
                </c:pt>
                <c:pt idx="4">
                  <c:v>21/22П</c:v>
                </c:pt>
                <c:pt idx="5">
                  <c:v>22/23П</c:v>
                </c:pt>
                <c:pt idx="6">
                  <c:v>23/24П</c:v>
                </c:pt>
              </c:strCache>
            </c:strRef>
          </c:cat>
          <c:val>
            <c:numRef>
              <c:f>'For Pres'!$G$260:$M$260</c:f>
              <c:numCache>
                <c:formatCode>0.0</c:formatCode>
                <c:ptCount val="7"/>
                <c:pt idx="0">
                  <c:v>7.2820149999999995</c:v>
                </c:pt>
                <c:pt idx="1">
                  <c:v>13.3</c:v>
                </c:pt>
                <c:pt idx="2">
                  <c:v>18.046259893892142</c:v>
                </c:pt>
                <c:pt idx="3">
                  <c:v>20.889772973629103</c:v>
                </c:pt>
                <c:pt idx="4">
                  <c:v>23.039255877976952</c:v>
                </c:pt>
                <c:pt idx="5">
                  <c:v>23.828736002685837</c:v>
                </c:pt>
                <c:pt idx="6">
                  <c:v>24.358101893742671</c:v>
                </c:pt>
              </c:numCache>
            </c:numRef>
          </c:val>
          <c:extLst>
            <c:ext xmlns:c16="http://schemas.microsoft.com/office/drawing/2014/chart" uri="{C3380CC4-5D6E-409C-BE32-E72D297353CC}">
              <c16:uniqueId val="{00000000-1D08-4ADC-A220-92FA61DA9D4A}"/>
            </c:ext>
          </c:extLst>
        </c:ser>
        <c:ser>
          <c:idx val="1"/>
          <c:order val="1"/>
          <c:tx>
            <c:strRef>
              <c:f>'For Pres'!$F$261</c:f>
              <c:strCache>
                <c:ptCount val="1"/>
                <c:pt idx="0">
                  <c:v>Новозаведенское</c:v>
                </c:pt>
              </c:strCache>
            </c:strRef>
          </c:tx>
          <c:spPr>
            <a:solidFill>
              <a:srgbClr val="3366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Pres'!$G$259:$M$259</c:f>
              <c:strCache>
                <c:ptCount val="7"/>
                <c:pt idx="0">
                  <c:v>2017Ф</c:v>
                </c:pt>
                <c:pt idx="1">
                  <c:v>2018Ф</c:v>
                </c:pt>
                <c:pt idx="2">
                  <c:v>19/20Ф</c:v>
                </c:pt>
                <c:pt idx="3">
                  <c:v>20/21П</c:v>
                </c:pt>
                <c:pt idx="4">
                  <c:v>21/22П</c:v>
                </c:pt>
                <c:pt idx="5">
                  <c:v>22/23П</c:v>
                </c:pt>
                <c:pt idx="6">
                  <c:v>23/24П</c:v>
                </c:pt>
              </c:strCache>
            </c:strRef>
          </c:cat>
          <c:val>
            <c:numRef>
              <c:f>'For Pres'!$G$261:$M$261</c:f>
              <c:numCache>
                <c:formatCode>0.0</c:formatCode>
                <c:ptCount val="7"/>
                <c:pt idx="0">
                  <c:v>3.1508000000000003</c:v>
                </c:pt>
                <c:pt idx="1">
                  <c:v>4.0640999999999998</c:v>
                </c:pt>
                <c:pt idx="2">
                  <c:v>4.3589999999999991</c:v>
                </c:pt>
                <c:pt idx="3">
                  <c:v>7.5569690000000005</c:v>
                </c:pt>
                <c:pt idx="4">
                  <c:v>7.8972190000000007</c:v>
                </c:pt>
                <c:pt idx="5">
                  <c:v>9.5849659999999979</c:v>
                </c:pt>
                <c:pt idx="6">
                  <c:v>10.792266</c:v>
                </c:pt>
              </c:numCache>
            </c:numRef>
          </c:val>
          <c:extLst>
            <c:ext xmlns:c16="http://schemas.microsoft.com/office/drawing/2014/chart" uri="{C3380CC4-5D6E-409C-BE32-E72D297353CC}">
              <c16:uniqueId val="{00000001-1D08-4ADC-A220-92FA61DA9D4A}"/>
            </c:ext>
          </c:extLst>
        </c:ser>
        <c:dLbls>
          <c:showLegendKey val="0"/>
          <c:showVal val="1"/>
          <c:showCatName val="0"/>
          <c:showSerName val="0"/>
          <c:showPercent val="0"/>
          <c:showBubbleSize val="0"/>
        </c:dLbls>
        <c:gapWidth val="73"/>
        <c:overlap val="100"/>
        <c:axId val="89905792"/>
        <c:axId val="89796992"/>
      </c:barChart>
      <c:catAx>
        <c:axId val="8990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9796992"/>
        <c:crosses val="autoZero"/>
        <c:auto val="1"/>
        <c:lblAlgn val="ctr"/>
        <c:lblOffset val="100"/>
        <c:noMultiLvlLbl val="0"/>
      </c:catAx>
      <c:valAx>
        <c:axId val="89796992"/>
        <c:scaling>
          <c:orientation val="minMax"/>
          <c:max val="4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9905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'For Pres'!$F$260</c:f>
              <c:strCache>
                <c:ptCount val="1"/>
                <c:pt idx="0">
                  <c:v>Интеринвест</c:v>
                </c:pt>
              </c:strCache>
            </c:strRef>
          </c:tx>
          <c:spPr>
            <a:ln w="28575" cap="rnd">
              <a:solidFill>
                <a:srgbClr val="000096"/>
              </a:solidFill>
              <a:round/>
            </a:ln>
            <a:effectLst/>
          </c:spPr>
          <c:marker>
            <c:symbol val="circle"/>
            <c:size val="5"/>
            <c:spPr>
              <a:solidFill>
                <a:srgbClr val="000096"/>
              </a:solidFill>
              <a:ln w="9525">
                <a:solidFill>
                  <a:srgbClr val="00009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Pres'!$L$285:$U$285</c:f>
              <c:strCache>
                <c:ptCount val="10"/>
                <c:pt idx="0">
                  <c:v>2017</c:v>
                </c:pt>
                <c:pt idx="1">
                  <c:v>2018</c:v>
                </c:pt>
                <c:pt idx="2">
                  <c:v>19/20</c:v>
                </c:pt>
                <c:pt idx="3">
                  <c:v>20/21</c:v>
                </c:pt>
                <c:pt idx="4">
                  <c:v>21/22</c:v>
                </c:pt>
                <c:pt idx="5">
                  <c:v>22/23</c:v>
                </c:pt>
                <c:pt idx="6">
                  <c:v>23/24</c:v>
                </c:pt>
                <c:pt idx="7">
                  <c:v>24/25</c:v>
                </c:pt>
                <c:pt idx="8">
                  <c:v>25/26</c:v>
                </c:pt>
                <c:pt idx="9">
                  <c:v>26/27</c:v>
                </c:pt>
              </c:strCache>
            </c:strRef>
          </c:cat>
          <c:val>
            <c:numRef>
              <c:f>'For Pres'!$I$281:$Q$281</c:f>
              <c:numCache>
                <c:formatCode>0.0</c:formatCode>
                <c:ptCount val="9"/>
                <c:pt idx="0">
                  <c:v>16.3</c:v>
                </c:pt>
                <c:pt idx="1">
                  <c:v>19.100000000000001</c:v>
                </c:pt>
                <c:pt idx="2">
                  <c:v>20.266677029212676</c:v>
                </c:pt>
                <c:pt idx="3">
                  <c:v>23.460056796223327</c:v>
                </c:pt>
                <c:pt idx="4">
                  <c:v>25.874012710544168</c:v>
                </c:pt>
                <c:pt idx="5">
                  <c:v>26.760630702445795</c:v>
                </c:pt>
                <c:pt idx="6">
                  <c:v>27.355129928734858</c:v>
                </c:pt>
                <c:pt idx="7">
                  <c:v>27.948659935106164</c:v>
                </c:pt>
                <c:pt idx="8">
                  <c:v>28.203666129808887</c:v>
                </c:pt>
              </c:numCache>
            </c:numRef>
          </c:val>
          <c:smooth val="0"/>
          <c:extLst>
            <c:ext xmlns:c16="http://schemas.microsoft.com/office/drawing/2014/chart" uri="{C3380CC4-5D6E-409C-BE32-E72D297353CC}">
              <c16:uniqueId val="{00000000-43AB-4BEE-8E67-DFB5170A991D}"/>
            </c:ext>
          </c:extLst>
        </c:ser>
        <c:dLbls>
          <c:showLegendKey val="0"/>
          <c:showVal val="1"/>
          <c:showCatName val="0"/>
          <c:showSerName val="0"/>
          <c:showPercent val="0"/>
          <c:showBubbleSize val="0"/>
        </c:dLbls>
        <c:marker val="1"/>
        <c:smooth val="0"/>
        <c:axId val="89829376"/>
        <c:axId val="89830912"/>
      </c:lineChart>
      <c:catAx>
        <c:axId val="8982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9830912"/>
        <c:crosses val="autoZero"/>
        <c:auto val="1"/>
        <c:lblAlgn val="ctr"/>
        <c:lblOffset val="100"/>
        <c:noMultiLvlLbl val="0"/>
      </c:catAx>
      <c:valAx>
        <c:axId val="89830912"/>
        <c:scaling>
          <c:orientation val="minMax"/>
          <c:max val="4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9829376"/>
        <c:crosses val="autoZero"/>
        <c:crossBetween val="between"/>
      </c:valAx>
      <c:spPr>
        <a:noFill/>
        <a:ln>
          <a:noFill/>
        </a:ln>
        <a:effectLst/>
      </c:spPr>
    </c:plotArea>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588948013904984"/>
          <c:y val="0.1176991054564631"/>
          <c:w val="0.34208048335365526"/>
          <c:h val="0.63876304166471065"/>
        </c:manualLayout>
      </c:layout>
      <c:pieChart>
        <c:varyColors val="1"/>
        <c:ser>
          <c:idx val="0"/>
          <c:order val="0"/>
          <c:spPr>
            <a:solidFill>
              <a:srgbClr val="3366CC"/>
            </a:solidFill>
          </c:spPr>
          <c:dPt>
            <c:idx val="0"/>
            <c:bubble3D val="0"/>
            <c:spPr>
              <a:solidFill>
                <a:srgbClr val="000096"/>
              </a:solidFill>
              <a:ln w="19050">
                <a:solidFill>
                  <a:schemeClr val="lt1"/>
                </a:solidFill>
              </a:ln>
              <a:effectLst/>
            </c:spPr>
            <c:extLst>
              <c:ext xmlns:c16="http://schemas.microsoft.com/office/drawing/2014/chart" uri="{C3380CC4-5D6E-409C-BE32-E72D297353CC}">
                <c16:uniqueId val="{00000001-3F7A-40D0-9A69-14A600A25DFB}"/>
              </c:ext>
            </c:extLst>
          </c:dPt>
          <c:dPt>
            <c:idx val="1"/>
            <c:bubble3D val="0"/>
            <c:spPr>
              <a:solidFill>
                <a:srgbClr val="3366CC"/>
              </a:solidFill>
              <a:ln w="19050">
                <a:solidFill>
                  <a:schemeClr val="lt1"/>
                </a:solidFill>
              </a:ln>
              <a:effectLst/>
            </c:spPr>
            <c:extLst>
              <c:ext xmlns:c16="http://schemas.microsoft.com/office/drawing/2014/chart" uri="{C3380CC4-5D6E-409C-BE32-E72D297353CC}">
                <c16:uniqueId val="{00000003-3F7A-40D0-9A69-14A600A25DF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 Pres'!$C$318:$C$319</c:f>
              <c:strCache>
                <c:ptCount val="2"/>
                <c:pt idx="0">
                  <c:v>Аренда &gt;5 лет</c:v>
                </c:pt>
                <c:pt idx="1">
                  <c:v>Собственность </c:v>
                </c:pt>
              </c:strCache>
            </c:strRef>
          </c:cat>
          <c:val>
            <c:numRef>
              <c:f>'For Pres'!$F$318:$F$319</c:f>
              <c:numCache>
                <c:formatCode>General</c:formatCode>
                <c:ptCount val="2"/>
                <c:pt idx="0">
                  <c:v>1258.9000000000001</c:v>
                </c:pt>
                <c:pt idx="1">
                  <c:v>538.29999999999995</c:v>
                </c:pt>
              </c:numCache>
            </c:numRef>
          </c:val>
          <c:extLst>
            <c:ext xmlns:c16="http://schemas.microsoft.com/office/drawing/2014/chart" uri="{C3380CC4-5D6E-409C-BE32-E72D297353CC}">
              <c16:uniqueId val="{00000004-3F7A-40D0-9A69-14A600A25DFB}"/>
            </c:ext>
          </c:extLst>
        </c:ser>
        <c:dLbls>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27652037395504969"/>
          <c:y val="0.75949933369688483"/>
          <c:w val="0.42239678486270815"/>
          <c:h val="0.194635898750817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87410678915085"/>
          <c:y val="0.11028315525802659"/>
          <c:w val="0.39442325097316533"/>
          <c:h val="0.74359601439903422"/>
        </c:manualLayout>
      </c:layout>
      <c:doughnutChart>
        <c:varyColors val="1"/>
        <c:ser>
          <c:idx val="0"/>
          <c:order val="0"/>
          <c:dPt>
            <c:idx val="0"/>
            <c:bubble3D val="0"/>
            <c:spPr>
              <a:solidFill>
                <a:srgbClr val="000096"/>
              </a:solidFill>
              <a:ln w="19050">
                <a:solidFill>
                  <a:schemeClr val="lt1"/>
                </a:solidFill>
              </a:ln>
              <a:effectLst/>
            </c:spPr>
            <c:extLst>
              <c:ext xmlns:c16="http://schemas.microsoft.com/office/drawing/2014/chart" uri="{C3380CC4-5D6E-409C-BE32-E72D297353CC}">
                <c16:uniqueId val="{00000001-5FFA-474D-9C9A-AFBA9EFB5ABC}"/>
              </c:ext>
            </c:extLst>
          </c:dPt>
          <c:dPt>
            <c:idx val="1"/>
            <c:bubble3D val="0"/>
            <c:spPr>
              <a:solidFill>
                <a:srgbClr val="3366CC"/>
              </a:solidFill>
              <a:ln w="19050">
                <a:solidFill>
                  <a:schemeClr val="lt1"/>
                </a:solidFill>
              </a:ln>
              <a:effectLst/>
            </c:spPr>
            <c:extLst>
              <c:ext xmlns:c16="http://schemas.microsoft.com/office/drawing/2014/chart" uri="{C3380CC4-5D6E-409C-BE32-E72D297353CC}">
                <c16:uniqueId val="{00000003-5FFA-474D-9C9A-AFBA9EFB5ABC}"/>
              </c:ext>
            </c:extLst>
          </c:dPt>
          <c:dPt>
            <c:idx val="2"/>
            <c:bubble3D val="0"/>
            <c:spPr>
              <a:solidFill>
                <a:srgbClr val="5F5F5F"/>
              </a:solidFill>
              <a:ln w="19050">
                <a:solidFill>
                  <a:schemeClr val="lt1"/>
                </a:solidFill>
              </a:ln>
              <a:effectLst/>
            </c:spPr>
            <c:extLst>
              <c:ext xmlns:c16="http://schemas.microsoft.com/office/drawing/2014/chart" uri="{C3380CC4-5D6E-409C-BE32-E72D297353CC}">
                <c16:uniqueId val="{00000005-5FFA-474D-9C9A-AFBA9EFB5ABC}"/>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1-5FFA-474D-9C9A-AFBA9EFB5AB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 Pres'!$C$321:$C$323</c:f>
              <c:strCache>
                <c:ptCount val="3"/>
                <c:pt idx="0">
                  <c:v>Молодые сады </c:v>
                </c:pt>
                <c:pt idx="1">
                  <c:v>Плодоносящие сады</c:v>
                </c:pt>
                <c:pt idx="2">
                  <c:v>Пашни и прочее</c:v>
                </c:pt>
              </c:strCache>
            </c:strRef>
          </c:cat>
          <c:val>
            <c:numRef>
              <c:f>'For Pres'!$F$321:$F$323</c:f>
              <c:numCache>
                <c:formatCode>0.0</c:formatCode>
                <c:ptCount val="3"/>
                <c:pt idx="0">
                  <c:v>678.54</c:v>
                </c:pt>
                <c:pt idx="1">
                  <c:v>449.27</c:v>
                </c:pt>
                <c:pt idx="2">
                  <c:v>669.3900000000001</c:v>
                </c:pt>
              </c:numCache>
            </c:numRef>
          </c:val>
          <c:extLst>
            <c:ext xmlns:c16="http://schemas.microsoft.com/office/drawing/2014/chart" uri="{C3380CC4-5D6E-409C-BE32-E72D297353CC}">
              <c16:uniqueId val="{00000006-5FFA-474D-9C9A-AFBA9EFB5ABC}"/>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5.0000099786158284E-2"/>
          <c:y val="0.79722131034203814"/>
          <c:w val="0.66238401106429112"/>
          <c:h val="0.2027786896579623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82249281819238"/>
          <c:y val="0.11074239145340249"/>
          <c:w val="0.33309948022402608"/>
          <c:h val="0.7688667150611217"/>
        </c:manualLayout>
      </c:layout>
      <c:doughnutChart>
        <c:varyColors val="1"/>
        <c:ser>
          <c:idx val="0"/>
          <c:order val="0"/>
          <c:dPt>
            <c:idx val="0"/>
            <c:bubble3D val="0"/>
            <c:spPr>
              <a:solidFill>
                <a:srgbClr val="000096"/>
              </a:solidFill>
              <a:ln w="19050">
                <a:solidFill>
                  <a:schemeClr val="lt1"/>
                </a:solidFill>
              </a:ln>
              <a:effectLst/>
            </c:spPr>
            <c:extLst>
              <c:ext xmlns:c16="http://schemas.microsoft.com/office/drawing/2014/chart" uri="{C3380CC4-5D6E-409C-BE32-E72D297353CC}">
                <c16:uniqueId val="{00000001-D047-4284-B5B0-54965C9E8538}"/>
              </c:ext>
            </c:extLst>
          </c:dPt>
          <c:dPt>
            <c:idx val="1"/>
            <c:bubble3D val="0"/>
            <c:spPr>
              <a:solidFill>
                <a:srgbClr val="3366CC"/>
              </a:solidFill>
              <a:ln w="19050">
                <a:solidFill>
                  <a:schemeClr val="lt1"/>
                </a:solidFill>
              </a:ln>
              <a:effectLst/>
            </c:spPr>
            <c:extLst>
              <c:ext xmlns:c16="http://schemas.microsoft.com/office/drawing/2014/chart" uri="{C3380CC4-5D6E-409C-BE32-E72D297353CC}">
                <c16:uniqueId val="{00000003-D047-4284-B5B0-54965C9E8538}"/>
              </c:ext>
            </c:extLst>
          </c:dPt>
          <c:dPt>
            <c:idx val="2"/>
            <c:bubble3D val="0"/>
            <c:spPr>
              <a:solidFill>
                <a:srgbClr val="DDDDDD"/>
              </a:solidFill>
              <a:ln w="19050">
                <a:solidFill>
                  <a:schemeClr val="lt1"/>
                </a:solidFill>
              </a:ln>
              <a:effectLst/>
            </c:spPr>
            <c:extLst>
              <c:ext xmlns:c16="http://schemas.microsoft.com/office/drawing/2014/chart" uri="{C3380CC4-5D6E-409C-BE32-E72D297353CC}">
                <c16:uniqueId val="{00000005-D047-4284-B5B0-54965C9E8538}"/>
              </c:ext>
            </c:extLst>
          </c:dPt>
          <c:dPt>
            <c:idx val="3"/>
            <c:bubble3D val="0"/>
            <c:spPr>
              <a:solidFill>
                <a:srgbClr val="5F5F5F"/>
              </a:solidFill>
              <a:ln w="19050">
                <a:solidFill>
                  <a:schemeClr val="lt1"/>
                </a:solidFill>
              </a:ln>
              <a:effectLst/>
            </c:spPr>
            <c:extLst>
              <c:ext xmlns:c16="http://schemas.microsoft.com/office/drawing/2014/chart" uri="{C3380CC4-5D6E-409C-BE32-E72D297353CC}">
                <c16:uniqueId val="{00000007-D047-4284-B5B0-54965C9E853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047-4284-B5B0-54965C9E8538}"/>
              </c:ext>
            </c:extLst>
          </c:dPt>
          <c:dPt>
            <c:idx val="5"/>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B-D047-4284-B5B0-54965C9E8538}"/>
              </c:ext>
            </c:extLst>
          </c:dPt>
          <c:dPt>
            <c:idx val="6"/>
            <c:bubble3D val="0"/>
            <c:spPr>
              <a:solidFill>
                <a:srgbClr val="C7D5F1"/>
              </a:solidFill>
              <a:ln w="19050">
                <a:solidFill>
                  <a:schemeClr val="lt1"/>
                </a:solidFill>
              </a:ln>
              <a:effectLst/>
            </c:spPr>
            <c:extLst>
              <c:ext xmlns:c16="http://schemas.microsoft.com/office/drawing/2014/chart" uri="{C3380CC4-5D6E-409C-BE32-E72D297353CC}">
                <c16:uniqueId val="{0000000D-D047-4284-B5B0-54965C9E8538}"/>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1-D047-4284-B5B0-54965C9E8538}"/>
                </c:ext>
              </c:extLst>
            </c:dLbl>
            <c:dLbl>
              <c:idx val="2"/>
              <c:layout>
                <c:manualLayout>
                  <c:x val="-6.3122772227047791E-2"/>
                  <c:y val="-0.121787264124752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47-4284-B5B0-54965C9E8538}"/>
                </c:ext>
              </c:extLst>
            </c:dLbl>
            <c:dLbl>
              <c:idx val="3"/>
              <c:layout>
                <c:manualLayout>
                  <c:x val="-3.1488194117574211E-2"/>
                  <c:y val="-0.15729952099284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47-4284-B5B0-54965C9E8538}"/>
                </c:ext>
              </c:extLst>
            </c:dLbl>
            <c:dLbl>
              <c:idx val="4"/>
              <c:delete val="1"/>
              <c:extLst>
                <c:ext xmlns:c15="http://schemas.microsoft.com/office/drawing/2012/chart" uri="{CE6537A1-D6FC-4f65-9D91-7224C49458BB}"/>
                <c:ext xmlns:c16="http://schemas.microsoft.com/office/drawing/2014/chart" uri="{C3380CC4-5D6E-409C-BE32-E72D297353CC}">
                  <c16:uniqueId val="{00000009-D047-4284-B5B0-54965C9E8538}"/>
                </c:ext>
              </c:extLst>
            </c:dLbl>
            <c:dLbl>
              <c:idx val="5"/>
              <c:layout>
                <c:manualLayout>
                  <c:x val="-8.7884311895554835E-5"/>
                  <c:y val="-0.152401558861091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047-4284-B5B0-54965C9E8538}"/>
                </c:ext>
              </c:extLst>
            </c:dLbl>
            <c:dLbl>
              <c:idx val="6"/>
              <c:layout>
                <c:manualLayout>
                  <c:x val="3.0989464126756142E-2"/>
                  <c:y val="-0.146807950679101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047-4284-B5B0-54965C9E853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 Pres'!$C$329:$C$335</c:f>
              <c:strCache>
                <c:ptCount val="7"/>
                <c:pt idx="0">
                  <c:v>Яблоко</c:v>
                </c:pt>
                <c:pt idx="1">
                  <c:v>Яблоко не сортовое</c:v>
                </c:pt>
                <c:pt idx="2">
                  <c:v>Груша</c:v>
                </c:pt>
                <c:pt idx="3">
                  <c:v>Слива</c:v>
                </c:pt>
                <c:pt idx="4">
                  <c:v>Черешня</c:v>
                </c:pt>
                <c:pt idx="5">
                  <c:v>Пшеница</c:v>
                </c:pt>
                <c:pt idx="6">
                  <c:v>Ячмень</c:v>
                </c:pt>
              </c:strCache>
            </c:strRef>
          </c:cat>
          <c:val>
            <c:numRef>
              <c:f>'For Pres'!$F$329:$F$335</c:f>
              <c:numCache>
                <c:formatCode>0</c:formatCode>
                <c:ptCount val="7"/>
                <c:pt idx="0">
                  <c:v>8276.3029999999999</c:v>
                </c:pt>
                <c:pt idx="1">
                  <c:v>5618.1379999999999</c:v>
                </c:pt>
                <c:pt idx="2">
                  <c:v>173.93800000000002</c:v>
                </c:pt>
                <c:pt idx="3">
                  <c:v>146.83500000000001</c:v>
                </c:pt>
                <c:pt idx="4">
                  <c:v>23.584</c:v>
                </c:pt>
                <c:pt idx="5">
                  <c:v>544.05999999999995</c:v>
                </c:pt>
                <c:pt idx="6">
                  <c:v>266.07</c:v>
                </c:pt>
              </c:numCache>
            </c:numRef>
          </c:val>
          <c:extLst>
            <c:ext xmlns:c16="http://schemas.microsoft.com/office/drawing/2014/chart" uri="{C3380CC4-5D6E-409C-BE32-E72D297353CC}">
              <c16:uniqueId val="{0000000E-D047-4284-B5B0-54965C9E8538}"/>
            </c:ext>
          </c:extLst>
        </c:ser>
        <c:dLbls>
          <c:showLegendKey val="0"/>
          <c:showVal val="0"/>
          <c:showCatName val="0"/>
          <c:showSerName val="0"/>
          <c:showPercent val="0"/>
          <c:showBubbleSize val="0"/>
          <c:showLeaderLines val="1"/>
        </c:dLbls>
        <c:firstSliceAng val="0"/>
        <c:holeSize val="46"/>
      </c:doughnutChart>
      <c:spPr>
        <a:noFill/>
        <a:ln>
          <a:noFill/>
        </a:ln>
        <a:effectLst/>
      </c:spPr>
    </c:plotArea>
    <c:legend>
      <c:legendPos val="b"/>
      <c:layout>
        <c:manualLayout>
          <c:xMode val="edge"/>
          <c:yMode val="edge"/>
          <c:x val="0.13828404150835091"/>
          <c:y val="0.82174628254437621"/>
          <c:w val="0.57503952956851401"/>
          <c:h val="0.1782537958688457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000096"/>
              </a:solidFill>
              <a:ln w="19050">
                <a:solidFill>
                  <a:schemeClr val="lt1"/>
                </a:solidFill>
              </a:ln>
              <a:effectLst/>
            </c:spPr>
            <c:extLst>
              <c:ext xmlns:c16="http://schemas.microsoft.com/office/drawing/2014/chart" uri="{C3380CC4-5D6E-409C-BE32-E72D297353CC}">
                <c16:uniqueId val="{00000001-68DF-4C98-8F9C-E882771DA018}"/>
              </c:ext>
            </c:extLst>
          </c:dPt>
          <c:dPt>
            <c:idx val="1"/>
            <c:bubble3D val="0"/>
            <c:spPr>
              <a:solidFill>
                <a:srgbClr val="5F5F5F"/>
              </a:solidFill>
              <a:ln w="19050">
                <a:solidFill>
                  <a:schemeClr val="lt1"/>
                </a:solidFill>
              </a:ln>
              <a:effectLst/>
            </c:spPr>
            <c:extLst>
              <c:ext xmlns:c16="http://schemas.microsoft.com/office/drawing/2014/chart" uri="{C3380CC4-5D6E-409C-BE32-E72D297353CC}">
                <c16:uniqueId val="{00000003-68DF-4C98-8F9C-E882771DA018}"/>
              </c:ext>
            </c:extLst>
          </c:dPt>
          <c:dPt>
            <c:idx val="2"/>
            <c:bubble3D val="0"/>
            <c:spPr>
              <a:solidFill>
                <a:srgbClr val="C0C0C0"/>
              </a:solidFill>
              <a:ln w="19050">
                <a:solidFill>
                  <a:schemeClr val="lt1"/>
                </a:solidFill>
              </a:ln>
              <a:effectLst/>
            </c:spPr>
            <c:extLst>
              <c:ext xmlns:c16="http://schemas.microsoft.com/office/drawing/2014/chart" uri="{C3380CC4-5D6E-409C-BE32-E72D297353CC}">
                <c16:uniqueId val="{00000005-68DF-4C98-8F9C-E882771DA018}"/>
              </c:ext>
            </c:extLst>
          </c:dPt>
          <c:dPt>
            <c:idx val="3"/>
            <c:bubble3D val="0"/>
            <c:spPr>
              <a:solidFill>
                <a:srgbClr val="DDDDDD"/>
              </a:solidFill>
              <a:ln w="19050">
                <a:solidFill>
                  <a:schemeClr val="lt1"/>
                </a:solidFill>
              </a:ln>
              <a:effectLst/>
            </c:spPr>
            <c:extLst>
              <c:ext xmlns:c16="http://schemas.microsoft.com/office/drawing/2014/chart" uri="{C3380CC4-5D6E-409C-BE32-E72D297353CC}">
                <c16:uniqueId val="{00000007-68DF-4C98-8F9C-E882771DA018}"/>
              </c:ext>
            </c:extLst>
          </c:dPt>
          <c:dPt>
            <c:idx val="4"/>
            <c:bubble3D val="0"/>
            <c:spPr>
              <a:solidFill>
                <a:srgbClr val="C7D5F1"/>
              </a:solidFill>
              <a:ln w="19050">
                <a:solidFill>
                  <a:schemeClr val="lt1"/>
                </a:solidFill>
              </a:ln>
              <a:effectLst/>
            </c:spPr>
            <c:extLst>
              <c:ext xmlns:c16="http://schemas.microsoft.com/office/drawing/2014/chart" uri="{C3380CC4-5D6E-409C-BE32-E72D297353CC}">
                <c16:uniqueId val="{00000009-68DF-4C98-8F9C-E882771DA018}"/>
              </c:ext>
            </c:extLst>
          </c:dPt>
          <c:dPt>
            <c:idx val="5"/>
            <c:bubble3D val="0"/>
            <c:spPr>
              <a:solidFill>
                <a:srgbClr val="3366CC"/>
              </a:solidFill>
              <a:ln w="19050">
                <a:solidFill>
                  <a:schemeClr val="lt1"/>
                </a:solidFill>
              </a:ln>
              <a:effectLst/>
            </c:spPr>
            <c:extLst>
              <c:ext xmlns:c16="http://schemas.microsoft.com/office/drawing/2014/chart" uri="{C3380CC4-5D6E-409C-BE32-E72D297353CC}">
                <c16:uniqueId val="{0000000B-68DF-4C98-8F9C-E882771DA018}"/>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dLblPos val="bestFit"/>
              <c:showLegendKey val="0"/>
              <c:showVal val="1"/>
              <c:showCatName val="0"/>
              <c:showSerName val="0"/>
              <c:showPercent val="0"/>
              <c:showBubbleSize val="0"/>
              <c:extLst>
                <c:ext xmlns:c16="http://schemas.microsoft.com/office/drawing/2014/chart" uri="{C3380CC4-5D6E-409C-BE32-E72D297353CC}">
                  <c16:uniqueId val="{00000001-68DF-4C98-8F9C-E882771DA01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 Pres'!$C$339:$C$344</c:f>
              <c:strCache>
                <c:ptCount val="6"/>
                <c:pt idx="0">
                  <c:v>Либерти</c:v>
                </c:pt>
                <c:pt idx="1">
                  <c:v>Голдраш</c:v>
                </c:pt>
                <c:pt idx="2">
                  <c:v>Флорина</c:v>
                </c:pt>
                <c:pt idx="3">
                  <c:v>Прикубанское</c:v>
                </c:pt>
                <c:pt idx="4">
                  <c:v>Семиренко</c:v>
                </c:pt>
                <c:pt idx="5">
                  <c:v>Другие</c:v>
                </c:pt>
              </c:strCache>
            </c:strRef>
          </c:cat>
          <c:val>
            <c:numRef>
              <c:f>'For Pres'!$F$339:$F$344</c:f>
              <c:numCache>
                <c:formatCode>0%</c:formatCode>
                <c:ptCount val="6"/>
                <c:pt idx="0">
                  <c:v>0.43</c:v>
                </c:pt>
                <c:pt idx="1">
                  <c:v>0.15</c:v>
                </c:pt>
                <c:pt idx="2">
                  <c:v>7.0000000000000007E-2</c:v>
                </c:pt>
                <c:pt idx="3">
                  <c:v>0.06</c:v>
                </c:pt>
                <c:pt idx="4">
                  <c:v>0.04</c:v>
                </c:pt>
                <c:pt idx="5">
                  <c:v>0.25</c:v>
                </c:pt>
              </c:numCache>
            </c:numRef>
          </c:val>
          <c:extLst>
            <c:ext xmlns:c16="http://schemas.microsoft.com/office/drawing/2014/chart" uri="{C3380CC4-5D6E-409C-BE32-E72D297353CC}">
              <c16:uniqueId val="{0000000C-68DF-4C98-8F9C-E882771DA018}"/>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5854484105683444"/>
          <c:y val="0.21946777829553041"/>
          <c:w val="0.27778857931133438"/>
          <c:h val="0.6122458849161891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Pres'!$C$356:$C$357</c:f>
              <c:numCache>
                <c:formatCode>General</c:formatCode>
                <c:ptCount val="2"/>
                <c:pt idx="0">
                  <c:v>2017</c:v>
                </c:pt>
                <c:pt idx="1">
                  <c:v>2018</c:v>
                </c:pt>
              </c:numCache>
            </c:numRef>
          </c:cat>
          <c:val>
            <c:numRef>
              <c:f>'For Pres'!$F$356:$F$357</c:f>
              <c:numCache>
                <c:formatCode>General</c:formatCode>
                <c:ptCount val="2"/>
                <c:pt idx="0">
                  <c:v>376.4</c:v>
                </c:pt>
                <c:pt idx="1">
                  <c:v>407</c:v>
                </c:pt>
              </c:numCache>
            </c:numRef>
          </c:val>
          <c:extLst>
            <c:ext xmlns:c16="http://schemas.microsoft.com/office/drawing/2014/chart" uri="{C3380CC4-5D6E-409C-BE32-E72D297353CC}">
              <c16:uniqueId val="{00000000-E220-44C6-B4D5-7C57093F9FBE}"/>
            </c:ext>
          </c:extLst>
        </c:ser>
        <c:dLbls>
          <c:showLegendKey val="0"/>
          <c:showVal val="0"/>
          <c:showCatName val="0"/>
          <c:showSerName val="0"/>
          <c:showPercent val="0"/>
          <c:showBubbleSize val="0"/>
        </c:dLbls>
        <c:gapWidth val="219"/>
        <c:overlap val="-27"/>
        <c:axId val="90206976"/>
        <c:axId val="90208512"/>
      </c:barChart>
      <c:catAx>
        <c:axId val="9020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90208512"/>
        <c:crosses val="autoZero"/>
        <c:auto val="1"/>
        <c:lblAlgn val="ctr"/>
        <c:lblOffset val="100"/>
        <c:noMultiLvlLbl val="0"/>
      </c:catAx>
      <c:valAx>
        <c:axId val="90208512"/>
        <c:scaling>
          <c:orientation val="minMax"/>
        </c:scaling>
        <c:delete val="1"/>
        <c:axPos val="l"/>
        <c:numFmt formatCode="General" sourceLinked="1"/>
        <c:majorTickMark val="none"/>
        <c:minorTickMark val="none"/>
        <c:tickLblPos val="none"/>
        <c:crossAx val="902069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'For Pres'!$C$6</c:f>
              <c:strCache>
                <c:ptCount val="1"/>
                <c:pt idx="0">
                  <c:v>Индекс дефлятор растениеводства </c:v>
                </c:pt>
              </c:strCache>
            </c:strRef>
          </c:tx>
          <c:spPr>
            <a:ln w="28575" cap="rnd">
              <a:solidFill>
                <a:srgbClr val="3366CC"/>
              </a:solidFill>
              <a:round/>
            </a:ln>
            <a:effectLst/>
          </c:spPr>
          <c:marker>
            <c:symbol val="circle"/>
            <c:size val="5"/>
            <c:spPr>
              <a:solidFill>
                <a:srgbClr val="3366CC"/>
              </a:solidFill>
              <a:ln w="9525">
                <a:solidFill>
                  <a:srgbClr val="3366CC"/>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Pres'!$F$6:$M$6</c:f>
              <c:numCache>
                <c:formatCode>0.0%</c:formatCode>
                <c:ptCount val="8"/>
                <c:pt idx="0">
                  <c:v>3.3093329992886167E-2</c:v>
                </c:pt>
                <c:pt idx="1">
                  <c:v>2.9136566989585111E-2</c:v>
                </c:pt>
                <c:pt idx="2">
                  <c:v>3.2336566989584981E-2</c:v>
                </c:pt>
                <c:pt idx="3">
                  <c:v>3.7700000000000067E-2</c:v>
                </c:pt>
                <c:pt idx="4">
                  <c:v>4.1500000000000092E-2</c:v>
                </c:pt>
                <c:pt idx="5">
                  <c:v>0.03</c:v>
                </c:pt>
                <c:pt idx="6">
                  <c:v>0.03</c:v>
                </c:pt>
                <c:pt idx="7">
                  <c:v>0.03</c:v>
                </c:pt>
              </c:numCache>
            </c:numRef>
          </c:val>
          <c:smooth val="0"/>
          <c:extLst>
            <c:ext xmlns:c15="http://schemas.microsoft.com/office/drawing/2012/chart" uri="{02D57815-91ED-43cb-92C2-25804820EDAC}">
              <c15:filteredCategoryTitle>
                <c15:cat>
                  <c:multiLvlStrRef>
                    <c:extLst>
                      <c:ext uri="{02D57815-91ED-43cb-92C2-25804820EDAC}">
                        <c15:formulaRef>
                          <c15:sqref>'Модель урожая яблок'!#REF!</c15:sqref>
                        </c15:formulaRef>
                      </c:ext>
                    </c:extLst>
                  </c:multiLvlStrRef>
                </c15:cat>
              </c15:filteredCategoryTitle>
            </c:ext>
            <c:ext xmlns:c16="http://schemas.microsoft.com/office/drawing/2014/chart" uri="{C3380CC4-5D6E-409C-BE32-E72D297353CC}">
              <c16:uniqueId val="{00000000-BCD3-4DE8-93B8-C9EA72497286}"/>
            </c:ext>
          </c:extLst>
        </c:ser>
        <c:ser>
          <c:idx val="1"/>
          <c:order val="1"/>
          <c:tx>
            <c:strRef>
              <c:f>'For Pres'!$C$7</c:f>
              <c:strCache>
                <c:ptCount val="1"/>
                <c:pt idx="0">
                  <c:v>Индекс цен производителя </c:v>
                </c:pt>
              </c:strCache>
            </c:strRef>
          </c:tx>
          <c:spPr>
            <a:ln w="28575" cap="rnd">
              <a:solidFill>
                <a:srgbClr val="000096"/>
              </a:solidFill>
              <a:round/>
            </a:ln>
            <a:effectLst/>
          </c:spPr>
          <c:marker>
            <c:symbol val="circle"/>
            <c:size val="5"/>
            <c:spPr>
              <a:solidFill>
                <a:srgbClr val="000096"/>
              </a:solidFill>
              <a:ln w="9525">
                <a:solidFill>
                  <a:srgbClr val="00009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Pres'!$F$7:$M$7</c:f>
              <c:numCache>
                <c:formatCode>0.0%</c:formatCode>
                <c:ptCount val="8"/>
                <c:pt idx="0">
                  <c:v>4.1242890628997442E-2</c:v>
                </c:pt>
                <c:pt idx="1">
                  <c:v>4.0249548683655378E-2</c:v>
                </c:pt>
                <c:pt idx="2">
                  <c:v>3.9624970215113464E-2</c:v>
                </c:pt>
                <c:pt idx="3">
                  <c:v>4.1383231557315048E-2</c:v>
                </c:pt>
                <c:pt idx="4">
                  <c:v>4.4748721553178328E-2</c:v>
                </c:pt>
                <c:pt idx="5">
                  <c:v>0.03</c:v>
                </c:pt>
                <c:pt idx="6">
                  <c:v>0.03</c:v>
                </c:pt>
                <c:pt idx="7">
                  <c:v>0.03</c:v>
                </c:pt>
              </c:numCache>
            </c:numRef>
          </c:val>
          <c:smooth val="0"/>
          <c:extLst>
            <c:ext xmlns:c15="http://schemas.microsoft.com/office/drawing/2012/chart" uri="{02D57815-91ED-43cb-92C2-25804820EDAC}">
              <c15:filteredCategoryTitle>
                <c15:cat>
                  <c:multiLvlStrRef>
                    <c:extLst>
                      <c:ext uri="{02D57815-91ED-43cb-92C2-25804820EDAC}">
                        <c15:formulaRef>
                          <c15:sqref>'Модель урожая яблок'!#REF!</c15:sqref>
                        </c15:formulaRef>
                      </c:ext>
                    </c:extLst>
                  </c:multiLvlStrRef>
                </c15:cat>
              </c15:filteredCategoryTitle>
            </c:ext>
            <c:ext xmlns:c16="http://schemas.microsoft.com/office/drawing/2014/chart" uri="{C3380CC4-5D6E-409C-BE32-E72D297353CC}">
              <c16:uniqueId val="{00000001-BCD3-4DE8-93B8-C9EA72497286}"/>
            </c:ext>
          </c:extLst>
        </c:ser>
        <c:dLbls>
          <c:showLegendKey val="0"/>
          <c:showVal val="1"/>
          <c:showCatName val="0"/>
          <c:showSerName val="0"/>
          <c:showPercent val="0"/>
          <c:showBubbleSize val="0"/>
        </c:dLbls>
        <c:marker val="1"/>
        <c:smooth val="0"/>
        <c:axId val="88629248"/>
        <c:axId val="88630784"/>
      </c:lineChart>
      <c:catAx>
        <c:axId val="88629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8630784"/>
        <c:crosses val="autoZero"/>
        <c:auto val="1"/>
        <c:lblAlgn val="ctr"/>
        <c:lblOffset val="100"/>
        <c:noMultiLvlLbl val="0"/>
      </c:catAx>
      <c:valAx>
        <c:axId val="8863078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8629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'For Pres'!$C$372</c:f>
              <c:strCache>
                <c:ptCount val="1"/>
                <c:pt idx="0">
                  <c:v>Выручка</c:v>
                </c:pt>
              </c:strCache>
            </c:strRef>
          </c:tx>
          <c:spPr>
            <a:solidFill>
              <a:srgbClr val="000096"/>
            </a:solidFill>
            <a:ln>
              <a:noFill/>
            </a:ln>
            <a:effectLst/>
          </c:spPr>
          <c:invertIfNegative val="0"/>
          <c:dLbls>
            <c:dLbl>
              <c:idx val="1"/>
              <c:layout>
                <c:manualLayout>
                  <c:x val="5.0925337632080612E-17"/>
                  <c:y val="1.3888888888888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F6-463D-9014-C119F045B16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Pres'!$F$371:$H$371</c:f>
              <c:numCache>
                <c:formatCode>General</c:formatCode>
                <c:ptCount val="3"/>
                <c:pt idx="0">
                  <c:v>2016</c:v>
                </c:pt>
                <c:pt idx="1">
                  <c:v>2017</c:v>
                </c:pt>
                <c:pt idx="2">
                  <c:v>2018</c:v>
                </c:pt>
              </c:numCache>
            </c:numRef>
          </c:cat>
          <c:val>
            <c:numRef>
              <c:f>'For Pres'!$F$372:$H$372</c:f>
              <c:numCache>
                <c:formatCode>#,##0</c:formatCode>
                <c:ptCount val="3"/>
                <c:pt idx="0">
                  <c:v>269582</c:v>
                </c:pt>
                <c:pt idx="1">
                  <c:v>175032</c:v>
                </c:pt>
                <c:pt idx="2">
                  <c:v>376683</c:v>
                </c:pt>
              </c:numCache>
            </c:numRef>
          </c:val>
          <c:extLst>
            <c:ext xmlns:c16="http://schemas.microsoft.com/office/drawing/2014/chart" uri="{C3380CC4-5D6E-409C-BE32-E72D297353CC}">
              <c16:uniqueId val="{00000001-A7F6-463D-9014-C119F045B167}"/>
            </c:ext>
          </c:extLst>
        </c:ser>
        <c:ser>
          <c:idx val="1"/>
          <c:order val="1"/>
          <c:tx>
            <c:strRef>
              <c:f>'For Pres'!$C$373</c:f>
              <c:strCache>
                <c:ptCount val="1"/>
                <c:pt idx="0">
                  <c:v>EBITDA</c:v>
                </c:pt>
              </c:strCache>
            </c:strRef>
          </c:tx>
          <c:spPr>
            <a:solidFill>
              <a:srgbClr val="3366CC"/>
            </a:solidFill>
            <a:ln>
              <a:noFill/>
            </a:ln>
            <a:effectLst/>
          </c:spPr>
          <c:invertIfNegative val="0"/>
          <c:dLbls>
            <c:dLbl>
              <c:idx val="1"/>
              <c:layout>
                <c:manualLayout>
                  <c:x val="2.7777777777777991E-3"/>
                  <c:y val="-2.777777777777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F6-463D-9014-C119F045B16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'For Pres'!$F$371:$H$371</c:f>
              <c:numCache>
                <c:formatCode>General</c:formatCode>
                <c:ptCount val="3"/>
                <c:pt idx="0">
                  <c:v>2016</c:v>
                </c:pt>
                <c:pt idx="1">
                  <c:v>2017</c:v>
                </c:pt>
                <c:pt idx="2">
                  <c:v>2018</c:v>
                </c:pt>
              </c:numCache>
            </c:numRef>
          </c:cat>
          <c:val>
            <c:numRef>
              <c:f>'For Pres'!$F$373:$H$373</c:f>
              <c:numCache>
                <c:formatCode>#,##0</c:formatCode>
                <c:ptCount val="3"/>
                <c:pt idx="0">
                  <c:v>220772.8</c:v>
                </c:pt>
                <c:pt idx="1">
                  <c:v>173219.5</c:v>
                </c:pt>
                <c:pt idx="2">
                  <c:v>150025.20000000001</c:v>
                </c:pt>
              </c:numCache>
            </c:numRef>
          </c:val>
          <c:extLst>
            <c:ext xmlns:c16="http://schemas.microsoft.com/office/drawing/2014/chart" uri="{C3380CC4-5D6E-409C-BE32-E72D297353CC}">
              <c16:uniqueId val="{00000003-A7F6-463D-9014-C119F045B167}"/>
            </c:ext>
          </c:extLst>
        </c:ser>
        <c:dLbls>
          <c:showLegendKey val="0"/>
          <c:showVal val="1"/>
          <c:showCatName val="0"/>
          <c:showSerName val="0"/>
          <c:showPercent val="0"/>
          <c:showBubbleSize val="0"/>
        </c:dLbls>
        <c:gapWidth val="219"/>
        <c:overlap val="-27"/>
        <c:axId val="90341760"/>
        <c:axId val="90343296"/>
      </c:barChart>
      <c:lineChart>
        <c:grouping val="standard"/>
        <c:varyColors val="0"/>
        <c:ser>
          <c:idx val="2"/>
          <c:order val="2"/>
          <c:tx>
            <c:strRef>
              <c:f>'For Pres'!$C$374</c:f>
              <c:strCache>
                <c:ptCount val="1"/>
                <c:pt idx="0">
                  <c:v>EBITDA Margin</c:v>
                </c:pt>
              </c:strCache>
            </c:strRef>
          </c:tx>
          <c:spPr>
            <a:ln w="28575" cap="rnd">
              <a:solidFill>
                <a:srgbClr val="5F5F5F"/>
              </a:solidFill>
              <a:round/>
            </a:ln>
            <a:effectLst/>
          </c:spPr>
          <c:marker>
            <c:symbol val="square"/>
            <c:size val="5"/>
            <c:spPr>
              <a:solidFill>
                <a:srgbClr val="5F5F5F"/>
              </a:solidFill>
              <a:ln w="9525">
                <a:solidFill>
                  <a:schemeClr val="accent3"/>
                </a:solidFill>
              </a:ln>
              <a:effectLst/>
            </c:spPr>
          </c:marker>
          <c:dLbls>
            <c:dLbl>
              <c:idx val="0"/>
              <c:layout>
                <c:manualLayout>
                  <c:x val="-3.333333333333334E-2"/>
                  <c:y val="4.62962962962964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F6-463D-9014-C119F045B167}"/>
                </c:ext>
              </c:extLst>
            </c:dLbl>
            <c:dLbl>
              <c:idx val="1"/>
              <c:layout>
                <c:manualLayout>
                  <c:x val="-1.6666666666666781E-2"/>
                  <c:y val="-2.77777777777779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F6-463D-9014-C119F045B167}"/>
                </c:ext>
              </c:extLst>
            </c:dLbl>
            <c:dLbl>
              <c:idx val="2"/>
              <c:layout>
                <c:manualLayout>
                  <c:x val="-8.3333333333333367E-3"/>
                  <c:y val="-1.3888888888888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F6-463D-9014-C119F045B16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Pres'!$F$374:$H$374</c:f>
              <c:numCache>
                <c:formatCode>0%</c:formatCode>
                <c:ptCount val="3"/>
                <c:pt idx="0">
                  <c:v>0.81894488504425367</c:v>
                </c:pt>
                <c:pt idx="1">
                  <c:v>0.98964475067416247</c:v>
                </c:pt>
                <c:pt idx="2">
                  <c:v>0.39827972061388489</c:v>
                </c:pt>
              </c:numCache>
            </c:numRef>
          </c:val>
          <c:smooth val="0"/>
          <c:extLst>
            <c:ext xmlns:c16="http://schemas.microsoft.com/office/drawing/2014/chart" uri="{C3380CC4-5D6E-409C-BE32-E72D297353CC}">
              <c16:uniqueId val="{00000007-A7F6-463D-9014-C119F045B167}"/>
            </c:ext>
          </c:extLst>
        </c:ser>
        <c:dLbls>
          <c:showLegendKey val="0"/>
          <c:showVal val="1"/>
          <c:showCatName val="0"/>
          <c:showSerName val="0"/>
          <c:showPercent val="0"/>
          <c:showBubbleSize val="0"/>
        </c:dLbls>
        <c:marker val="1"/>
        <c:smooth val="0"/>
        <c:axId val="90367104"/>
        <c:axId val="90344832"/>
      </c:lineChart>
      <c:catAx>
        <c:axId val="90341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90343296"/>
        <c:crosses val="autoZero"/>
        <c:auto val="1"/>
        <c:lblAlgn val="ctr"/>
        <c:lblOffset val="100"/>
        <c:noMultiLvlLbl val="0"/>
      </c:catAx>
      <c:valAx>
        <c:axId val="90343296"/>
        <c:scaling>
          <c:orientation val="minMax"/>
          <c:max val="800000"/>
        </c:scaling>
        <c:delete val="0"/>
        <c:axPos val="l"/>
        <c:numFmt formatCode="#,##0" sourceLinked="1"/>
        <c:majorTickMark val="none"/>
        <c:minorTickMark val="none"/>
        <c:tickLblPos val="nextTo"/>
        <c:spPr>
          <a:solidFill>
            <a:schemeClr val="bg1"/>
          </a:solid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90341760"/>
        <c:crosses val="autoZero"/>
        <c:crossBetween val="between"/>
      </c:valAx>
      <c:valAx>
        <c:axId val="90344832"/>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90367104"/>
        <c:crosses val="max"/>
        <c:crossBetween val="between"/>
      </c:valAx>
      <c:catAx>
        <c:axId val="90367104"/>
        <c:scaling>
          <c:orientation val="minMax"/>
        </c:scaling>
        <c:delete val="1"/>
        <c:axPos val="b"/>
        <c:majorTickMark val="none"/>
        <c:minorTickMark val="none"/>
        <c:tickLblPos val="none"/>
        <c:crossAx val="903448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Pres'!$C$381:$C$390</c:f>
              <c:strCache>
                <c:ptCount val="10"/>
                <c:pt idx="0">
                  <c:v>АО "Крымская фруктовая компания"</c:v>
                </c:pt>
                <c:pt idx="1">
                  <c:v>ЗАО "Данков-Агро"</c:v>
                </c:pt>
                <c:pt idx="2">
                  <c:v>ООО "Интеринвест"</c:v>
                </c:pt>
                <c:pt idx="3">
                  <c:v>ООО "Агроном-сад"</c:v>
                </c:pt>
                <c:pt idx="4">
                  <c:v>ОАО "Агроном"</c:v>
                </c:pt>
                <c:pt idx="5">
                  <c:v>ЗАО АФ "им. 15 лет Октября"</c:v>
                </c:pt>
                <c:pt idx="6">
                  <c:v>ООО НПГ "Сады Придонья"</c:v>
                </c:pt>
                <c:pt idx="7">
                  <c:v>ЗАО "Сад -Гигант"</c:v>
                </c:pt>
                <c:pt idx="8">
                  <c:v>ЗАО "Совхоз Архипо-Осиповский"</c:v>
                </c:pt>
                <c:pt idx="9">
                  <c:v>ЗАО "Центрально Черноземная Плодово-Ягодная компания"</c:v>
                </c:pt>
              </c:strCache>
            </c:strRef>
          </c:cat>
          <c:val>
            <c:numRef>
              <c:f>'For Pres'!$F$381:$F$390</c:f>
              <c:numCache>
                <c:formatCode>General</c:formatCode>
                <c:ptCount val="10"/>
                <c:pt idx="0">
                  <c:v>1.0954000000000002</c:v>
                </c:pt>
                <c:pt idx="1">
                  <c:v>1.1214999999999999</c:v>
                </c:pt>
                <c:pt idx="2">
                  <c:v>1.1340999999999999</c:v>
                </c:pt>
                <c:pt idx="3">
                  <c:v>1.1647000000000001</c:v>
                </c:pt>
                <c:pt idx="4">
                  <c:v>1.2</c:v>
                </c:pt>
                <c:pt idx="5">
                  <c:v>1.3257999999999999</c:v>
                </c:pt>
                <c:pt idx="6">
                  <c:v>1.573</c:v>
                </c:pt>
                <c:pt idx="7">
                  <c:v>1.7645</c:v>
                </c:pt>
                <c:pt idx="8">
                  <c:v>2.6163000000000003</c:v>
                </c:pt>
                <c:pt idx="9">
                  <c:v>3.8851</c:v>
                </c:pt>
              </c:numCache>
            </c:numRef>
          </c:val>
          <c:extLst>
            <c:ext xmlns:c16="http://schemas.microsoft.com/office/drawing/2014/chart" uri="{C3380CC4-5D6E-409C-BE32-E72D297353CC}">
              <c16:uniqueId val="{00000000-AC9E-4508-8344-B0851D55F8CD}"/>
            </c:ext>
          </c:extLst>
        </c:ser>
        <c:dLbls>
          <c:showLegendKey val="0"/>
          <c:showVal val="1"/>
          <c:showCatName val="0"/>
          <c:showSerName val="0"/>
          <c:showPercent val="0"/>
          <c:showBubbleSize val="0"/>
        </c:dLbls>
        <c:gapWidth val="49"/>
        <c:axId val="90138112"/>
        <c:axId val="90139648"/>
      </c:barChart>
      <c:catAx>
        <c:axId val="90138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ru-RU"/>
          </a:p>
        </c:txPr>
        <c:crossAx val="90139648"/>
        <c:crosses val="autoZero"/>
        <c:auto val="1"/>
        <c:lblAlgn val="ctr"/>
        <c:lblOffset val="100"/>
        <c:noMultiLvlLbl val="0"/>
      </c:catAx>
      <c:valAx>
        <c:axId val="90139648"/>
        <c:scaling>
          <c:orientation val="minMax"/>
        </c:scaling>
        <c:delete val="1"/>
        <c:axPos val="b"/>
        <c:numFmt formatCode="General" sourceLinked="1"/>
        <c:majorTickMark val="none"/>
        <c:minorTickMark val="none"/>
        <c:tickLblPos val="none"/>
        <c:crossAx val="901381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Pres'!$C$394:$C$398</c:f>
              <c:strCache>
                <c:ptCount val="5"/>
                <c:pt idx="0">
                  <c:v>СПК «Незлобненский»</c:v>
                </c:pt>
                <c:pt idx="1">
                  <c:v>ООО «СтавАгроКом»</c:v>
                </c:pt>
                <c:pt idx="2">
                  <c:v>ООО «Новозаведенское»</c:v>
                </c:pt>
                <c:pt idx="3">
                  <c:v>ООО «Нива С»</c:v>
                </c:pt>
                <c:pt idx="4">
                  <c:v>ООО «Интеринвест»</c:v>
                </c:pt>
              </c:strCache>
            </c:strRef>
          </c:cat>
          <c:val>
            <c:numRef>
              <c:f>'For Pres'!$F$394:$F$398</c:f>
              <c:numCache>
                <c:formatCode>0%</c:formatCode>
                <c:ptCount val="5"/>
                <c:pt idx="0">
                  <c:v>5.3333333333333337E-2</c:v>
                </c:pt>
                <c:pt idx="1">
                  <c:v>8.3333333333333329E-2</c:v>
                </c:pt>
                <c:pt idx="2">
                  <c:v>0.10333333333333333</c:v>
                </c:pt>
                <c:pt idx="3">
                  <c:v>0.15333333333333332</c:v>
                </c:pt>
                <c:pt idx="4">
                  <c:v>0.41666666666666669</c:v>
                </c:pt>
              </c:numCache>
            </c:numRef>
          </c:val>
          <c:extLst>
            <c:ext xmlns:c16="http://schemas.microsoft.com/office/drawing/2014/chart" uri="{C3380CC4-5D6E-409C-BE32-E72D297353CC}">
              <c16:uniqueId val="{00000000-686D-4CEF-A6CB-DE0C3C8F26F2}"/>
            </c:ext>
          </c:extLst>
        </c:ser>
        <c:dLbls>
          <c:showLegendKey val="0"/>
          <c:showVal val="1"/>
          <c:showCatName val="0"/>
          <c:showSerName val="0"/>
          <c:showPercent val="0"/>
          <c:showBubbleSize val="0"/>
        </c:dLbls>
        <c:gapWidth val="49"/>
        <c:axId val="90176128"/>
        <c:axId val="90378624"/>
      </c:barChart>
      <c:catAx>
        <c:axId val="90176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90378624"/>
        <c:crosses val="autoZero"/>
        <c:auto val="1"/>
        <c:lblAlgn val="ctr"/>
        <c:lblOffset val="100"/>
        <c:noMultiLvlLbl val="0"/>
      </c:catAx>
      <c:valAx>
        <c:axId val="90378624"/>
        <c:scaling>
          <c:orientation val="minMax"/>
        </c:scaling>
        <c:delete val="1"/>
        <c:axPos val="b"/>
        <c:numFmt formatCode="0%" sourceLinked="1"/>
        <c:majorTickMark val="none"/>
        <c:minorTickMark val="none"/>
        <c:tickLblPos val="none"/>
        <c:crossAx val="901761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'For Pres'!$L$410</c:f>
              <c:strCache>
                <c:ptCount val="1"/>
                <c:pt idx="0">
                  <c:v>Объем потребелния тыс.т </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Pres'!$L$411:$V$411</c:f>
              <c:strCache>
                <c:ptCount val="11"/>
                <c:pt idx="0">
                  <c:v>2014</c:v>
                </c:pt>
                <c:pt idx="1">
                  <c:v>2015</c:v>
                </c:pt>
                <c:pt idx="2">
                  <c:v>2016</c:v>
                </c:pt>
                <c:pt idx="3">
                  <c:v>2017</c:v>
                </c:pt>
                <c:pt idx="4">
                  <c:v>2018</c:v>
                </c:pt>
                <c:pt idx="5">
                  <c:v>2019F</c:v>
                </c:pt>
                <c:pt idx="6">
                  <c:v>2020F</c:v>
                </c:pt>
                <c:pt idx="7">
                  <c:v>2021F</c:v>
                </c:pt>
                <c:pt idx="8">
                  <c:v>2022F</c:v>
                </c:pt>
                <c:pt idx="9">
                  <c:v>2023F</c:v>
                </c:pt>
                <c:pt idx="10">
                  <c:v>2024F</c:v>
                </c:pt>
              </c:strCache>
            </c:strRef>
          </c:cat>
          <c:val>
            <c:numRef>
              <c:f>'For Pres'!$L$412:$V$412</c:f>
              <c:numCache>
                <c:formatCode>General</c:formatCode>
                <c:ptCount val="11"/>
                <c:pt idx="0">
                  <c:v>2671</c:v>
                </c:pt>
                <c:pt idx="1">
                  <c:v>2398</c:v>
                </c:pt>
                <c:pt idx="2">
                  <c:v>2422</c:v>
                </c:pt>
                <c:pt idx="3">
                  <c:v>2255</c:v>
                </c:pt>
                <c:pt idx="4">
                  <c:v>2324</c:v>
                </c:pt>
                <c:pt idx="5">
                  <c:v>2380</c:v>
                </c:pt>
                <c:pt idx="6">
                  <c:v>2447</c:v>
                </c:pt>
                <c:pt idx="7">
                  <c:v>2637</c:v>
                </c:pt>
                <c:pt idx="8">
                  <c:v>2585</c:v>
                </c:pt>
                <c:pt idx="9">
                  <c:v>2637</c:v>
                </c:pt>
                <c:pt idx="10">
                  <c:v>2690</c:v>
                </c:pt>
              </c:numCache>
            </c:numRef>
          </c:val>
          <c:extLst>
            <c:ext xmlns:c16="http://schemas.microsoft.com/office/drawing/2014/chart" uri="{C3380CC4-5D6E-409C-BE32-E72D297353CC}">
              <c16:uniqueId val="{00000000-58DC-45BC-B497-879CC102359C}"/>
            </c:ext>
          </c:extLst>
        </c:ser>
        <c:dLbls>
          <c:showLegendKey val="0"/>
          <c:showVal val="1"/>
          <c:showCatName val="0"/>
          <c:showSerName val="0"/>
          <c:showPercent val="0"/>
          <c:showBubbleSize val="0"/>
        </c:dLbls>
        <c:gapWidth val="49"/>
        <c:overlap val="-27"/>
        <c:axId val="90580480"/>
        <c:axId val="90582016"/>
      </c:barChart>
      <c:lineChart>
        <c:grouping val="standard"/>
        <c:varyColors val="0"/>
        <c:ser>
          <c:idx val="1"/>
          <c:order val="1"/>
          <c:tx>
            <c:strRef>
              <c:f>'For Pres'!$L$409</c:f>
              <c:strCache>
                <c:ptCount val="1"/>
                <c:pt idx="0">
                  <c:v>В % к предыдущему году</c:v>
                </c:pt>
              </c:strCache>
            </c:strRef>
          </c:tx>
          <c:spPr>
            <a:ln w="28575" cap="rnd">
              <a:solidFill>
                <a:srgbClr val="5F5F5F"/>
              </a:solidFill>
              <a:round/>
            </a:ln>
            <a:effectLst/>
          </c:spPr>
          <c:marker>
            <c:symbol val="square"/>
            <c:size val="5"/>
            <c:spPr>
              <a:solidFill>
                <a:srgbClr val="5F5F5F"/>
              </a:solidFill>
              <a:ln w="9525">
                <a:solidFill>
                  <a:srgbClr val="5F5F5F"/>
                </a:solidFill>
              </a:ln>
              <a:effectLst/>
            </c:spPr>
          </c:marker>
          <c:dLbls>
            <c:dLbl>
              <c:idx val="4"/>
              <c:layout>
                <c:manualLayout>
                  <c:x val="-6.3888888888888939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DC-45BC-B497-879CC102359C}"/>
                </c:ext>
              </c:extLst>
            </c:dLbl>
            <c:dLbl>
              <c:idx val="5"/>
              <c:layout>
                <c:manualLayout>
                  <c:x val="-6.1111111111111123E-2"/>
                  <c:y val="4.629629629629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DC-45BC-B497-879CC102359C}"/>
                </c:ext>
              </c:extLst>
            </c:dLbl>
            <c:dLbl>
              <c:idx val="6"/>
              <c:layout>
                <c:manualLayout>
                  <c:x val="-6.1111111111111324E-2"/>
                  <c:y val="-3.703703703703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DC-45BC-B497-879CC102359C}"/>
                </c:ext>
              </c:extLst>
            </c:dLbl>
            <c:dLbl>
              <c:idx val="7"/>
              <c:layout>
                <c:manualLayout>
                  <c:x val="-5.5555555555555657E-2"/>
                  <c:y val="4.629629629629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DC-45BC-B497-879CC102359C}"/>
                </c:ext>
              </c:extLst>
            </c:dLbl>
            <c:dLbl>
              <c:idx val="8"/>
              <c:layout>
                <c:manualLayout>
                  <c:x val="-5.8333333333333584E-2"/>
                  <c:y val="-4.629629629629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DC-45BC-B497-879CC102359C}"/>
                </c:ext>
              </c:extLst>
            </c:dLbl>
            <c:dLbl>
              <c:idx val="9"/>
              <c:layout>
                <c:manualLayout>
                  <c:x val="-5.00000000000001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DC-45BC-B497-879CC102359C}"/>
                </c:ext>
              </c:extLst>
            </c:dLbl>
            <c:dLbl>
              <c:idx val="10"/>
              <c:layout>
                <c:manualLayout>
                  <c:x val="-6.1111111111111123E-2"/>
                  <c:y val="-4.629629629629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DC-45BC-B497-879CC102359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Pres'!$L$413:$V$413</c:f>
              <c:numCache>
                <c:formatCode>0%</c:formatCode>
                <c:ptCount val="11"/>
                <c:pt idx="0">
                  <c:v>0.91600000000000004</c:v>
                </c:pt>
                <c:pt idx="1">
                  <c:v>0.89800000000000002</c:v>
                </c:pt>
                <c:pt idx="2">
                  <c:v>1.01</c:v>
                </c:pt>
                <c:pt idx="3">
                  <c:v>0.93100000000000005</c:v>
                </c:pt>
                <c:pt idx="4">
                  <c:v>1.0309999999999999</c:v>
                </c:pt>
                <c:pt idx="5">
                  <c:v>1.024</c:v>
                </c:pt>
                <c:pt idx="6">
                  <c:v>1.028</c:v>
                </c:pt>
                <c:pt idx="7">
                  <c:v>1.02</c:v>
                </c:pt>
                <c:pt idx="8">
                  <c:v>1.02</c:v>
                </c:pt>
                <c:pt idx="9">
                  <c:v>1.02</c:v>
                </c:pt>
                <c:pt idx="10">
                  <c:v>1.02</c:v>
                </c:pt>
              </c:numCache>
            </c:numRef>
          </c:val>
          <c:smooth val="0"/>
          <c:extLst>
            <c:ext xmlns:c16="http://schemas.microsoft.com/office/drawing/2014/chart" uri="{C3380CC4-5D6E-409C-BE32-E72D297353CC}">
              <c16:uniqueId val="{00000008-58DC-45BC-B497-879CC102359C}"/>
            </c:ext>
          </c:extLst>
        </c:ser>
        <c:dLbls>
          <c:showLegendKey val="0"/>
          <c:showVal val="1"/>
          <c:showCatName val="0"/>
          <c:showSerName val="0"/>
          <c:showPercent val="0"/>
          <c:showBubbleSize val="0"/>
        </c:dLbls>
        <c:marker val="1"/>
        <c:smooth val="0"/>
        <c:axId val="90601728"/>
        <c:axId val="90600192"/>
      </c:lineChart>
      <c:catAx>
        <c:axId val="9058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90582016"/>
        <c:crosses val="autoZero"/>
        <c:auto val="1"/>
        <c:lblAlgn val="ctr"/>
        <c:lblOffset val="100"/>
        <c:noMultiLvlLbl val="0"/>
      </c:catAx>
      <c:valAx>
        <c:axId val="90582016"/>
        <c:scaling>
          <c:orientation val="minMax"/>
          <c:max val="9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90580480"/>
        <c:crosses val="autoZero"/>
        <c:crossBetween val="between"/>
      </c:valAx>
      <c:valAx>
        <c:axId val="90600192"/>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90601728"/>
        <c:crosses val="max"/>
        <c:crossBetween val="between"/>
      </c:valAx>
      <c:catAx>
        <c:axId val="90601728"/>
        <c:scaling>
          <c:orientation val="minMax"/>
        </c:scaling>
        <c:delete val="1"/>
        <c:axPos val="b"/>
        <c:majorTickMark val="none"/>
        <c:minorTickMark val="none"/>
        <c:tickLblPos val="none"/>
        <c:crossAx val="906001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'For Pres'!$T$431</c:f>
              <c:strCache>
                <c:ptCount val="1"/>
                <c:pt idx="0">
                  <c:v>Импорт</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'[12]2019-07-17 Support'!$U$115</c:f>
              <c:numCache>
                <c:formatCode>General</c:formatCode>
                <c:ptCount val="1"/>
                <c:pt idx="0">
                  <c:v>2017</c:v>
                </c:pt>
              </c:numCache>
            </c:numRef>
          </c:cat>
          <c:val>
            <c:numRef>
              <c:f>'[12]2019-07-17 Support'!$U$116</c:f>
              <c:numCache>
                <c:formatCode>General</c:formatCode>
                <c:ptCount val="1"/>
                <c:pt idx="0">
                  <c:v>706</c:v>
                </c:pt>
              </c:numCache>
            </c:numRef>
          </c:val>
          <c:extLst>
            <c:ext xmlns:c16="http://schemas.microsoft.com/office/drawing/2014/chart" uri="{C3380CC4-5D6E-409C-BE32-E72D297353CC}">
              <c16:uniqueId val="{00000000-0716-4053-B38E-95A5A1F6F8D7}"/>
            </c:ext>
          </c:extLst>
        </c:ser>
        <c:dLbls>
          <c:showLegendKey val="0"/>
          <c:showVal val="1"/>
          <c:showCatName val="0"/>
          <c:showSerName val="0"/>
          <c:showPercent val="0"/>
          <c:showBubbleSize val="0"/>
        </c:dLbls>
        <c:gapWidth val="188"/>
        <c:overlap val="-27"/>
        <c:axId val="90520576"/>
        <c:axId val="90522368"/>
      </c:barChart>
      <c:lineChart>
        <c:grouping val="standard"/>
        <c:varyColors val="0"/>
        <c:ser>
          <c:idx val="1"/>
          <c:order val="1"/>
          <c:tx>
            <c:strRef>
              <c:f>'For Pres'!$T$432</c:f>
              <c:strCache>
                <c:ptCount val="1"/>
                <c:pt idx="0">
                  <c:v>Доля импорта</c:v>
                </c:pt>
              </c:strCache>
            </c:strRef>
          </c:tx>
          <c:spPr>
            <a:ln w="28575" cap="rnd">
              <a:solidFill>
                <a:srgbClr val="5F5F5F"/>
              </a:solidFill>
              <a:round/>
            </a:ln>
            <a:effectLst/>
          </c:spPr>
          <c:marker>
            <c:symbol val="square"/>
            <c:size val="5"/>
            <c:spPr>
              <a:solidFill>
                <a:srgbClr val="5F5F5F"/>
              </a:solidFill>
              <a:ln w="9525">
                <a:solidFill>
                  <a:srgbClr val="5F5F5F"/>
                </a:solidFill>
              </a:ln>
              <a:effectLst/>
            </c:spPr>
          </c:marker>
          <c:dLbls>
            <c:dLbl>
              <c:idx val="0"/>
              <c:layout>
                <c:manualLayout>
                  <c:x val="-4.1666666666666692E-2"/>
                  <c:y val="-3.703703703703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16-4053-B38E-95A5A1F6F8D7}"/>
                </c:ext>
              </c:extLst>
            </c:dLbl>
            <c:dLbl>
              <c:idx val="1"/>
              <c:layout>
                <c:manualLayout>
                  <c:x val="-4.166666666666672E-2"/>
                  <c:y val="-4.1666666666666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16-4053-B38E-95A5A1F6F8D7}"/>
                </c:ext>
              </c:extLst>
            </c:dLbl>
            <c:dLbl>
              <c:idx val="2"/>
              <c:layout>
                <c:manualLayout>
                  <c:x val="-3.888888888888889E-2"/>
                  <c:y val="-3.703703703703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16-4053-B38E-95A5A1F6F8D7}"/>
                </c:ext>
              </c:extLst>
            </c:dLbl>
            <c:dLbl>
              <c:idx val="3"/>
              <c:layout>
                <c:manualLayout>
                  <c:x val="-3.888888888888889E-2"/>
                  <c:y val="-3.703703703703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16-4053-B38E-95A5A1F6F8D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'[12]2019-07-17 Support'!$U$117</c:f>
              <c:numCache>
                <c:formatCode>General</c:formatCode>
                <c:ptCount val="1"/>
                <c:pt idx="0">
                  <c:v>0.31</c:v>
                </c:pt>
              </c:numCache>
            </c:numRef>
          </c:val>
          <c:smooth val="0"/>
          <c:extLst>
            <c:ext xmlns:c16="http://schemas.microsoft.com/office/drawing/2014/chart" uri="{C3380CC4-5D6E-409C-BE32-E72D297353CC}">
              <c16:uniqueId val="{00000005-0716-4053-B38E-95A5A1F6F8D7}"/>
            </c:ext>
          </c:extLst>
        </c:ser>
        <c:dLbls>
          <c:showLegendKey val="0"/>
          <c:showVal val="1"/>
          <c:showCatName val="0"/>
          <c:showSerName val="0"/>
          <c:showPercent val="0"/>
          <c:showBubbleSize val="0"/>
        </c:dLbls>
        <c:marker val="1"/>
        <c:smooth val="0"/>
        <c:axId val="90546176"/>
        <c:axId val="90523904"/>
      </c:lineChart>
      <c:catAx>
        <c:axId val="9052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90522368"/>
        <c:crosses val="autoZero"/>
        <c:auto val="1"/>
        <c:lblAlgn val="ctr"/>
        <c:lblOffset val="100"/>
        <c:noMultiLvlLbl val="0"/>
      </c:catAx>
      <c:valAx>
        <c:axId val="90522368"/>
        <c:scaling>
          <c:orientation val="minMax"/>
          <c:max val="18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90520576"/>
        <c:crosses val="autoZero"/>
        <c:crossBetween val="between"/>
      </c:valAx>
      <c:valAx>
        <c:axId val="90523904"/>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90546176"/>
        <c:crosses val="max"/>
        <c:crossBetween val="between"/>
      </c:valAx>
      <c:catAx>
        <c:axId val="90546176"/>
        <c:scaling>
          <c:orientation val="minMax"/>
        </c:scaling>
        <c:delete val="1"/>
        <c:axPos val="b"/>
        <c:majorTickMark val="none"/>
        <c:minorTickMark val="none"/>
        <c:tickLblPos val="none"/>
        <c:crossAx val="90523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000096"/>
              </a:solidFill>
              <a:ln w="19050">
                <a:solidFill>
                  <a:schemeClr val="lt1"/>
                </a:solidFill>
              </a:ln>
              <a:effectLst/>
            </c:spPr>
            <c:extLst>
              <c:ext xmlns:c16="http://schemas.microsoft.com/office/drawing/2014/chart" uri="{C3380CC4-5D6E-409C-BE32-E72D297353CC}">
                <c16:uniqueId val="{00000001-BAEB-45D2-B707-2ECCC954437A}"/>
              </c:ext>
            </c:extLst>
          </c:dPt>
          <c:dPt>
            <c:idx val="1"/>
            <c:bubble3D val="0"/>
            <c:spPr>
              <a:solidFill>
                <a:srgbClr val="5F5F5F"/>
              </a:solidFill>
              <a:ln w="19050">
                <a:solidFill>
                  <a:schemeClr val="lt1"/>
                </a:solidFill>
              </a:ln>
              <a:effectLst/>
            </c:spPr>
            <c:extLst>
              <c:ext xmlns:c16="http://schemas.microsoft.com/office/drawing/2014/chart" uri="{C3380CC4-5D6E-409C-BE32-E72D297353CC}">
                <c16:uniqueId val="{00000003-BAEB-45D2-B707-2ECCC954437A}"/>
              </c:ext>
            </c:extLst>
          </c:dPt>
          <c:dPt>
            <c:idx val="2"/>
            <c:bubble3D val="0"/>
            <c:spPr>
              <a:solidFill>
                <a:srgbClr val="C0C0C0"/>
              </a:solidFill>
              <a:ln w="19050">
                <a:solidFill>
                  <a:schemeClr val="lt1"/>
                </a:solidFill>
              </a:ln>
              <a:effectLst/>
            </c:spPr>
            <c:extLst>
              <c:ext xmlns:c16="http://schemas.microsoft.com/office/drawing/2014/chart" uri="{C3380CC4-5D6E-409C-BE32-E72D297353CC}">
                <c16:uniqueId val="{00000005-BAEB-45D2-B707-2ECCC954437A}"/>
              </c:ext>
            </c:extLst>
          </c:dPt>
          <c:dPt>
            <c:idx val="3"/>
            <c:bubble3D val="0"/>
            <c:spPr>
              <a:solidFill>
                <a:srgbClr val="E4F5F8"/>
              </a:solidFill>
              <a:ln w="19050">
                <a:solidFill>
                  <a:srgbClr val="E4F5F8"/>
                </a:solidFill>
              </a:ln>
              <a:effectLst/>
            </c:spPr>
            <c:extLst>
              <c:ext xmlns:c16="http://schemas.microsoft.com/office/drawing/2014/chart" uri="{C3380CC4-5D6E-409C-BE32-E72D297353CC}">
                <c16:uniqueId val="{00000007-BAEB-45D2-B707-2ECCC954437A}"/>
              </c:ext>
            </c:extLst>
          </c:dPt>
          <c:dPt>
            <c:idx val="4"/>
            <c:bubble3D val="0"/>
            <c:spPr>
              <a:solidFill>
                <a:srgbClr val="C7D5F1"/>
              </a:solidFill>
              <a:ln w="19050">
                <a:solidFill>
                  <a:srgbClr val="C7D5F1"/>
                </a:solidFill>
              </a:ln>
              <a:effectLst/>
            </c:spPr>
            <c:extLst>
              <c:ext xmlns:c16="http://schemas.microsoft.com/office/drawing/2014/chart" uri="{C3380CC4-5D6E-409C-BE32-E72D297353CC}">
                <c16:uniqueId val="{00000009-BAEB-45D2-B707-2ECCC954437A}"/>
              </c:ext>
            </c:extLst>
          </c:dPt>
          <c:dPt>
            <c:idx val="5"/>
            <c:bubble3D val="0"/>
            <c:spPr>
              <a:solidFill>
                <a:srgbClr val="3366CC"/>
              </a:solidFill>
              <a:ln w="19050">
                <a:solidFill>
                  <a:schemeClr val="lt1"/>
                </a:solidFill>
              </a:ln>
              <a:effectLst/>
            </c:spPr>
            <c:extLst>
              <c:ext xmlns:c16="http://schemas.microsoft.com/office/drawing/2014/chart" uri="{C3380CC4-5D6E-409C-BE32-E72D297353CC}">
                <c16:uniqueId val="{0000000B-BAEB-45D2-B707-2ECCC954437A}"/>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dLblPos val="bestFit"/>
              <c:showLegendKey val="0"/>
              <c:showVal val="1"/>
              <c:showCatName val="0"/>
              <c:showSerName val="0"/>
              <c:showPercent val="0"/>
              <c:showBubbleSize val="0"/>
              <c:extLst>
                <c:ext xmlns:c16="http://schemas.microsoft.com/office/drawing/2014/chart" uri="{C3380CC4-5D6E-409C-BE32-E72D297353CC}">
                  <c16:uniqueId val="{00000001-BAEB-45D2-B707-2ECCC954437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 Pres'!$C$454:$C$459</c:f>
              <c:strCache>
                <c:ptCount val="6"/>
                <c:pt idx="0">
                  <c:v>Либерти</c:v>
                </c:pt>
                <c:pt idx="1">
                  <c:v>Голдраш</c:v>
                </c:pt>
                <c:pt idx="2">
                  <c:v>Флорина</c:v>
                </c:pt>
                <c:pt idx="3">
                  <c:v>Прикубанское</c:v>
                </c:pt>
                <c:pt idx="4">
                  <c:v>Семиренко</c:v>
                </c:pt>
                <c:pt idx="5">
                  <c:v>Другие</c:v>
                </c:pt>
              </c:strCache>
            </c:strRef>
          </c:cat>
          <c:val>
            <c:numRef>
              <c:f>'For Pres'!$F$454:$F$459</c:f>
              <c:numCache>
                <c:formatCode>#,##0</c:formatCode>
                <c:ptCount val="6"/>
                <c:pt idx="0">
                  <c:v>5974.609629999999</c:v>
                </c:pt>
                <c:pt idx="1">
                  <c:v>2084.1661499999996</c:v>
                </c:pt>
                <c:pt idx="2">
                  <c:v>972.61086999999998</c:v>
                </c:pt>
                <c:pt idx="3">
                  <c:v>833.66645999999992</c:v>
                </c:pt>
                <c:pt idx="4">
                  <c:v>555.77764000000002</c:v>
                </c:pt>
                <c:pt idx="5">
                  <c:v>3473.6102499999997</c:v>
                </c:pt>
              </c:numCache>
            </c:numRef>
          </c:val>
          <c:extLst>
            <c:ext xmlns:c16="http://schemas.microsoft.com/office/drawing/2014/chart" uri="{C3380CC4-5D6E-409C-BE32-E72D297353CC}">
              <c16:uniqueId val="{0000000C-BAEB-45D2-B707-2ECCC954437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'For Pres'!$I$358</c:f>
              <c:strCache>
                <c:ptCount val="1"/>
                <c:pt idx="0">
                  <c:v>Сортовое</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Pres'!$J$356:$L$356</c:f>
              <c:numCache>
                <c:formatCode>General</c:formatCode>
                <c:ptCount val="3"/>
                <c:pt idx="0">
                  <c:v>2016</c:v>
                </c:pt>
                <c:pt idx="1">
                  <c:v>2017</c:v>
                </c:pt>
                <c:pt idx="2">
                  <c:v>2018</c:v>
                </c:pt>
              </c:numCache>
            </c:numRef>
          </c:cat>
          <c:val>
            <c:numRef>
              <c:f>'For Pres'!$J$358:$L$358</c:f>
              <c:numCache>
                <c:formatCode>General</c:formatCode>
                <c:ptCount val="3"/>
                <c:pt idx="0">
                  <c:v>5.5</c:v>
                </c:pt>
                <c:pt idx="1">
                  <c:v>3.5</c:v>
                </c:pt>
                <c:pt idx="2">
                  <c:v>8.1999999999999993</c:v>
                </c:pt>
              </c:numCache>
            </c:numRef>
          </c:val>
          <c:extLst>
            <c:ext xmlns:c16="http://schemas.microsoft.com/office/drawing/2014/chart" uri="{C3380CC4-5D6E-409C-BE32-E72D297353CC}">
              <c16:uniqueId val="{00000000-9309-459F-9840-FAE7B486E133}"/>
            </c:ext>
          </c:extLst>
        </c:ser>
        <c:ser>
          <c:idx val="1"/>
          <c:order val="1"/>
          <c:tx>
            <c:strRef>
              <c:f>'For Pres'!$I$359</c:f>
              <c:strCache>
                <c:ptCount val="1"/>
                <c:pt idx="0">
                  <c:v>На переработку</c:v>
                </c:pt>
              </c:strCache>
            </c:strRef>
          </c:tx>
          <c:spPr>
            <a:solidFill>
              <a:srgbClr val="3366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Pres'!$J$356:$L$356</c:f>
              <c:numCache>
                <c:formatCode>General</c:formatCode>
                <c:ptCount val="3"/>
                <c:pt idx="0">
                  <c:v>2016</c:v>
                </c:pt>
                <c:pt idx="1">
                  <c:v>2017</c:v>
                </c:pt>
                <c:pt idx="2">
                  <c:v>2018</c:v>
                </c:pt>
              </c:numCache>
            </c:numRef>
          </c:cat>
          <c:val>
            <c:numRef>
              <c:f>'For Pres'!$J$359:$L$359</c:f>
              <c:numCache>
                <c:formatCode>General</c:formatCode>
                <c:ptCount val="3"/>
                <c:pt idx="0">
                  <c:v>2.4</c:v>
                </c:pt>
                <c:pt idx="1">
                  <c:v>3.7</c:v>
                </c:pt>
                <c:pt idx="2">
                  <c:v>5.6</c:v>
                </c:pt>
              </c:numCache>
            </c:numRef>
          </c:val>
          <c:extLst>
            <c:ext xmlns:c16="http://schemas.microsoft.com/office/drawing/2014/chart" uri="{C3380CC4-5D6E-409C-BE32-E72D297353CC}">
              <c16:uniqueId val="{00000001-9309-459F-9840-FAE7B486E133}"/>
            </c:ext>
          </c:extLst>
        </c:ser>
        <c:ser>
          <c:idx val="2"/>
          <c:order val="2"/>
          <c:tx>
            <c:strRef>
              <c:f>'For Pres'!$I$360</c:f>
              <c:strCache>
                <c:ptCount val="1"/>
                <c:pt idx="0">
                  <c:v>Прочее</c:v>
                </c:pt>
              </c:strCache>
            </c:strRef>
          </c:tx>
          <c:spPr>
            <a:solidFill>
              <a:srgbClr val="5F5F5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Pres'!$J$356:$L$356</c:f>
              <c:numCache>
                <c:formatCode>General</c:formatCode>
                <c:ptCount val="3"/>
                <c:pt idx="0">
                  <c:v>2016</c:v>
                </c:pt>
                <c:pt idx="1">
                  <c:v>2017</c:v>
                </c:pt>
                <c:pt idx="2">
                  <c:v>2018</c:v>
                </c:pt>
              </c:numCache>
            </c:numRef>
          </c:cat>
          <c:val>
            <c:numRef>
              <c:f>'For Pres'!$J$360:$L$360</c:f>
              <c:numCache>
                <c:formatCode>General</c:formatCode>
                <c:ptCount val="3"/>
                <c:pt idx="0">
                  <c:v>1</c:v>
                </c:pt>
                <c:pt idx="1">
                  <c:v>1.1000000000000001</c:v>
                </c:pt>
                <c:pt idx="2">
                  <c:v>1.2</c:v>
                </c:pt>
              </c:numCache>
            </c:numRef>
          </c:val>
          <c:extLst>
            <c:ext xmlns:c16="http://schemas.microsoft.com/office/drawing/2014/chart" uri="{C3380CC4-5D6E-409C-BE32-E72D297353CC}">
              <c16:uniqueId val="{00000002-9309-459F-9840-FAE7B486E133}"/>
            </c:ext>
          </c:extLst>
        </c:ser>
        <c:dLbls>
          <c:showLegendKey val="0"/>
          <c:showVal val="1"/>
          <c:showCatName val="0"/>
          <c:showSerName val="0"/>
          <c:showPercent val="0"/>
          <c:showBubbleSize val="0"/>
        </c:dLbls>
        <c:gapWidth val="150"/>
        <c:overlap val="100"/>
        <c:axId val="90753664"/>
        <c:axId val="90648960"/>
      </c:barChart>
      <c:catAx>
        <c:axId val="9075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90648960"/>
        <c:crosses val="autoZero"/>
        <c:auto val="1"/>
        <c:lblAlgn val="ctr"/>
        <c:lblOffset val="100"/>
        <c:noMultiLvlLbl val="0"/>
      </c:catAx>
      <c:valAx>
        <c:axId val="90648960"/>
        <c:scaling>
          <c:orientation val="minMax"/>
        </c:scaling>
        <c:delete val="1"/>
        <c:axPos val="l"/>
        <c:numFmt formatCode="General" sourceLinked="1"/>
        <c:majorTickMark val="none"/>
        <c:minorTickMark val="none"/>
        <c:tickLblPos val="none"/>
        <c:crossAx val="90753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'For Pres'!$C$481</c:f>
              <c:strCache>
                <c:ptCount val="1"/>
                <c:pt idx="0">
                  <c:v>Урожайность, т/га</c:v>
                </c:pt>
              </c:strCache>
            </c:strRef>
          </c:tx>
          <c:spPr>
            <a:ln w="28575" cap="rnd">
              <a:solidFill>
                <a:srgbClr val="5F5F5F"/>
              </a:solidFill>
              <a:round/>
            </a:ln>
            <a:effectLst/>
          </c:spPr>
          <c:marker>
            <c:symbol val="circle"/>
            <c:size val="8"/>
            <c:spPr>
              <a:solidFill>
                <a:srgbClr val="5F5F5F"/>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Pres'!$F$479:$H$479</c:f>
              <c:numCache>
                <c:formatCode>General</c:formatCode>
                <c:ptCount val="3"/>
                <c:pt idx="0">
                  <c:v>2018</c:v>
                </c:pt>
                <c:pt idx="1">
                  <c:v>2021</c:v>
                </c:pt>
                <c:pt idx="2">
                  <c:v>2023</c:v>
                </c:pt>
              </c:numCache>
            </c:numRef>
          </c:cat>
          <c:val>
            <c:numRef>
              <c:f>'For Pres'!$F$481:$H$481</c:f>
              <c:numCache>
                <c:formatCode>0.0</c:formatCode>
                <c:ptCount val="3"/>
                <c:pt idx="0">
                  <c:v>14.3</c:v>
                </c:pt>
                <c:pt idx="1">
                  <c:v>21.2</c:v>
                </c:pt>
                <c:pt idx="2">
                  <c:v>22.5</c:v>
                </c:pt>
              </c:numCache>
            </c:numRef>
          </c:val>
          <c:smooth val="0"/>
          <c:extLst>
            <c:ext xmlns:c16="http://schemas.microsoft.com/office/drawing/2014/chart" uri="{C3380CC4-5D6E-409C-BE32-E72D297353CC}">
              <c16:uniqueId val="{00000000-23C9-4F00-8C90-DD2D22031A09}"/>
            </c:ext>
          </c:extLst>
        </c:ser>
        <c:dLbls>
          <c:showLegendKey val="0"/>
          <c:showVal val="0"/>
          <c:showCatName val="0"/>
          <c:showSerName val="0"/>
          <c:showPercent val="0"/>
          <c:showBubbleSize val="0"/>
        </c:dLbls>
        <c:marker val="1"/>
        <c:smooth val="0"/>
        <c:axId val="90673536"/>
        <c:axId val="90675072"/>
      </c:lineChart>
      <c:catAx>
        <c:axId val="90673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90675072"/>
        <c:crosses val="autoZero"/>
        <c:auto val="1"/>
        <c:lblAlgn val="ctr"/>
        <c:lblOffset val="100"/>
        <c:noMultiLvlLbl val="0"/>
      </c:catAx>
      <c:valAx>
        <c:axId val="9067507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906735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68413174398734E-2"/>
          <c:y val="0.16017096974281889"/>
          <c:w val="0.54717684849925652"/>
          <c:h val="0.68906793972227309"/>
        </c:manualLayout>
      </c:layout>
      <c:doughnutChart>
        <c:varyColors val="1"/>
        <c:ser>
          <c:idx val="0"/>
          <c:order val="0"/>
          <c:spPr>
            <a:solidFill>
              <a:srgbClr val="000096"/>
            </a:solidFill>
          </c:spPr>
          <c:dPt>
            <c:idx val="0"/>
            <c:bubble3D val="0"/>
            <c:spPr>
              <a:solidFill>
                <a:srgbClr val="000096"/>
              </a:solidFill>
              <a:ln w="19050">
                <a:solidFill>
                  <a:schemeClr val="lt1"/>
                </a:solidFill>
              </a:ln>
              <a:effectLst/>
            </c:spPr>
            <c:extLst>
              <c:ext xmlns:c16="http://schemas.microsoft.com/office/drawing/2014/chart" uri="{C3380CC4-5D6E-409C-BE32-E72D297353CC}">
                <c16:uniqueId val="{00000001-C392-4868-B5A1-2C9BC386DB5F}"/>
              </c:ext>
            </c:extLst>
          </c:dPt>
          <c:dPt>
            <c:idx val="1"/>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3-C392-4868-B5A1-2C9BC386DB5F}"/>
              </c:ext>
            </c:extLst>
          </c:dPt>
          <c:dPt>
            <c:idx val="2"/>
            <c:bubble3D val="0"/>
            <c:spPr>
              <a:solidFill>
                <a:srgbClr val="3366CC"/>
              </a:solidFill>
              <a:ln w="19050">
                <a:solidFill>
                  <a:schemeClr val="lt1"/>
                </a:solidFill>
              </a:ln>
              <a:effectLst/>
            </c:spPr>
            <c:extLst>
              <c:ext xmlns:c16="http://schemas.microsoft.com/office/drawing/2014/chart" uri="{C3380CC4-5D6E-409C-BE32-E72D297353CC}">
                <c16:uniqueId val="{00000005-C392-4868-B5A1-2C9BC386DB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 Pres'!$C$469:$C$471</c:f>
              <c:strCache>
                <c:ptCount val="3"/>
                <c:pt idx="0">
                  <c:v>Яблоки</c:v>
                </c:pt>
                <c:pt idx="1">
                  <c:v>Земляника</c:v>
                </c:pt>
                <c:pt idx="2">
                  <c:v>Слива</c:v>
                </c:pt>
              </c:strCache>
            </c:strRef>
          </c:cat>
          <c:val>
            <c:numRef>
              <c:f>'For Pres'!$F$469:$F$471</c:f>
              <c:numCache>
                <c:formatCode>#,##0</c:formatCode>
                <c:ptCount val="3"/>
                <c:pt idx="0" formatCode="General">
                  <c:v>4358.9999999999991</c:v>
                </c:pt>
                <c:pt idx="1">
                  <c:v>73</c:v>
                </c:pt>
                <c:pt idx="2">
                  <c:v>291</c:v>
                </c:pt>
              </c:numCache>
            </c:numRef>
          </c:val>
          <c:extLst>
            <c:ext xmlns:c16="http://schemas.microsoft.com/office/drawing/2014/chart" uri="{C3380CC4-5D6E-409C-BE32-E72D297353CC}">
              <c16:uniqueId val="{00000006-C392-4868-B5A1-2C9BC386DB5F}"/>
            </c:ext>
          </c:extLst>
        </c:ser>
        <c:dLbls>
          <c:showLegendKey val="0"/>
          <c:showVal val="0"/>
          <c:showCatName val="0"/>
          <c:showSerName val="0"/>
          <c:showPercent val="0"/>
          <c:showBubbleSize val="0"/>
          <c:showLeaderLines val="1"/>
        </c:dLbls>
        <c:firstSliceAng val="94"/>
        <c:holeSize val="51"/>
      </c:doughnutChart>
      <c:spPr>
        <a:noFill/>
        <a:ln>
          <a:noFill/>
        </a:ln>
        <a:effectLst/>
      </c:spPr>
    </c:plotArea>
    <c:legend>
      <c:legendPos val="l"/>
      <c:layout>
        <c:manualLayout>
          <c:xMode val="edge"/>
          <c:yMode val="edge"/>
          <c:x val="0.52469325857604165"/>
          <c:y val="0.32495777337152237"/>
          <c:w val="0.24011325774750086"/>
          <c:h val="0.446288664881738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68413174398734E-2"/>
          <c:y val="0.16017096974281889"/>
          <c:w val="0.54717684849925652"/>
          <c:h val="0.68906793972227309"/>
        </c:manualLayout>
      </c:layout>
      <c:doughnutChart>
        <c:varyColors val="1"/>
        <c:ser>
          <c:idx val="0"/>
          <c:order val="0"/>
          <c:dPt>
            <c:idx val="0"/>
            <c:bubble3D val="0"/>
            <c:spPr>
              <a:solidFill>
                <a:srgbClr val="000096"/>
              </a:solidFill>
              <a:ln w="19050">
                <a:solidFill>
                  <a:schemeClr val="lt1"/>
                </a:solidFill>
              </a:ln>
              <a:effectLst/>
            </c:spPr>
            <c:extLst>
              <c:ext xmlns:c16="http://schemas.microsoft.com/office/drawing/2014/chart" uri="{C3380CC4-5D6E-409C-BE32-E72D297353CC}">
                <c16:uniqueId val="{00000001-FF88-4832-A43D-77CE9964D1BF}"/>
              </c:ext>
            </c:extLst>
          </c:dPt>
          <c:dPt>
            <c:idx val="1"/>
            <c:bubble3D val="0"/>
            <c:spPr>
              <a:solidFill>
                <a:srgbClr val="E1A91D"/>
              </a:solidFill>
              <a:ln w="19050">
                <a:solidFill>
                  <a:schemeClr val="lt1"/>
                </a:solidFill>
              </a:ln>
              <a:effectLst/>
            </c:spPr>
            <c:extLst>
              <c:ext xmlns:c16="http://schemas.microsoft.com/office/drawing/2014/chart" uri="{C3380CC4-5D6E-409C-BE32-E72D297353CC}">
                <c16:uniqueId val="{00000003-FF88-4832-A43D-77CE9964D1B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F88-4832-A43D-77CE9964D1BF}"/>
              </c:ext>
            </c:extLst>
          </c:dPt>
          <c:dPt>
            <c:idx val="3"/>
            <c:bubble3D val="0"/>
            <c:spPr>
              <a:solidFill>
                <a:srgbClr val="3366CC"/>
              </a:solidFill>
              <a:ln w="19050">
                <a:solidFill>
                  <a:schemeClr val="lt1"/>
                </a:solidFill>
              </a:ln>
              <a:effectLst/>
            </c:spPr>
            <c:extLst>
              <c:ext xmlns:c16="http://schemas.microsoft.com/office/drawing/2014/chart" uri="{C3380CC4-5D6E-409C-BE32-E72D297353CC}">
                <c16:uniqueId val="{00000007-FF88-4832-A43D-77CE9964D1BF}"/>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1-FF88-4832-A43D-77CE9964D1BF}"/>
                </c:ext>
              </c:extLst>
            </c:dLbl>
            <c:dLbl>
              <c:idx val="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7-FF88-4832-A43D-77CE9964D1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 Pres'!$C$494:$C$497</c:f>
              <c:strCache>
                <c:ptCount val="4"/>
                <c:pt idx="0">
                  <c:v>Яблонивые сады</c:v>
                </c:pt>
                <c:pt idx="1">
                  <c:v>Прочие сады</c:v>
                </c:pt>
                <c:pt idx="2">
                  <c:v>Зерновые и подсолнечник</c:v>
                </c:pt>
                <c:pt idx="3">
                  <c:v>Под паром</c:v>
                </c:pt>
              </c:strCache>
            </c:strRef>
          </c:cat>
          <c:val>
            <c:numRef>
              <c:f>'For Pres'!$F$494:$F$497</c:f>
              <c:numCache>
                <c:formatCode>#,##0</c:formatCode>
                <c:ptCount val="4"/>
                <c:pt idx="0">
                  <c:v>959</c:v>
                </c:pt>
                <c:pt idx="1">
                  <c:v>109</c:v>
                </c:pt>
                <c:pt idx="2">
                  <c:v>398</c:v>
                </c:pt>
                <c:pt idx="3">
                  <c:v>242</c:v>
                </c:pt>
              </c:numCache>
            </c:numRef>
          </c:val>
          <c:extLst>
            <c:ext xmlns:c16="http://schemas.microsoft.com/office/drawing/2014/chart" uri="{C3380CC4-5D6E-409C-BE32-E72D297353CC}">
              <c16:uniqueId val="{00000008-FF88-4832-A43D-77CE9964D1BF}"/>
            </c:ext>
          </c:extLst>
        </c:ser>
        <c:dLbls>
          <c:showLegendKey val="0"/>
          <c:showVal val="0"/>
          <c:showCatName val="0"/>
          <c:showSerName val="0"/>
          <c:showPercent val="0"/>
          <c:showBubbleSize val="0"/>
          <c:showLeaderLines val="1"/>
        </c:dLbls>
        <c:firstSliceAng val="343"/>
        <c:holeSize val="51"/>
      </c:doughnutChart>
      <c:spPr>
        <a:noFill/>
        <a:ln>
          <a:noFill/>
        </a:ln>
        <a:effectLst/>
      </c:spPr>
    </c:plotArea>
    <c:legend>
      <c:legendPos val="l"/>
      <c:layout>
        <c:manualLayout>
          <c:xMode val="edge"/>
          <c:yMode val="edge"/>
          <c:x val="0.51839571873919521"/>
          <c:y val="0.24886462047965388"/>
          <c:w val="0.25086009013407962"/>
          <c:h val="0.5190400692350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'For Pres'!$C$69</c:f>
              <c:strCache>
                <c:ptCount val="1"/>
                <c:pt idx="0">
                  <c:v>Яблоко сортовое</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Pres'!$M$285:$U$285</c:f>
              <c:strCache>
                <c:ptCount val="9"/>
                <c:pt idx="0">
                  <c:v>2018</c:v>
                </c:pt>
                <c:pt idx="1">
                  <c:v>19/20</c:v>
                </c:pt>
                <c:pt idx="2">
                  <c:v>20/21</c:v>
                </c:pt>
                <c:pt idx="3">
                  <c:v>21/22</c:v>
                </c:pt>
                <c:pt idx="4">
                  <c:v>22/23</c:v>
                </c:pt>
                <c:pt idx="5">
                  <c:v>23/24</c:v>
                </c:pt>
                <c:pt idx="6">
                  <c:v>24/25</c:v>
                </c:pt>
                <c:pt idx="7">
                  <c:v>25/26</c:v>
                </c:pt>
                <c:pt idx="8">
                  <c:v>26/27</c:v>
                </c:pt>
              </c:strCache>
            </c:strRef>
          </c:cat>
          <c:val>
            <c:numRef>
              <c:f>'For Pres'!$F$69:$N$69</c:f>
              <c:numCache>
                <c:formatCode>0</c:formatCode>
                <c:ptCount val="9"/>
                <c:pt idx="0">
                  <c:v>333.70003800000001</c:v>
                </c:pt>
                <c:pt idx="1">
                  <c:v>493.93966507859926</c:v>
                </c:pt>
                <c:pt idx="2">
                  <c:v>614.85507635759268</c:v>
                </c:pt>
                <c:pt idx="3">
                  <c:v>753.89955218944294</c:v>
                </c:pt>
                <c:pt idx="4">
                  <c:v>809.12917273198832</c:v>
                </c:pt>
                <c:pt idx="5">
                  <c:v>861.42916443104468</c:v>
                </c:pt>
                <c:pt idx="6">
                  <c:v>906.523367379918</c:v>
                </c:pt>
                <c:pt idx="7">
                  <c:v>942.23840875993187</c:v>
                </c:pt>
                <c:pt idx="8">
                  <c:v>970.50556102272981</c:v>
                </c:pt>
              </c:numCache>
            </c:numRef>
          </c:val>
          <c:extLst>
            <c:ext xmlns:c16="http://schemas.microsoft.com/office/drawing/2014/chart" uri="{C3380CC4-5D6E-409C-BE32-E72D297353CC}">
              <c16:uniqueId val="{00000000-3015-46AB-97CA-AF2DE65F4E87}"/>
            </c:ext>
          </c:extLst>
        </c:ser>
        <c:ser>
          <c:idx val="1"/>
          <c:order val="1"/>
          <c:tx>
            <c:strRef>
              <c:f>'For Pres'!$C$70</c:f>
              <c:strCache>
                <c:ptCount val="1"/>
                <c:pt idx="0">
                  <c:v>Яблоко несортовое</c:v>
                </c:pt>
              </c:strCache>
            </c:strRef>
          </c:tx>
          <c:spPr>
            <a:solidFill>
              <a:srgbClr val="3366CC"/>
            </a:solidFill>
            <a:ln>
              <a:noFill/>
            </a:ln>
            <a:effectLst/>
          </c:spPr>
          <c:invertIfNegative val="0"/>
          <c:dLbls>
            <c:dLbl>
              <c:idx val="0"/>
              <c:layout>
                <c:manualLayout>
                  <c:x val="-1.5487380088635835E-17"/>
                  <c:y val="1.17771157658023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15-46AB-97CA-AF2DE65F4E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Pres'!$M$285:$U$285</c:f>
              <c:strCache>
                <c:ptCount val="9"/>
                <c:pt idx="0">
                  <c:v>2018</c:v>
                </c:pt>
                <c:pt idx="1">
                  <c:v>19/20</c:v>
                </c:pt>
                <c:pt idx="2">
                  <c:v>20/21</c:v>
                </c:pt>
                <c:pt idx="3">
                  <c:v>21/22</c:v>
                </c:pt>
                <c:pt idx="4">
                  <c:v>22/23</c:v>
                </c:pt>
                <c:pt idx="5">
                  <c:v>23/24</c:v>
                </c:pt>
                <c:pt idx="6">
                  <c:v>24/25</c:v>
                </c:pt>
                <c:pt idx="7">
                  <c:v>25/26</c:v>
                </c:pt>
                <c:pt idx="8">
                  <c:v>26/27</c:v>
                </c:pt>
              </c:strCache>
            </c:strRef>
          </c:cat>
          <c:val>
            <c:numRef>
              <c:f>'For Pres'!$F$70:$N$70</c:f>
              <c:numCache>
                <c:formatCode>0</c:formatCode>
                <c:ptCount val="9"/>
                <c:pt idx="0">
                  <c:v>25.479607000000001</c:v>
                </c:pt>
                <c:pt idx="1">
                  <c:v>55.436996774457228</c:v>
                </c:pt>
                <c:pt idx="2">
                  <c:v>61.15997108130383</c:v>
                </c:pt>
                <c:pt idx="3">
                  <c:v>59.686556072898242</c:v>
                </c:pt>
                <c:pt idx="4">
                  <c:v>64.05910919860851</c:v>
                </c:pt>
                <c:pt idx="5">
                  <c:v>68.199722332138322</c:v>
                </c:pt>
                <c:pt idx="6">
                  <c:v>71.769850030256706</c:v>
                </c:pt>
                <c:pt idx="7">
                  <c:v>74.597425419820539</c:v>
                </c:pt>
                <c:pt idx="8">
                  <c:v>76.835348182415174</c:v>
                </c:pt>
              </c:numCache>
            </c:numRef>
          </c:val>
          <c:extLst>
            <c:ext xmlns:c16="http://schemas.microsoft.com/office/drawing/2014/chart" uri="{C3380CC4-5D6E-409C-BE32-E72D297353CC}">
              <c16:uniqueId val="{00000002-3015-46AB-97CA-AF2DE65F4E87}"/>
            </c:ext>
          </c:extLst>
        </c:ser>
        <c:ser>
          <c:idx val="2"/>
          <c:order val="2"/>
          <c:tx>
            <c:strRef>
              <c:f>'For Pres'!$C$71</c:f>
              <c:strCache>
                <c:ptCount val="1"/>
                <c:pt idx="0">
                  <c:v>Прочие культуры</c:v>
                </c:pt>
              </c:strCache>
            </c:strRef>
          </c:tx>
          <c:spPr>
            <a:solidFill>
              <a:schemeClr val="accent3"/>
            </a:solidFill>
            <a:ln>
              <a:noFill/>
            </a:ln>
            <a:effectLst/>
          </c:spPr>
          <c:invertIfNegative val="0"/>
          <c:dLbls>
            <c:dLbl>
              <c:idx val="0"/>
              <c:layout>
                <c:manualLayout>
                  <c:x val="-1.5487380088635835E-17"/>
                  <c:y val="-2.9442789414505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15-46AB-97CA-AF2DE65F4E87}"/>
                </c:ext>
              </c:extLst>
            </c:dLbl>
            <c:dLbl>
              <c:idx val="1"/>
              <c:layout>
                <c:manualLayout>
                  <c:x val="0"/>
                  <c:y val="-2.79458071387236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15-46AB-97CA-AF2DE65F4E87}"/>
                </c:ext>
              </c:extLst>
            </c:dLbl>
            <c:dLbl>
              <c:idx val="2"/>
              <c:layout>
                <c:manualLayout>
                  <c:x val="-4.3486688465772365E-17"/>
                  <c:y val="-2.32881726156029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15-46AB-97CA-AF2DE65F4E87}"/>
                </c:ext>
              </c:extLst>
            </c:dLbl>
            <c:dLbl>
              <c:idx val="3"/>
              <c:layout>
                <c:manualLayout>
                  <c:x val="0"/>
                  <c:y val="-1.39729035693617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15-46AB-97CA-AF2DE65F4E87}"/>
                </c:ext>
              </c:extLst>
            </c:dLbl>
            <c:dLbl>
              <c:idx val="4"/>
              <c:layout>
                <c:manualLayout>
                  <c:x val="0"/>
                  <c:y val="-1.86305380924823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15-46AB-97CA-AF2DE65F4E87}"/>
                </c:ext>
              </c:extLst>
            </c:dLbl>
            <c:dLbl>
              <c:idx val="5"/>
              <c:layout>
                <c:manualLayout>
                  <c:x val="0"/>
                  <c:y val="-1.3972903569361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015-46AB-97CA-AF2DE65F4E87}"/>
                </c:ext>
              </c:extLst>
            </c:dLbl>
            <c:dLbl>
              <c:idx val="6"/>
              <c:layout>
                <c:manualLayout>
                  <c:x val="0"/>
                  <c:y val="-1.39729035693617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015-46AB-97CA-AF2DE65F4E87}"/>
                </c:ext>
              </c:extLst>
            </c:dLbl>
            <c:dLbl>
              <c:idx val="7"/>
              <c:layout>
                <c:manualLayout>
                  <c:x val="0"/>
                  <c:y val="-1.39729035693617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015-46AB-97CA-AF2DE65F4E87}"/>
                </c:ext>
              </c:extLst>
            </c:dLbl>
            <c:dLbl>
              <c:idx val="8"/>
              <c:layout>
                <c:manualLayout>
                  <c:x val="-1.7394675386308973E-16"/>
                  <c:y val="-1.39729035693617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15-46AB-97CA-AF2DE65F4E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Pres'!$M$285:$U$285</c:f>
              <c:strCache>
                <c:ptCount val="9"/>
                <c:pt idx="0">
                  <c:v>2018</c:v>
                </c:pt>
                <c:pt idx="1">
                  <c:v>19/20</c:v>
                </c:pt>
                <c:pt idx="2">
                  <c:v>20/21</c:v>
                </c:pt>
                <c:pt idx="3">
                  <c:v>21/22</c:v>
                </c:pt>
                <c:pt idx="4">
                  <c:v>22/23</c:v>
                </c:pt>
                <c:pt idx="5">
                  <c:v>23/24</c:v>
                </c:pt>
                <c:pt idx="6">
                  <c:v>24/25</c:v>
                </c:pt>
                <c:pt idx="7">
                  <c:v>25/26</c:v>
                </c:pt>
                <c:pt idx="8">
                  <c:v>26/27</c:v>
                </c:pt>
              </c:strCache>
            </c:strRef>
          </c:cat>
          <c:val>
            <c:numRef>
              <c:f>'For Pres'!$F$71:$N$71</c:f>
              <c:numCache>
                <c:formatCode>0</c:formatCode>
                <c:ptCount val="9"/>
                <c:pt idx="0">
                  <c:v>14.169227999999999</c:v>
                </c:pt>
                <c:pt idx="1">
                  <c:v>22.781614000000001</c:v>
                </c:pt>
                <c:pt idx="2">
                  <c:v>28.033069000415431</c:v>
                </c:pt>
                <c:pt idx="3">
                  <c:v>33.737881423059854</c:v>
                </c:pt>
                <c:pt idx="4">
                  <c:v>36.209471150754453</c:v>
                </c:pt>
                <c:pt idx="5">
                  <c:v>38.549956581798178</c:v>
                </c:pt>
                <c:pt idx="6">
                  <c:v>40.567974589022278</c:v>
                </c:pt>
                <c:pt idx="7">
                  <c:v>42.166264212088414</c:v>
                </c:pt>
                <c:pt idx="8">
                  <c:v>43.431252138451057</c:v>
                </c:pt>
              </c:numCache>
            </c:numRef>
          </c:val>
          <c:extLst>
            <c:ext xmlns:c16="http://schemas.microsoft.com/office/drawing/2014/chart" uri="{C3380CC4-5D6E-409C-BE32-E72D297353CC}">
              <c16:uniqueId val="{0000000C-3015-46AB-97CA-AF2DE65F4E87}"/>
            </c:ext>
          </c:extLst>
        </c:ser>
        <c:dLbls>
          <c:showLegendKey val="0"/>
          <c:showVal val="1"/>
          <c:showCatName val="0"/>
          <c:showSerName val="0"/>
          <c:showPercent val="0"/>
          <c:showBubbleSize val="0"/>
        </c:dLbls>
        <c:gapWidth val="73"/>
        <c:overlap val="100"/>
        <c:axId val="88768896"/>
        <c:axId val="88770432"/>
      </c:barChart>
      <c:catAx>
        <c:axId val="88768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8770432"/>
        <c:crosses val="autoZero"/>
        <c:auto val="1"/>
        <c:lblAlgn val="ctr"/>
        <c:lblOffset val="100"/>
        <c:noMultiLvlLbl val="0"/>
      </c:catAx>
      <c:valAx>
        <c:axId val="887704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8768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68413174398734E-2"/>
          <c:y val="0.16017096974281889"/>
          <c:w val="0.54717684849925652"/>
          <c:h val="0.68906793972227309"/>
        </c:manualLayout>
      </c:layout>
      <c:doughnutChart>
        <c:varyColors val="1"/>
        <c:ser>
          <c:idx val="0"/>
          <c:order val="0"/>
          <c:dPt>
            <c:idx val="0"/>
            <c:bubble3D val="0"/>
            <c:spPr>
              <a:solidFill>
                <a:srgbClr val="000096"/>
              </a:solidFill>
              <a:ln w="19050">
                <a:solidFill>
                  <a:schemeClr val="lt1"/>
                </a:solidFill>
              </a:ln>
              <a:effectLst/>
            </c:spPr>
            <c:extLst>
              <c:ext xmlns:c16="http://schemas.microsoft.com/office/drawing/2014/chart" uri="{C3380CC4-5D6E-409C-BE32-E72D297353CC}">
                <c16:uniqueId val="{00000001-553A-4ABD-B7D7-7CAA2B2916C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53A-4ABD-B7D7-7CAA2B2916C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53A-4ABD-B7D7-7CAA2B2916C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53A-4ABD-B7D7-7CAA2B2916C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53A-4ABD-B7D7-7CAA2B2916C8}"/>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3A-4ABD-B7D7-7CAA2B2916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c:ext xmlns:c15="http://schemas.microsoft.com/office/drawing/2012/chart" uri="{CE6537A1-D6FC-4f65-9D91-7224C49458BB}"/>
            </c:extLst>
          </c:dLbls>
          <c:cat>
            <c:strRef>
              <c:f>'For Pres'!$C$462:$C$466</c:f>
              <c:strCache>
                <c:ptCount val="5"/>
                <c:pt idx="0">
                  <c:v>Яблоки</c:v>
                </c:pt>
                <c:pt idx="1">
                  <c:v>Груша</c:v>
                </c:pt>
                <c:pt idx="2">
                  <c:v>Слива</c:v>
                </c:pt>
                <c:pt idx="3">
                  <c:v>Черешня</c:v>
                </c:pt>
                <c:pt idx="4">
                  <c:v>Алыча</c:v>
                </c:pt>
              </c:strCache>
            </c:strRef>
          </c:cat>
          <c:val>
            <c:numRef>
              <c:f>'For Pres'!$F$462:$F$466</c:f>
              <c:numCache>
                <c:formatCode>#,##0</c:formatCode>
                <c:ptCount val="5"/>
                <c:pt idx="0">
                  <c:v>18005.782000000003</c:v>
                </c:pt>
                <c:pt idx="1">
                  <c:v>142</c:v>
                </c:pt>
                <c:pt idx="2">
                  <c:v>315.70699999999999</c:v>
                </c:pt>
                <c:pt idx="3">
                  <c:v>25.052999999999997</c:v>
                </c:pt>
                <c:pt idx="4">
                  <c:v>29.805</c:v>
                </c:pt>
              </c:numCache>
            </c:numRef>
          </c:val>
          <c:extLst>
            <c:ext xmlns:c16="http://schemas.microsoft.com/office/drawing/2014/chart" uri="{C3380CC4-5D6E-409C-BE32-E72D297353CC}">
              <c16:uniqueId val="{0000000A-553A-4ABD-B7D7-7CAA2B2916C8}"/>
            </c:ext>
          </c:extLst>
        </c:ser>
        <c:dLbls>
          <c:showLegendKey val="0"/>
          <c:showVal val="0"/>
          <c:showCatName val="0"/>
          <c:showSerName val="0"/>
          <c:showPercent val="0"/>
          <c:showBubbleSize val="0"/>
          <c:showLeaderLines val="1"/>
        </c:dLbls>
        <c:firstSliceAng val="94"/>
        <c:holeSize val="51"/>
      </c:doughnutChart>
      <c:spPr>
        <a:noFill/>
        <a:ln>
          <a:noFill/>
        </a:ln>
        <a:effectLst/>
      </c:spPr>
    </c:plotArea>
    <c:legend>
      <c:legendPos val="l"/>
      <c:layout>
        <c:manualLayout>
          <c:xMode val="edge"/>
          <c:yMode val="edge"/>
          <c:x val="0.50984812881737396"/>
          <c:y val="0.33051241095689365"/>
          <c:w val="0.24011325774750086"/>
          <c:h val="0.446288664881738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'For Pres'!$A$513</c:f>
              <c:strCache>
                <c:ptCount val="1"/>
                <c:pt idx="0">
                  <c:v>Промышленный на полном плодоношении</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Pres'!$N$285:$T$285</c:f>
              <c:strCache>
                <c:ptCount val="7"/>
                <c:pt idx="0">
                  <c:v>19/20</c:v>
                </c:pt>
                <c:pt idx="1">
                  <c:v>20/21</c:v>
                </c:pt>
                <c:pt idx="2">
                  <c:v>21/22</c:v>
                </c:pt>
                <c:pt idx="3">
                  <c:v>22/23</c:v>
                </c:pt>
                <c:pt idx="4">
                  <c:v>23/24</c:v>
                </c:pt>
                <c:pt idx="5">
                  <c:v>24/25</c:v>
                </c:pt>
                <c:pt idx="6">
                  <c:v>25/26</c:v>
                </c:pt>
              </c:strCache>
            </c:strRef>
          </c:cat>
          <c:val>
            <c:numRef>
              <c:f>'For Pres'!$F$513:$L$513</c:f>
              <c:numCache>
                <c:formatCode>General</c:formatCode>
                <c:ptCount val="7"/>
                <c:pt idx="0">
                  <c:v>321.5</c:v>
                </c:pt>
                <c:pt idx="1">
                  <c:v>385.2</c:v>
                </c:pt>
                <c:pt idx="2">
                  <c:v>627.4</c:v>
                </c:pt>
                <c:pt idx="3">
                  <c:v>702.3</c:v>
                </c:pt>
                <c:pt idx="4">
                  <c:v>702.3</c:v>
                </c:pt>
                <c:pt idx="5">
                  <c:v>869.4</c:v>
                </c:pt>
                <c:pt idx="6">
                  <c:v>968.5</c:v>
                </c:pt>
              </c:numCache>
            </c:numRef>
          </c:val>
          <c:extLst>
            <c:ext xmlns:c16="http://schemas.microsoft.com/office/drawing/2014/chart" uri="{C3380CC4-5D6E-409C-BE32-E72D297353CC}">
              <c16:uniqueId val="{00000000-0DC0-4FDA-8F3D-3D0F793DC020}"/>
            </c:ext>
          </c:extLst>
        </c:ser>
        <c:ser>
          <c:idx val="1"/>
          <c:order val="1"/>
          <c:tx>
            <c:strRef>
              <c:f>'For Pres'!$A$512</c:f>
              <c:strCache>
                <c:ptCount val="1"/>
                <c:pt idx="0">
                  <c:v>Промышленный до полного плодоношения</c:v>
                </c:pt>
              </c:strCache>
            </c:strRef>
          </c:tx>
          <c:spPr>
            <a:solidFill>
              <a:srgbClr val="3366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Pres'!$N$285:$T$285</c:f>
              <c:strCache>
                <c:ptCount val="7"/>
                <c:pt idx="0">
                  <c:v>19/20</c:v>
                </c:pt>
                <c:pt idx="1">
                  <c:v>20/21</c:v>
                </c:pt>
                <c:pt idx="2">
                  <c:v>21/22</c:v>
                </c:pt>
                <c:pt idx="3">
                  <c:v>22/23</c:v>
                </c:pt>
                <c:pt idx="4">
                  <c:v>23/24</c:v>
                </c:pt>
                <c:pt idx="5">
                  <c:v>24/25</c:v>
                </c:pt>
                <c:pt idx="6">
                  <c:v>25/26</c:v>
                </c:pt>
              </c:strCache>
            </c:strRef>
          </c:cat>
          <c:val>
            <c:numRef>
              <c:f>'For Pres'!$F$512:$K$512</c:f>
              <c:numCache>
                <c:formatCode>General</c:formatCode>
                <c:ptCount val="6"/>
                <c:pt idx="0">
                  <c:v>380.8</c:v>
                </c:pt>
                <c:pt idx="1">
                  <c:v>484.2</c:v>
                </c:pt>
                <c:pt idx="2">
                  <c:v>341.1</c:v>
                </c:pt>
                <c:pt idx="3">
                  <c:v>266.2</c:v>
                </c:pt>
                <c:pt idx="4">
                  <c:v>266.2</c:v>
                </c:pt>
                <c:pt idx="5">
                  <c:v>99.1</c:v>
                </c:pt>
              </c:numCache>
            </c:numRef>
          </c:val>
          <c:extLst>
            <c:ext xmlns:c16="http://schemas.microsoft.com/office/drawing/2014/chart" uri="{C3380CC4-5D6E-409C-BE32-E72D297353CC}">
              <c16:uniqueId val="{00000001-0DC0-4FDA-8F3D-3D0F793DC020}"/>
            </c:ext>
          </c:extLst>
        </c:ser>
        <c:ser>
          <c:idx val="0"/>
          <c:order val="2"/>
          <c:tx>
            <c:strRef>
              <c:f>'For Pres'!$A$511</c:f>
              <c:strCache>
                <c:ptCount val="1"/>
                <c:pt idx="0">
                  <c:v>Молодой сад</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Pres'!$N$285:$T$285</c:f>
              <c:strCache>
                <c:ptCount val="7"/>
                <c:pt idx="0">
                  <c:v>19/20</c:v>
                </c:pt>
                <c:pt idx="1">
                  <c:v>20/21</c:v>
                </c:pt>
                <c:pt idx="2">
                  <c:v>21/22</c:v>
                </c:pt>
                <c:pt idx="3">
                  <c:v>22/23</c:v>
                </c:pt>
                <c:pt idx="4">
                  <c:v>23/24</c:v>
                </c:pt>
                <c:pt idx="5">
                  <c:v>24/25</c:v>
                </c:pt>
                <c:pt idx="6">
                  <c:v>25/26</c:v>
                </c:pt>
              </c:strCache>
            </c:strRef>
          </c:cat>
          <c:val>
            <c:numRef>
              <c:f>'For Pres'!$F$511:$J$511</c:f>
              <c:numCache>
                <c:formatCode>General</c:formatCode>
                <c:ptCount val="5"/>
                <c:pt idx="0">
                  <c:v>266.2</c:v>
                </c:pt>
                <c:pt idx="1">
                  <c:v>99.1</c:v>
                </c:pt>
              </c:numCache>
            </c:numRef>
          </c:val>
          <c:extLst>
            <c:ext xmlns:c16="http://schemas.microsoft.com/office/drawing/2014/chart" uri="{C3380CC4-5D6E-409C-BE32-E72D297353CC}">
              <c16:uniqueId val="{00000002-0DC0-4FDA-8F3D-3D0F793DC020}"/>
            </c:ext>
          </c:extLst>
        </c:ser>
        <c:dLbls>
          <c:showLegendKey val="0"/>
          <c:showVal val="1"/>
          <c:showCatName val="0"/>
          <c:showSerName val="0"/>
          <c:showPercent val="0"/>
          <c:showBubbleSize val="0"/>
        </c:dLbls>
        <c:gapWidth val="90"/>
        <c:overlap val="100"/>
        <c:axId val="90949888"/>
        <c:axId val="90955776"/>
      </c:barChart>
      <c:catAx>
        <c:axId val="9094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90955776"/>
        <c:crosses val="autoZero"/>
        <c:auto val="1"/>
        <c:lblAlgn val="ctr"/>
        <c:lblOffset val="100"/>
        <c:noMultiLvlLbl val="0"/>
      </c:catAx>
      <c:valAx>
        <c:axId val="909557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9094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000096"/>
              </a:solidFill>
              <a:ln w="19050">
                <a:solidFill>
                  <a:schemeClr val="lt1"/>
                </a:solidFill>
              </a:ln>
              <a:effectLst/>
            </c:spPr>
            <c:extLst>
              <c:ext xmlns:c16="http://schemas.microsoft.com/office/drawing/2014/chart" uri="{C3380CC4-5D6E-409C-BE32-E72D297353CC}">
                <c16:uniqueId val="{00000001-0ED2-4BA1-ACAE-C03524E593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D2-4BA1-ACAE-C03524E5935D}"/>
              </c:ext>
            </c:extLst>
          </c:dPt>
          <c:dPt>
            <c:idx val="2"/>
            <c:bubble3D val="0"/>
            <c:spPr>
              <a:solidFill>
                <a:srgbClr val="3366CC"/>
              </a:solidFill>
              <a:ln w="19050">
                <a:solidFill>
                  <a:schemeClr val="lt1"/>
                </a:solidFill>
              </a:ln>
              <a:effectLst/>
            </c:spPr>
            <c:extLst>
              <c:ext xmlns:c16="http://schemas.microsoft.com/office/drawing/2014/chart" uri="{C3380CC4-5D6E-409C-BE32-E72D297353CC}">
                <c16:uniqueId val="{00000005-0ED2-4BA1-ACAE-C03524E5935D}"/>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1-0ED2-4BA1-ACAE-C03524E5935D}"/>
                </c:ext>
              </c:extLst>
            </c:dLbl>
            <c:dLbl>
              <c:idx val="1"/>
              <c:layout>
                <c:manualLayout>
                  <c:x val="-3.3590734952349974E-2"/>
                  <c:y val="0.120571246007444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D2-4BA1-ACAE-C03524E5935D}"/>
                </c:ext>
              </c:extLst>
            </c:dLbl>
            <c:dLbl>
              <c:idx val="2"/>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5-0ED2-4BA1-ACAE-C03524E593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 Pres'!$C$501:$C$503</c:f>
              <c:strCache>
                <c:ptCount val="3"/>
                <c:pt idx="0">
                  <c:v>Яблонивые сады</c:v>
                </c:pt>
                <c:pt idx="1">
                  <c:v>Прочие сады</c:v>
                </c:pt>
                <c:pt idx="2">
                  <c:v>Зерновые и подсолнечник</c:v>
                </c:pt>
              </c:strCache>
            </c:strRef>
          </c:cat>
          <c:val>
            <c:numRef>
              <c:f>'For Pres'!$F$501:$F$503</c:f>
              <c:numCache>
                <c:formatCode>#,##0</c:formatCode>
                <c:ptCount val="3"/>
                <c:pt idx="0">
                  <c:v>714</c:v>
                </c:pt>
                <c:pt idx="1">
                  <c:v>20</c:v>
                </c:pt>
                <c:pt idx="2">
                  <c:v>563</c:v>
                </c:pt>
              </c:numCache>
            </c:numRef>
          </c:val>
          <c:extLst>
            <c:ext xmlns:c16="http://schemas.microsoft.com/office/drawing/2014/chart" uri="{C3380CC4-5D6E-409C-BE32-E72D297353CC}">
              <c16:uniqueId val="{00000006-0ED2-4BA1-ACAE-C03524E5935D}"/>
            </c:ext>
          </c:extLst>
        </c:ser>
        <c:dLbls>
          <c:showLegendKey val="0"/>
          <c:showVal val="1"/>
          <c:showCatName val="0"/>
          <c:showSerName val="0"/>
          <c:showPercent val="0"/>
          <c:showBubbleSize val="0"/>
          <c:showLeaderLines val="1"/>
        </c:dLbls>
        <c:firstSliceAng val="343"/>
        <c:holeSize val="51"/>
      </c:doughnutChart>
      <c:spPr>
        <a:noFill/>
        <a:ln>
          <a:noFill/>
        </a:ln>
        <a:effectLst/>
      </c:spPr>
    </c:plotArea>
    <c:legend>
      <c:legendPos val="r"/>
      <c:layout>
        <c:manualLayout>
          <c:xMode val="edge"/>
          <c:yMode val="edge"/>
          <c:x val="0.603578386159761"/>
          <c:y val="0.2763671247525909"/>
          <c:w val="0.37681376464837674"/>
          <c:h val="0.48150379791199088"/>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87410678915085"/>
          <c:y val="0.11028315525802659"/>
          <c:w val="0.39442325097316533"/>
          <c:h val="0.74359601439903422"/>
        </c:manualLayout>
      </c:layout>
      <c:doughnutChart>
        <c:varyColors val="1"/>
        <c:ser>
          <c:idx val="0"/>
          <c:order val="0"/>
          <c:dPt>
            <c:idx val="0"/>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1-0B53-439D-9461-EAE8B1C208F9}"/>
              </c:ext>
            </c:extLst>
          </c:dPt>
          <c:dPt>
            <c:idx val="1"/>
            <c:bubble3D val="0"/>
            <c:spPr>
              <a:solidFill>
                <a:srgbClr val="3366CC"/>
              </a:solidFill>
              <a:ln w="19050">
                <a:solidFill>
                  <a:schemeClr val="lt1"/>
                </a:solidFill>
              </a:ln>
              <a:effectLst/>
            </c:spPr>
            <c:extLst>
              <c:ext xmlns:c16="http://schemas.microsoft.com/office/drawing/2014/chart" uri="{C3380CC4-5D6E-409C-BE32-E72D297353CC}">
                <c16:uniqueId val="{00000003-0B53-439D-9461-EAE8B1C208F9}"/>
              </c:ext>
            </c:extLst>
          </c:dPt>
          <c:dPt>
            <c:idx val="2"/>
            <c:bubble3D val="0"/>
            <c:spPr>
              <a:solidFill>
                <a:srgbClr val="000096"/>
              </a:solidFill>
              <a:ln w="19050">
                <a:solidFill>
                  <a:schemeClr val="lt1"/>
                </a:solidFill>
              </a:ln>
              <a:effectLst/>
            </c:spPr>
            <c:extLst>
              <c:ext xmlns:c16="http://schemas.microsoft.com/office/drawing/2014/chart" uri="{C3380CC4-5D6E-409C-BE32-E72D297353CC}">
                <c16:uniqueId val="{00000005-0B53-439D-9461-EAE8B1C208F9}"/>
              </c:ext>
            </c:extLst>
          </c:dPt>
          <c:dLbls>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3-0B53-439D-9461-EAE8B1C208F9}"/>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5-0B53-439D-9461-EAE8B1C208F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 Pres'!$C$308:$C$310</c:f>
              <c:strCache>
                <c:ptCount val="3"/>
                <c:pt idx="0">
                  <c:v>Молодой сад </c:v>
                </c:pt>
                <c:pt idx="1">
                  <c:v>Промышленный сад не вышедший на полное плодоношение</c:v>
                </c:pt>
                <c:pt idx="2">
                  <c:v>Промышленный сад на полном плодоношении</c:v>
                </c:pt>
              </c:strCache>
            </c:strRef>
          </c:cat>
          <c:val>
            <c:numRef>
              <c:f>'For Pres'!$F$308:$F$310</c:f>
              <c:numCache>
                <c:formatCode>0.0</c:formatCode>
                <c:ptCount val="3"/>
                <c:pt idx="0">
                  <c:v>342</c:v>
                </c:pt>
                <c:pt idx="1">
                  <c:v>200</c:v>
                </c:pt>
                <c:pt idx="2">
                  <c:v>154</c:v>
                </c:pt>
              </c:numCache>
            </c:numRef>
          </c:val>
          <c:extLst>
            <c:ext xmlns:c16="http://schemas.microsoft.com/office/drawing/2014/chart" uri="{C3380CC4-5D6E-409C-BE32-E72D297353CC}">
              <c16:uniqueId val="{00000006-0B53-439D-9461-EAE8B1C208F9}"/>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'For Pres'!$A$525</c:f>
              <c:strCache>
                <c:ptCount val="1"/>
                <c:pt idx="0">
                  <c:v>Промышленный на полном плодоношении</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Pres'!$N$285:$T$285</c:f>
              <c:strCache>
                <c:ptCount val="7"/>
                <c:pt idx="0">
                  <c:v>19/20</c:v>
                </c:pt>
                <c:pt idx="1">
                  <c:v>20/21</c:v>
                </c:pt>
                <c:pt idx="2">
                  <c:v>21/22</c:v>
                </c:pt>
                <c:pt idx="3">
                  <c:v>22/23</c:v>
                </c:pt>
                <c:pt idx="4">
                  <c:v>23/24</c:v>
                </c:pt>
                <c:pt idx="5">
                  <c:v>24/25</c:v>
                </c:pt>
                <c:pt idx="6">
                  <c:v>25/26</c:v>
                </c:pt>
              </c:strCache>
            </c:strRef>
          </c:cat>
          <c:val>
            <c:numRef>
              <c:f>'For Pres'!$F$525:$L$525</c:f>
              <c:numCache>
                <c:formatCode>0</c:formatCode>
                <c:ptCount val="7"/>
                <c:pt idx="0">
                  <c:v>475.5</c:v>
                </c:pt>
                <c:pt idx="1">
                  <c:v>539.20000000000005</c:v>
                </c:pt>
                <c:pt idx="2">
                  <c:v>781.4</c:v>
                </c:pt>
                <c:pt idx="3">
                  <c:v>856.3</c:v>
                </c:pt>
                <c:pt idx="4">
                  <c:v>1056.3</c:v>
                </c:pt>
                <c:pt idx="5">
                  <c:v>1345.4</c:v>
                </c:pt>
                <c:pt idx="6">
                  <c:v>1462.5</c:v>
                </c:pt>
              </c:numCache>
            </c:numRef>
          </c:val>
          <c:extLst>
            <c:ext xmlns:c16="http://schemas.microsoft.com/office/drawing/2014/chart" uri="{C3380CC4-5D6E-409C-BE32-E72D297353CC}">
              <c16:uniqueId val="{00000000-7EC5-4183-876A-400E495C0297}"/>
            </c:ext>
          </c:extLst>
        </c:ser>
        <c:ser>
          <c:idx val="1"/>
          <c:order val="1"/>
          <c:tx>
            <c:strRef>
              <c:f>'For Pres'!$A$512</c:f>
              <c:strCache>
                <c:ptCount val="1"/>
                <c:pt idx="0">
                  <c:v>Промышленный до полного плодоношения</c:v>
                </c:pt>
              </c:strCache>
            </c:strRef>
          </c:tx>
          <c:spPr>
            <a:solidFill>
              <a:srgbClr val="3366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Pres'!$N$285:$T$285</c:f>
              <c:strCache>
                <c:ptCount val="7"/>
                <c:pt idx="0">
                  <c:v>19/20</c:v>
                </c:pt>
                <c:pt idx="1">
                  <c:v>20/21</c:v>
                </c:pt>
                <c:pt idx="2">
                  <c:v>21/22</c:v>
                </c:pt>
                <c:pt idx="3">
                  <c:v>22/23</c:v>
                </c:pt>
                <c:pt idx="4">
                  <c:v>23/24</c:v>
                </c:pt>
                <c:pt idx="5">
                  <c:v>24/25</c:v>
                </c:pt>
                <c:pt idx="6">
                  <c:v>25/26</c:v>
                </c:pt>
              </c:strCache>
            </c:strRef>
          </c:cat>
          <c:val>
            <c:numRef>
              <c:f>'For Pres'!$F$524:$L$524</c:f>
              <c:numCache>
                <c:formatCode>0</c:formatCode>
                <c:ptCount val="7"/>
                <c:pt idx="0">
                  <c:v>580.79999999999995</c:v>
                </c:pt>
                <c:pt idx="1">
                  <c:v>806.2</c:v>
                </c:pt>
                <c:pt idx="2">
                  <c:v>681.1</c:v>
                </c:pt>
                <c:pt idx="3">
                  <c:v>808.2</c:v>
                </c:pt>
                <c:pt idx="4">
                  <c:v>608.20000000000005</c:v>
                </c:pt>
                <c:pt idx="5">
                  <c:v>319.10000000000002</c:v>
                </c:pt>
                <c:pt idx="6">
                  <c:v>202</c:v>
                </c:pt>
              </c:numCache>
            </c:numRef>
          </c:val>
          <c:extLst>
            <c:ext xmlns:c16="http://schemas.microsoft.com/office/drawing/2014/chart" uri="{C3380CC4-5D6E-409C-BE32-E72D297353CC}">
              <c16:uniqueId val="{00000001-7EC5-4183-876A-400E495C0297}"/>
            </c:ext>
          </c:extLst>
        </c:ser>
        <c:ser>
          <c:idx val="0"/>
          <c:order val="2"/>
          <c:tx>
            <c:strRef>
              <c:f>'For Pres'!$A$523</c:f>
              <c:strCache>
                <c:ptCount val="1"/>
                <c:pt idx="0">
                  <c:v>Молодой сад</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Pres'!$N$285:$T$285</c:f>
              <c:strCache>
                <c:ptCount val="7"/>
                <c:pt idx="0">
                  <c:v>19/20</c:v>
                </c:pt>
                <c:pt idx="1">
                  <c:v>20/21</c:v>
                </c:pt>
                <c:pt idx="2">
                  <c:v>21/22</c:v>
                </c:pt>
                <c:pt idx="3">
                  <c:v>22/23</c:v>
                </c:pt>
                <c:pt idx="4">
                  <c:v>23/24</c:v>
                </c:pt>
                <c:pt idx="5">
                  <c:v>24/25</c:v>
                </c:pt>
                <c:pt idx="6">
                  <c:v>25/26</c:v>
                </c:pt>
              </c:strCache>
            </c:strRef>
          </c:cat>
          <c:val>
            <c:numRef>
              <c:f>'For Pres'!$F$523:$J$523</c:f>
              <c:numCache>
                <c:formatCode>0</c:formatCode>
                <c:ptCount val="5"/>
                <c:pt idx="0">
                  <c:v>608.20000000000005</c:v>
                </c:pt>
                <c:pt idx="1">
                  <c:v>319.10000000000002</c:v>
                </c:pt>
                <c:pt idx="2">
                  <c:v>202</c:v>
                </c:pt>
              </c:numCache>
            </c:numRef>
          </c:val>
          <c:extLst>
            <c:ext xmlns:c16="http://schemas.microsoft.com/office/drawing/2014/chart" uri="{C3380CC4-5D6E-409C-BE32-E72D297353CC}">
              <c16:uniqueId val="{00000002-7EC5-4183-876A-400E495C0297}"/>
            </c:ext>
          </c:extLst>
        </c:ser>
        <c:dLbls>
          <c:showLegendKey val="0"/>
          <c:showVal val="1"/>
          <c:showCatName val="0"/>
          <c:showSerName val="0"/>
          <c:showPercent val="0"/>
          <c:showBubbleSize val="0"/>
        </c:dLbls>
        <c:gapWidth val="48"/>
        <c:overlap val="100"/>
        <c:axId val="87815680"/>
        <c:axId val="87817216"/>
      </c:barChart>
      <c:catAx>
        <c:axId val="8781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7817216"/>
        <c:crosses val="autoZero"/>
        <c:auto val="1"/>
        <c:lblAlgn val="ctr"/>
        <c:lblOffset val="100"/>
        <c:noMultiLvlLbl val="0"/>
      </c:catAx>
      <c:valAx>
        <c:axId val="8781721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7815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23057009062769"/>
          <c:y val="2.3924605309587194E-2"/>
          <c:w val="0.80608157387406221"/>
          <c:h val="0.9021135711821151"/>
        </c:manualLayout>
      </c:layout>
      <c:barChart>
        <c:barDir val="col"/>
        <c:grouping val="clustered"/>
        <c:varyColors val="0"/>
        <c:ser>
          <c:idx val="0"/>
          <c:order val="0"/>
          <c:tx>
            <c:strRef>
              <c:f>'For Pres'!$F$197</c:f>
              <c:strCache>
                <c:ptCount val="1"/>
                <c:pt idx="0">
                  <c:v>Выручка</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Pres'!$N$285:$U$285</c:f>
              <c:strCache>
                <c:ptCount val="8"/>
                <c:pt idx="0">
                  <c:v>19/20</c:v>
                </c:pt>
                <c:pt idx="1">
                  <c:v>20/21</c:v>
                </c:pt>
                <c:pt idx="2">
                  <c:v>21/22</c:v>
                </c:pt>
                <c:pt idx="3">
                  <c:v>22/23</c:v>
                </c:pt>
                <c:pt idx="4">
                  <c:v>23/24</c:v>
                </c:pt>
                <c:pt idx="5">
                  <c:v>24/25</c:v>
                </c:pt>
                <c:pt idx="6">
                  <c:v>25/26</c:v>
                </c:pt>
                <c:pt idx="7">
                  <c:v>26/27</c:v>
                </c:pt>
              </c:strCache>
            </c:strRef>
          </c:cat>
          <c:val>
            <c:numRef>
              <c:f>'For Pres'!$G$197:$K$197</c:f>
              <c:numCache>
                <c:formatCode>#\ ##0_ ;\-#\ ##0\ </c:formatCode>
                <c:ptCount val="5"/>
                <c:pt idx="0">
                  <c:v>728.78742048995048</c:v>
                </c:pt>
                <c:pt idx="1">
                  <c:v>972.85155971182246</c:v>
                </c:pt>
                <c:pt idx="2">
                  <c:v>1150.4507508824158</c:v>
                </c:pt>
                <c:pt idx="3">
                  <c:v>1284.8844672557727</c:v>
                </c:pt>
                <c:pt idx="4">
                  <c:v>1404.3184994626531</c:v>
                </c:pt>
              </c:numCache>
            </c:numRef>
          </c:val>
          <c:extLst>
            <c:ext xmlns:c16="http://schemas.microsoft.com/office/drawing/2014/chart" uri="{C3380CC4-5D6E-409C-BE32-E72D297353CC}">
              <c16:uniqueId val="{00000000-8D2A-4090-976A-9B305AC92B40}"/>
            </c:ext>
          </c:extLst>
        </c:ser>
        <c:ser>
          <c:idx val="1"/>
          <c:order val="1"/>
          <c:tx>
            <c:strRef>
              <c:f>'For Pres'!$F$188</c:f>
              <c:strCache>
                <c:ptCount val="1"/>
                <c:pt idx="0">
                  <c:v>EBITDA</c:v>
                </c:pt>
              </c:strCache>
            </c:strRef>
          </c:tx>
          <c:spPr>
            <a:solidFill>
              <a:srgbClr val="3366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Pres'!$N$285:$U$285</c:f>
              <c:strCache>
                <c:ptCount val="8"/>
                <c:pt idx="0">
                  <c:v>19/20</c:v>
                </c:pt>
                <c:pt idx="1">
                  <c:v>20/21</c:v>
                </c:pt>
                <c:pt idx="2">
                  <c:v>21/22</c:v>
                </c:pt>
                <c:pt idx="3">
                  <c:v>22/23</c:v>
                </c:pt>
                <c:pt idx="4">
                  <c:v>23/24</c:v>
                </c:pt>
                <c:pt idx="5">
                  <c:v>24/25</c:v>
                </c:pt>
                <c:pt idx="6">
                  <c:v>25/26</c:v>
                </c:pt>
                <c:pt idx="7">
                  <c:v>26/27</c:v>
                </c:pt>
              </c:strCache>
            </c:strRef>
          </c:cat>
          <c:val>
            <c:numRef>
              <c:f>'For Pres'!$G$198:$K$198</c:f>
              <c:numCache>
                <c:formatCode>#\ ##0_ ;\-#\ ##0\ </c:formatCode>
                <c:ptCount val="5"/>
                <c:pt idx="0">
                  <c:v>315.08579039585413</c:v>
                </c:pt>
                <c:pt idx="1">
                  <c:v>437.27591317903284</c:v>
                </c:pt>
                <c:pt idx="2">
                  <c:v>548.92793393460374</c:v>
                </c:pt>
                <c:pt idx="3">
                  <c:v>613.09821477836977</c:v>
                </c:pt>
                <c:pt idx="4">
                  <c:v>669.94639397286062</c:v>
                </c:pt>
              </c:numCache>
            </c:numRef>
          </c:val>
          <c:extLst>
            <c:ext xmlns:c16="http://schemas.microsoft.com/office/drawing/2014/chart" uri="{C3380CC4-5D6E-409C-BE32-E72D297353CC}">
              <c16:uniqueId val="{00000001-8D2A-4090-976A-9B305AC92B40}"/>
            </c:ext>
          </c:extLst>
        </c:ser>
        <c:dLbls>
          <c:showLegendKey val="0"/>
          <c:showVal val="1"/>
          <c:showCatName val="0"/>
          <c:showSerName val="0"/>
          <c:showPercent val="0"/>
          <c:showBubbleSize val="0"/>
        </c:dLbls>
        <c:gapWidth val="73"/>
        <c:overlap val="-11"/>
        <c:axId val="91169536"/>
        <c:axId val="91171072"/>
      </c:barChart>
      <c:lineChart>
        <c:grouping val="standard"/>
        <c:varyColors val="0"/>
        <c:ser>
          <c:idx val="2"/>
          <c:order val="2"/>
          <c:tx>
            <c:strRef>
              <c:f>'For Pres'!$F$199</c:f>
              <c:strCache>
                <c:ptCount val="1"/>
                <c:pt idx="0">
                  <c:v>EBITDA маржа,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dLbl>
              <c:idx val="2"/>
              <c:layout>
                <c:manualLayout>
                  <c:x val="-1.908365880321428E-2"/>
                  <c:y val="4.7914107189036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2A-4090-976A-9B305AC92B40}"/>
                </c:ext>
              </c:extLst>
            </c:dLbl>
            <c:dLbl>
              <c:idx val="3"/>
              <c:layout>
                <c:manualLayout>
                  <c:x val="-4.770914700803542E-2"/>
                  <c:y val="3.9202451336484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2A-4090-976A-9B305AC92B40}"/>
                </c:ext>
              </c:extLst>
            </c:dLbl>
            <c:dLbl>
              <c:idx val="4"/>
              <c:layout>
                <c:manualLayout>
                  <c:x val="-5.4070366609106822E-2"/>
                  <c:y val="3.9202451336484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2A-4090-976A-9B305AC92B4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Pres'!$G$199:$K$199</c:f>
              <c:numCache>
                <c:formatCode>0%</c:formatCode>
                <c:ptCount val="5"/>
                <c:pt idx="0">
                  <c:v>0.43234252065441486</c:v>
                </c:pt>
                <c:pt idx="1">
                  <c:v>0.44947855488720445</c:v>
                </c:pt>
                <c:pt idx="2">
                  <c:v>0.47714161906849678</c:v>
                </c:pt>
                <c:pt idx="3">
                  <c:v>0.47716213434178334</c:v>
                </c:pt>
                <c:pt idx="4">
                  <c:v>0.47706157415800488</c:v>
                </c:pt>
              </c:numCache>
            </c:numRef>
          </c:val>
          <c:smooth val="0"/>
          <c:extLst>
            <c:ext xmlns:c16="http://schemas.microsoft.com/office/drawing/2014/chart" uri="{C3380CC4-5D6E-409C-BE32-E72D297353CC}">
              <c16:uniqueId val="{00000005-8D2A-4090-976A-9B305AC92B40}"/>
            </c:ext>
          </c:extLst>
        </c:ser>
        <c:dLbls>
          <c:showLegendKey val="0"/>
          <c:showVal val="1"/>
          <c:showCatName val="0"/>
          <c:showSerName val="0"/>
          <c:showPercent val="0"/>
          <c:showBubbleSize val="0"/>
        </c:dLbls>
        <c:marker val="1"/>
        <c:smooth val="0"/>
        <c:axId val="91182592"/>
        <c:axId val="91181056"/>
      </c:lineChart>
      <c:catAx>
        <c:axId val="9116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91171072"/>
        <c:crosses val="autoZero"/>
        <c:auto val="1"/>
        <c:lblAlgn val="ctr"/>
        <c:lblOffset val="100"/>
        <c:noMultiLvlLbl val="0"/>
      </c:catAx>
      <c:valAx>
        <c:axId val="91171072"/>
        <c:scaling>
          <c:orientation val="minMax"/>
          <c:max val="2100"/>
        </c:scaling>
        <c:delete val="0"/>
        <c:axPos val="l"/>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91169536"/>
        <c:crosses val="autoZero"/>
        <c:crossBetween val="between"/>
      </c:valAx>
      <c:valAx>
        <c:axId val="91181056"/>
        <c:scaling>
          <c:orientation val="minMax"/>
          <c:min val="0.3500000000000003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0"/>
          <a:lstStyle/>
          <a:p>
            <a:pPr>
              <a:defRPr sz="900" b="0" i="0" u="none" strike="noStrike" kern="1200" baseline="0">
                <a:solidFill>
                  <a:schemeClr val="bg1"/>
                </a:solidFill>
                <a:latin typeface="+mn-lt"/>
                <a:ea typeface="+mn-ea"/>
                <a:cs typeface="+mn-cs"/>
              </a:defRPr>
            </a:pPr>
            <a:endParaRPr lang="ru-RU"/>
          </a:p>
        </c:txPr>
        <c:crossAx val="91182592"/>
        <c:crosses val="max"/>
        <c:crossBetween val="between"/>
      </c:valAx>
      <c:catAx>
        <c:axId val="91182592"/>
        <c:scaling>
          <c:orientation val="minMax"/>
        </c:scaling>
        <c:delete val="1"/>
        <c:axPos val="b"/>
        <c:majorTickMark val="out"/>
        <c:minorTickMark val="none"/>
        <c:tickLblPos val="none"/>
        <c:crossAx val="91181056"/>
        <c:crosses val="autoZero"/>
        <c:auto val="1"/>
        <c:lblAlgn val="ctr"/>
        <c:lblOffset val="100"/>
        <c:noMultiLvlLbl val="0"/>
      </c:catAx>
      <c:spPr>
        <a:noFill/>
        <a:ln>
          <a:noFill/>
        </a:ln>
        <a:effectLst/>
      </c:spPr>
    </c:plotArea>
    <c:legend>
      <c:legendPos val="b"/>
      <c:layout>
        <c:manualLayout>
          <c:xMode val="edge"/>
          <c:yMode val="edge"/>
          <c:x val="0.2060831134491399"/>
          <c:y val="0.87241943512345665"/>
          <c:w val="0.58783377310171958"/>
          <c:h val="6.79426321996535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'For Pres'!$F$260</c:f>
              <c:strCache>
                <c:ptCount val="1"/>
                <c:pt idx="0">
                  <c:v>Интеринвест</c:v>
                </c:pt>
              </c:strCache>
            </c:strRef>
          </c:tx>
          <c:spPr>
            <a:ln w="28575" cap="rnd">
              <a:solidFill>
                <a:srgbClr val="000096"/>
              </a:solidFill>
              <a:round/>
            </a:ln>
            <a:effectLst/>
          </c:spPr>
          <c:marker>
            <c:symbol val="circle"/>
            <c:size val="5"/>
            <c:spPr>
              <a:solidFill>
                <a:srgbClr val="000096"/>
              </a:solidFill>
              <a:ln w="9525">
                <a:solidFill>
                  <a:srgbClr val="00009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Pres'!$L$285:$R$285</c:f>
              <c:strCache>
                <c:ptCount val="7"/>
                <c:pt idx="0">
                  <c:v>2017</c:v>
                </c:pt>
                <c:pt idx="1">
                  <c:v>2018</c:v>
                </c:pt>
                <c:pt idx="2">
                  <c:v>19/20</c:v>
                </c:pt>
                <c:pt idx="3">
                  <c:v>20/21</c:v>
                </c:pt>
                <c:pt idx="4">
                  <c:v>21/22</c:v>
                </c:pt>
                <c:pt idx="5">
                  <c:v>22/23</c:v>
                </c:pt>
                <c:pt idx="6">
                  <c:v>23/24</c:v>
                </c:pt>
              </c:strCache>
            </c:strRef>
          </c:cat>
          <c:val>
            <c:numRef>
              <c:f>'For Pres'!$G$278:$M$278</c:f>
              <c:numCache>
                <c:formatCode>0.0</c:formatCode>
                <c:ptCount val="7"/>
                <c:pt idx="0">
                  <c:v>6.2750000000000004</c:v>
                </c:pt>
                <c:pt idx="1">
                  <c:v>10.443943221460366</c:v>
                </c:pt>
                <c:pt idx="2">
                  <c:v>13.460654787559111</c:v>
                </c:pt>
                <c:pt idx="3">
                  <c:v>17.090262525460556</c:v>
                </c:pt>
                <c:pt idx="4">
                  <c:v>18.586046787610062</c:v>
                </c:pt>
                <c:pt idx="5">
                  <c:v>20.074317814770705</c:v>
                </c:pt>
                <c:pt idx="6">
                  <c:v>21.117673712071294</c:v>
                </c:pt>
              </c:numCache>
            </c:numRef>
          </c:val>
          <c:smooth val="0"/>
          <c:extLst>
            <c:ext xmlns:c16="http://schemas.microsoft.com/office/drawing/2014/chart" uri="{C3380CC4-5D6E-409C-BE32-E72D297353CC}">
              <c16:uniqueId val="{00000000-EAC2-47E3-92E0-E6F479581139}"/>
            </c:ext>
          </c:extLst>
        </c:ser>
        <c:dLbls>
          <c:showLegendKey val="0"/>
          <c:showVal val="1"/>
          <c:showCatName val="0"/>
          <c:showSerName val="0"/>
          <c:showPercent val="0"/>
          <c:showBubbleSize val="0"/>
        </c:dLbls>
        <c:marker val="1"/>
        <c:smooth val="0"/>
        <c:axId val="91207168"/>
        <c:axId val="91208704"/>
      </c:lineChart>
      <c:catAx>
        <c:axId val="9120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91208704"/>
        <c:crosses val="autoZero"/>
        <c:auto val="1"/>
        <c:lblAlgn val="ctr"/>
        <c:lblOffset val="100"/>
        <c:noMultiLvlLbl val="0"/>
      </c:catAx>
      <c:valAx>
        <c:axId val="91208704"/>
        <c:scaling>
          <c:orientation val="minMax"/>
          <c:max val="7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91207168"/>
        <c:crosses val="autoZero"/>
        <c:crossBetween val="between"/>
      </c:valAx>
      <c:spPr>
        <a:noFill/>
        <a:ln>
          <a:noFill/>
        </a:ln>
        <a:effectLst/>
      </c:spPr>
    </c:plotArea>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87410678915085"/>
          <c:y val="0.11028315525802659"/>
          <c:w val="0.39442325097316533"/>
          <c:h val="0.74359601439903422"/>
        </c:manualLayout>
      </c:layout>
      <c:doughnutChart>
        <c:varyColors val="1"/>
        <c:ser>
          <c:idx val="0"/>
          <c:order val="0"/>
          <c:spPr>
            <a:solidFill>
              <a:schemeClr val="bg2">
                <a:lumMod val="90000"/>
              </a:schemeClr>
            </a:solidFill>
          </c:spPr>
          <c:dPt>
            <c:idx val="0"/>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1-F6AB-4142-85BC-773A05A53FDA}"/>
              </c:ext>
            </c:extLst>
          </c:dPt>
          <c:dPt>
            <c:idx val="1"/>
            <c:bubble3D val="0"/>
            <c:spPr>
              <a:solidFill>
                <a:srgbClr val="3366CC"/>
              </a:solidFill>
              <a:ln w="19050">
                <a:solidFill>
                  <a:schemeClr val="lt1"/>
                </a:solidFill>
              </a:ln>
              <a:effectLst/>
            </c:spPr>
            <c:extLst>
              <c:ext xmlns:c16="http://schemas.microsoft.com/office/drawing/2014/chart" uri="{C3380CC4-5D6E-409C-BE32-E72D297353CC}">
                <c16:uniqueId val="{00000003-F6AB-4142-85BC-773A05A53FDA}"/>
              </c:ext>
            </c:extLst>
          </c:dPt>
          <c:dPt>
            <c:idx val="2"/>
            <c:bubble3D val="0"/>
            <c:spPr>
              <a:solidFill>
                <a:srgbClr val="000096"/>
              </a:solidFill>
              <a:ln w="19050">
                <a:solidFill>
                  <a:schemeClr val="lt1"/>
                </a:solidFill>
              </a:ln>
              <a:effectLst/>
            </c:spPr>
            <c:extLst>
              <c:ext xmlns:c16="http://schemas.microsoft.com/office/drawing/2014/chart" uri="{C3380CC4-5D6E-409C-BE32-E72D297353CC}">
                <c16:uniqueId val="{00000005-F6AB-4142-85BC-773A05A53FDA}"/>
              </c:ext>
            </c:extLst>
          </c:dPt>
          <c:dLbls>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3-F6AB-4142-85BC-773A05A53FDA}"/>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5-F6AB-4142-85BC-773A05A53FD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 Pres'!$C$313:$C$315</c:f>
              <c:strCache>
                <c:ptCount val="3"/>
                <c:pt idx="0">
                  <c:v>Молодой сад </c:v>
                </c:pt>
                <c:pt idx="1">
                  <c:v>Промышленный сад не вышедший на полное плодоношение</c:v>
                </c:pt>
                <c:pt idx="2">
                  <c:v>Промышленный сад на полном плодоношении</c:v>
                </c:pt>
              </c:strCache>
            </c:strRef>
          </c:cat>
          <c:val>
            <c:numRef>
              <c:f>'For Pres'!$F$313:$F$315</c:f>
              <c:numCache>
                <c:formatCode>0.0</c:formatCode>
                <c:ptCount val="3"/>
                <c:pt idx="0">
                  <c:v>266.2</c:v>
                </c:pt>
                <c:pt idx="1">
                  <c:v>380.8</c:v>
                </c:pt>
                <c:pt idx="2">
                  <c:v>321.5</c:v>
                </c:pt>
              </c:numCache>
            </c:numRef>
          </c:val>
          <c:extLst>
            <c:ext xmlns:c16="http://schemas.microsoft.com/office/drawing/2014/chart" uri="{C3380CC4-5D6E-409C-BE32-E72D297353CC}">
              <c16:uniqueId val="{00000006-F6AB-4142-85BC-773A05A53FDA}"/>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87410678915085"/>
          <c:y val="0.11028315525802659"/>
          <c:w val="0.39442325097316533"/>
          <c:h val="0.74359601439903422"/>
        </c:manualLayout>
      </c:layout>
      <c:doughnutChart>
        <c:varyColors val="1"/>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87410678915085"/>
          <c:y val="0.11028315525802659"/>
          <c:w val="0.39442325097316533"/>
          <c:h val="0.74359601439903422"/>
        </c:manualLayout>
      </c:layout>
      <c:doughnutChart>
        <c:varyColors val="1"/>
        <c:ser>
          <c:idx val="0"/>
          <c:order val="0"/>
          <c:dPt>
            <c:idx val="0"/>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1-358E-4F4C-A4B5-09254E949BE9}"/>
              </c:ext>
            </c:extLst>
          </c:dPt>
          <c:dPt>
            <c:idx val="1"/>
            <c:bubble3D val="0"/>
            <c:spPr>
              <a:solidFill>
                <a:srgbClr val="000096"/>
              </a:solidFill>
              <a:ln w="19050">
                <a:solidFill>
                  <a:schemeClr val="lt1"/>
                </a:solidFill>
              </a:ln>
              <a:effectLst/>
            </c:spPr>
            <c:extLst>
              <c:ext xmlns:c16="http://schemas.microsoft.com/office/drawing/2014/chart" uri="{C3380CC4-5D6E-409C-BE32-E72D297353CC}">
                <c16:uniqueId val="{00000003-358E-4F4C-A4B5-09254E949BE9}"/>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1-358E-4F4C-A4B5-09254E949BE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 Pres'!$S$312:$S$313</c:f>
              <c:strCache>
                <c:ptCount val="2"/>
                <c:pt idx="0">
                  <c:v>Молодой сад </c:v>
                </c:pt>
                <c:pt idx="1">
                  <c:v>Промышленный сад </c:v>
                </c:pt>
              </c:strCache>
            </c:strRef>
          </c:cat>
          <c:val>
            <c:numRef>
              <c:f>'For Pres'!$V$312:$V$313</c:f>
              <c:numCache>
                <c:formatCode>#\ ##0.0</c:formatCode>
                <c:ptCount val="2"/>
                <c:pt idx="0">
                  <c:v>0</c:v>
                </c:pt>
                <c:pt idx="1">
                  <c:v>0</c:v>
                </c:pt>
              </c:numCache>
            </c:numRef>
          </c:val>
          <c:extLst>
            <c:ext xmlns:c16="http://schemas.microsoft.com/office/drawing/2014/chart" uri="{C3380CC4-5D6E-409C-BE32-E72D297353CC}">
              <c16:uniqueId val="{00000006-358E-4F4C-A4B5-09254E949BE9}"/>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'For Pres'!$F$42</c:f>
              <c:strCache>
                <c:ptCount val="1"/>
                <c:pt idx="0">
                  <c:v>Производственная себестоимость</c:v>
                </c:pt>
              </c:strCache>
            </c:strRef>
          </c:tx>
          <c:spPr>
            <a:solidFill>
              <a:srgbClr val="000096"/>
            </a:solidFill>
            <a:ln>
              <a:solidFill>
                <a:srgbClr val="00009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Pres'!$M$285:$U$285</c:f>
              <c:strCache>
                <c:ptCount val="9"/>
                <c:pt idx="0">
                  <c:v>2018</c:v>
                </c:pt>
                <c:pt idx="1">
                  <c:v>19/20</c:v>
                </c:pt>
                <c:pt idx="2">
                  <c:v>20/21</c:v>
                </c:pt>
                <c:pt idx="3">
                  <c:v>21/22</c:v>
                </c:pt>
                <c:pt idx="4">
                  <c:v>22/23</c:v>
                </c:pt>
                <c:pt idx="5">
                  <c:v>23/24</c:v>
                </c:pt>
                <c:pt idx="6">
                  <c:v>24/25</c:v>
                </c:pt>
                <c:pt idx="7">
                  <c:v>25/26</c:v>
                </c:pt>
                <c:pt idx="8">
                  <c:v>26/27</c:v>
                </c:pt>
              </c:strCache>
            </c:strRef>
          </c:cat>
          <c:val>
            <c:numRef>
              <c:f>'For Pres'!$G$42:$O$42</c:f>
              <c:numCache>
                <c:formatCode>#,##0</c:formatCode>
                <c:ptCount val="9"/>
                <c:pt idx="0">
                  <c:v>236.286</c:v>
                </c:pt>
                <c:pt idx="1">
                  <c:v>322.88817308290874</c:v>
                </c:pt>
                <c:pt idx="2">
                  <c:v>384.6552462021146</c:v>
                </c:pt>
                <c:pt idx="3">
                  <c:v>437.95319500340958</c:v>
                </c:pt>
                <c:pt idx="4">
                  <c:v>470.03702991906647</c:v>
                </c:pt>
                <c:pt idx="5">
                  <c:v>500.41899313516603</c:v>
                </c:pt>
                <c:pt idx="6">
                  <c:v>526.61498993637997</c:v>
                </c:pt>
                <c:pt idx="7">
                  <c:v>547.3624707335639</c:v>
                </c:pt>
                <c:pt idx="8">
                  <c:v>563.7833448555707</c:v>
                </c:pt>
              </c:numCache>
            </c:numRef>
          </c:val>
          <c:extLst>
            <c:ext xmlns:c16="http://schemas.microsoft.com/office/drawing/2014/chart" uri="{C3380CC4-5D6E-409C-BE32-E72D297353CC}">
              <c16:uniqueId val="{00000000-93CB-44F1-8DE7-79E805D29610}"/>
            </c:ext>
          </c:extLst>
        </c:ser>
        <c:dLbls>
          <c:showLegendKey val="0"/>
          <c:showVal val="1"/>
          <c:showCatName val="0"/>
          <c:showSerName val="0"/>
          <c:showPercent val="0"/>
          <c:showBubbleSize val="0"/>
        </c:dLbls>
        <c:gapWidth val="73"/>
        <c:axId val="88811392"/>
        <c:axId val="88812928"/>
      </c:barChart>
      <c:catAx>
        <c:axId val="8881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8812928"/>
        <c:crosses val="autoZero"/>
        <c:auto val="1"/>
        <c:lblAlgn val="ctr"/>
        <c:lblOffset val="100"/>
        <c:noMultiLvlLbl val="0"/>
      </c:catAx>
      <c:valAx>
        <c:axId val="8881292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88113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87410678915085"/>
          <c:y val="0.11028315525802659"/>
          <c:w val="0.39442325097316533"/>
          <c:h val="0.74359601439903422"/>
        </c:manualLayout>
      </c:layout>
      <c:doughnutChart>
        <c:varyColors val="1"/>
        <c:ser>
          <c:idx val="0"/>
          <c:order val="0"/>
          <c:dPt>
            <c:idx val="0"/>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1-73CD-4A79-8F91-3A4E733E18ED}"/>
              </c:ext>
            </c:extLst>
          </c:dPt>
          <c:dPt>
            <c:idx val="1"/>
            <c:bubble3D val="0"/>
            <c:spPr>
              <a:solidFill>
                <a:srgbClr val="000096"/>
              </a:solidFill>
              <a:ln w="19050">
                <a:solidFill>
                  <a:schemeClr val="lt1"/>
                </a:solidFill>
              </a:ln>
              <a:effectLst/>
            </c:spPr>
            <c:extLst>
              <c:ext xmlns:c16="http://schemas.microsoft.com/office/drawing/2014/chart" uri="{C3380CC4-5D6E-409C-BE32-E72D297353CC}">
                <c16:uniqueId val="{00000003-73CD-4A79-8F91-3A4E733E18ED}"/>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1-73CD-4A79-8F91-3A4E733E18E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 Pres'!$S$312:$S$313</c:f>
              <c:strCache>
                <c:ptCount val="2"/>
                <c:pt idx="0">
                  <c:v>Молодой сад </c:v>
                </c:pt>
                <c:pt idx="1">
                  <c:v>Промышленный сад </c:v>
                </c:pt>
              </c:strCache>
            </c:strRef>
          </c:cat>
          <c:val>
            <c:numRef>
              <c:f>'For Pres'!$V$319:$V$320</c:f>
              <c:numCache>
                <c:formatCode>#\ ##0.0</c:formatCode>
                <c:ptCount val="2"/>
                <c:pt idx="0">
                  <c:v>0</c:v>
                </c:pt>
                <c:pt idx="1">
                  <c:v>0</c:v>
                </c:pt>
              </c:numCache>
            </c:numRef>
          </c:val>
          <c:extLst>
            <c:ext xmlns:c16="http://schemas.microsoft.com/office/drawing/2014/chart" uri="{C3380CC4-5D6E-409C-BE32-E72D297353CC}">
              <c16:uniqueId val="{00000004-73CD-4A79-8F91-3A4E733E18ED}"/>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87410678915085"/>
          <c:y val="0.11028315525802659"/>
          <c:w val="0.39442325097316533"/>
          <c:h val="0.74359601439903422"/>
        </c:manualLayout>
      </c:layout>
      <c:doughnutChart>
        <c:varyColors val="1"/>
        <c:ser>
          <c:idx val="0"/>
          <c:order val="0"/>
          <c:dPt>
            <c:idx val="0"/>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1-99D4-4CE2-890D-1714FACB0891}"/>
              </c:ext>
            </c:extLst>
          </c:dPt>
          <c:dPt>
            <c:idx val="1"/>
            <c:bubble3D val="0"/>
            <c:spPr>
              <a:solidFill>
                <a:srgbClr val="000096"/>
              </a:solidFill>
              <a:ln w="19050">
                <a:solidFill>
                  <a:schemeClr val="lt1"/>
                </a:solidFill>
              </a:ln>
              <a:effectLst/>
            </c:spPr>
            <c:extLst>
              <c:ext xmlns:c16="http://schemas.microsoft.com/office/drawing/2014/chart" uri="{C3380CC4-5D6E-409C-BE32-E72D297353CC}">
                <c16:uniqueId val="{00000003-99D4-4CE2-890D-1714FACB0891}"/>
              </c:ext>
            </c:extLst>
          </c:dPt>
          <c:dLbls>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c:ext xmlns:c16="http://schemas.microsoft.com/office/drawing/2014/chart" uri="{C3380CC4-5D6E-409C-BE32-E72D297353CC}">
                  <c16:uniqueId val="{00000001-99D4-4CE2-890D-1714FACB089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 Pres'!$S$312:$S$313</c:f>
              <c:strCache>
                <c:ptCount val="2"/>
                <c:pt idx="0">
                  <c:v>Молодой сад </c:v>
                </c:pt>
                <c:pt idx="1">
                  <c:v>Промышленный сад </c:v>
                </c:pt>
              </c:strCache>
            </c:strRef>
          </c:cat>
          <c:val>
            <c:numRef>
              <c:f>'For Pres'!$V$326:$V$327</c:f>
              <c:numCache>
                <c:formatCode>#\ ##0.0</c:formatCode>
                <c:ptCount val="2"/>
                <c:pt idx="0">
                  <c:v>0</c:v>
                </c:pt>
                <c:pt idx="1">
                  <c:v>0</c:v>
                </c:pt>
              </c:numCache>
            </c:numRef>
          </c:val>
          <c:extLst>
            <c:ext xmlns:c16="http://schemas.microsoft.com/office/drawing/2014/chart" uri="{C3380CC4-5D6E-409C-BE32-E72D297353CC}">
              <c16:uniqueId val="{00000004-99D4-4CE2-890D-1714FACB0891}"/>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87410678915085"/>
          <c:y val="0.11028315525802659"/>
          <c:w val="0.39442325097316533"/>
          <c:h val="0.74359601439903422"/>
        </c:manualLayout>
      </c:layout>
      <c:barChart>
        <c:barDir val="col"/>
        <c:grouping val="clustered"/>
        <c:varyColors val="0"/>
        <c:ser>
          <c:idx val="0"/>
          <c:order val="0"/>
          <c:spPr>
            <a:solidFill>
              <a:schemeClr val="bg2">
                <a:lumMod val="75000"/>
              </a:schemeClr>
            </a:solidFill>
            <a:ln w="19050">
              <a:solidFill>
                <a:schemeClr val="lt1"/>
              </a:solidFill>
            </a:ln>
            <a:effectLst/>
          </c:spPr>
          <c:invertIfNegative val="0"/>
          <c:dPt>
            <c:idx val="0"/>
            <c:invertIfNegative val="0"/>
            <c:bubble3D val="0"/>
            <c:spPr>
              <a:solidFill>
                <a:srgbClr val="000096"/>
              </a:solidFill>
              <a:ln w="19050">
                <a:solidFill>
                  <a:schemeClr val="lt1"/>
                </a:solidFill>
              </a:ln>
              <a:effectLst/>
            </c:spPr>
            <c:extLst>
              <c:ext xmlns:c16="http://schemas.microsoft.com/office/drawing/2014/chart" uri="{C3380CC4-5D6E-409C-BE32-E72D297353CC}">
                <c16:uniqueId val="{00000001-3B0C-4D2D-BD2B-7A2402C0C425}"/>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Pres'!$S$312:$S$313</c:f>
              <c:strCache>
                <c:ptCount val="2"/>
                <c:pt idx="0">
                  <c:v>Молодой сад </c:v>
                </c:pt>
                <c:pt idx="1">
                  <c:v>Промышленный сад </c:v>
                </c:pt>
              </c:strCache>
            </c:strRef>
          </c:cat>
          <c:val>
            <c:numRef>
              <c:f>'For Pres'!$AG$312:$AG$313</c:f>
              <c:numCache>
                <c:formatCode>#\ ##0.0</c:formatCode>
                <c:ptCount val="2"/>
                <c:pt idx="0">
                  <c:v>0</c:v>
                </c:pt>
                <c:pt idx="1">
                  <c:v>0</c:v>
                </c:pt>
              </c:numCache>
            </c:numRef>
          </c:val>
          <c:extLst>
            <c:ext xmlns:c16="http://schemas.microsoft.com/office/drawing/2014/chart" uri="{C3380CC4-5D6E-409C-BE32-E72D297353CC}">
              <c16:uniqueId val="{00000004-3B0C-4D2D-BD2B-7A2402C0C425}"/>
            </c:ext>
          </c:extLst>
        </c:ser>
        <c:dLbls>
          <c:showLegendKey val="0"/>
          <c:showVal val="1"/>
          <c:showCatName val="0"/>
          <c:showSerName val="0"/>
          <c:showPercent val="0"/>
          <c:showBubbleSize val="0"/>
        </c:dLbls>
        <c:gapWidth val="100"/>
        <c:axId val="91342336"/>
        <c:axId val="91343872"/>
      </c:barChart>
      <c:catAx>
        <c:axId val="91342336"/>
        <c:scaling>
          <c:orientation val="minMax"/>
        </c:scaling>
        <c:delete val="1"/>
        <c:axPos val="b"/>
        <c:numFmt formatCode="General" sourceLinked="1"/>
        <c:majorTickMark val="out"/>
        <c:minorTickMark val="none"/>
        <c:tickLblPos val="none"/>
        <c:crossAx val="91343872"/>
        <c:crosses val="autoZero"/>
        <c:auto val="1"/>
        <c:lblAlgn val="ctr"/>
        <c:lblOffset val="100"/>
        <c:noMultiLvlLbl val="0"/>
      </c:catAx>
      <c:valAx>
        <c:axId val="91343872"/>
        <c:scaling>
          <c:orientation val="minMax"/>
        </c:scaling>
        <c:delete val="0"/>
        <c:axPos val="l"/>
        <c:numFmt formatCode="#\ ##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913423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87410678915085"/>
          <c:y val="0.11028315525802659"/>
          <c:w val="0.39442325097316533"/>
          <c:h val="0.74359601439903422"/>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rgbClr val="000096"/>
              </a:solidFill>
              <a:ln w="19050">
                <a:solidFill>
                  <a:schemeClr val="lt1"/>
                </a:solidFill>
              </a:ln>
              <a:effectLst/>
            </c:spPr>
            <c:extLst>
              <c:ext xmlns:c16="http://schemas.microsoft.com/office/drawing/2014/chart" uri="{C3380CC4-5D6E-409C-BE32-E72D297353CC}">
                <c16:uniqueId val="{00000001-D7D6-4479-A356-7994C4C72C4B}"/>
              </c:ext>
            </c:extLst>
          </c:dPt>
          <c:dPt>
            <c:idx val="1"/>
            <c:invertIfNegative val="0"/>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3-D7D6-4479-A356-7994C4C72C4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Pres'!$S$312:$S$313</c:f>
              <c:strCache>
                <c:ptCount val="2"/>
                <c:pt idx="0">
                  <c:v>Молодой сад </c:v>
                </c:pt>
                <c:pt idx="1">
                  <c:v>Промышленный сад </c:v>
                </c:pt>
              </c:strCache>
            </c:strRef>
          </c:cat>
          <c:val>
            <c:numRef>
              <c:f>'For Pres'!$AG$319:$AG$320</c:f>
              <c:numCache>
                <c:formatCode>#\ ##0.0</c:formatCode>
                <c:ptCount val="2"/>
                <c:pt idx="0">
                  <c:v>0</c:v>
                </c:pt>
                <c:pt idx="1">
                  <c:v>0</c:v>
                </c:pt>
              </c:numCache>
            </c:numRef>
          </c:val>
          <c:extLst>
            <c:ext xmlns:c16="http://schemas.microsoft.com/office/drawing/2014/chart" uri="{C3380CC4-5D6E-409C-BE32-E72D297353CC}">
              <c16:uniqueId val="{00000004-D7D6-4479-A356-7994C4C72C4B}"/>
            </c:ext>
          </c:extLst>
        </c:ser>
        <c:dLbls>
          <c:showLegendKey val="0"/>
          <c:showVal val="1"/>
          <c:showCatName val="0"/>
          <c:showSerName val="0"/>
          <c:showPercent val="0"/>
          <c:showBubbleSize val="0"/>
        </c:dLbls>
        <c:gapWidth val="100"/>
        <c:axId val="91521408"/>
        <c:axId val="91522944"/>
      </c:barChart>
      <c:catAx>
        <c:axId val="91521408"/>
        <c:scaling>
          <c:orientation val="minMax"/>
        </c:scaling>
        <c:delete val="1"/>
        <c:axPos val="b"/>
        <c:numFmt formatCode="General" sourceLinked="1"/>
        <c:majorTickMark val="out"/>
        <c:minorTickMark val="none"/>
        <c:tickLblPos val="none"/>
        <c:crossAx val="91522944"/>
        <c:crosses val="autoZero"/>
        <c:auto val="1"/>
        <c:lblAlgn val="ctr"/>
        <c:lblOffset val="100"/>
        <c:noMultiLvlLbl val="0"/>
      </c:catAx>
      <c:valAx>
        <c:axId val="91522944"/>
        <c:scaling>
          <c:orientation val="minMax"/>
          <c:max val="25000"/>
        </c:scaling>
        <c:delete val="0"/>
        <c:axPos val="l"/>
        <c:numFmt formatCode="#\ ##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915214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87410678915085"/>
          <c:y val="0.11028315525802659"/>
          <c:w val="0.39442325097316533"/>
          <c:h val="0.74359601439903422"/>
        </c:manualLayout>
      </c:layout>
      <c:barChart>
        <c:barDir val="col"/>
        <c:grouping val="clustered"/>
        <c:varyColors val="0"/>
        <c:ser>
          <c:idx val="0"/>
          <c:order val="0"/>
          <c:spPr>
            <a:solidFill>
              <a:schemeClr val="bg2">
                <a:lumMod val="75000"/>
              </a:schemeClr>
            </a:solidFill>
            <a:ln w="19050">
              <a:solidFill>
                <a:schemeClr val="lt1"/>
              </a:solidFill>
            </a:ln>
            <a:effectLst/>
          </c:spPr>
          <c:invertIfNegative val="0"/>
          <c:dPt>
            <c:idx val="0"/>
            <c:invertIfNegative val="0"/>
            <c:bubble3D val="0"/>
            <c:spPr>
              <a:solidFill>
                <a:srgbClr val="000096"/>
              </a:solidFill>
              <a:ln w="19050">
                <a:solidFill>
                  <a:schemeClr val="lt1"/>
                </a:solidFill>
              </a:ln>
              <a:effectLst/>
            </c:spPr>
            <c:extLst>
              <c:ext xmlns:c16="http://schemas.microsoft.com/office/drawing/2014/chart" uri="{C3380CC4-5D6E-409C-BE32-E72D297353CC}">
                <c16:uniqueId val="{00000001-FED9-4F11-BB53-FAC3F13F96A8}"/>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Pres'!$S$312:$S$313</c:f>
              <c:strCache>
                <c:ptCount val="2"/>
                <c:pt idx="0">
                  <c:v>Молодой сад </c:v>
                </c:pt>
                <c:pt idx="1">
                  <c:v>Промышленный сад </c:v>
                </c:pt>
              </c:strCache>
            </c:strRef>
          </c:cat>
          <c:val>
            <c:numRef>
              <c:f>'For Pres'!$AG$326:$AG$327</c:f>
              <c:numCache>
                <c:formatCode>#\ ##0.0</c:formatCode>
                <c:ptCount val="2"/>
                <c:pt idx="0">
                  <c:v>0</c:v>
                </c:pt>
                <c:pt idx="1">
                  <c:v>0</c:v>
                </c:pt>
              </c:numCache>
            </c:numRef>
          </c:val>
          <c:extLst>
            <c:ext xmlns:c16="http://schemas.microsoft.com/office/drawing/2014/chart" uri="{C3380CC4-5D6E-409C-BE32-E72D297353CC}">
              <c16:uniqueId val="{00000004-FED9-4F11-BB53-FAC3F13F96A8}"/>
            </c:ext>
          </c:extLst>
        </c:ser>
        <c:dLbls>
          <c:showLegendKey val="0"/>
          <c:showVal val="0"/>
          <c:showCatName val="0"/>
          <c:showSerName val="0"/>
          <c:showPercent val="0"/>
          <c:showBubbleSize val="0"/>
        </c:dLbls>
        <c:gapWidth val="100"/>
        <c:axId val="91633920"/>
        <c:axId val="91639808"/>
      </c:barChart>
      <c:catAx>
        <c:axId val="91633920"/>
        <c:scaling>
          <c:orientation val="minMax"/>
        </c:scaling>
        <c:delete val="1"/>
        <c:axPos val="b"/>
        <c:numFmt formatCode="General" sourceLinked="1"/>
        <c:majorTickMark val="out"/>
        <c:minorTickMark val="none"/>
        <c:tickLblPos val="none"/>
        <c:crossAx val="91639808"/>
        <c:crosses val="autoZero"/>
        <c:auto val="1"/>
        <c:lblAlgn val="ctr"/>
        <c:lblOffset val="100"/>
        <c:noMultiLvlLbl val="0"/>
      </c:catAx>
      <c:valAx>
        <c:axId val="91639808"/>
        <c:scaling>
          <c:orientation val="minMax"/>
        </c:scaling>
        <c:delete val="0"/>
        <c:axPos val="l"/>
        <c:numFmt formatCode="#\ ##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916339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spPr>
            <a:solidFill>
              <a:schemeClr val="accent3"/>
            </a:solidFill>
            <a:ln>
              <a:noFill/>
            </a:ln>
            <a:effectLst/>
          </c:spPr>
          <c:invertIfNegative val="0"/>
          <c:dPt>
            <c:idx val="0"/>
            <c:invertIfNegative val="0"/>
            <c:bubble3D val="0"/>
            <c:spPr>
              <a:solidFill>
                <a:srgbClr val="000096"/>
              </a:solidFill>
              <a:ln>
                <a:noFill/>
              </a:ln>
              <a:effectLst/>
            </c:spPr>
            <c:extLst>
              <c:ext xmlns:c16="http://schemas.microsoft.com/office/drawing/2014/chart" uri="{C3380CC4-5D6E-409C-BE32-E72D297353CC}">
                <c16:uniqueId val="{00000004-9751-4471-BF48-8ABBC49D9AB2}"/>
              </c:ext>
            </c:extLst>
          </c:dPt>
          <c:dPt>
            <c:idx val="1"/>
            <c:invertIfNegative val="0"/>
            <c:bubble3D val="0"/>
            <c:spPr>
              <a:solidFill>
                <a:schemeClr val="bg2">
                  <a:lumMod val="75000"/>
                </a:schemeClr>
              </a:solidFill>
              <a:ln>
                <a:noFill/>
              </a:ln>
              <a:effectLst/>
            </c:spPr>
            <c:extLst>
              <c:ext xmlns:c16="http://schemas.microsoft.com/office/drawing/2014/chart" uri="{C3380CC4-5D6E-409C-BE32-E72D297353CC}">
                <c16:uniqueId val="{00000003-9751-4471-BF48-8ABBC49D9AB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Pres'!$AD$339:$AD$340</c:f>
              <c:strCache>
                <c:ptCount val="2"/>
                <c:pt idx="0">
                  <c:v>Промышленный сад </c:v>
                </c:pt>
                <c:pt idx="1">
                  <c:v>Молодой сад </c:v>
                </c:pt>
              </c:strCache>
            </c:strRef>
          </c:cat>
          <c:val>
            <c:numRef>
              <c:f>'For Pres'!$AG$339:$AG$340</c:f>
              <c:numCache>
                <c:formatCode>#\ ##0.0</c:formatCode>
                <c:ptCount val="2"/>
                <c:pt idx="0">
                  <c:v>0</c:v>
                </c:pt>
                <c:pt idx="1">
                  <c:v>0</c:v>
                </c:pt>
              </c:numCache>
            </c:numRef>
          </c:val>
          <c:extLst>
            <c:ext xmlns:c16="http://schemas.microsoft.com/office/drawing/2014/chart" uri="{C3380CC4-5D6E-409C-BE32-E72D297353CC}">
              <c16:uniqueId val="{00000002-9751-4471-BF48-8ABBC49D9AB2}"/>
            </c:ext>
          </c:extLst>
        </c:ser>
        <c:dLbls>
          <c:showLegendKey val="0"/>
          <c:showVal val="0"/>
          <c:showCatName val="0"/>
          <c:showSerName val="0"/>
          <c:showPercent val="0"/>
          <c:showBubbleSize val="0"/>
        </c:dLbls>
        <c:gapWidth val="100"/>
        <c:axId val="91669632"/>
        <c:axId val="91671168"/>
        <c:extLst>
          <c:ext xmlns:c15="http://schemas.microsoft.com/office/drawing/2012/chart" uri="{02D57815-91ED-43cb-92C2-25804820EDAC}">
            <c15:filteredBarSeries>
              <c15:ser>
                <c:idx val="1"/>
                <c:order val="0"/>
                <c:spPr>
                  <a:solidFill>
                    <a:schemeClr val="accent2"/>
                  </a:solidFill>
                  <a:ln>
                    <a:noFill/>
                  </a:ln>
                  <a:effectLst/>
                </c:spPr>
                <c:invertIfNegative val="0"/>
                <c:cat>
                  <c:strRef>
                    <c:extLst>
                      <c:ext uri="{02D57815-91ED-43cb-92C2-25804820EDAC}">
                        <c15:formulaRef>
                          <c15:sqref>'For Pres'!$AD$339:$AD$340</c15:sqref>
                        </c15:formulaRef>
                      </c:ext>
                    </c:extLst>
                    <c:strCache>
                      <c:ptCount val="2"/>
                      <c:pt idx="0">
                        <c:v>Промышленный сад </c:v>
                      </c:pt>
                      <c:pt idx="1">
                        <c:v>Молодой сад </c:v>
                      </c:pt>
                    </c:strCache>
                  </c:strRef>
                </c:cat>
                <c:val>
                  <c:numRef>
                    <c:extLst>
                      <c:ext uri="{02D57815-91ED-43cb-92C2-25804820EDAC}">
                        <c15:formulaRef>
                          <c15:sqref>'For Pres'!$AF$340:$AF$341</c15:sqref>
                        </c15:formulaRef>
                      </c:ext>
                    </c:extLst>
                    <c:numCache>
                      <c:formatCode>General</c:formatCode>
                      <c:ptCount val="2"/>
                    </c:numCache>
                  </c:numRef>
                </c:val>
                <c:extLst>
                  <c:ext xmlns:c16="http://schemas.microsoft.com/office/drawing/2014/chart" uri="{C3380CC4-5D6E-409C-BE32-E72D297353CC}">
                    <c16:uniqueId val="{00000001-9751-4471-BF48-8ABBC49D9AB2}"/>
                  </c:ext>
                </c:extLst>
              </c15:ser>
            </c15:filteredBarSeries>
            <c15:filteredBarSeries>
              <c15:ser>
                <c:idx val="0"/>
                <c:order val="1"/>
                <c:spPr>
                  <a:solidFill>
                    <a:schemeClr val="accent1"/>
                  </a:solidFill>
                  <a:ln>
                    <a:noFill/>
                  </a:ln>
                  <a:effectLst/>
                </c:spPr>
                <c:invertIfNegative val="0"/>
                <c:cat>
                  <c:strRef>
                    <c:extLst xmlns:c15="http://schemas.microsoft.com/office/drawing/2012/chart">
                      <c:ext xmlns:c15="http://schemas.microsoft.com/office/drawing/2012/chart" uri="{02D57815-91ED-43cb-92C2-25804820EDAC}">
                        <c15:formulaRef>
                          <c15:sqref>'For Pres'!$AD$339:$AD$340</c15:sqref>
                        </c15:formulaRef>
                      </c:ext>
                    </c:extLst>
                    <c:strCache>
                      <c:ptCount val="2"/>
                      <c:pt idx="0">
                        <c:v>Промышленный сад </c:v>
                      </c:pt>
                      <c:pt idx="1">
                        <c:v>Молодой сад </c:v>
                      </c:pt>
                    </c:strCache>
                  </c:strRef>
                </c:cat>
                <c:val>
                  <c:numRef>
                    <c:extLst xmlns:c15="http://schemas.microsoft.com/office/drawing/2012/chart">
                      <c:ext xmlns:c15="http://schemas.microsoft.com/office/drawing/2012/chart" uri="{02D57815-91ED-43cb-92C2-25804820EDAC}">
                        <c15:formulaRef>
                          <c15:sqref>'For Pres'!$AE$340:$AE$341</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0-9751-4471-BF48-8ABBC49D9AB2}"/>
                  </c:ext>
                </c:extLst>
              </c15:ser>
            </c15:filteredBarSeries>
          </c:ext>
        </c:extLst>
      </c:barChart>
      <c:catAx>
        <c:axId val="91669632"/>
        <c:scaling>
          <c:orientation val="minMax"/>
        </c:scaling>
        <c:delete val="1"/>
        <c:axPos val="b"/>
        <c:numFmt formatCode="General" sourceLinked="1"/>
        <c:majorTickMark val="none"/>
        <c:minorTickMark val="none"/>
        <c:tickLblPos val="none"/>
        <c:crossAx val="91671168"/>
        <c:crosses val="autoZero"/>
        <c:auto val="1"/>
        <c:lblAlgn val="ctr"/>
        <c:lblOffset val="100"/>
        <c:noMultiLvlLbl val="0"/>
      </c:catAx>
      <c:valAx>
        <c:axId val="91671168"/>
        <c:scaling>
          <c:orientation val="minMax"/>
        </c:scaling>
        <c:delete val="0"/>
        <c:axPos val="l"/>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916696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16932589673908"/>
          <c:y val="8.4346966105440749E-2"/>
          <c:w val="0.67836207614185062"/>
          <c:h val="0.83130606778911931"/>
        </c:manualLayout>
      </c:layout>
      <c:barChart>
        <c:barDir val="col"/>
        <c:grouping val="clustered"/>
        <c:varyColors val="0"/>
        <c:ser>
          <c:idx val="2"/>
          <c:order val="2"/>
          <c:spPr>
            <a:solidFill>
              <a:schemeClr val="accent3"/>
            </a:solidFill>
            <a:ln>
              <a:noFill/>
            </a:ln>
            <a:effectLst/>
          </c:spPr>
          <c:invertIfNegative val="0"/>
          <c:dPt>
            <c:idx val="0"/>
            <c:invertIfNegative val="0"/>
            <c:bubble3D val="0"/>
            <c:spPr>
              <a:solidFill>
                <a:srgbClr val="000096"/>
              </a:solidFill>
              <a:ln>
                <a:noFill/>
              </a:ln>
              <a:effectLst/>
            </c:spPr>
            <c:extLst>
              <c:ext xmlns:c16="http://schemas.microsoft.com/office/drawing/2014/chart" uri="{C3380CC4-5D6E-409C-BE32-E72D297353CC}">
                <c16:uniqueId val="{00000001-48F1-45A1-9E54-93824ADA1B57}"/>
              </c:ext>
            </c:extLst>
          </c:dPt>
          <c:dPt>
            <c:idx val="1"/>
            <c:invertIfNegative val="0"/>
            <c:bubble3D val="0"/>
            <c:spPr>
              <a:solidFill>
                <a:schemeClr val="bg2">
                  <a:lumMod val="75000"/>
                </a:schemeClr>
              </a:solidFill>
              <a:ln>
                <a:noFill/>
              </a:ln>
              <a:effectLst/>
            </c:spPr>
            <c:extLst>
              <c:ext xmlns:c16="http://schemas.microsoft.com/office/drawing/2014/chart" uri="{C3380CC4-5D6E-409C-BE32-E72D297353CC}">
                <c16:uniqueId val="{00000003-48F1-45A1-9E54-93824ADA1B57}"/>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Pres'!$AD$339:$AD$340</c:f>
              <c:strCache>
                <c:ptCount val="2"/>
                <c:pt idx="0">
                  <c:v>Промышленный сад </c:v>
                </c:pt>
                <c:pt idx="1">
                  <c:v>Молодой сад </c:v>
                </c:pt>
              </c:strCache>
            </c:strRef>
          </c:cat>
          <c:val>
            <c:numRef>
              <c:f>'For Pres'!$AG$343:$AG$344</c:f>
              <c:numCache>
                <c:formatCode>#\ ##0.0</c:formatCode>
                <c:ptCount val="2"/>
                <c:pt idx="0">
                  <c:v>0</c:v>
                </c:pt>
                <c:pt idx="1">
                  <c:v>0</c:v>
                </c:pt>
              </c:numCache>
            </c:numRef>
          </c:val>
          <c:extLst>
            <c:ext xmlns:c16="http://schemas.microsoft.com/office/drawing/2014/chart" uri="{C3380CC4-5D6E-409C-BE32-E72D297353CC}">
              <c16:uniqueId val="{00000004-48F1-45A1-9E54-93824ADA1B57}"/>
            </c:ext>
          </c:extLst>
        </c:ser>
        <c:dLbls>
          <c:showLegendKey val="0"/>
          <c:showVal val="0"/>
          <c:showCatName val="0"/>
          <c:showSerName val="0"/>
          <c:showPercent val="0"/>
          <c:showBubbleSize val="0"/>
        </c:dLbls>
        <c:gapWidth val="100"/>
        <c:axId val="91590656"/>
        <c:axId val="91592192"/>
        <c:extLst>
          <c:ext xmlns:c15="http://schemas.microsoft.com/office/drawing/2012/chart" uri="{02D57815-91ED-43cb-92C2-25804820EDAC}">
            <c15:filteredBarSeries>
              <c15:ser>
                <c:idx val="1"/>
                <c:order val="0"/>
                <c:spPr>
                  <a:solidFill>
                    <a:schemeClr val="accent2"/>
                  </a:solidFill>
                  <a:ln>
                    <a:noFill/>
                  </a:ln>
                  <a:effectLst/>
                </c:spPr>
                <c:invertIfNegative val="0"/>
                <c:cat>
                  <c:strRef>
                    <c:extLst>
                      <c:ext uri="{02D57815-91ED-43cb-92C2-25804820EDAC}">
                        <c15:formulaRef>
                          <c15:sqref>'For Pres'!$AD$339:$AD$340</c15:sqref>
                        </c15:formulaRef>
                      </c:ext>
                    </c:extLst>
                    <c:strCache>
                      <c:ptCount val="2"/>
                      <c:pt idx="0">
                        <c:v>Промышленный сад </c:v>
                      </c:pt>
                      <c:pt idx="1">
                        <c:v>Молодой сад </c:v>
                      </c:pt>
                    </c:strCache>
                  </c:strRef>
                </c:cat>
                <c:val>
                  <c:numRef>
                    <c:extLst>
                      <c:ext uri="{02D57815-91ED-43cb-92C2-25804820EDAC}">
                        <c15:formulaRef>
                          <c15:sqref>'For Pres'!$AF$340:$AF$341</c15:sqref>
                        </c15:formulaRef>
                      </c:ext>
                    </c:extLst>
                    <c:numCache>
                      <c:formatCode>General</c:formatCode>
                      <c:ptCount val="2"/>
                    </c:numCache>
                  </c:numRef>
                </c:val>
                <c:extLst>
                  <c:ext xmlns:c16="http://schemas.microsoft.com/office/drawing/2014/chart" uri="{C3380CC4-5D6E-409C-BE32-E72D297353CC}">
                    <c16:uniqueId val="{00000005-48F1-45A1-9E54-93824ADA1B57}"/>
                  </c:ext>
                </c:extLst>
              </c15:ser>
            </c15:filteredBarSeries>
            <c15:filteredBarSeries>
              <c15:ser>
                <c:idx val="0"/>
                <c:order val="1"/>
                <c:spPr>
                  <a:solidFill>
                    <a:schemeClr val="accent1"/>
                  </a:solidFill>
                  <a:ln>
                    <a:noFill/>
                  </a:ln>
                  <a:effectLst/>
                </c:spPr>
                <c:invertIfNegative val="0"/>
                <c:cat>
                  <c:strRef>
                    <c:extLst xmlns:c15="http://schemas.microsoft.com/office/drawing/2012/chart">
                      <c:ext xmlns:c15="http://schemas.microsoft.com/office/drawing/2012/chart" uri="{02D57815-91ED-43cb-92C2-25804820EDAC}">
                        <c15:formulaRef>
                          <c15:sqref>'For Pres'!$AD$339:$AD$340</c15:sqref>
                        </c15:formulaRef>
                      </c:ext>
                    </c:extLst>
                    <c:strCache>
                      <c:ptCount val="2"/>
                      <c:pt idx="0">
                        <c:v>Промышленный сад </c:v>
                      </c:pt>
                      <c:pt idx="1">
                        <c:v>Молодой сад </c:v>
                      </c:pt>
                    </c:strCache>
                  </c:strRef>
                </c:cat>
                <c:val>
                  <c:numRef>
                    <c:extLst xmlns:c15="http://schemas.microsoft.com/office/drawing/2012/chart">
                      <c:ext xmlns:c15="http://schemas.microsoft.com/office/drawing/2012/chart" uri="{02D57815-91ED-43cb-92C2-25804820EDAC}">
                        <c15:formulaRef>
                          <c15:sqref>'For Pres'!$AE$340:$AE$341</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48F1-45A1-9E54-93824ADA1B57}"/>
                  </c:ext>
                </c:extLst>
              </c15:ser>
            </c15:filteredBarSeries>
          </c:ext>
        </c:extLst>
      </c:barChart>
      <c:catAx>
        <c:axId val="91590656"/>
        <c:scaling>
          <c:orientation val="minMax"/>
        </c:scaling>
        <c:delete val="1"/>
        <c:axPos val="b"/>
        <c:numFmt formatCode="General" sourceLinked="1"/>
        <c:majorTickMark val="none"/>
        <c:minorTickMark val="none"/>
        <c:tickLblPos val="none"/>
        <c:crossAx val="91592192"/>
        <c:crosses val="autoZero"/>
        <c:auto val="1"/>
        <c:lblAlgn val="ctr"/>
        <c:lblOffset val="100"/>
        <c:noMultiLvlLbl val="0"/>
      </c:catAx>
      <c:valAx>
        <c:axId val="91592192"/>
        <c:scaling>
          <c:orientation val="minMax"/>
          <c:max val="25"/>
        </c:scaling>
        <c:delete val="0"/>
        <c:axPos val="l"/>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915906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spPr>
            <a:solidFill>
              <a:schemeClr val="accent3"/>
            </a:solidFill>
            <a:ln>
              <a:noFill/>
            </a:ln>
            <a:effectLst/>
          </c:spPr>
          <c:invertIfNegative val="0"/>
          <c:dPt>
            <c:idx val="0"/>
            <c:invertIfNegative val="0"/>
            <c:bubble3D val="0"/>
            <c:spPr>
              <a:solidFill>
                <a:srgbClr val="000096"/>
              </a:solidFill>
              <a:ln>
                <a:noFill/>
              </a:ln>
              <a:effectLst/>
            </c:spPr>
            <c:extLst>
              <c:ext xmlns:c16="http://schemas.microsoft.com/office/drawing/2014/chart" uri="{C3380CC4-5D6E-409C-BE32-E72D297353CC}">
                <c16:uniqueId val="{00000001-E812-4E9B-B89B-79720071B54F}"/>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Pres'!$AD$339:$AD$340</c:f>
              <c:strCache>
                <c:ptCount val="2"/>
                <c:pt idx="0">
                  <c:v>Промышленный сад </c:v>
                </c:pt>
                <c:pt idx="1">
                  <c:v>Молодой сад </c:v>
                </c:pt>
              </c:strCache>
            </c:strRef>
          </c:cat>
          <c:val>
            <c:numRef>
              <c:f>'For Pres'!$AG$347:$AG$348</c:f>
              <c:numCache>
                <c:formatCode>#\ ##0.0</c:formatCode>
                <c:ptCount val="2"/>
                <c:pt idx="0">
                  <c:v>0</c:v>
                </c:pt>
                <c:pt idx="1">
                  <c:v>0</c:v>
                </c:pt>
              </c:numCache>
            </c:numRef>
          </c:val>
          <c:extLst>
            <c:ext xmlns:c16="http://schemas.microsoft.com/office/drawing/2014/chart" uri="{C3380CC4-5D6E-409C-BE32-E72D297353CC}">
              <c16:uniqueId val="{00000004-E812-4E9B-B89B-79720071B54F}"/>
            </c:ext>
          </c:extLst>
        </c:ser>
        <c:dLbls>
          <c:showLegendKey val="0"/>
          <c:showVal val="0"/>
          <c:showCatName val="0"/>
          <c:showSerName val="0"/>
          <c:showPercent val="0"/>
          <c:showBubbleSize val="0"/>
        </c:dLbls>
        <c:gapWidth val="100"/>
        <c:axId val="91694976"/>
        <c:axId val="91696512"/>
        <c:extLst>
          <c:ext xmlns:c15="http://schemas.microsoft.com/office/drawing/2012/chart" uri="{02D57815-91ED-43cb-92C2-25804820EDAC}">
            <c15:filteredBarSeries>
              <c15:ser>
                <c:idx val="1"/>
                <c:order val="0"/>
                <c:spPr>
                  <a:solidFill>
                    <a:schemeClr val="accent2"/>
                  </a:solidFill>
                  <a:ln>
                    <a:noFill/>
                  </a:ln>
                  <a:effectLst/>
                </c:spPr>
                <c:invertIfNegative val="0"/>
                <c:cat>
                  <c:strRef>
                    <c:extLst>
                      <c:ext uri="{02D57815-91ED-43cb-92C2-25804820EDAC}">
                        <c15:formulaRef>
                          <c15:sqref>'For Pres'!$AD$339:$AD$340</c15:sqref>
                        </c15:formulaRef>
                      </c:ext>
                    </c:extLst>
                    <c:strCache>
                      <c:ptCount val="2"/>
                      <c:pt idx="0">
                        <c:v>Промышленный сад </c:v>
                      </c:pt>
                      <c:pt idx="1">
                        <c:v>Молодой сад </c:v>
                      </c:pt>
                    </c:strCache>
                  </c:strRef>
                </c:cat>
                <c:val>
                  <c:numRef>
                    <c:extLst>
                      <c:ext uri="{02D57815-91ED-43cb-92C2-25804820EDAC}">
                        <c15:formulaRef>
                          <c15:sqref>'For Pres'!$AF$340:$AF$341</c15:sqref>
                        </c15:formulaRef>
                      </c:ext>
                    </c:extLst>
                    <c:numCache>
                      <c:formatCode>General</c:formatCode>
                      <c:ptCount val="2"/>
                    </c:numCache>
                  </c:numRef>
                </c:val>
                <c:extLst>
                  <c:ext xmlns:c16="http://schemas.microsoft.com/office/drawing/2014/chart" uri="{C3380CC4-5D6E-409C-BE32-E72D297353CC}">
                    <c16:uniqueId val="{00000005-E812-4E9B-B89B-79720071B54F}"/>
                  </c:ext>
                </c:extLst>
              </c15:ser>
            </c15:filteredBarSeries>
            <c15:filteredBarSeries>
              <c15:ser>
                <c:idx val="0"/>
                <c:order val="1"/>
                <c:spPr>
                  <a:solidFill>
                    <a:schemeClr val="accent1"/>
                  </a:solidFill>
                  <a:ln>
                    <a:noFill/>
                  </a:ln>
                  <a:effectLst/>
                </c:spPr>
                <c:invertIfNegative val="0"/>
                <c:cat>
                  <c:strRef>
                    <c:extLst xmlns:c15="http://schemas.microsoft.com/office/drawing/2012/chart">
                      <c:ext xmlns:c15="http://schemas.microsoft.com/office/drawing/2012/chart" uri="{02D57815-91ED-43cb-92C2-25804820EDAC}">
                        <c15:formulaRef>
                          <c15:sqref>'For Pres'!$AD$339:$AD$340</c15:sqref>
                        </c15:formulaRef>
                      </c:ext>
                    </c:extLst>
                    <c:strCache>
                      <c:ptCount val="2"/>
                      <c:pt idx="0">
                        <c:v>Промышленный сад </c:v>
                      </c:pt>
                      <c:pt idx="1">
                        <c:v>Молодой сад </c:v>
                      </c:pt>
                    </c:strCache>
                  </c:strRef>
                </c:cat>
                <c:val>
                  <c:numRef>
                    <c:extLst xmlns:c15="http://schemas.microsoft.com/office/drawing/2012/chart">
                      <c:ext xmlns:c15="http://schemas.microsoft.com/office/drawing/2012/chart" uri="{02D57815-91ED-43cb-92C2-25804820EDAC}">
                        <c15:formulaRef>
                          <c15:sqref>'For Pres'!$AE$340:$AE$341</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E812-4E9B-B89B-79720071B54F}"/>
                  </c:ext>
                </c:extLst>
              </c15:ser>
            </c15:filteredBarSeries>
          </c:ext>
        </c:extLst>
      </c:barChart>
      <c:catAx>
        <c:axId val="91694976"/>
        <c:scaling>
          <c:orientation val="minMax"/>
        </c:scaling>
        <c:delete val="1"/>
        <c:axPos val="b"/>
        <c:numFmt formatCode="General" sourceLinked="1"/>
        <c:majorTickMark val="none"/>
        <c:minorTickMark val="none"/>
        <c:tickLblPos val="none"/>
        <c:crossAx val="91696512"/>
        <c:crosses val="autoZero"/>
        <c:auto val="1"/>
        <c:lblAlgn val="ctr"/>
        <c:lblOffset val="100"/>
        <c:noMultiLvlLbl val="0"/>
      </c:catAx>
      <c:valAx>
        <c:axId val="91696512"/>
        <c:scaling>
          <c:orientation val="minMax"/>
        </c:scaling>
        <c:delete val="0"/>
        <c:axPos val="l"/>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916949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'For Pres'!$F$43</c:f>
              <c:strCache>
                <c:ptCount val="1"/>
                <c:pt idx="0">
                  <c:v>Себестоимость в пересчете на 1 тн яблок</c:v>
                </c:pt>
              </c:strCache>
            </c:strRef>
          </c:tx>
          <c:spPr>
            <a:ln w="28575" cap="rnd">
              <a:solidFill>
                <a:srgbClr val="000096"/>
              </a:solidFill>
              <a:round/>
            </a:ln>
            <a:effectLst/>
          </c:spPr>
          <c:marker>
            <c:symbol val="circle"/>
            <c:size val="5"/>
            <c:spPr>
              <a:solidFill>
                <a:srgbClr val="000096"/>
              </a:solidFill>
              <a:ln w="9525">
                <a:solidFill>
                  <a:srgbClr val="00009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Pres'!$G$43:$O$43</c:f>
              <c:numCache>
                <c:formatCode>#\ ##0.0</c:formatCode>
                <c:ptCount val="9"/>
                <c:pt idx="0">
                  <c:v>17.005793899876938</c:v>
                </c:pt>
                <c:pt idx="1">
                  <c:v>17.892248863832005</c:v>
                </c:pt>
                <c:pt idx="2">
                  <c:v>18.413567571447373</c:v>
                </c:pt>
                <c:pt idx="3">
                  <c:v>19.00899913273873</c:v>
                </c:pt>
                <c:pt idx="4">
                  <c:v>19.725638400042982</c:v>
                </c:pt>
                <c:pt idx="5">
                  <c:v>20.544252393644769</c:v>
                </c:pt>
                <c:pt idx="6">
                  <c:v>21.160579965454112</c:v>
                </c:pt>
                <c:pt idx="7">
                  <c:v>21.795397364417735</c:v>
                </c:pt>
                <c:pt idx="8">
                  <c:v>22.449259285350266</c:v>
                </c:pt>
              </c:numCache>
            </c:numRef>
          </c:val>
          <c:smooth val="0"/>
          <c:extLst>
            <c:ext xmlns:c15="http://schemas.microsoft.com/office/drawing/2012/chart" uri="{02D57815-91ED-43cb-92C2-25804820EDAC}">
              <c15:filteredCategoryTitle>
                <c15:cat>
                  <c:multiLvlStrRef>
                    <c:extLst>
                      <c:ext uri="{02D57815-91ED-43cb-92C2-25804820EDAC}">
                        <c15:formulaRef>
                          <c15:sqref>'Модель урожая яблок'!#REF!</c15:sqref>
                        </c15:formulaRef>
                      </c:ext>
                    </c:extLst>
                  </c:multiLvlStrRef>
                </c15:cat>
              </c15:filteredCategoryTitle>
            </c:ext>
            <c:ext xmlns:c16="http://schemas.microsoft.com/office/drawing/2014/chart" uri="{C3380CC4-5D6E-409C-BE32-E72D297353CC}">
              <c16:uniqueId val="{00000000-B0DC-4E38-94F1-B3A0478D871C}"/>
            </c:ext>
          </c:extLst>
        </c:ser>
        <c:dLbls>
          <c:showLegendKey val="0"/>
          <c:showVal val="1"/>
          <c:showCatName val="0"/>
          <c:showSerName val="0"/>
          <c:showPercent val="0"/>
          <c:showBubbleSize val="0"/>
        </c:dLbls>
        <c:marker val="1"/>
        <c:smooth val="0"/>
        <c:axId val="88849408"/>
        <c:axId val="88855296"/>
      </c:lineChart>
      <c:catAx>
        <c:axId val="88849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8855296"/>
        <c:crosses val="autoZero"/>
        <c:auto val="1"/>
        <c:lblAlgn val="ctr"/>
        <c:lblOffset val="100"/>
        <c:noMultiLvlLbl val="0"/>
      </c:catAx>
      <c:valAx>
        <c:axId val="88855296"/>
        <c:scaling>
          <c:orientation val="minMax"/>
          <c:max val="40"/>
        </c:scaling>
        <c:delete val="0"/>
        <c:axPos val="l"/>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88494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'For Pres'!$C$86</c:f>
              <c:strCache>
                <c:ptCount val="1"/>
                <c:pt idx="0">
                  <c:v>Коммерческие расходы</c:v>
                </c:pt>
              </c:strCache>
            </c:strRef>
          </c:tx>
          <c:spPr>
            <a:solidFill>
              <a:srgbClr val="000096"/>
            </a:solidFill>
            <a:ln>
              <a:solidFill>
                <a:srgbClr val="00009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 Pres'!$M$285:$U$285</c:f>
              <c:strCache>
                <c:ptCount val="9"/>
                <c:pt idx="0">
                  <c:v>2018</c:v>
                </c:pt>
                <c:pt idx="1">
                  <c:v>19/20</c:v>
                </c:pt>
                <c:pt idx="2">
                  <c:v>20/21</c:v>
                </c:pt>
                <c:pt idx="3">
                  <c:v>21/22</c:v>
                </c:pt>
                <c:pt idx="4">
                  <c:v>22/23</c:v>
                </c:pt>
                <c:pt idx="5">
                  <c:v>23/24</c:v>
                </c:pt>
                <c:pt idx="6">
                  <c:v>24/25</c:v>
                </c:pt>
                <c:pt idx="7">
                  <c:v>25/26</c:v>
                </c:pt>
                <c:pt idx="8">
                  <c:v>26/27</c:v>
                </c:pt>
              </c:strCache>
            </c:strRef>
          </c:cat>
          <c:val>
            <c:numRef>
              <c:f>'For Pres'!$F$86:$N$86</c:f>
              <c:numCache>
                <c:formatCode>#\ ##0.0</c:formatCode>
                <c:ptCount val="9"/>
                <c:pt idx="0" formatCode="#,##0">
                  <c:v>5.0910000000000002</c:v>
                </c:pt>
                <c:pt idx="1">
                  <c:v>7.732915428537817</c:v>
                </c:pt>
                <c:pt idx="2">
                  <c:v>9.5154518807393398</c:v>
                </c:pt>
                <c:pt idx="3">
                  <c:v>11.451874471341624</c:v>
                </c:pt>
                <c:pt idx="4">
                  <c:v>12.290822683628303</c:v>
                </c:pt>
                <c:pt idx="5">
                  <c:v>13.085269288683852</c:v>
                </c:pt>
                <c:pt idx="6">
                  <c:v>13.770258621886072</c:v>
                </c:pt>
                <c:pt idx="7">
                  <c:v>14.312776745732785</c:v>
                </c:pt>
                <c:pt idx="8">
                  <c:v>14.742160048104765</c:v>
                </c:pt>
              </c:numCache>
            </c:numRef>
          </c:val>
          <c:extLst>
            <c:ext xmlns:c16="http://schemas.microsoft.com/office/drawing/2014/chart" uri="{C3380CC4-5D6E-409C-BE32-E72D297353CC}">
              <c16:uniqueId val="{00000000-7104-44DA-AB5F-9A9C841064AE}"/>
            </c:ext>
          </c:extLst>
        </c:ser>
        <c:dLbls>
          <c:showLegendKey val="0"/>
          <c:showVal val="0"/>
          <c:showCatName val="0"/>
          <c:showSerName val="0"/>
          <c:showPercent val="0"/>
          <c:showBubbleSize val="0"/>
        </c:dLbls>
        <c:gapWidth val="73"/>
        <c:overlap val="-27"/>
        <c:axId val="88587264"/>
        <c:axId val="88867584"/>
      </c:barChart>
      <c:lineChart>
        <c:grouping val="stacked"/>
        <c:varyColors val="0"/>
        <c:ser>
          <c:idx val="1"/>
          <c:order val="1"/>
          <c:tx>
            <c:strRef>
              <c:f>'For Pres'!$C$87</c:f>
              <c:strCache>
                <c:ptCount val="1"/>
                <c:pt idx="0">
                  <c:v>как % от выручки</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Pres'!$F$87:$N$87</c:f>
              <c:numCache>
                <c:formatCode>0.0%</c:formatCode>
                <c:ptCount val="9"/>
                <c:pt idx="0">
                  <c:v>1.3515343139987736E-2</c:v>
                </c:pt>
                <c:pt idx="1">
                  <c:v>1.3515343139987736E-2</c:v>
                </c:pt>
                <c:pt idx="2">
                  <c:v>1.3515343139987736E-2</c:v>
                </c:pt>
                <c:pt idx="3">
                  <c:v>1.3515343139987736E-2</c:v>
                </c:pt>
                <c:pt idx="4">
                  <c:v>1.3515343139987736E-2</c:v>
                </c:pt>
                <c:pt idx="5">
                  <c:v>1.3515343139987736E-2</c:v>
                </c:pt>
                <c:pt idx="6">
                  <c:v>1.3515343139987736E-2</c:v>
                </c:pt>
                <c:pt idx="7">
                  <c:v>1.3515343139987736E-2</c:v>
                </c:pt>
                <c:pt idx="8">
                  <c:v>1.3515343139987736E-2</c:v>
                </c:pt>
              </c:numCache>
            </c:numRef>
          </c:val>
          <c:smooth val="0"/>
          <c:extLst>
            <c:ext xmlns:c16="http://schemas.microsoft.com/office/drawing/2014/chart" uri="{C3380CC4-5D6E-409C-BE32-E72D297353CC}">
              <c16:uniqueId val="{00000001-7104-44DA-AB5F-9A9C841064AE}"/>
            </c:ext>
          </c:extLst>
        </c:ser>
        <c:dLbls>
          <c:showLegendKey val="0"/>
          <c:showVal val="0"/>
          <c:showCatName val="0"/>
          <c:showSerName val="0"/>
          <c:showPercent val="0"/>
          <c:showBubbleSize val="0"/>
        </c:dLbls>
        <c:marker val="1"/>
        <c:smooth val="0"/>
        <c:axId val="88870912"/>
        <c:axId val="88869120"/>
      </c:lineChart>
      <c:catAx>
        <c:axId val="8858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8867584"/>
        <c:crosses val="autoZero"/>
        <c:auto val="1"/>
        <c:lblAlgn val="ctr"/>
        <c:lblOffset val="100"/>
        <c:noMultiLvlLbl val="0"/>
      </c:catAx>
      <c:valAx>
        <c:axId val="88867584"/>
        <c:scaling>
          <c:orientation val="minMax"/>
          <c:max val="2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8587264"/>
        <c:crosses val="autoZero"/>
        <c:crossBetween val="between"/>
      </c:valAx>
      <c:valAx>
        <c:axId val="8886912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8870912"/>
        <c:crosses val="max"/>
        <c:crossBetween val="between"/>
      </c:valAx>
      <c:catAx>
        <c:axId val="88870912"/>
        <c:scaling>
          <c:orientation val="minMax"/>
        </c:scaling>
        <c:delete val="1"/>
        <c:axPos val="b"/>
        <c:majorTickMark val="out"/>
        <c:minorTickMark val="none"/>
        <c:tickLblPos val="none"/>
        <c:crossAx val="888691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'For Pres'!$C$104</c:f>
              <c:strCache>
                <c:ptCount val="1"/>
                <c:pt idx="0">
                  <c:v>Административные расходы</c:v>
                </c:pt>
              </c:strCache>
            </c:strRef>
          </c:tx>
          <c:spPr>
            <a:solidFill>
              <a:srgbClr val="0000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Pres'!$F$104:$N$104</c:f>
              <c:numCache>
                <c:formatCode>#\ ##0.0</c:formatCode>
                <c:ptCount val="9"/>
                <c:pt idx="0" formatCode="#,##0">
                  <c:v>4.01</c:v>
                </c:pt>
                <c:pt idx="1">
                  <c:v>4.1427042532714733</c:v>
                </c:pt>
                <c:pt idx="2">
                  <c:v>4.2634084332649564</c:v>
                </c:pt>
                <c:pt idx="3">
                  <c:v>4.4012724256711895</c:v>
                </c:pt>
                <c:pt idx="4">
                  <c:v>4.5672003961189942</c:v>
                </c:pt>
                <c:pt idx="5">
                  <c:v>4.7567392125579326</c:v>
                </c:pt>
                <c:pt idx="6">
                  <c:v>4.8994413889346706</c:v>
                </c:pt>
                <c:pt idx="7">
                  <c:v>5.0464246306027105</c:v>
                </c:pt>
                <c:pt idx="8">
                  <c:v>5.1978173695207923</c:v>
                </c:pt>
              </c:numCache>
            </c:numRef>
          </c:val>
          <c:extLst>
            <c:ext xmlns:c15="http://schemas.microsoft.com/office/drawing/2012/chart" uri="{02D57815-91ED-43cb-92C2-25804820EDAC}">
              <c15:filteredCategoryTitle>
                <c15:cat>
                  <c:multiLvlStrRef>
                    <c:extLst>
                      <c:ext uri="{02D57815-91ED-43cb-92C2-25804820EDAC}">
                        <c15:formulaRef>
                          <c15:sqref>'Модель урожая яблок'!#REF!</c15:sqref>
                        </c15:formulaRef>
                      </c:ext>
                    </c:extLst>
                  </c:multiLvlStrRef>
                </c15:cat>
              </c15:filteredCategoryTitle>
            </c:ext>
            <c:ext xmlns:c16="http://schemas.microsoft.com/office/drawing/2014/chart" uri="{C3380CC4-5D6E-409C-BE32-E72D297353CC}">
              <c16:uniqueId val="{00000000-4FB4-4C20-8735-A9667FD4C779}"/>
            </c:ext>
          </c:extLst>
        </c:ser>
        <c:dLbls>
          <c:showLegendKey val="0"/>
          <c:showVal val="0"/>
          <c:showCatName val="0"/>
          <c:showSerName val="0"/>
          <c:showPercent val="0"/>
          <c:showBubbleSize val="0"/>
        </c:dLbls>
        <c:gapWidth val="73"/>
        <c:overlap val="-27"/>
        <c:axId val="88898176"/>
        <c:axId val="88916352"/>
      </c:barChart>
      <c:lineChart>
        <c:grouping val="stacked"/>
        <c:varyColors val="0"/>
        <c:ser>
          <c:idx val="1"/>
          <c:order val="1"/>
          <c:tx>
            <c:strRef>
              <c:f>'For Pres'!$C$105</c:f>
              <c:strCache>
                <c:ptCount val="1"/>
                <c:pt idx="0">
                  <c:v>Изменение в %</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Pres'!$F$105:$N$105</c:f>
              <c:numCache>
                <c:formatCode>0.0%</c:formatCode>
                <c:ptCount val="9"/>
                <c:pt idx="0">
                  <c:v>2.9136566989585111E-2</c:v>
                </c:pt>
                <c:pt idx="1">
                  <c:v>3.3093329992886167E-2</c:v>
                </c:pt>
                <c:pt idx="2">
                  <c:v>2.9136566989585111E-2</c:v>
                </c:pt>
                <c:pt idx="3">
                  <c:v>3.2336566989584759E-2</c:v>
                </c:pt>
                <c:pt idx="4">
                  <c:v>3.7700000000000289E-2</c:v>
                </c:pt>
                <c:pt idx="5">
                  <c:v>4.1500000000000092E-2</c:v>
                </c:pt>
                <c:pt idx="6">
                  <c:v>3.0000000000000027E-2</c:v>
                </c:pt>
                <c:pt idx="7">
                  <c:v>3.0000000000000027E-2</c:v>
                </c:pt>
                <c:pt idx="8">
                  <c:v>3.0000000000000027E-2</c:v>
                </c:pt>
              </c:numCache>
            </c:numRef>
          </c:val>
          <c:smooth val="0"/>
          <c:extLst>
            <c:ext xmlns:c16="http://schemas.microsoft.com/office/drawing/2014/chart" uri="{C3380CC4-5D6E-409C-BE32-E72D297353CC}">
              <c16:uniqueId val="{00000001-4FB4-4C20-8735-A9667FD4C779}"/>
            </c:ext>
          </c:extLst>
        </c:ser>
        <c:dLbls>
          <c:showLegendKey val="0"/>
          <c:showVal val="0"/>
          <c:showCatName val="0"/>
          <c:showSerName val="0"/>
          <c:showPercent val="0"/>
          <c:showBubbleSize val="0"/>
        </c:dLbls>
        <c:marker val="1"/>
        <c:smooth val="0"/>
        <c:axId val="88919424"/>
        <c:axId val="88917888"/>
      </c:lineChart>
      <c:catAx>
        <c:axId val="88898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8916352"/>
        <c:crosses val="autoZero"/>
        <c:auto val="1"/>
        <c:lblAlgn val="ctr"/>
        <c:lblOffset val="100"/>
        <c:noMultiLvlLbl val="0"/>
      </c:catAx>
      <c:valAx>
        <c:axId val="88916352"/>
        <c:scaling>
          <c:orientation val="minMax"/>
          <c:max val="1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8898176"/>
        <c:crosses val="autoZero"/>
        <c:crossBetween val="between"/>
      </c:valAx>
      <c:valAx>
        <c:axId val="889178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ru-RU"/>
          </a:p>
        </c:txPr>
        <c:crossAx val="88919424"/>
        <c:crosses val="max"/>
        <c:crossBetween val="between"/>
      </c:valAx>
      <c:catAx>
        <c:axId val="88919424"/>
        <c:scaling>
          <c:orientation val="minMax"/>
        </c:scaling>
        <c:delete val="1"/>
        <c:axPos val="b"/>
        <c:majorTickMark val="out"/>
        <c:minorTickMark val="none"/>
        <c:tickLblPos val="none"/>
        <c:crossAx val="88917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'For Pres'!$F$179</c:f>
              <c:strCache>
                <c:ptCount val="1"/>
                <c:pt idx="0">
                  <c:v>Кредиторская задолженность</c:v>
                </c:pt>
              </c:strCache>
            </c:strRef>
          </c:tx>
          <c:spPr>
            <a:solidFill>
              <a:srgbClr val="000096"/>
            </a:solidFill>
            <a:ln>
              <a:noFill/>
            </a:ln>
            <a:effectLst/>
          </c:spPr>
          <c:invertIfNegative val="0"/>
          <c:dLbls>
            <c:numFmt formatCode="0.0;[Whit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Pres'!$G$184:$O$184</c:f>
              <c:numCache>
                <c:formatCode>mmm\-yy</c:formatCode>
                <c:ptCount val="9"/>
                <c:pt idx="0">
                  <c:v>43617</c:v>
                </c:pt>
                <c:pt idx="1">
                  <c:v>43983</c:v>
                </c:pt>
                <c:pt idx="2">
                  <c:v>44348</c:v>
                </c:pt>
                <c:pt idx="3">
                  <c:v>44713</c:v>
                </c:pt>
                <c:pt idx="4">
                  <c:v>45078</c:v>
                </c:pt>
                <c:pt idx="5">
                  <c:v>45444</c:v>
                </c:pt>
                <c:pt idx="6">
                  <c:v>45809</c:v>
                </c:pt>
                <c:pt idx="7">
                  <c:v>46174</c:v>
                </c:pt>
                <c:pt idx="8">
                  <c:v>46539</c:v>
                </c:pt>
              </c:numCache>
            </c:numRef>
          </c:cat>
          <c:val>
            <c:numRef>
              <c:f>'For Pres'!$G$179:$O$179</c:f>
              <c:numCache>
                <c:formatCode>0</c:formatCode>
                <c:ptCount val="9"/>
                <c:pt idx="0">
                  <c:v>-130.28899999999999</c:v>
                </c:pt>
                <c:pt idx="1">
                  <c:v>-143.03189255746531</c:v>
                </c:pt>
                <c:pt idx="2">
                  <c:v>-170.39325820187025</c:v>
                </c:pt>
                <c:pt idx="3">
                  <c:v>-194.00300027973404</c:v>
                </c:pt>
                <c:pt idx="4">
                  <c:v>-208.21538714008938</c:v>
                </c:pt>
                <c:pt idx="5">
                  <c:v>-221.67388472740791</c:v>
                </c:pt>
                <c:pt idx="6">
                  <c:v>-233.27809730705187</c:v>
                </c:pt>
                <c:pt idx="7">
                  <c:v>-242.46874500370473</c:v>
                </c:pt>
                <c:pt idx="8">
                  <c:v>-249.74280735381586</c:v>
                </c:pt>
              </c:numCache>
            </c:numRef>
          </c:val>
          <c:extLst>
            <c:ext xmlns:c16="http://schemas.microsoft.com/office/drawing/2014/chart" uri="{C3380CC4-5D6E-409C-BE32-E72D297353CC}">
              <c16:uniqueId val="{00000000-343E-49CB-94DD-595140B87BDA}"/>
            </c:ext>
          </c:extLst>
        </c:ser>
        <c:ser>
          <c:idx val="1"/>
          <c:order val="1"/>
          <c:tx>
            <c:strRef>
              <c:f>'For Pres'!$F$180</c:f>
              <c:strCache>
                <c:ptCount val="1"/>
                <c:pt idx="0">
                  <c:v>Запасы</c:v>
                </c:pt>
              </c:strCache>
            </c:strRef>
          </c:tx>
          <c:spPr>
            <a:solidFill>
              <a:srgbClr val="3366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Pres'!$G$184:$O$184</c:f>
              <c:numCache>
                <c:formatCode>mmm\-yy</c:formatCode>
                <c:ptCount val="9"/>
                <c:pt idx="0">
                  <c:v>43617</c:v>
                </c:pt>
                <c:pt idx="1">
                  <c:v>43983</c:v>
                </c:pt>
                <c:pt idx="2">
                  <c:v>44348</c:v>
                </c:pt>
                <c:pt idx="3">
                  <c:v>44713</c:v>
                </c:pt>
                <c:pt idx="4">
                  <c:v>45078</c:v>
                </c:pt>
                <c:pt idx="5">
                  <c:v>45444</c:v>
                </c:pt>
                <c:pt idx="6">
                  <c:v>45809</c:v>
                </c:pt>
                <c:pt idx="7">
                  <c:v>46174</c:v>
                </c:pt>
                <c:pt idx="8">
                  <c:v>46539</c:v>
                </c:pt>
              </c:numCache>
            </c:numRef>
          </c:cat>
          <c:val>
            <c:numRef>
              <c:f>'For Pres'!$G$180:$O$180</c:f>
              <c:numCache>
                <c:formatCode>0</c:formatCode>
                <c:ptCount val="9"/>
                <c:pt idx="0">
                  <c:v>197.56700000000001</c:v>
                </c:pt>
                <c:pt idx="1">
                  <c:v>254.97044035066327</c:v>
                </c:pt>
                <c:pt idx="2">
                  <c:v>303.16368990051325</c:v>
                </c:pt>
                <c:pt idx="3">
                  <c:v>345.09079658606419</c:v>
                </c:pt>
                <c:pt idx="4">
                  <c:v>370.18278332511073</c:v>
                </c:pt>
                <c:pt idx="5">
                  <c:v>393.98289532354477</c:v>
                </c:pt>
                <c:pt idx="6">
                  <c:v>414.47886598353602</c:v>
                </c:pt>
                <c:pt idx="7">
                  <c:v>430.75285895134317</c:v>
                </c:pt>
                <c:pt idx="8">
                  <c:v>443.6754447198835</c:v>
                </c:pt>
              </c:numCache>
            </c:numRef>
          </c:val>
          <c:extLst>
            <c:ext xmlns:c16="http://schemas.microsoft.com/office/drawing/2014/chart" uri="{C3380CC4-5D6E-409C-BE32-E72D297353CC}">
              <c16:uniqueId val="{00000001-343E-49CB-94DD-595140B87BDA}"/>
            </c:ext>
          </c:extLst>
        </c:ser>
        <c:ser>
          <c:idx val="2"/>
          <c:order val="2"/>
          <c:tx>
            <c:strRef>
              <c:f>'For Pres'!$F$181</c:f>
              <c:strCache>
                <c:ptCount val="1"/>
                <c:pt idx="0">
                  <c:v>Дебиторская задолженность</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Pres'!$G$184:$O$184</c:f>
              <c:numCache>
                <c:formatCode>mmm\-yy</c:formatCode>
                <c:ptCount val="9"/>
                <c:pt idx="0">
                  <c:v>43617</c:v>
                </c:pt>
                <c:pt idx="1">
                  <c:v>43983</c:v>
                </c:pt>
                <c:pt idx="2">
                  <c:v>44348</c:v>
                </c:pt>
                <c:pt idx="3">
                  <c:v>44713</c:v>
                </c:pt>
                <c:pt idx="4">
                  <c:v>45078</c:v>
                </c:pt>
                <c:pt idx="5">
                  <c:v>45444</c:v>
                </c:pt>
                <c:pt idx="6">
                  <c:v>45809</c:v>
                </c:pt>
                <c:pt idx="7">
                  <c:v>46174</c:v>
                </c:pt>
                <c:pt idx="8">
                  <c:v>46539</c:v>
                </c:pt>
              </c:numCache>
            </c:numRef>
          </c:cat>
          <c:val>
            <c:numRef>
              <c:f>'For Pres'!$G$181:$O$181</c:f>
              <c:numCache>
                <c:formatCode>0</c:formatCode>
                <c:ptCount val="9"/>
                <c:pt idx="0">
                  <c:v>27.681000000000001</c:v>
                </c:pt>
                <c:pt idx="1">
                  <c:v>45.854549227232773</c:v>
                </c:pt>
                <c:pt idx="2">
                  <c:v>56.424612517355555</c:v>
                </c:pt>
                <c:pt idx="3">
                  <c:v>67.907187986603589</c:v>
                </c:pt>
                <c:pt idx="4">
                  <c:v>72.881973040818579</c:v>
                </c:pt>
                <c:pt idx="5">
                  <c:v>77.592872997837247</c:v>
                </c:pt>
                <c:pt idx="6">
                  <c:v>81.654714536092584</c:v>
                </c:pt>
                <c:pt idx="7">
                  <c:v>84.871732004664452</c:v>
                </c:pt>
                <c:pt idx="8">
                  <c:v>87.417883964804346</c:v>
                </c:pt>
              </c:numCache>
            </c:numRef>
          </c:val>
          <c:extLst>
            <c:ext xmlns:c16="http://schemas.microsoft.com/office/drawing/2014/chart" uri="{C3380CC4-5D6E-409C-BE32-E72D297353CC}">
              <c16:uniqueId val="{00000002-343E-49CB-94DD-595140B87BDA}"/>
            </c:ext>
          </c:extLst>
        </c:ser>
        <c:dLbls>
          <c:showLegendKey val="0"/>
          <c:showVal val="0"/>
          <c:showCatName val="0"/>
          <c:showSerName val="0"/>
          <c:showPercent val="0"/>
          <c:showBubbleSize val="0"/>
        </c:dLbls>
        <c:gapWidth val="73"/>
        <c:overlap val="100"/>
        <c:axId val="88971904"/>
        <c:axId val="88985984"/>
      </c:barChart>
      <c:catAx>
        <c:axId val="8897190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8985984"/>
        <c:crosses val="autoZero"/>
        <c:auto val="0"/>
        <c:lblAlgn val="ctr"/>
        <c:lblOffset val="100"/>
        <c:noMultiLvlLbl val="1"/>
      </c:catAx>
      <c:valAx>
        <c:axId val="88985984"/>
        <c:scaling>
          <c:orientation val="minMax"/>
        </c:scaling>
        <c:delete val="1"/>
        <c:axPos val="l"/>
        <c:numFmt formatCode="0" sourceLinked="1"/>
        <c:majorTickMark val="none"/>
        <c:minorTickMark val="none"/>
        <c:tickLblPos val="none"/>
        <c:crossAx val="8897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plotArea>
      <cx:plotAreaRegion>
        <cx:series layoutId="waterfall" uniqueId="{5B18848F-E9C3-4EC9-9A64-B30EF87CFE95}">
          <cx:spPr>
            <a:solidFill>
              <a:srgbClr val="000096"/>
            </a:solidFill>
            <a:ln>
              <a:noFill/>
            </a:ln>
          </cx:spPr>
          <cx:dataPt idx="1">
            <cx:spPr>
              <a:solidFill>
                <a:srgbClr val="C7D5F1"/>
              </a:solidFill>
            </cx:spPr>
          </cx:dataPt>
          <cx:dataPt idx="2">
            <cx:spPr>
              <a:solidFill>
                <a:srgbClr val="C7D5F1"/>
              </a:solidFill>
            </cx:spPr>
          </cx:dataPt>
          <cx:dataPt idx="3">
            <cx:spPr>
              <a:solidFill>
                <a:srgbClr val="C7D5F1"/>
              </a:solidFill>
            </cx:spPr>
          </cx:dataPt>
          <cx:dataPt idx="4">
            <cx:spPr>
              <a:solidFill>
                <a:srgbClr val="C7D5F1"/>
              </a:solidFill>
            </cx:spPr>
          </cx:dataPt>
          <cx:dataLabels pos="outEnd">
            <cx:txPr>
              <a:bodyPr spcFirstLastPara="1" vertOverflow="ellipsis" wrap="square" lIns="0" tIns="0" rIns="0" bIns="0" anchor="ctr" anchorCtr="1">
                <a:spAutoFit/>
              </a:bodyPr>
              <a:lstStyle/>
              <a:p>
                <a:pPr>
                  <a:defRPr lang="ru-RU" sz="900" b="1" i="0" u="none" strike="noStrike" kern="1200" baseline="0">
                    <a:solidFill>
                      <a:schemeClr val="tx1"/>
                    </a:solidFill>
                    <a:latin typeface="Arial" panose="020B0604020202020204" pitchFamily="34" charset="0"/>
                    <a:ea typeface="Arial" panose="020B0604020202020204" pitchFamily="34" charset="0"/>
                    <a:cs typeface="Arial" panose="020B0604020202020204" pitchFamily="34" charset="0"/>
                  </a:defRPr>
                </a:pPr>
                <a:endParaRPr lang="ru-RU" b="1">
                  <a:solidFill>
                    <a:schemeClr val="tx1"/>
                  </a:solidFill>
                  <a:latin typeface="Arial" panose="020B0604020202020204" pitchFamily="34" charset="0"/>
                  <a:cs typeface="Arial" panose="020B0604020202020204" pitchFamily="34" charset="0"/>
                </a:endParaRPr>
              </a:p>
            </cx:txPr>
            <cx:visibility seriesName="0" categoryName="0" value="1"/>
          </cx:dataLabels>
          <cx:dataId val="0"/>
          <cx:layoutPr>
            <cx:visibility connectorLines="1"/>
            <cx:subtotals/>
          </cx:layoutPr>
        </cx:series>
      </cx:plotAreaRegion>
      <cx:axis id="0">
        <cx:catScaling gapWidth="0.5"/>
        <cx:tickLabels/>
        <cx:txPr>
          <a:bodyPr spcFirstLastPara="1" vertOverflow="ellipsis" wrap="square" lIns="0" tIns="0" rIns="0" bIns="0" anchor="ctr" anchorCtr="1"/>
          <a:lstStyle/>
          <a:p>
            <a:pPr>
              <a:defRPr lang="ru-RU" sz="900" b="1" i="0" u="none" strike="noStrike" kern="1200" baseline="0">
                <a:solidFill>
                  <a:schemeClr val="tx1"/>
                </a:solidFill>
                <a:latin typeface="Arial" panose="020B0604020202020204" pitchFamily="34" charset="0"/>
                <a:ea typeface="Arial" panose="020B0604020202020204" pitchFamily="34" charset="0"/>
                <a:cs typeface="Arial" panose="020B0604020202020204" pitchFamily="34" charset="0"/>
              </a:defRPr>
            </a:pPr>
            <a:endParaRPr lang="ru-RU" b="1">
              <a:solidFill>
                <a:schemeClr val="tx1"/>
              </a:solidFill>
              <a:latin typeface="Arial" panose="020B0604020202020204" pitchFamily="34" charset="0"/>
              <a:cs typeface="Arial" panose="020B0604020202020204" pitchFamily="34" charset="0"/>
            </a:endParaRPr>
          </a:p>
        </cx:txPr>
      </cx:axis>
      <cx:axis id="1" hidden="1">
        <cx:valScaling max="3000"/>
        <cx:tickLabels/>
        <cx:txPr>
          <a:bodyPr spcFirstLastPara="1" vertOverflow="ellipsis" wrap="square" lIns="0" tIns="0" rIns="0" bIns="0" anchor="ctr" anchorCtr="1"/>
          <a:lstStyle/>
          <a:p>
            <a:pPr>
              <a:defRPr>
                <a:solidFill>
                  <a:schemeClr val="bg1"/>
                </a:solidFill>
              </a:defRPr>
            </a:pPr>
            <a:endParaRPr lang="ru-RU">
              <a:solidFill>
                <a:schemeClr val="bg1"/>
              </a:solidFill>
            </a:endParaRPr>
          </a:p>
        </cx:txPr>
      </cx:axis>
    </cx:plotArea>
  </cx:chart>
  <cx:spPr>
    <a:noFill/>
    <a:ln>
      <a:noFill/>
    </a:ln>
  </cx:spPr>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6.xml"/><Relationship Id="rId21" Type="http://schemas.openxmlformats.org/officeDocument/2006/relationships/chart" Target="../charts/chart21.xml"/><Relationship Id="rId34" Type="http://schemas.openxmlformats.org/officeDocument/2006/relationships/image" Target="../media/image3.emf"/><Relationship Id="rId42" Type="http://schemas.openxmlformats.org/officeDocument/2006/relationships/chart" Target="../charts/chart39.xml"/><Relationship Id="rId47" Type="http://schemas.openxmlformats.org/officeDocument/2006/relationships/chart" Target="../charts/chart44.xml"/><Relationship Id="rId50" Type="http://schemas.openxmlformats.org/officeDocument/2006/relationships/chart" Target="../charts/chart47.xml"/><Relationship Id="rId55" Type="http://schemas.openxmlformats.org/officeDocument/2006/relationships/chart" Target="../charts/chart52.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microsoft.com/office/2014/relationships/chartEx" Target="../charts/chartEx1.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1.xml"/><Relationship Id="rId37" Type="http://schemas.openxmlformats.org/officeDocument/2006/relationships/chart" Target="../charts/chart34.xml"/><Relationship Id="rId40" Type="http://schemas.openxmlformats.org/officeDocument/2006/relationships/chart" Target="../charts/chart37.xml"/><Relationship Id="rId45" Type="http://schemas.openxmlformats.org/officeDocument/2006/relationships/chart" Target="../charts/chart42.xml"/><Relationship Id="rId53" Type="http://schemas.openxmlformats.org/officeDocument/2006/relationships/chart" Target="../charts/chart50.xml"/><Relationship Id="rId58" Type="http://schemas.openxmlformats.org/officeDocument/2006/relationships/chart" Target="../charts/chart55.xml"/><Relationship Id="rId5" Type="http://schemas.openxmlformats.org/officeDocument/2006/relationships/chart" Target="../charts/chart5.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29.xml"/><Relationship Id="rId35" Type="http://schemas.openxmlformats.org/officeDocument/2006/relationships/image" Target="../media/image4.emf"/><Relationship Id="rId43" Type="http://schemas.openxmlformats.org/officeDocument/2006/relationships/chart" Target="../charts/chart40.xml"/><Relationship Id="rId48" Type="http://schemas.openxmlformats.org/officeDocument/2006/relationships/chart" Target="../charts/chart45.xml"/><Relationship Id="rId56" Type="http://schemas.openxmlformats.org/officeDocument/2006/relationships/chart" Target="../charts/chart53.xml"/><Relationship Id="rId8" Type="http://schemas.openxmlformats.org/officeDocument/2006/relationships/chart" Target="../charts/chart8.xml"/><Relationship Id="rId51" Type="http://schemas.openxmlformats.org/officeDocument/2006/relationships/chart" Target="../charts/chart48.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2.xml"/><Relationship Id="rId38" Type="http://schemas.openxmlformats.org/officeDocument/2006/relationships/chart" Target="../charts/chart35.xml"/><Relationship Id="rId46" Type="http://schemas.openxmlformats.org/officeDocument/2006/relationships/chart" Target="../charts/chart43.xml"/><Relationship Id="rId59" Type="http://schemas.openxmlformats.org/officeDocument/2006/relationships/chart" Target="../charts/chart56.xml"/><Relationship Id="rId20" Type="http://schemas.openxmlformats.org/officeDocument/2006/relationships/chart" Target="../charts/chart20.xml"/><Relationship Id="rId41" Type="http://schemas.openxmlformats.org/officeDocument/2006/relationships/chart" Target="../charts/chart38.xml"/><Relationship Id="rId54" Type="http://schemas.openxmlformats.org/officeDocument/2006/relationships/chart" Target="../charts/chart51.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3.xml"/><Relationship Id="rId49" Type="http://schemas.openxmlformats.org/officeDocument/2006/relationships/chart" Target="../charts/chart46.xml"/><Relationship Id="rId57" Type="http://schemas.openxmlformats.org/officeDocument/2006/relationships/chart" Target="../charts/chart54.xml"/><Relationship Id="rId10" Type="http://schemas.openxmlformats.org/officeDocument/2006/relationships/chart" Target="../charts/chart10.xml"/><Relationship Id="rId31" Type="http://schemas.openxmlformats.org/officeDocument/2006/relationships/chart" Target="../charts/chart30.xml"/><Relationship Id="rId44" Type="http://schemas.openxmlformats.org/officeDocument/2006/relationships/chart" Target="../charts/chart41.xml"/><Relationship Id="rId52" Type="http://schemas.openxmlformats.org/officeDocument/2006/relationships/chart" Target="../charts/chart49.xml"/><Relationship Id="rId60" Type="http://schemas.openxmlformats.org/officeDocument/2006/relationships/chart" Target="../charts/chart57.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525" cy="9525"/>
    <xdr:sp macro="" textlink="">
      <xdr:nvSpPr>
        <xdr:cNvPr id="2" name="tbCZ1" hidden="1">
          <a:extLst>
            <a:ext uri="{63B3BB69-23CF-44E3-9099-C40C66FF867C}">
              <a14:compatExt xmlns:a14="http://schemas.microsoft.com/office/drawing/2010/main" spid="_x0000_s1028"/>
            </a:ext>
            <a:ext uri="{FF2B5EF4-FFF2-40B4-BE49-F238E27FC236}">
              <a16:creationId xmlns:a16="http://schemas.microsoft.com/office/drawing/2014/main" id="{F2CC71EA-080E-4E35-BDE4-A42A6914ADF3}"/>
            </a:ext>
          </a:extLst>
        </xdr:cNvPr>
        <xdr:cNvSpPr/>
      </xdr:nvSpPr>
      <xdr:spPr>
        <a:xfrm>
          <a:off x="0" y="0"/>
          <a:ext cx="9525" cy="9525"/>
        </a:xfrm>
        <a:prstGeom prst="rect">
          <a:avLst/>
        </a:prstGeom>
      </xdr:spPr>
    </xdr:sp>
    <xdr:clientData/>
  </xdr:oneCellAnchor>
  <xdr:twoCellAnchor>
    <xdr:from>
      <xdr:col>0</xdr:col>
      <xdr:colOff>0</xdr:colOff>
      <xdr:row>0</xdr:row>
      <xdr:rowOff>9525</xdr:rowOff>
    </xdr:from>
    <xdr:to>
      <xdr:col>0</xdr:col>
      <xdr:colOff>9525</xdr:colOff>
      <xdr:row>0</xdr:row>
      <xdr:rowOff>9525</xdr:rowOff>
    </xdr:to>
    <xdr:sp macro="" textlink="">
      <xdr:nvSpPr>
        <xdr:cNvPr id="3" name="tbCZ2" hidden="1">
          <a:extLst>
            <a:ext uri="{63B3BB69-23CF-44E3-9099-C40C66FF867C}">
              <a14:compatExt xmlns:a14="http://schemas.microsoft.com/office/drawing/2010/main" spid="_x0000_s1029"/>
            </a:ext>
            <a:ext uri="{FF2B5EF4-FFF2-40B4-BE49-F238E27FC236}">
              <a16:creationId xmlns:a16="http://schemas.microsoft.com/office/drawing/2014/main" id="{0E882F16-A941-46C7-B803-3D98EFC4A567}"/>
            </a:ext>
          </a:extLst>
        </xdr:cNvPr>
        <xdr:cNvSpPr/>
      </xdr:nvSpPr>
      <xdr:spPr>
        <a:xfrm>
          <a:off x="0" y="9525"/>
          <a:ext cx="9525" cy="0"/>
        </a:xfrm>
        <a:prstGeom prst="rect">
          <a:avLst/>
        </a:prstGeom>
      </xdr:spPr>
    </xdr:sp>
    <xdr:clientData/>
  </xdr:twoCellAnchor>
  <xdr:oneCellAnchor>
    <xdr:from>
      <xdr:col>0</xdr:col>
      <xdr:colOff>0</xdr:colOff>
      <xdr:row>0</xdr:row>
      <xdr:rowOff>0</xdr:rowOff>
    </xdr:from>
    <xdr:ext cx="9525" cy="9525"/>
    <xdr:pic>
      <xdr:nvPicPr>
        <xdr:cNvPr id="4" name="tbCZ1">
          <a:extLst>
            <a:ext uri="{FF2B5EF4-FFF2-40B4-BE49-F238E27FC236}">
              <a16:creationId xmlns:a16="http://schemas.microsoft.com/office/drawing/2014/main" id="{BF08F10A-4D8A-4500-9F15-5699DE5AC2AF}"/>
            </a:ext>
          </a:extLst>
        </xdr:cNvPr>
        <xdr:cNvPicPr preferRelativeResize="0">
          <a:picLocks noChangeArrowheads="1" noChangeShapeType="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twoCellAnchor>
    <xdr:from>
      <xdr:col>0</xdr:col>
      <xdr:colOff>0</xdr:colOff>
      <xdr:row>0</xdr:row>
      <xdr:rowOff>9525</xdr:rowOff>
    </xdr:from>
    <xdr:to>
      <xdr:col>0</xdr:col>
      <xdr:colOff>9525</xdr:colOff>
      <xdr:row>0</xdr:row>
      <xdr:rowOff>9525</xdr:rowOff>
    </xdr:to>
    <xdr:pic>
      <xdr:nvPicPr>
        <xdr:cNvPr id="5" name="tbCZ2">
          <a:extLst>
            <a:ext uri="{FF2B5EF4-FFF2-40B4-BE49-F238E27FC236}">
              <a16:creationId xmlns:a16="http://schemas.microsoft.com/office/drawing/2014/main" id="{04BC7196-DC2D-46E1-8754-5FD566C2157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525"/>
          <a:ext cx="9525" cy="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1005696</xdr:colOff>
      <xdr:row>18</xdr:row>
      <xdr:rowOff>152400</xdr:rowOff>
    </xdr:from>
    <xdr:to>
      <xdr:col>10</xdr:col>
      <xdr:colOff>123825</xdr:colOff>
      <xdr:row>33</xdr:row>
      <xdr:rowOff>42493</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285750</xdr:colOff>
      <xdr:row>44</xdr:row>
      <xdr:rowOff>52917</xdr:rowOff>
    </xdr:from>
    <xdr:to>
      <xdr:col>9</xdr:col>
      <xdr:colOff>370417</xdr:colOff>
      <xdr:row>53</xdr:row>
      <xdr:rowOff>186266</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243415</xdr:colOff>
      <xdr:row>55</xdr:row>
      <xdr:rowOff>116417</xdr:rowOff>
    </xdr:from>
    <xdr:to>
      <xdr:col>9</xdr:col>
      <xdr:colOff>264584</xdr:colOff>
      <xdr:row>66</xdr:row>
      <xdr:rowOff>38099</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840008</xdr:colOff>
      <xdr:row>23</xdr:row>
      <xdr:rowOff>47625</xdr:rowOff>
    </xdr:from>
    <xdr:to>
      <xdr:col>13</xdr:col>
      <xdr:colOff>933450</xdr:colOff>
      <xdr:row>32</xdr:row>
      <xdr:rowOff>79306</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650773</xdr:colOff>
      <xdr:row>46</xdr:row>
      <xdr:rowOff>54742</xdr:rowOff>
    </xdr:from>
    <xdr:to>
      <xdr:col>13</xdr:col>
      <xdr:colOff>547413</xdr:colOff>
      <xdr:row>56</xdr:row>
      <xdr:rowOff>34208</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497860</xdr:colOff>
      <xdr:row>53</xdr:row>
      <xdr:rowOff>95762</xdr:rowOff>
    </xdr:from>
    <xdr:to>
      <xdr:col>14</xdr:col>
      <xdr:colOff>435589</xdr:colOff>
      <xdr:row>66</xdr:row>
      <xdr:rowOff>180770</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90129</xdr:colOff>
      <xdr:row>89</xdr:row>
      <xdr:rowOff>11061</xdr:rowOff>
    </xdr:from>
    <xdr:to>
      <xdr:col>9</xdr:col>
      <xdr:colOff>206887</xdr:colOff>
      <xdr:row>102</xdr:row>
      <xdr:rowOff>91358</xdr:rowOff>
    </xdr:to>
    <xdr:graphicFrame macro="">
      <xdr:nvGraphicFramePr>
        <xdr:cNvPr id="8" name="Chart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107</xdr:row>
      <xdr:rowOff>0</xdr:rowOff>
    </xdr:from>
    <xdr:to>
      <xdr:col>9</xdr:col>
      <xdr:colOff>116758</xdr:colOff>
      <xdr:row>120</xdr:row>
      <xdr:rowOff>80297</xdr:rowOff>
    </xdr:to>
    <xdr:graphicFrame macro="">
      <xdr:nvGraphicFramePr>
        <xdr:cNvPr id="9" name="Chart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395441</xdr:colOff>
      <xdr:row>163</xdr:row>
      <xdr:rowOff>154651</xdr:rowOff>
    </xdr:from>
    <xdr:to>
      <xdr:col>9</xdr:col>
      <xdr:colOff>228599</xdr:colOff>
      <xdr:row>177</xdr:row>
      <xdr:rowOff>25398</xdr:rowOff>
    </xdr:to>
    <xdr:graphicFrame macro="">
      <xdr:nvGraphicFramePr>
        <xdr:cNvPr id="10" name="Chart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1206500</xdr:colOff>
      <xdr:row>126</xdr:row>
      <xdr:rowOff>92997</xdr:rowOff>
    </xdr:from>
    <xdr:to>
      <xdr:col>10</xdr:col>
      <xdr:colOff>155678</xdr:colOff>
      <xdr:row>139</xdr:row>
      <xdr:rowOff>173294</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1114324</xdr:colOff>
      <xdr:row>146</xdr:row>
      <xdr:rowOff>103239</xdr:rowOff>
    </xdr:from>
    <xdr:to>
      <xdr:col>8</xdr:col>
      <xdr:colOff>555114</xdr:colOff>
      <xdr:row>161</xdr:row>
      <xdr:rowOff>183536</xdr:rowOff>
    </xdr:to>
    <xdr:graphicFrame macro="">
      <xdr:nvGraphicFramePr>
        <xdr:cNvPr id="12" name="Chart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590653</xdr:colOff>
      <xdr:row>153</xdr:row>
      <xdr:rowOff>0</xdr:rowOff>
    </xdr:from>
    <xdr:to>
      <xdr:col>13</xdr:col>
      <xdr:colOff>66675</xdr:colOff>
      <xdr:row>164</xdr:row>
      <xdr:rowOff>119933</xdr:rowOff>
    </xdr:to>
    <xdr:graphicFrame macro="">
      <xdr:nvGraphicFramePr>
        <xdr:cNvPr id="13" name="Chart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4906</xdr:colOff>
      <xdr:row>145</xdr:row>
      <xdr:rowOff>4206</xdr:rowOff>
    </xdr:from>
    <xdr:to>
      <xdr:col>9</xdr:col>
      <xdr:colOff>641468</xdr:colOff>
      <xdr:row>158</xdr:row>
      <xdr:rowOff>60638</xdr:rowOff>
    </xdr:to>
    <xdr:graphicFrame macro="">
      <xdr:nvGraphicFramePr>
        <xdr:cNvPr id="14" name="Chart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66675</xdr:colOff>
      <xdr:row>144</xdr:row>
      <xdr:rowOff>200025</xdr:rowOff>
    </xdr:from>
    <xdr:to>
      <xdr:col>21</xdr:col>
      <xdr:colOff>371475</xdr:colOff>
      <xdr:row>158</xdr:row>
      <xdr:rowOff>9525</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423808</xdr:colOff>
      <xdr:row>173</xdr:row>
      <xdr:rowOff>138604</xdr:rowOff>
    </xdr:from>
    <xdr:to>
      <xdr:col>23</xdr:col>
      <xdr:colOff>119008</xdr:colOff>
      <xdr:row>187</xdr:row>
      <xdr:rowOff>139042</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571500</xdr:colOff>
      <xdr:row>203</xdr:row>
      <xdr:rowOff>19050</xdr:rowOff>
    </xdr:from>
    <xdr:to>
      <xdr:col>21</xdr:col>
      <xdr:colOff>514350</xdr:colOff>
      <xdr:row>214</xdr:row>
      <xdr:rowOff>47624</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371475</xdr:colOff>
      <xdr:row>215</xdr:row>
      <xdr:rowOff>171450</xdr:rowOff>
    </xdr:from>
    <xdr:to>
      <xdr:col>21</xdr:col>
      <xdr:colOff>142875</xdr:colOff>
      <xdr:row>228</xdr:row>
      <xdr:rowOff>38100</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561975</xdr:colOff>
      <xdr:row>227</xdr:row>
      <xdr:rowOff>123824</xdr:rowOff>
    </xdr:from>
    <xdr:to>
      <xdr:col>22</xdr:col>
      <xdr:colOff>95250</xdr:colOff>
      <xdr:row>244</xdr:row>
      <xdr:rowOff>9525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0</xdr:colOff>
      <xdr:row>224</xdr:row>
      <xdr:rowOff>0</xdr:rowOff>
    </xdr:from>
    <xdr:to>
      <xdr:col>9</xdr:col>
      <xdr:colOff>638175</xdr:colOff>
      <xdr:row>238</xdr:row>
      <xdr:rowOff>76200</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0</xdr:colOff>
      <xdr:row>241</xdr:row>
      <xdr:rowOff>0</xdr:rowOff>
    </xdr:from>
    <xdr:to>
      <xdr:col>9</xdr:col>
      <xdr:colOff>638175</xdr:colOff>
      <xdr:row>255</xdr:row>
      <xdr:rowOff>76200</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8</xdr:col>
      <xdr:colOff>581026</xdr:colOff>
      <xdr:row>219</xdr:row>
      <xdr:rowOff>104775</xdr:rowOff>
    </xdr:from>
    <xdr:to>
      <xdr:col>13</xdr:col>
      <xdr:colOff>1019176</xdr:colOff>
      <xdr:row>233</xdr:row>
      <xdr:rowOff>180975</xdr:rowOff>
    </xdr:to>
    <xdr:graphicFrame macro="">
      <xdr:nvGraphicFramePr>
        <xdr:cNvPr id="22" name="Chart 21">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22</xdr:col>
      <xdr:colOff>357133</xdr:colOff>
      <xdr:row>175</xdr:row>
      <xdr:rowOff>175171</xdr:rowOff>
    </xdr:from>
    <xdr:to>
      <xdr:col>29</xdr:col>
      <xdr:colOff>58354</xdr:colOff>
      <xdr:row>187</xdr:row>
      <xdr:rowOff>167616</xdr:rowOff>
    </xdr:to>
    <xdr:graphicFrame macro="">
      <xdr:nvGraphicFramePr>
        <xdr:cNvPr id="23" name="Chart 22">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0</xdr:colOff>
      <xdr:row>282</xdr:row>
      <xdr:rowOff>9524</xdr:rowOff>
    </xdr:from>
    <xdr:to>
      <xdr:col>9</xdr:col>
      <xdr:colOff>295275</xdr:colOff>
      <xdr:row>295</xdr:row>
      <xdr:rowOff>76199</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448878</xdr:colOff>
      <xdr:row>300</xdr:row>
      <xdr:rowOff>131378</xdr:rowOff>
    </xdr:from>
    <xdr:to>
      <xdr:col>13</xdr:col>
      <xdr:colOff>76637</xdr:colOff>
      <xdr:row>312</xdr:row>
      <xdr:rowOff>163784</xdr:rowOff>
    </xdr:to>
    <xdr:graphicFrame macro="">
      <xdr:nvGraphicFramePr>
        <xdr:cNvPr id="25" name="Chart 24">
          <a:extLst>
            <a:ext uri="{FF2B5EF4-FFF2-40B4-BE49-F238E27FC236}">
              <a16:creationId xmlns:a16="http://schemas.microsoft.com/office/drawing/2014/main" id="{00000000-0008-0000-0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304800</xdr:colOff>
      <xdr:row>315</xdr:row>
      <xdr:rowOff>114300</xdr:rowOff>
    </xdr:from>
    <xdr:to>
      <xdr:col>13</xdr:col>
      <xdr:colOff>381000</xdr:colOff>
      <xdr:row>327</xdr:row>
      <xdr:rowOff>4762</xdr:rowOff>
    </xdr:to>
    <xdr:graphicFrame macro="">
      <xdr:nvGraphicFramePr>
        <xdr:cNvPr id="26" name="Диаграмма 2">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289821</xdr:colOff>
      <xdr:row>313</xdr:row>
      <xdr:rowOff>120432</xdr:rowOff>
    </xdr:from>
    <xdr:to>
      <xdr:col>16</xdr:col>
      <xdr:colOff>497114</xdr:colOff>
      <xdr:row>326</xdr:row>
      <xdr:rowOff>2680</xdr:rowOff>
    </xdr:to>
    <xdr:graphicFrame macro="">
      <xdr:nvGraphicFramePr>
        <xdr:cNvPr id="27" name="Диаграмма 3">
          <a:extLst>
            <a:ext uri="{FF2B5EF4-FFF2-40B4-BE49-F238E27FC236}">
              <a16:creationId xmlns:a16="http://schemas.microsoft.com/office/drawing/2014/main" id="{00000000-0008-0000-06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316584</xdr:colOff>
      <xdr:row>325</xdr:row>
      <xdr:rowOff>64576</xdr:rowOff>
    </xdr:from>
    <xdr:to>
      <xdr:col>15</xdr:col>
      <xdr:colOff>379383</xdr:colOff>
      <xdr:row>340</xdr:row>
      <xdr:rowOff>145297</xdr:rowOff>
    </xdr:to>
    <xdr:graphicFrame macro="">
      <xdr:nvGraphicFramePr>
        <xdr:cNvPr id="28" name="Диаграмма 4">
          <a:extLst>
            <a:ext uri="{FF2B5EF4-FFF2-40B4-BE49-F238E27FC236}">
              <a16:creationId xmlns:a16="http://schemas.microsoft.com/office/drawing/2014/main" id="{00000000-0008-0000-06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499224</xdr:colOff>
      <xdr:row>325</xdr:row>
      <xdr:rowOff>103729</xdr:rowOff>
    </xdr:from>
    <xdr:to>
      <xdr:col>15</xdr:col>
      <xdr:colOff>595847</xdr:colOff>
      <xdr:row>335</xdr:row>
      <xdr:rowOff>151516</xdr:rowOff>
    </xdr:to>
    <xdr:graphicFrame macro="">
      <xdr:nvGraphicFramePr>
        <xdr:cNvPr id="29" name="Диаграмма 5">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12</xdr:col>
      <xdr:colOff>426202</xdr:colOff>
      <xdr:row>335</xdr:row>
      <xdr:rowOff>145296</xdr:rowOff>
    </xdr:from>
    <xdr:to>
      <xdr:col>19</xdr:col>
      <xdr:colOff>282521</xdr:colOff>
      <xdr:row>347</xdr:row>
      <xdr:rowOff>152721</xdr:rowOff>
    </xdr:to>
    <mc:AlternateContent xmlns:mc="http://schemas.openxmlformats.org/markup-compatibility/2006">
      <mc:Choice xmlns:cx1="http://schemas.microsoft.com/office/drawing/2015/9/8/chartex" Requires="cx1">
        <xdr:graphicFrame macro="">
          <xdr:nvGraphicFramePr>
            <xdr:cNvPr id="30" name="Диаграмма 6">
              <a:extLst>
                <a:ext uri="{FF2B5EF4-FFF2-40B4-BE49-F238E27FC236}">
                  <a16:creationId xmlns:a16="http://schemas.microsoft.com/office/drawing/2014/main" id="{00000000-0008-0000-0600-00001E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9"/>
            </a:graphicData>
          </a:graphic>
        </xdr:graphicFrame>
      </mc:Choice>
      <mc:Fallback>
        <xdr:sp macro="" textlink="">
          <xdr:nvSpPr>
            <xdr:cNvPr id="0" name=""/>
            <xdr:cNvSpPr>
              <a:spLocks noTextEdit="1"/>
            </xdr:cNvSpPr>
          </xdr:nvSpPr>
          <xdr:spPr>
            <a:xfrm>
              <a:off x="11500602" y="68649096"/>
              <a:ext cx="7019119" cy="2293425"/>
            </a:xfrm>
            <a:prstGeom prst="rect">
              <a:avLst/>
            </a:prstGeom>
            <a:solidFill>
              <a:prstClr val="white"/>
            </a:solidFill>
            <a:ln w="1">
              <a:solidFill>
                <a:prstClr val="green"/>
              </a:solidFill>
            </a:ln>
          </xdr:spPr>
          <xdr:txBody>
            <a:bodyPr vertOverflow="clip" horzOverflow="clip"/>
            <a:lstStyle/>
            <a:p>
              <a:r>
                <a:rPr lang="ru-RU" sz="1100"/>
                <a:t>Эта диаграмма недоступна в вашей версии Excel.
Изменение этой фигуры или сохранение книги в другом формате приведет к остаточному повреждению диаграммы.</a:t>
              </a:r>
            </a:p>
          </xdr:txBody>
        </xdr:sp>
      </mc:Fallback>
    </mc:AlternateContent>
    <xdr:clientData/>
  </xdr:twoCellAnchor>
  <xdr:twoCellAnchor>
    <xdr:from>
      <xdr:col>7</xdr:col>
      <xdr:colOff>474635</xdr:colOff>
      <xdr:row>339</xdr:row>
      <xdr:rowOff>80719</xdr:rowOff>
    </xdr:from>
    <xdr:to>
      <xdr:col>12</xdr:col>
      <xdr:colOff>226018</xdr:colOff>
      <xdr:row>348</xdr:row>
      <xdr:rowOff>47785</xdr:rowOff>
    </xdr:to>
    <xdr:graphicFrame macro="">
      <xdr:nvGraphicFramePr>
        <xdr:cNvPr id="31" name="Диаграмма 7">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62963</xdr:colOff>
      <xdr:row>362</xdr:row>
      <xdr:rowOff>137870</xdr:rowOff>
    </xdr:from>
    <xdr:to>
      <xdr:col>16</xdr:col>
      <xdr:colOff>340641</xdr:colOff>
      <xdr:row>376</xdr:row>
      <xdr:rowOff>168866</xdr:rowOff>
    </xdr:to>
    <xdr:graphicFrame macro="">
      <xdr:nvGraphicFramePr>
        <xdr:cNvPr id="32" name="Диаграмма 10">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297050</xdr:colOff>
      <xdr:row>377</xdr:row>
      <xdr:rowOff>109618</xdr:rowOff>
    </xdr:from>
    <xdr:to>
      <xdr:col>17</xdr:col>
      <xdr:colOff>574728</xdr:colOff>
      <xdr:row>390</xdr:row>
      <xdr:rowOff>148686</xdr:rowOff>
    </xdr:to>
    <xdr:graphicFrame macro="">
      <xdr:nvGraphicFramePr>
        <xdr:cNvPr id="33" name="Диаграмма 1">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8</xdr:col>
      <xdr:colOff>619933</xdr:colOff>
      <xdr:row>391</xdr:row>
      <xdr:rowOff>57149</xdr:rowOff>
    </xdr:from>
    <xdr:to>
      <xdr:col>16</xdr:col>
      <xdr:colOff>17759</xdr:colOff>
      <xdr:row>405</xdr:row>
      <xdr:rowOff>88146</xdr:rowOff>
    </xdr:to>
    <xdr:graphicFrame macro="">
      <xdr:nvGraphicFramePr>
        <xdr:cNvPr id="34" name="Диаграмма 8">
          <a:extLst>
            <a:ext uri="{FF2B5EF4-FFF2-40B4-BE49-F238E27FC236}">
              <a16:creationId xmlns:a16="http://schemas.microsoft.com/office/drawing/2014/main" id="{00000000-0008-0000-06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oneCellAnchor>
    <xdr:from>
      <xdr:col>2</xdr:col>
      <xdr:colOff>0</xdr:colOff>
      <xdr:row>409</xdr:row>
      <xdr:rowOff>0</xdr:rowOff>
    </xdr:from>
    <xdr:ext cx="5942744" cy="2686050"/>
    <xdr:pic>
      <xdr:nvPicPr>
        <xdr:cNvPr id="35" name="Рисунок 12">
          <a:extLst>
            <a:ext uri="{FF2B5EF4-FFF2-40B4-BE49-F238E27FC236}">
              <a16:creationId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219200" y="83305650"/>
          <a:ext cx="5942744" cy="2686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426</xdr:row>
      <xdr:rowOff>0</xdr:rowOff>
    </xdr:from>
    <xdr:ext cx="6538289" cy="4936605"/>
    <xdr:pic>
      <xdr:nvPicPr>
        <xdr:cNvPr id="36" name="Рисунок 11">
          <a:extLst>
            <a:ext uri="{FF2B5EF4-FFF2-40B4-BE49-F238E27FC236}">
              <a16:creationId xmlns:a16="http://schemas.microsoft.com/office/drawing/2014/main" id="{00000000-0008-0000-0600-000024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219200" y="86544150"/>
          <a:ext cx="6538289" cy="4936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232475</xdr:colOff>
      <xdr:row>414</xdr:row>
      <xdr:rowOff>16791</xdr:rowOff>
    </xdr:from>
    <xdr:to>
      <xdr:col>18</xdr:col>
      <xdr:colOff>510153</xdr:colOff>
      <xdr:row>428</xdr:row>
      <xdr:rowOff>47787</xdr:rowOff>
    </xdr:to>
    <xdr:graphicFrame macro="">
      <xdr:nvGraphicFramePr>
        <xdr:cNvPr id="37" name="Диаграмма 9">
          <a:extLst>
            <a:ext uri="{FF2B5EF4-FFF2-40B4-BE49-F238E27FC236}">
              <a16:creationId xmlns:a16="http://schemas.microsoft.com/office/drawing/2014/main" id="{00000000-0008-0000-06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587644</xdr:colOff>
      <xdr:row>433</xdr:row>
      <xdr:rowOff>32933</xdr:rowOff>
    </xdr:from>
    <xdr:to>
      <xdr:col>19</xdr:col>
      <xdr:colOff>251847</xdr:colOff>
      <xdr:row>447</xdr:row>
      <xdr:rowOff>63930</xdr:rowOff>
    </xdr:to>
    <xdr:graphicFrame macro="">
      <xdr:nvGraphicFramePr>
        <xdr:cNvPr id="38" name="Диаграмма 13">
          <a:extLst>
            <a:ext uri="{FF2B5EF4-FFF2-40B4-BE49-F238E27FC236}">
              <a16:creationId xmlns:a16="http://schemas.microsoft.com/office/drawing/2014/main" id="{00000000-0008-0000-0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267831</xdr:colOff>
      <xdr:row>447</xdr:row>
      <xdr:rowOff>84272</xdr:rowOff>
    </xdr:from>
    <xdr:to>
      <xdr:col>18</xdr:col>
      <xdr:colOff>94766</xdr:colOff>
      <xdr:row>461</xdr:row>
      <xdr:rowOff>115269</xdr:rowOff>
    </xdr:to>
    <xdr:graphicFrame macro="">
      <xdr:nvGraphicFramePr>
        <xdr:cNvPr id="39" name="Диаграмма 15">
          <a:extLst>
            <a:ext uri="{FF2B5EF4-FFF2-40B4-BE49-F238E27FC236}">
              <a16:creationId xmlns:a16="http://schemas.microsoft.com/office/drawing/2014/main" id="{00000000-0008-0000-06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143409</xdr:colOff>
      <xdr:row>349</xdr:row>
      <xdr:rowOff>83906</xdr:rowOff>
    </xdr:from>
    <xdr:to>
      <xdr:col>21</xdr:col>
      <xdr:colOff>102741</xdr:colOff>
      <xdr:row>363</xdr:row>
      <xdr:rowOff>130139</xdr:rowOff>
    </xdr:to>
    <xdr:graphicFrame macro="">
      <xdr:nvGraphicFramePr>
        <xdr:cNvPr id="40" name="Диаграмма 14">
          <a:extLst>
            <a:ext uri="{FF2B5EF4-FFF2-40B4-BE49-F238E27FC236}">
              <a16:creationId xmlns:a16="http://schemas.microsoft.com/office/drawing/2014/main" id="{00000000-0008-0000-06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8</xdr:col>
      <xdr:colOff>667821</xdr:colOff>
      <xdr:row>475</xdr:row>
      <xdr:rowOff>66675</xdr:rowOff>
    </xdr:from>
    <xdr:to>
      <xdr:col>12</xdr:col>
      <xdr:colOff>333376</xdr:colOff>
      <xdr:row>482</xdr:row>
      <xdr:rowOff>17765</xdr:rowOff>
    </xdr:to>
    <xdr:graphicFrame macro="">
      <xdr:nvGraphicFramePr>
        <xdr:cNvPr id="41" name="Диаграмма 17">
          <a:extLst>
            <a:ext uri="{FF2B5EF4-FFF2-40B4-BE49-F238E27FC236}">
              <a16:creationId xmlns:a16="http://schemas.microsoft.com/office/drawing/2014/main" id="{00000000-0008-0000-06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13</xdr:col>
      <xdr:colOff>920424</xdr:colOff>
      <xdr:row>461</xdr:row>
      <xdr:rowOff>40508</xdr:rowOff>
    </xdr:from>
    <xdr:to>
      <xdr:col>18</xdr:col>
      <xdr:colOff>58246</xdr:colOff>
      <xdr:row>472</xdr:row>
      <xdr:rowOff>171901</xdr:rowOff>
    </xdr:to>
    <xdr:graphicFrame macro="">
      <xdr:nvGraphicFramePr>
        <xdr:cNvPr id="42" name="Диаграмма 15">
          <a:extLst>
            <a:ext uri="{FF2B5EF4-FFF2-40B4-BE49-F238E27FC236}">
              <a16:creationId xmlns:a16="http://schemas.microsoft.com/office/drawing/2014/main" id="{00000000-0008-0000-06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15</xdr:col>
      <xdr:colOff>749409</xdr:colOff>
      <xdr:row>499</xdr:row>
      <xdr:rowOff>88133</xdr:rowOff>
    </xdr:from>
    <xdr:to>
      <xdr:col>23</xdr:col>
      <xdr:colOff>39304</xdr:colOff>
      <xdr:row>512</xdr:row>
      <xdr:rowOff>71505</xdr:rowOff>
    </xdr:to>
    <xdr:graphicFrame macro="">
      <xdr:nvGraphicFramePr>
        <xdr:cNvPr id="43" name="Диаграмма 15">
          <a:extLst>
            <a:ext uri="{FF2B5EF4-FFF2-40B4-BE49-F238E27FC236}">
              <a16:creationId xmlns:a16="http://schemas.microsoft.com/office/drawing/2014/main" id="{00000000-0008-0000-06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9</xdr:col>
      <xdr:colOff>342900</xdr:colOff>
      <xdr:row>461</xdr:row>
      <xdr:rowOff>114300</xdr:rowOff>
    </xdr:from>
    <xdr:to>
      <xdr:col>12</xdr:col>
      <xdr:colOff>1133474</xdr:colOff>
      <xdr:row>473</xdr:row>
      <xdr:rowOff>59572</xdr:rowOff>
    </xdr:to>
    <xdr:graphicFrame macro="">
      <xdr:nvGraphicFramePr>
        <xdr:cNvPr id="44" name="Диаграмма 15">
          <a:extLst>
            <a:ext uri="{FF2B5EF4-FFF2-40B4-BE49-F238E27FC236}">
              <a16:creationId xmlns:a16="http://schemas.microsoft.com/office/drawing/2014/main" id="{00000000-0008-0000-06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582449</xdr:colOff>
      <xdr:row>529</xdr:row>
      <xdr:rowOff>84521</xdr:rowOff>
    </xdr:from>
    <xdr:to>
      <xdr:col>9</xdr:col>
      <xdr:colOff>599966</xdr:colOff>
      <xdr:row>544</xdr:row>
      <xdr:rowOff>35909</xdr:rowOff>
    </xdr:to>
    <xdr:graphicFrame macro="">
      <xdr:nvGraphicFramePr>
        <xdr:cNvPr id="45" name="Chart 44">
          <a:extLst>
            <a:ext uri="{FF2B5EF4-FFF2-40B4-BE49-F238E27FC236}">
              <a16:creationId xmlns:a16="http://schemas.microsoft.com/office/drawing/2014/main" id="{00000000-0008-0000-06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12</xdr:col>
      <xdr:colOff>1086070</xdr:colOff>
      <xdr:row>499</xdr:row>
      <xdr:rowOff>153274</xdr:rowOff>
    </xdr:from>
    <xdr:to>
      <xdr:col>15</xdr:col>
      <xdr:colOff>853966</xdr:colOff>
      <xdr:row>511</xdr:row>
      <xdr:rowOff>145391</xdr:rowOff>
    </xdr:to>
    <xdr:graphicFrame macro="">
      <xdr:nvGraphicFramePr>
        <xdr:cNvPr id="46" name="Chart 45">
          <a:extLst>
            <a:ext uri="{FF2B5EF4-FFF2-40B4-BE49-F238E27FC236}">
              <a16:creationId xmlns:a16="http://schemas.microsoft.com/office/drawing/2014/main" id="{00000000-0008-0000-06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13</xdr:col>
      <xdr:colOff>591207</xdr:colOff>
      <xdr:row>299</xdr:row>
      <xdr:rowOff>153275</xdr:rowOff>
    </xdr:from>
    <xdr:to>
      <xdr:col>19</xdr:col>
      <xdr:colOff>54743</xdr:colOff>
      <xdr:row>313</xdr:row>
      <xdr:rowOff>175173</xdr:rowOff>
    </xdr:to>
    <xdr:graphicFrame macro="">
      <xdr:nvGraphicFramePr>
        <xdr:cNvPr id="47" name="Диаграмма 3">
          <a:extLst>
            <a:ext uri="{FF2B5EF4-FFF2-40B4-BE49-F238E27FC236}">
              <a16:creationId xmlns:a16="http://schemas.microsoft.com/office/drawing/2014/main" id="{00000000-0008-0000-06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10</xdr:col>
      <xdr:colOff>875862</xdr:colOff>
      <xdr:row>529</xdr:row>
      <xdr:rowOff>142329</xdr:rowOff>
    </xdr:from>
    <xdr:to>
      <xdr:col>15</xdr:col>
      <xdr:colOff>127000</xdr:colOff>
      <xdr:row>544</xdr:row>
      <xdr:rowOff>93717</xdr:rowOff>
    </xdr:to>
    <xdr:graphicFrame macro="">
      <xdr:nvGraphicFramePr>
        <xdr:cNvPr id="48" name="Chart 47">
          <a:extLst>
            <a:ext uri="{FF2B5EF4-FFF2-40B4-BE49-F238E27FC236}">
              <a16:creationId xmlns:a16="http://schemas.microsoft.com/office/drawing/2014/main" id="{00000000-0008-0000-06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525516</xdr:colOff>
      <xdr:row>188</xdr:row>
      <xdr:rowOff>0</xdr:rowOff>
    </xdr:from>
    <xdr:to>
      <xdr:col>22</xdr:col>
      <xdr:colOff>481723</xdr:colOff>
      <xdr:row>204</xdr:row>
      <xdr:rowOff>3393</xdr:rowOff>
    </xdr:to>
    <xdr:graphicFrame macro="">
      <xdr:nvGraphicFramePr>
        <xdr:cNvPr id="49" name="Chart 48">
          <a:extLst>
            <a:ext uri="{FF2B5EF4-FFF2-40B4-BE49-F238E27FC236}">
              <a16:creationId xmlns:a16="http://schemas.microsoft.com/office/drawing/2014/main" id="{00000000-0008-0000-06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20</xdr:col>
      <xdr:colOff>43792</xdr:colOff>
      <xdr:row>259</xdr:row>
      <xdr:rowOff>98534</xdr:rowOff>
    </xdr:from>
    <xdr:to>
      <xdr:col>26</xdr:col>
      <xdr:colOff>76638</xdr:colOff>
      <xdr:row>282</xdr:row>
      <xdr:rowOff>130941</xdr:rowOff>
    </xdr:to>
    <xdr:graphicFrame macro="">
      <xdr:nvGraphicFramePr>
        <xdr:cNvPr id="50" name="Chart 49">
          <a:extLst>
            <a:ext uri="{FF2B5EF4-FFF2-40B4-BE49-F238E27FC236}">
              <a16:creationId xmlns:a16="http://schemas.microsoft.com/office/drawing/2014/main" id="{00000000-0008-0000-0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15</xdr:col>
      <xdr:colOff>218966</xdr:colOff>
      <xdr:row>287</xdr:row>
      <xdr:rowOff>142326</xdr:rowOff>
    </xdr:from>
    <xdr:to>
      <xdr:col>21</xdr:col>
      <xdr:colOff>591208</xdr:colOff>
      <xdr:row>303</xdr:row>
      <xdr:rowOff>153276</xdr:rowOff>
    </xdr:to>
    <xdr:graphicFrame macro="">
      <xdr:nvGraphicFramePr>
        <xdr:cNvPr id="51" name="Диаграмма 3">
          <a:extLst>
            <a:ext uri="{FF2B5EF4-FFF2-40B4-BE49-F238E27FC236}">
              <a16:creationId xmlns:a16="http://schemas.microsoft.com/office/drawing/2014/main" id="{00000000-0008-0000-06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22</xdr:col>
      <xdr:colOff>317501</xdr:colOff>
      <xdr:row>306</xdr:row>
      <xdr:rowOff>65690</xdr:rowOff>
    </xdr:from>
    <xdr:to>
      <xdr:col>29</xdr:col>
      <xdr:colOff>514571</xdr:colOff>
      <xdr:row>320</xdr:row>
      <xdr:rowOff>87588</xdr:rowOff>
    </xdr:to>
    <xdr:graphicFrame macro="">
      <xdr:nvGraphicFramePr>
        <xdr:cNvPr id="52" name="Диаграмма 3">
          <a:extLst>
            <a:ext uri="{FF2B5EF4-FFF2-40B4-BE49-F238E27FC236}">
              <a16:creationId xmlns:a16="http://schemas.microsoft.com/office/drawing/2014/main" id="{00000000-0008-0000-0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22</xdr:col>
      <xdr:colOff>240863</xdr:colOff>
      <xdr:row>309</xdr:row>
      <xdr:rowOff>21897</xdr:rowOff>
    </xdr:from>
    <xdr:to>
      <xdr:col>27</xdr:col>
      <xdr:colOff>229913</xdr:colOff>
      <xdr:row>321</xdr:row>
      <xdr:rowOff>120433</xdr:rowOff>
    </xdr:to>
    <xdr:graphicFrame macro="">
      <xdr:nvGraphicFramePr>
        <xdr:cNvPr id="53" name="Диаграмма 3">
          <a:extLst>
            <a:ext uri="{FF2B5EF4-FFF2-40B4-BE49-F238E27FC236}">
              <a16:creationId xmlns:a16="http://schemas.microsoft.com/office/drawing/2014/main" id="{00000000-0008-0000-0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22</xdr:col>
      <xdr:colOff>229914</xdr:colOff>
      <xdr:row>317</xdr:row>
      <xdr:rowOff>21897</xdr:rowOff>
    </xdr:from>
    <xdr:to>
      <xdr:col>27</xdr:col>
      <xdr:colOff>470775</xdr:colOff>
      <xdr:row>330</xdr:row>
      <xdr:rowOff>65691</xdr:rowOff>
    </xdr:to>
    <xdr:graphicFrame macro="">
      <xdr:nvGraphicFramePr>
        <xdr:cNvPr id="54" name="Диаграмма 3">
          <a:extLst>
            <a:ext uri="{FF2B5EF4-FFF2-40B4-BE49-F238E27FC236}">
              <a16:creationId xmlns:a16="http://schemas.microsoft.com/office/drawing/2014/main" id="{00000000-0008-0000-06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22</xdr:col>
      <xdr:colOff>175173</xdr:colOff>
      <xdr:row>326</xdr:row>
      <xdr:rowOff>54741</xdr:rowOff>
    </xdr:from>
    <xdr:to>
      <xdr:col>28</xdr:col>
      <xdr:colOff>164224</xdr:colOff>
      <xdr:row>340</xdr:row>
      <xdr:rowOff>21898</xdr:rowOff>
    </xdr:to>
    <xdr:graphicFrame macro="">
      <xdr:nvGraphicFramePr>
        <xdr:cNvPr id="55" name="Диаграмма 3">
          <a:extLst>
            <a:ext uri="{FF2B5EF4-FFF2-40B4-BE49-F238E27FC236}">
              <a16:creationId xmlns:a16="http://schemas.microsoft.com/office/drawing/2014/main" id="{00000000-0008-0000-06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34</xdr:col>
      <xdr:colOff>208016</xdr:colOff>
      <xdr:row>305</xdr:row>
      <xdr:rowOff>54742</xdr:rowOff>
    </xdr:from>
    <xdr:to>
      <xdr:col>39</xdr:col>
      <xdr:colOff>416034</xdr:colOff>
      <xdr:row>314</xdr:row>
      <xdr:rowOff>98535</xdr:rowOff>
    </xdr:to>
    <xdr:graphicFrame macro="">
      <xdr:nvGraphicFramePr>
        <xdr:cNvPr id="56" name="Диаграмма 3">
          <a:extLst>
            <a:ext uri="{FF2B5EF4-FFF2-40B4-BE49-F238E27FC236}">
              <a16:creationId xmlns:a16="http://schemas.microsoft.com/office/drawing/2014/main" id="{00000000-0008-0000-06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36</xdr:col>
      <xdr:colOff>262759</xdr:colOff>
      <xdr:row>303</xdr:row>
      <xdr:rowOff>76637</xdr:rowOff>
    </xdr:from>
    <xdr:to>
      <xdr:col>41</xdr:col>
      <xdr:colOff>591207</xdr:colOff>
      <xdr:row>314</xdr:row>
      <xdr:rowOff>175172</xdr:rowOff>
    </xdr:to>
    <xdr:graphicFrame macro="">
      <xdr:nvGraphicFramePr>
        <xdr:cNvPr id="57" name="Диаграмма 3">
          <a:extLst>
            <a:ext uri="{FF2B5EF4-FFF2-40B4-BE49-F238E27FC236}">
              <a16:creationId xmlns:a16="http://schemas.microsoft.com/office/drawing/2014/main" id="{00000000-0008-0000-06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38</xdr:col>
      <xdr:colOff>580258</xdr:colOff>
      <xdr:row>306</xdr:row>
      <xdr:rowOff>87586</xdr:rowOff>
    </xdr:from>
    <xdr:to>
      <xdr:col>44</xdr:col>
      <xdr:colOff>218966</xdr:colOff>
      <xdr:row>314</xdr:row>
      <xdr:rowOff>76641</xdr:rowOff>
    </xdr:to>
    <xdr:graphicFrame macro="">
      <xdr:nvGraphicFramePr>
        <xdr:cNvPr id="58" name="Диаграмма 3">
          <a:extLst>
            <a:ext uri="{FF2B5EF4-FFF2-40B4-BE49-F238E27FC236}">
              <a16:creationId xmlns:a16="http://schemas.microsoft.com/office/drawing/2014/main" id="{00000000-0008-0000-06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39</xdr:col>
      <xdr:colOff>78828</xdr:colOff>
      <xdr:row>314</xdr:row>
      <xdr:rowOff>142327</xdr:rowOff>
    </xdr:from>
    <xdr:to>
      <xdr:col>42</xdr:col>
      <xdr:colOff>54741</xdr:colOff>
      <xdr:row>323</xdr:row>
      <xdr:rowOff>35907</xdr:rowOff>
    </xdr:to>
    <xdr:graphicFrame macro="">
      <xdr:nvGraphicFramePr>
        <xdr:cNvPr id="59" name="Chart 58">
          <a:extLst>
            <a:ext uri="{FF2B5EF4-FFF2-40B4-BE49-F238E27FC236}">
              <a16:creationId xmlns:a16="http://schemas.microsoft.com/office/drawing/2014/main" id="{00000000-0008-0000-06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36</xdr:col>
      <xdr:colOff>459832</xdr:colOff>
      <xdr:row>314</xdr:row>
      <xdr:rowOff>32845</xdr:rowOff>
    </xdr:from>
    <xdr:to>
      <xdr:col>39</xdr:col>
      <xdr:colOff>416035</xdr:colOff>
      <xdr:row>323</xdr:row>
      <xdr:rowOff>14013</xdr:rowOff>
    </xdr:to>
    <xdr:graphicFrame macro="">
      <xdr:nvGraphicFramePr>
        <xdr:cNvPr id="60" name="Chart 59">
          <a:extLst>
            <a:ext uri="{FF2B5EF4-FFF2-40B4-BE49-F238E27FC236}">
              <a16:creationId xmlns:a16="http://schemas.microsoft.com/office/drawing/2014/main" id="{00000000-0008-0000-06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34</xdr:col>
      <xdr:colOff>306552</xdr:colOff>
      <xdr:row>316</xdr:row>
      <xdr:rowOff>0</xdr:rowOff>
    </xdr:from>
    <xdr:to>
      <xdr:col>37</xdr:col>
      <xdr:colOff>306552</xdr:colOff>
      <xdr:row>322</xdr:row>
      <xdr:rowOff>156340</xdr:rowOff>
    </xdr:to>
    <xdr:graphicFrame macro="">
      <xdr:nvGraphicFramePr>
        <xdr:cNvPr id="61" name="Chart 60">
          <a:extLst>
            <a:ext uri="{FF2B5EF4-FFF2-40B4-BE49-F238E27FC236}">
              <a16:creationId xmlns:a16="http://schemas.microsoft.com/office/drawing/2014/main" id="{00000000-0008-0000-06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oscow/dfs/IT/Corporate%20Finance/Clients/&#1057;&#1072;&#1076;&#1099;%20_%20&#1048;&#1085;&#1090;&#1077;&#1088;&#1080;&#1085;&#1074;&#1077;&#1089;&#1090;/FM_&#1048;&#1085;&#1090;&#1077;&#1088;&#1048;&#1085;&#1074;&#1077;&#1089;&#1090;%202501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1/&#1050;&#1088;&#1077;&#1076;&#1080;&#1090;&#1099;/&#1057;&#1073;&#1077;&#1088;&#1073;&#1072;&#1085;&#1082;/&#1052;&#1086;&#1085;&#1080;&#1090;&#1086;&#1088;&#1080;&#1085;&#1075;%20&#1057;&#1073;/3%20&#1082;&#1074;%202019/&#1048;&#1085;&#1090;&#1077;&#1088;&#1080;&#1085;&#1074;&#1077;&#1089;&#1090;/&#1050;&#1088;&#1077;&#1076;&#1080;&#1090;&#1099;%20&#1080;%20&#1079;&#1072;&#1081;&#1084;&#1099;%2001%2010%2020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IT/Corporate%20Finance/Clients/&#1057;&#1072;&#1076;&#1099;%20_%20&#1048;&#1085;&#1090;&#1077;&#1088;&#1080;&#1085;&#1074;&#1077;&#1089;&#1090;/Modeling/&#1052;&#1086;&#1076;&#1077;&#1083;&#1100;%20&#1053;&#1047;%20_%2014112019_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IT/Corporate%20Finance/Clients/&#1057;&#1072;&#1076;&#1099;%20_%20&#1048;&#1085;&#1090;&#1077;&#1088;&#1080;&#1085;&#1074;&#1077;&#1089;&#1090;/Presentations/&#1048;&#1102;&#1083;&#1100;-&#1040;&#1074;&#1075;&#1091;&#1089;&#1090;/&#1057;&#1072;&#1076;&#1099;%20Suppor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IT/Corporate%20Finance/Clients/&#1057;&#1072;&#1076;&#1099;%20_%20&#1048;&#1085;&#1090;&#1077;&#1088;&#1080;&#1085;&#1074;&#1077;&#1089;&#1090;/Info%20from%20client/FM_&#1048;&#1085;&#1090;&#1077;&#1088;&#1048;&#1085;&#1074;&#1077;&#1089;&#1090;%202501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1050;&#1088;&#1077;&#1076;&#1080;&#1090;&#1099;/&#1048;&#1085;&#1074;&#1077;&#1089;&#1090;&#1080;&#1094;&#1080;&#1080;/2018/CF_&#1052;&#1086;&#1076;&#1077;&#1083;&#1100;%20&#1048;&#1085;&#1090;&#1077;&#1088;&#1080;&#1085;&#1074;&#1077;&#1089;&#1090;%20&#1041;&#1040;&#1047;&#1054;&#1042;&#1067;&#1049;_&#1080;&#1079;&#1084;&#1077;&#1085;&#1077;&#1085;&#1080;&#1103;3x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validServer/InvalidShare/20110622-1150%20-%20&#1050;&#1088;&#1077;&#1076;&#1080;&#1090;&#1085;&#1072;&#1103;%20&#1079;&#1072;&#1103;&#1074;&#1082;&#107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Users/andreyoleynik1/&#1056;&#1072;&#1073;&#1086;&#1095;&#1072;&#1103;/1%20Biz-Bank%20SPb/&#1054;&#1073;&#1098;&#1077;&#1082;&#1090;&#1099;/&#1071;&#1073;&#1083;&#1086;&#1085;&#1077;&#1074;&#1099;&#1077;%20&#1089;&#1072;&#1076;&#1099;/Model_IrkutskEnergoStroy.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CEZ_Model_16_m.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International%20Comparison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IT/Corporate%20Finance/Clients/&#1057;&#1072;&#1076;&#1099;%20_%20&#1048;&#1085;&#1090;&#1077;&#1088;&#1080;&#1085;&#1074;&#1077;&#1089;&#1090;/Modeling/&#1052;&#1086;&#1076;&#1077;&#1083;&#1100;%20&#1048;&#1048;%20_%2011112019_&#1050;&#1086;&#1085;&#1089;&#1086;&#1083;&#1080;&#1076;&#1080;&#1088;&#1086;&#1074;&#1072;&#1085;&#1085;&#1072;&#1103;NP%20&#8212;%20&#1082;&#1086;&#1087;&#1080;&#11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1056;&#1072;&#1073;&#1086;&#1095;&#1080;&#1077;%20&#1076;&#1086;&#1082;&#1091;&#1084;&#1077;&#1085;&#1090;&#1099;/&#1055;&#1088;&#1086;&#1077;&#1082;&#1090;&#1099;%202021/&#1055;&#1088;&#1086;&#1077;&#1082;&#1090;%20&#1043;&#1077;&#1086;&#1088;&#1075;&#1080;&#1077;&#1074;&#1089;&#1082;&#1080;&#1077;%20&#1057;&#1072;&#1076;&#1099;/&#1054;&#1073;&#1085;&#1086;&#1074;&#1083;&#1077;&#1085;&#1085;&#1099;&#1081;%20&#1058;&#1080;&#1079;&#1077;&#1088;/&#1043;&#1077;&#1086;&#1088;&#1075;&#1080;&#1077;&#1074;&#1089;&#1082;&#1080;&#1077;%20&#1057;&#1072;&#1076;&#1099;_&#1057;&#1073;&#1077;&#1088;&#1073;&#1072;&#1085;&#1082;_202103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В отчет"/>
      <sheetName val="Прогноз"/>
      <sheetName val="Плотность"/>
      <sheetName val="Объемы ИИ"/>
      <sheetName val="Model NPV"/>
      <sheetName val="ИИ + АТ Ф1"/>
      <sheetName val="ИИ + АТ Ф2"/>
      <sheetName val="Объемы ист"/>
      <sheetName val="WACC"/>
      <sheetName val="Аналоги"/>
      <sheetName val="Урожай 18"/>
      <sheetName val="Сравнит сады"/>
      <sheetName val="Сады"/>
      <sheetName val="Урож1"/>
      <sheetName val="Урож2"/>
      <sheetName val="Анализ Ф2"/>
      <sheetName val="Коэффициенты"/>
      <sheetName val="ОС"/>
      <sheetName val="Земля"/>
      <sheetName val="Сравнит РУС"/>
      <sheetName val="ИИ Ф1"/>
      <sheetName val="ИИ Ф2 без АТ"/>
      <sheetName val="АТ Ф1"/>
      <sheetName val="Мощности"/>
      <sheetName val="Поставщики"/>
      <sheetName val="Покупатели"/>
      <sheetName val="Займы долг"/>
      <sheetName val="Займы крат"/>
      <sheetName val="Peers"/>
      <sheetName val="TAGS"/>
      <sheetName val="Основные средства"/>
      <sheetName val="Оборотный капита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одные данные_ИП"/>
      <sheetName val="Справка ИП_имущ положение"/>
      <sheetName val="Справка ИП_о доходах и расходах"/>
      <sheetName val="строка 2110 ф.№2"/>
      <sheetName val="Амортизация"/>
      <sheetName val="Расшифровка кредитов и займов"/>
      <sheetName val="График погашения осн долг"/>
      <sheetName val="Гарантии - просрочка"/>
      <sheetName val="Список"/>
      <sheetName val="Лист2"/>
    </sheetNames>
    <sheetDataSet>
      <sheetData sheetId="0"/>
      <sheetData sheetId="1"/>
      <sheetData sheetId="2"/>
      <sheetData sheetId="3"/>
      <sheetData sheetId="4"/>
      <sheetData sheetId="5">
        <row r="4">
          <cell r="D4" t="str">
            <v>ООО "Интеринвест"</v>
          </cell>
        </row>
        <row r="5">
          <cell r="D5">
            <v>2625026920</v>
          </cell>
        </row>
      </sheetData>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Баланс(НЗ)"/>
      <sheetName val="Объемы ист"/>
      <sheetName val="Объемы "/>
      <sheetName val="Вал Сбор"/>
      <sheetName val="CapEx"/>
      <sheetName val="график погашения"/>
      <sheetName val="КП"/>
      <sheetName val="Прогноз индексов МЭР"/>
      <sheetName val="WACC NEW"/>
      <sheetName val="Источник для WACC"/>
      <sheetName val="Hist Financials"/>
      <sheetName val="Модель урожая яблок"/>
      <sheetName val="Sales"/>
      <sheetName val="PL Прогнозный"/>
      <sheetName val="For Pres"/>
      <sheetName val="Продажи"/>
      <sheetName val="Sensitivities analysis"/>
    </sheetNames>
    <sheetDataSet>
      <sheetData sheetId="0">
        <row r="12">
          <cell r="C12">
            <v>4358.9999999999991</v>
          </cell>
        </row>
        <row r="35">
          <cell r="C35">
            <v>156629.14463689399</v>
          </cell>
          <cell r="D35">
            <v>268803.44327251054</v>
          </cell>
          <cell r="E35">
            <v>303126.76119701483</v>
          </cell>
          <cell r="F35">
            <v>375486.71417442127</v>
          </cell>
          <cell r="G35">
            <v>436139.65611767187</v>
          </cell>
        </row>
        <row r="50">
          <cell r="C50">
            <v>80161.433459528722</v>
          </cell>
          <cell r="D50">
            <v>134204.00040395372</v>
          </cell>
          <cell r="E50">
            <v>158034.58599246293</v>
          </cell>
          <cell r="F50">
            <v>193318.75064274488</v>
          </cell>
          <cell r="G50">
            <v>222864.80250299693</v>
          </cell>
        </row>
      </sheetData>
      <sheetData sheetId="1">
        <row r="9">
          <cell r="F9">
            <v>261793</v>
          </cell>
        </row>
      </sheetData>
      <sheetData sheetId="2">
        <row r="19">
          <cell r="E19">
            <v>8396</v>
          </cell>
        </row>
      </sheetData>
      <sheetData sheetId="3">
        <row r="71">
          <cell r="Z71">
            <v>18943</v>
          </cell>
        </row>
      </sheetData>
      <sheetData sheetId="4">
        <row r="87">
          <cell r="H87">
            <v>4064.1</v>
          </cell>
        </row>
      </sheetData>
      <sheetData sheetId="5"/>
      <sheetData sheetId="6">
        <row r="5">
          <cell r="D5">
            <v>84222.68299999999</v>
          </cell>
        </row>
      </sheetData>
      <sheetData sheetId="7"/>
      <sheetData sheetId="8">
        <row r="9">
          <cell r="E9">
            <v>104.1351609844702</v>
          </cell>
        </row>
      </sheetData>
      <sheetData sheetId="9"/>
      <sheetData sheetId="10"/>
      <sheetData sheetId="11">
        <row r="36">
          <cell r="B36" t="str">
            <v>Производственная себестоимость</v>
          </cell>
        </row>
      </sheetData>
      <sheetData sheetId="12">
        <row r="79">
          <cell r="I79">
            <v>8.1799686440259727</v>
          </cell>
        </row>
      </sheetData>
      <sheetData sheetId="13">
        <row r="42">
          <cell r="R42">
            <v>7.5563294779029881</v>
          </cell>
        </row>
      </sheetData>
      <sheetData sheetId="14"/>
      <sheetData sheetId="15">
        <row r="104">
          <cell r="I104" t="e">
            <v>#REF!</v>
          </cell>
        </row>
      </sheetData>
      <sheetData sheetId="16"/>
      <sheetData sheetId="17">
        <row r="3">
          <cell r="D3">
            <v>0.02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по Опер данным"/>
      <sheetName val="Опер данные от компании"/>
      <sheetName val="Support"/>
      <sheetName val="1"/>
      <sheetName val="График Плодоношения"/>
      <sheetName val="Hist CapEx"/>
      <sheetName val="Займы долг"/>
      <sheetName val="Займы долг (31 05 19)"/>
      <sheetName val="Займы крат (31 05 19)"/>
      <sheetName val="Займы крат"/>
      <sheetName val="2019-07-17 Support"/>
      <sheetName val="Динамика закладки садов"/>
    </sheetNames>
    <sheetDataSet>
      <sheetData sheetId="0">
        <row r="17">
          <cell r="S17">
            <v>8917.9269999999997</v>
          </cell>
          <cell r="T17">
            <v>8384.9030000000002</v>
          </cell>
          <cell r="U17">
            <v>15048.927999999998</v>
          </cell>
        </row>
        <row r="20">
          <cell r="S20">
            <v>5028.6379999999999</v>
          </cell>
          <cell r="T20">
            <v>3539</v>
          </cell>
          <cell r="U20">
            <v>8276.3029999999999</v>
          </cell>
        </row>
        <row r="21">
          <cell r="S21">
            <v>2640.5320000000002</v>
          </cell>
          <cell r="T21">
            <v>3743.0149999999999</v>
          </cell>
          <cell r="U21">
            <v>5618.1379999999999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15">
          <cell r="U115">
            <v>2017</v>
          </cell>
        </row>
        <row r="116">
          <cell r="U116">
            <v>706</v>
          </cell>
        </row>
        <row r="117">
          <cell r="U117">
            <v>0.31</v>
          </cell>
        </row>
      </sheetData>
      <sheetData sheetId="11">
        <row r="4">
          <cell r="G4" t="str">
            <v>Low end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Объемы ИИ"/>
      <sheetName val="Model NPV"/>
      <sheetName val="ИИ + АТ Ф1"/>
      <sheetName val="ИИ + АТ Ф2"/>
      <sheetName val="WACC"/>
      <sheetName val="Аналоги"/>
      <sheetName val="Урожай 18"/>
      <sheetName val="Сравнит сады"/>
      <sheetName val="Сады"/>
      <sheetName val="Урож1"/>
      <sheetName val="Урож2"/>
      <sheetName val="Анализ Ф2"/>
      <sheetName val="Коэффициенты"/>
      <sheetName val="ОС"/>
      <sheetName val="Земля"/>
      <sheetName val="Сравнит РУС"/>
      <sheetName val="ИИ Ф1"/>
      <sheetName val="ИИ Ф2 без АТ"/>
      <sheetName val="АТ Ф1"/>
      <sheetName val="Мощности"/>
      <sheetName val="Поставщики"/>
      <sheetName val="Покупатели"/>
      <sheetName val="Займы долг"/>
      <sheetName val="Займы крат"/>
      <sheetName val="Peers"/>
      <sheetName val="TAGS"/>
      <sheetName val="Основные средства"/>
      <sheetName val="Оборотный капитал"/>
    </sheetNames>
    <sheetDataSet>
      <sheetData sheetId="0"/>
      <sheetData sheetId="1">
        <row r="11">
          <cell r="I11">
            <v>5028.6379999999999</v>
          </cell>
        </row>
      </sheetData>
      <sheetData sheetId="2"/>
      <sheetData sheetId="3">
        <row r="10">
          <cell r="B10" t="str">
            <v>Основные средства</v>
          </cell>
        </row>
      </sheetData>
      <sheetData sheetId="4">
        <row r="5">
          <cell r="E5">
            <v>298646</v>
          </cell>
        </row>
      </sheetData>
      <sheetData sheetId="5">
        <row r="18">
          <cell r="C18">
            <v>0.16743597041865435</v>
          </cell>
        </row>
      </sheetData>
      <sheetData sheetId="6"/>
      <sheetData sheetId="7"/>
      <sheetData sheetId="8">
        <row r="26">
          <cell r="I26">
            <v>1097</v>
          </cell>
        </row>
      </sheetData>
      <sheetData sheetId="9"/>
      <sheetData sheetId="10"/>
      <sheetData sheetId="11"/>
      <sheetData sheetId="12"/>
      <sheetData sheetId="13"/>
      <sheetData sheetId="14"/>
      <sheetData sheetId="15"/>
      <sheetData sheetId="16"/>
      <sheetData sheetId="17">
        <row r="11">
          <cell r="F11">
            <v>0</v>
          </cell>
        </row>
      </sheetData>
      <sheetData sheetId="18"/>
      <sheetData sheetId="19">
        <row r="11">
          <cell r="F11">
            <v>0</v>
          </cell>
        </row>
      </sheetData>
      <sheetData sheetId="20"/>
      <sheetData sheetId="21"/>
      <sheetData sheetId="22"/>
      <sheetData sheetId="23"/>
      <sheetData sheetId="24"/>
      <sheetData sheetId="25"/>
      <sheetData sheetId="26"/>
      <sheetData sheetId="27">
        <row r="3">
          <cell r="C3">
            <v>44354</v>
          </cell>
        </row>
      </sheetData>
      <sheetData sheetId="28">
        <row r="3">
          <cell r="F3">
            <v>23.190443998424008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од"/>
      <sheetName val="Фин отчетность РСБУ"/>
      <sheetName val="Фин отчетность МСФО"/>
      <sheetName val="Предпосылки"/>
      <sheetName val="Баланс"/>
      <sheetName val="ОПиУ"/>
      <sheetName val="Коэффициенты"/>
      <sheetName val="Денежные потоки"/>
      <sheetName val="Inputs"/>
      <sheetName val="Outputs"/>
      <sheetName val="Формулы"/>
      <sheetName val="Показатели"/>
      <sheetName val="Себестоимость 2017-2022"/>
      <sheetName val="2017"/>
      <sheetName val="2018"/>
      <sheetName val="2019"/>
      <sheetName val="2020"/>
      <sheetName val="2021"/>
      <sheetName val="2022"/>
      <sheetName val="Лист1"/>
    </sheetNames>
    <sheetDataSet>
      <sheetData sheetId="0">
        <row r="3">
          <cell r="W3" t="str">
            <v>В среднем</v>
          </cell>
          <cell r="X3" t="str">
            <v>В среднем</v>
          </cell>
          <cell r="Y3" t="str">
            <v>В среднем</v>
          </cell>
          <cell r="Z3" t="str">
            <v>1 год</v>
          </cell>
          <cell r="AA3" t="str">
            <v>В среднем</v>
          </cell>
        </row>
        <row r="4">
          <cell r="W4" t="str">
            <v>1 продукт</v>
          </cell>
          <cell r="X4" t="str">
            <v>1 тип топлива</v>
          </cell>
          <cell r="Y4" t="str">
            <v>По типу обязательства</v>
          </cell>
          <cell r="Z4" t="str">
            <v>2 года</v>
          </cell>
          <cell r="AA4" t="str">
            <v>1 тип сырья</v>
          </cell>
        </row>
        <row r="5">
          <cell r="W5" t="str">
            <v>2 продукта</v>
          </cell>
          <cell r="X5" t="str">
            <v>2 типа топлива</v>
          </cell>
          <cell r="Z5" t="str">
            <v>3 года</v>
          </cell>
          <cell r="AA5" t="str">
            <v>2 типа сырья</v>
          </cell>
        </row>
        <row r="6">
          <cell r="W6" t="str">
            <v>3 продукта</v>
          </cell>
          <cell r="X6" t="str">
            <v>3 типа топлива</v>
          </cell>
          <cell r="Z6" t="str">
            <v>4 года</v>
          </cell>
          <cell r="AA6" t="str">
            <v>3 типа сырья</v>
          </cell>
        </row>
        <row r="7">
          <cell r="W7" t="str">
            <v>4 продукта</v>
          </cell>
          <cell r="X7" t="str">
            <v>4 типа топлива</v>
          </cell>
          <cell r="Z7" t="str">
            <v>5 лет</v>
          </cell>
          <cell r="AA7" t="str">
            <v>4 типа сырья</v>
          </cell>
        </row>
        <row r="8">
          <cell r="W8" t="str">
            <v>5 продуктов</v>
          </cell>
          <cell r="X8" t="str">
            <v>5 типов топлива</v>
          </cell>
          <cell r="Z8" t="str">
            <v>6 лет</v>
          </cell>
          <cell r="AA8" t="str">
            <v>5 типов сырья</v>
          </cell>
        </row>
        <row r="9">
          <cell r="W9" t="str">
            <v>6 продуктов</v>
          </cell>
          <cell r="Z9" t="str">
            <v>7 лет</v>
          </cell>
          <cell r="AA9" t="str">
            <v>6 типов сырья</v>
          </cell>
        </row>
        <row r="10">
          <cell r="W10" t="str">
            <v>7 продуктов</v>
          </cell>
          <cell r="Z10" t="str">
            <v>8 лет</v>
          </cell>
          <cell r="AA10" t="str">
            <v>7 типов сырья</v>
          </cell>
        </row>
        <row r="11">
          <cell r="W11" t="str">
            <v>8 продуктов</v>
          </cell>
          <cell r="Z11" t="str">
            <v>9 лет</v>
          </cell>
          <cell r="AA11" t="str">
            <v>8 типов сырья</v>
          </cell>
        </row>
        <row r="12">
          <cell r="W12" t="str">
            <v>9 продуктов</v>
          </cell>
          <cell r="Z12" t="str">
            <v>10 лет</v>
          </cell>
          <cell r="AA12" t="str">
            <v>9 типов сырья</v>
          </cell>
        </row>
        <row r="13">
          <cell r="W13" t="str">
            <v>10 продуктов</v>
          </cell>
          <cell r="Z13" t="str">
            <v>11 лет</v>
          </cell>
          <cell r="AA13" t="str">
            <v>10 типов сырья</v>
          </cell>
        </row>
        <row r="14">
          <cell r="Z14" t="str">
            <v>12 лет</v>
          </cell>
        </row>
        <row r="15">
          <cell r="Z15" t="str">
            <v>13 лет</v>
          </cell>
        </row>
        <row r="16">
          <cell r="Z16" t="str">
            <v>14 лет</v>
          </cell>
        </row>
        <row r="17">
          <cell r="Z17" t="str">
            <v>15 лет</v>
          </cell>
        </row>
        <row r="18">
          <cell r="Z18" t="str">
            <v>16 лет</v>
          </cell>
        </row>
        <row r="19">
          <cell r="Z19" t="str">
            <v>17 лет</v>
          </cell>
        </row>
        <row r="20">
          <cell r="Z20" t="str">
            <v>18 лет</v>
          </cell>
        </row>
        <row r="21">
          <cell r="Z21" t="str">
            <v>19 лет</v>
          </cell>
        </row>
        <row r="22">
          <cell r="Z22" t="str">
            <v>20 лет</v>
          </cell>
        </row>
      </sheetData>
      <sheetData sheetId="1"/>
      <sheetData sheetId="2">
        <row r="14">
          <cell r="C14" t="str">
            <v>Выручка от реализации</v>
          </cell>
          <cell r="D14" t="str">
            <v>Sales, revenues</v>
          </cell>
        </row>
      </sheetData>
      <sheetData sheetId="3">
        <row r="254">
          <cell r="K254" t="str">
            <v>Неприменимо</v>
          </cell>
        </row>
        <row r="611">
          <cell r="B611" t="str">
            <v>RUR</v>
          </cell>
        </row>
        <row r="612">
          <cell r="B612" t="str">
            <v>USD</v>
          </cell>
        </row>
        <row r="613">
          <cell r="B613" t="str">
            <v>EUR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er_Mode"/>
      <sheetName val="Вход.данные"/>
      <sheetName val="КП_КИ"/>
      <sheetName val="КП_А"/>
      <sheetName val="ВД_КП_КИ"/>
      <sheetName val="EXR"/>
      <sheetName val="0"/>
      <sheetName val="1.1"/>
      <sheetName val="1.2.1"/>
      <sheetName val="1.2.2"/>
      <sheetName val="1.2.3"/>
      <sheetName val="1.3"/>
      <sheetName val="1.4"/>
      <sheetName val="1.5"/>
      <sheetName val="1.6"/>
      <sheetName val="2"/>
      <sheetName val="2.1"/>
      <sheetName val="2.2"/>
      <sheetName val="2.3"/>
      <sheetName val="2.3.1"/>
      <sheetName val="2.4"/>
      <sheetName val="2.5"/>
      <sheetName val="3.1"/>
      <sheetName val="3.2.1"/>
      <sheetName val="3.2.2"/>
      <sheetName val="3.2.3"/>
      <sheetName val="3.2.4"/>
      <sheetName val="3.3"/>
      <sheetName val="3.4"/>
      <sheetName val="3.5"/>
      <sheetName val="3.6"/>
      <sheetName val="3.6.1"/>
      <sheetName val="3.7"/>
      <sheetName val="3.7.1"/>
      <sheetName val="4.1"/>
      <sheetName val="4.2"/>
      <sheetName val="4.3"/>
      <sheetName val="4.4"/>
      <sheetName val="4.5"/>
      <sheetName val="4.6"/>
      <sheetName val="4.7"/>
      <sheetName val="4.8"/>
      <sheetName val="Резюме"/>
      <sheetName val="5"/>
      <sheetName val="5.1"/>
      <sheetName val="5.2"/>
      <sheetName val="5.3"/>
      <sheetName val="5.4"/>
      <sheetName val="5.5"/>
      <sheetName val="5.6"/>
    </sheetNames>
    <sheetDataSet>
      <sheetData sheetId="0"/>
      <sheetData sheetId="1"/>
      <sheetData sheetId="2"/>
      <sheetData sheetId="3"/>
      <sheetData sheetId="4"/>
      <sheetData sheetId="5"/>
      <sheetData sheetId="6"/>
      <sheetData sheetId="7"/>
      <sheetData sheetId="8">
        <row r="270">
          <cell r="H270" t="str">
            <v xml:space="preserve"> руб.</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_sheet"/>
      <sheetName val="Results"/>
      <sheetName val="DCF "/>
      <sheetName val="Income_sheet"/>
      <sheetName val="Capex"/>
      <sheetName val="WACC"/>
      <sheetName val="Market"/>
      <sheetName val="макра"/>
      <sheetName val="БДР_01_2009"/>
      <sheetName val="Доли"/>
      <sheetName val="="/>
    </sheetNames>
    <sheetDataSet>
      <sheetData sheetId="0">
        <row r="135">
          <cell r="S135">
            <v>20885</v>
          </cell>
        </row>
      </sheetData>
      <sheetData sheetId="1">
        <row r="47">
          <cell r="K47">
            <v>520281.08904696361</v>
          </cell>
        </row>
      </sheetData>
      <sheetData sheetId="2">
        <row r="6">
          <cell r="E6">
            <v>3161589.5799999996</v>
          </cell>
        </row>
      </sheetData>
      <sheetData sheetId="3">
        <row r="6">
          <cell r="E6">
            <v>3161589.5799999996</v>
          </cell>
        </row>
      </sheetData>
      <sheetData sheetId="4">
        <row r="3">
          <cell r="Q3">
            <v>426227</v>
          </cell>
        </row>
      </sheetData>
      <sheetData sheetId="5">
        <row r="3">
          <cell r="Q3">
            <v>426227</v>
          </cell>
        </row>
      </sheetData>
      <sheetData sheetId="6"/>
      <sheetData sheetId="7">
        <row r="40">
          <cell r="C40">
            <v>48077</v>
          </cell>
        </row>
      </sheetData>
      <sheetData sheetId="8">
        <row r="40">
          <cell r="C40">
            <v>48077</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Опции"/>
      <sheetName val="Проект"/>
      <sheetName val="Анализ"/>
      <sheetName val="Cost Allocation"/>
      <sheetName val="предприятия"/>
      <sheetName val="Классиф_"/>
      <sheetName val="Grouplist"/>
      <sheetName val="Инфо"/>
      <sheetName val="Поправки"/>
      <sheetName val="XLR_NoRangeSheet"/>
      <sheetName val="TREND_tengis&amp;emba"/>
      <sheetName val="стр.145 рос. исп"/>
      <sheetName val="Proforma 2010"/>
      <sheetName val="МОЭСК_РЭТО"/>
      <sheetName val="ДЗ_КЗ"/>
      <sheetName val="FES"/>
      <sheetName val="Sheet1"/>
      <sheetName val="БДР"/>
      <sheetName val="BS_h&amp;#38;p"/>
      <sheetName val="IS_h&amp;#38;p"/>
      <sheetName val="TREND_tengis&amp;#38;emba"/>
      <sheetName val="незав. Домодедово"/>
      <sheetName val="Ф1"/>
      <sheetName val="Balance"/>
      <sheetName val="60 счет"/>
      <sheetName val="Inputs"/>
      <sheetName val="Предположения КАС"/>
      <sheetName val="Допущения"/>
      <sheetName val="Долг"/>
      <sheetName val="ПРР"/>
      <sheetName val="Ф-1"/>
      <sheetName val="Справочники"/>
      <sheetName val="RAS BS+"/>
      <sheetName val="CEZ_Model_16_m"/>
      <sheetName val="0_33"/>
      <sheetName val="Акты дебиторов"/>
      <sheetName val="comps"/>
      <sheetName val="А_Произв-во"/>
      <sheetName val="вводные"/>
      <sheetName val="Коэф-ты"/>
      <sheetName val="Ст"/>
      <sheetName val="Natl Consult Reg."/>
      <sheetName val="Balance sheet"/>
      <sheetName val="Data"/>
      <sheetName val="Sheet5"/>
      <sheetName val="Glossary"/>
      <sheetName val="ЗУ_торг"/>
      <sheetName val="Assumptions"/>
      <sheetName val="свед"/>
      <sheetName val="Баз предп"/>
      <sheetName val="Master Inputs"/>
      <sheetName val="ЗП"/>
      <sheetName val="ЗУ 2015"/>
      <sheetName val="Смета"/>
      <sheetName val="Rev"/>
      <sheetName val="Док+Исх"/>
      <sheetName val="Аренда Торговля"/>
      <sheetName val="Аренда СТО"/>
      <sheetName val="Дисконт"/>
      <sheetName val="Исходник"/>
      <sheetName val="общее"/>
      <sheetName val="Сведение объект"/>
      <sheetName val="общие данные"/>
      <sheetName val="график01.09.02"/>
      <sheetName val="исх 1"/>
      <sheetName val="Метод остатка"/>
      <sheetName val="ОСЗ"/>
      <sheetName val="14.ДП"/>
      <sheetName val="1.ИСХ "/>
      <sheetName val="7.ЗУ ГУИОН!"/>
      <sheetName val="MGSN"/>
      <sheetName val="Компания"/>
      <sheetName val="Сумм"/>
      <sheetName val="затр_под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amp;Gas"/>
      <sheetName val="Mobile"/>
      <sheetName val="Electricity"/>
      <sheetName val="Telecoms"/>
      <sheetName val="Manufacturing"/>
      <sheetName val="Consumer"/>
      <sheetName val="Retail"/>
      <sheetName val="Beer"/>
      <sheetName val="Automotive"/>
      <sheetName val="Banking"/>
      <sheetName val="Transport"/>
      <sheetName val=" Metals"/>
      <sheetName val="SHIPPING-CARGO"/>
      <sheetName val="SHIPPING-OIL"/>
      <sheetName val="Pharmaceuticals"/>
      <sheetName val="SE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PL Прогнозный"/>
      <sheetName val="For Pres"/>
      <sheetName val="Sensitivities analysis"/>
      <sheetName val="Прогноз индексов МЭР"/>
      <sheetName val="Hist Financials"/>
      <sheetName val="Модель урожая яблок"/>
      <sheetName val="Лист1"/>
      <sheetName val="Статистика по саду 2019"/>
      <sheetName val="Sheet1"/>
      <sheetName val="Статистика по саду"/>
      <sheetName val="Sales"/>
      <sheetName val="Продажи"/>
      <sheetName val="P&amp;L"/>
      <sheetName val="Баланс"/>
      <sheetName val="CapEx"/>
      <sheetName val="Амортизация"/>
      <sheetName val="Субсидии"/>
      <sheetName val="график погашения"/>
      <sheetName val="Расшифровка кредитов и займов"/>
      <sheetName val="WACC NEW"/>
      <sheetName val="Источник для WACC"/>
      <sheetName val="Новозаведенское--&gt;"/>
      <sheetName val="Model (2)"/>
      <sheetName val="Model(НЗ)"/>
      <sheetName val="Вал Сбор"/>
      <sheetName val="Модель урожая яблок (2)"/>
      <sheetName val="Sheet7"/>
      <sheetName val="Build up (возраст садов)"/>
      <sheetName val="Динамика закладки садов"/>
      <sheetName val="Sheet10"/>
      <sheetName val="P&amp;L(НЗ)"/>
      <sheetName val="Баланс(НЗ)"/>
      <sheetName val="Субсид"/>
      <sheetName val="Финансы"/>
      <sheetName val="Оценка Бизнеса"/>
      <sheetName val="Sheet2"/>
    </sheetNames>
    <sheetDataSet>
      <sheetData sheetId="0">
        <row r="4">
          <cell r="A4" t="str">
            <v xml:space="preserve">Индекс дефлятор растениеводства </v>
          </cell>
          <cell r="C4">
            <v>3.3093329992886167E-2</v>
          </cell>
          <cell r="D4">
            <v>2.9136566989585111E-2</v>
          </cell>
          <cell r="E4">
            <v>3.2336566989584981E-2</v>
          </cell>
          <cell r="F4">
            <v>3.7700000000000067E-2</v>
          </cell>
          <cell r="G4">
            <v>4.1500000000000092E-2</v>
          </cell>
          <cell r="H4">
            <v>0.03</v>
          </cell>
          <cell r="I4">
            <v>0.03</v>
          </cell>
          <cell r="J4">
            <v>0.03</v>
          </cell>
        </row>
        <row r="6">
          <cell r="A6" t="str">
            <v xml:space="preserve">Индекс цен производителя </v>
          </cell>
          <cell r="C6">
            <v>4.1242890628997442E-2</v>
          </cell>
          <cell r="D6">
            <v>4.0249548683655378E-2</v>
          </cell>
          <cell r="E6">
            <v>3.9624970215113464E-2</v>
          </cell>
          <cell r="F6">
            <v>4.1383231557315048E-2</v>
          </cell>
          <cell r="G6">
            <v>4.4748721553178328E-2</v>
          </cell>
          <cell r="H6">
            <v>0.03</v>
          </cell>
          <cell r="I6">
            <v>0.03</v>
          </cell>
          <cell r="J6">
            <v>0.03</v>
          </cell>
        </row>
        <row r="12">
          <cell r="C12">
            <v>18046.25989389214</v>
          </cell>
          <cell r="D12">
            <v>20889.772973629104</v>
          </cell>
          <cell r="E12">
            <v>23039.255877976953</v>
          </cell>
          <cell r="F12">
            <v>23828.736002685837</v>
          </cell>
          <cell r="G12">
            <v>24358.101893742671</v>
          </cell>
          <cell r="H12">
            <v>24886.604752615938</v>
          </cell>
          <cell r="I12">
            <v>25113.672468627032</v>
          </cell>
          <cell r="J12">
            <v>25113.672468627032</v>
          </cell>
        </row>
        <row r="13">
          <cell r="C13">
            <v>0.62206249633246968</v>
          </cell>
          <cell r="D13">
            <v>0.65</v>
          </cell>
          <cell r="E13">
            <v>0.7</v>
          </cell>
          <cell r="F13">
            <v>0.7</v>
          </cell>
          <cell r="G13">
            <v>0.7</v>
          </cell>
          <cell r="H13">
            <v>0.7</v>
          </cell>
          <cell r="I13">
            <v>0.7</v>
          </cell>
          <cell r="J13">
            <v>0.7</v>
          </cell>
        </row>
        <row r="15">
          <cell r="C15">
            <v>11225.901479059074</v>
          </cell>
          <cell r="D15">
            <v>13578.352432858917</v>
          </cell>
          <cell r="E15">
            <v>16127.479114583866</v>
          </cell>
          <cell r="F15">
            <v>16680.115201880086</v>
          </cell>
          <cell r="G15">
            <v>17050.671325619867</v>
          </cell>
          <cell r="H15">
            <v>17420.623326831155</v>
          </cell>
          <cell r="I15">
            <v>17579.570728038922</v>
          </cell>
          <cell r="J15">
            <v>17579.570728038922</v>
          </cell>
        </row>
        <row r="16">
          <cell r="C16">
            <v>6820.3584148330656</v>
          </cell>
          <cell r="D16">
            <v>7311.4205407701857</v>
          </cell>
          <cell r="E16">
            <v>6911.7767633930871</v>
          </cell>
          <cell r="F16">
            <v>7148.620800805752</v>
          </cell>
          <cell r="G16">
            <v>7307.4305681228025</v>
          </cell>
          <cell r="H16">
            <v>7465.9814257847829</v>
          </cell>
          <cell r="I16">
            <v>7534.1017405881103</v>
          </cell>
          <cell r="J16">
            <v>7534.1017405881103</v>
          </cell>
        </row>
        <row r="21">
          <cell r="C21">
            <v>44</v>
          </cell>
          <cell r="D21">
            <v>45.282008947541748</v>
          </cell>
          <cell r="E21">
            <v>46.746273663296918</v>
          </cell>
          <cell r="F21">
            <v>48.508608180403215</v>
          </cell>
          <cell r="G21">
            <v>50.521715419889951</v>
          </cell>
          <cell r="H21">
            <v>52.037366882486651</v>
          </cell>
          <cell r="I21">
            <v>53.598487888961252</v>
          </cell>
          <cell r="J21">
            <v>55.206442525630088</v>
          </cell>
        </row>
        <row r="23">
          <cell r="C23">
            <v>8.1281647389514937</v>
          </cell>
          <cell r="D23">
            <v>8.364991555370338</v>
          </cell>
          <cell r="E23">
            <v>8.6354866651678837</v>
          </cell>
          <cell r="F23">
            <v>8.9610445124447136</v>
          </cell>
          <cell r="G23">
            <v>9.3329278597111696</v>
          </cell>
          <cell r="H23">
            <v>9.6129156955025046</v>
          </cell>
          <cell r="I23">
            <v>9.9013031663675797</v>
          </cell>
          <cell r="J23">
            <v>10.198342261358608</v>
          </cell>
        </row>
        <row r="28">
          <cell r="C28">
            <v>493939.66507859924</v>
          </cell>
          <cell r="D28">
            <v>614855.07635759271</v>
          </cell>
          <cell r="E28">
            <v>753899.55218944291</v>
          </cell>
          <cell r="F28">
            <v>809129.17273198836</v>
          </cell>
          <cell r="G28">
            <v>861429.16443104472</v>
          </cell>
          <cell r="H28">
            <v>906523.367379918</v>
          </cell>
          <cell r="I28">
            <v>942238.40875993192</v>
          </cell>
          <cell r="J28">
            <v>970505.56102272985</v>
          </cell>
        </row>
        <row r="29">
          <cell r="C29">
            <v>55436.996774457228</v>
          </cell>
          <cell r="D29">
            <v>61159.971081303833</v>
          </cell>
          <cell r="E29">
            <v>59686.556072898238</v>
          </cell>
          <cell r="F29">
            <v>64059.109198608516</v>
          </cell>
          <cell r="G29">
            <v>68199.722332138321</v>
          </cell>
          <cell r="H29">
            <v>71769.850030256712</v>
          </cell>
          <cell r="I29">
            <v>74597.425419820545</v>
          </cell>
          <cell r="J29">
            <v>76835.348182415168</v>
          </cell>
        </row>
        <row r="31">
          <cell r="C31">
            <v>22781.614000000001</v>
          </cell>
          <cell r="D31">
            <v>28033.069000415431</v>
          </cell>
          <cell r="E31">
            <v>33737.881423059851</v>
          </cell>
          <cell r="F31">
            <v>36209.471150754456</v>
          </cell>
          <cell r="G31">
            <v>38549.956581798178</v>
          </cell>
          <cell r="H31">
            <v>40567.974589022277</v>
          </cell>
          <cell r="I31">
            <v>42166.264212088412</v>
          </cell>
          <cell r="J31">
            <v>43431.252138451055</v>
          </cell>
        </row>
        <row r="35">
          <cell r="C35">
            <v>572158.27585305646</v>
          </cell>
          <cell r="D35">
            <v>704048.11643931188</v>
          </cell>
          <cell r="E35">
            <v>847323.98968540097</v>
          </cell>
          <cell r="F35">
            <v>909397.7530813514</v>
          </cell>
          <cell r="G35">
            <v>968178.8433449812</v>
          </cell>
          <cell r="H35">
            <v>1018861.1919991969</v>
          </cell>
          <cell r="I35">
            <v>1059002.0983918409</v>
          </cell>
          <cell r="J35">
            <v>1090772.1613435959</v>
          </cell>
        </row>
        <row r="39">
          <cell r="C39">
            <v>322888.17308290873</v>
          </cell>
          <cell r="D39">
            <v>384655.24620211462</v>
          </cell>
          <cell r="E39">
            <v>437953.19500340958</v>
          </cell>
          <cell r="F39">
            <v>470037.02991906647</v>
          </cell>
          <cell r="G39">
            <v>500418.99313516601</v>
          </cell>
          <cell r="H39">
            <v>526614.98993637995</v>
          </cell>
          <cell r="I39">
            <v>547362.47073356388</v>
          </cell>
          <cell r="J39">
            <v>563783.3448555707</v>
          </cell>
        </row>
        <row r="40">
          <cell r="C40">
            <v>17.892248863832005</v>
          </cell>
          <cell r="D40">
            <v>18.413567571447373</v>
          </cell>
          <cell r="E40">
            <v>19.00899913273873</v>
          </cell>
          <cell r="F40">
            <v>19.725638400042982</v>
          </cell>
          <cell r="G40">
            <v>20.544252393644769</v>
          </cell>
          <cell r="H40">
            <v>21.160579965454112</v>
          </cell>
          <cell r="I40">
            <v>21.795397364417735</v>
          </cell>
          <cell r="J40">
            <v>22.449259285350266</v>
          </cell>
        </row>
        <row r="46">
          <cell r="C46">
            <v>7732.9154285378172</v>
          </cell>
          <cell r="D46">
            <v>9515.4518807393397</v>
          </cell>
          <cell r="E46">
            <v>11451.874471341624</v>
          </cell>
          <cell r="F46">
            <v>12290.822683628303</v>
          </cell>
          <cell r="G46">
            <v>13085.269288683852</v>
          </cell>
          <cell r="H46">
            <v>13770.258621886072</v>
          </cell>
          <cell r="I46">
            <v>14312.776745732785</v>
          </cell>
          <cell r="J46">
            <v>14742.160048104764</v>
          </cell>
        </row>
        <row r="47">
          <cell r="C47">
            <v>1.3515343139987736E-2</v>
          </cell>
          <cell r="D47">
            <v>1.3515343139987736E-2</v>
          </cell>
          <cell r="E47">
            <v>1.3515343139987736E-2</v>
          </cell>
          <cell r="F47">
            <v>1.3515343139987736E-2</v>
          </cell>
          <cell r="G47">
            <v>1.3515343139987736E-2</v>
          </cell>
          <cell r="H47">
            <v>1.3515343139987736E-2</v>
          </cell>
          <cell r="I47">
            <v>1.3515343139987736E-2</v>
          </cell>
          <cell r="J47">
            <v>1.3515343139987736E-2</v>
          </cell>
        </row>
        <row r="49">
          <cell r="C49">
            <v>4142.7042532714731</v>
          </cell>
          <cell r="D49">
            <v>4263.4084332649563</v>
          </cell>
          <cell r="E49">
            <v>4401.2724256711899</v>
          </cell>
          <cell r="F49">
            <v>4567.2003961189939</v>
          </cell>
          <cell r="G49">
            <v>4756.7392125579327</v>
          </cell>
          <cell r="H49">
            <v>4899.4413889346706</v>
          </cell>
          <cell r="I49">
            <v>5046.4246306027107</v>
          </cell>
          <cell r="J49">
            <v>5197.8173695207925</v>
          </cell>
        </row>
        <row r="56">
          <cell r="A56" t="str">
            <v>EBITDA маржа, %</v>
          </cell>
          <cell r="C56">
            <v>0.41059330407493655</v>
          </cell>
          <cell r="D56">
            <v>0.43047045464427941</v>
          </cell>
          <cell r="E56">
            <v>0.4613268982119505</v>
          </cell>
          <cell r="F56">
            <v>0.46160160690222518</v>
          </cell>
          <cell r="G56">
            <v>0.4617758325778244</v>
          </cell>
          <cell r="H56">
            <v>0.46194238037726354</v>
          </cell>
          <cell r="I56">
            <v>0.46201178368454876</v>
          </cell>
          <cell r="J56">
            <v>0.4620117836845487</v>
          </cell>
        </row>
        <row r="63">
          <cell r="C63">
            <v>8500</v>
          </cell>
          <cell r="D63">
            <v>8747.6608194114742</v>
          </cell>
          <cell r="E63">
            <v>9030.5301395005408</v>
          </cell>
          <cell r="F63">
            <v>9370.9811257597121</v>
          </cell>
          <cell r="G63">
            <v>9759.8768424787413</v>
          </cell>
          <cell r="H63">
            <v>10052.673147753103</v>
          </cell>
          <cell r="I63">
            <v>10354.253342185697</v>
          </cell>
          <cell r="J63">
            <v>10664.880942451267</v>
          </cell>
        </row>
        <row r="64">
          <cell r="A64" t="str">
            <v>Компенсация процентов</v>
          </cell>
          <cell r="C64">
            <v>1180.1150699999998</v>
          </cell>
          <cell r="D64">
            <v>764.26499771428553</v>
          </cell>
          <cell r="E64">
            <v>286.59937414285707</v>
          </cell>
          <cell r="F64">
            <v>0</v>
          </cell>
          <cell r="G64">
            <v>0</v>
          </cell>
          <cell r="H64">
            <v>0</v>
          </cell>
          <cell r="I64">
            <v>0</v>
          </cell>
          <cell r="J64">
            <v>0</v>
          </cell>
        </row>
        <row r="65">
          <cell r="A65" t="str">
            <v>Компенсация по CapEx</v>
          </cell>
          <cell r="C65">
            <v>30000</v>
          </cell>
          <cell r="D65">
            <v>44808</v>
          </cell>
          <cell r="E65">
            <v>0</v>
          </cell>
          <cell r="F65">
            <v>0</v>
          </cell>
          <cell r="G65">
            <v>0</v>
          </cell>
          <cell r="H65">
            <v>0</v>
          </cell>
          <cell r="I65">
            <v>0</v>
          </cell>
          <cell r="J65">
            <v>0</v>
          </cell>
        </row>
        <row r="78">
          <cell r="C78">
            <v>-7492.3719924618526</v>
          </cell>
          <cell r="D78">
            <v>-8993.4531537075818</v>
          </cell>
          <cell r="E78">
            <v>-18568.053538346689</v>
          </cell>
          <cell r="F78">
            <v>-20667.162354454118</v>
          </cell>
          <cell r="G78">
            <v>-22536.848442622053</v>
          </cell>
          <cell r="H78">
            <v>-24162.11294643482</v>
          </cell>
          <cell r="I78">
            <v>-25455.653932101872</v>
          </cell>
          <cell r="J78">
            <v>-26480.09256542752</v>
          </cell>
        </row>
        <row r="80">
          <cell r="C80">
            <v>188176.09610267568</v>
          </cell>
          <cell r="D80">
            <v>277179.69418373029</v>
          </cell>
          <cell r="E80">
            <v>312652.97776577843</v>
          </cell>
          <cell r="F80">
            <v>346107.52355147613</v>
          </cell>
          <cell r="G80">
            <v>376367.70862521179</v>
          </cell>
          <cell r="H80">
            <v>402528.89834233571</v>
          </cell>
          <cell r="I80">
            <v>423514.04764989857</v>
          </cell>
          <cell r="J80">
            <v>440304.8503200761</v>
          </cell>
        </row>
        <row r="110">
          <cell r="C110">
            <v>234924.35693632544</v>
          </cell>
          <cell r="D110">
            <v>303071.91277507914</v>
          </cell>
          <cell r="E110">
            <v>390893.34794214077</v>
          </cell>
          <cell r="F110">
            <v>419779.46413562482</v>
          </cell>
          <cell r="G110">
            <v>447081.59146986372</v>
          </cell>
          <cell r="H110">
            <v>470655.16430612514</v>
          </cell>
          <cell r="I110">
            <v>489271.44840369443</v>
          </cell>
          <cell r="J110">
            <v>503949.59185580513</v>
          </cell>
        </row>
        <row r="113">
          <cell r="C113">
            <v>-62834.097020430694</v>
          </cell>
          <cell r="D113">
            <v>-31401.94719556786</v>
          </cell>
          <cell r="E113">
            <v>-29799.940076935221</v>
          </cell>
          <cell r="F113">
            <v>-15854.384932906163</v>
          </cell>
          <cell r="G113">
            <v>-15052.514368134143</v>
          </cell>
          <cell r="H113">
            <v>-12953.599618602631</v>
          </cell>
          <cell r="I113">
            <v>-10300.362739726144</v>
          </cell>
          <cell r="J113">
            <v>-8194.6753785691108</v>
          </cell>
        </row>
        <row r="121">
          <cell r="C121">
            <v>171982.40143932623</v>
          </cell>
          <cell r="D121">
            <v>234269.83762002946</v>
          </cell>
          <cell r="E121">
            <v>339119.54164832254</v>
          </cell>
          <cell r="F121">
            <v>379677.8991014224</v>
          </cell>
          <cell r="G121">
            <v>405721.56598659878</v>
          </cell>
          <cell r="H121">
            <v>429655.66918840376</v>
          </cell>
          <cell r="I121">
            <v>449515.13570260193</v>
          </cell>
          <cell r="J121">
            <v>465154.51900166599</v>
          </cell>
        </row>
        <row r="129">
          <cell r="C129">
            <v>5206.0704293262388</v>
          </cell>
          <cell r="D129">
            <v>178857.05653774375</v>
          </cell>
          <cell r="E129">
            <v>269892.59494246542</v>
          </cell>
          <cell r="F129">
            <v>354087.25302142242</v>
          </cell>
          <cell r="G129">
            <v>384107.56598659878</v>
          </cell>
          <cell r="H129">
            <v>410795.26918840373</v>
          </cell>
          <cell r="I129">
            <v>449515.13570260193</v>
          </cell>
          <cell r="J129">
            <v>465154.51900166599</v>
          </cell>
        </row>
        <row r="153">
          <cell r="B153">
            <v>197567</v>
          </cell>
          <cell r="C153">
            <v>254970.44035066327</v>
          </cell>
          <cell r="D153">
            <v>303163.68990051327</v>
          </cell>
          <cell r="E153">
            <v>345090.79658606421</v>
          </cell>
          <cell r="F153">
            <v>370182.78332511074</v>
          </cell>
          <cell r="G153">
            <v>393982.89532354474</v>
          </cell>
          <cell r="H153">
            <v>414478.865983536</v>
          </cell>
          <cell r="I153">
            <v>430752.85895134317</v>
          </cell>
          <cell r="J153">
            <v>443675.4447198835</v>
          </cell>
        </row>
        <row r="155">
          <cell r="B155">
            <v>27681</v>
          </cell>
          <cell r="C155">
            <v>45854.549227232776</v>
          </cell>
          <cell r="D155">
            <v>56424.612517355556</v>
          </cell>
          <cell r="E155">
            <v>67907.187986603589</v>
          </cell>
          <cell r="F155">
            <v>72881.973040818586</v>
          </cell>
          <cell r="G155">
            <v>77592.872997837243</v>
          </cell>
          <cell r="H155">
            <v>81654.714536092579</v>
          </cell>
          <cell r="I155">
            <v>84871.732004664445</v>
          </cell>
          <cell r="J155">
            <v>87417.88396480435</v>
          </cell>
        </row>
        <row r="156">
          <cell r="B156">
            <v>20511</v>
          </cell>
          <cell r="C156">
            <v>25717.070429326239</v>
          </cell>
          <cell r="D156">
            <v>204574.12696706998</v>
          </cell>
        </row>
        <row r="167">
          <cell r="B167">
            <v>373930</v>
          </cell>
          <cell r="C167">
            <v>177529.80499999999</v>
          </cell>
          <cell r="D167">
            <v>129029.80499999999</v>
          </cell>
          <cell r="E167">
            <v>63529.804999999993</v>
          </cell>
          <cell r="F167">
            <v>39429.804999999993</v>
          </cell>
          <cell r="G167">
            <v>18599.804999999993</v>
          </cell>
          <cell r="H167">
            <v>-0.19500000000698492</v>
          </cell>
          <cell r="I167">
            <v>-0.19500000000698492</v>
          </cell>
          <cell r="J167">
            <v>-0.19500000000698492</v>
          </cell>
        </row>
        <row r="169">
          <cell r="B169">
            <v>130289</v>
          </cell>
          <cell r="C169">
            <v>143031.89255746533</v>
          </cell>
          <cell r="D169">
            <v>170393.25820187025</v>
          </cell>
          <cell r="E169">
            <v>194003.00027973403</v>
          </cell>
          <cell r="F169">
            <v>208215.38714008938</v>
          </cell>
          <cell r="G169">
            <v>221673.88472740792</v>
          </cell>
          <cell r="H169">
            <v>233278.09730705185</v>
          </cell>
          <cell r="I169">
            <v>242468.74500370474</v>
          </cell>
          <cell r="J169">
            <v>249742.80735381585</v>
          </cell>
        </row>
      </sheetData>
      <sheetData sheetId="1" refreshError="1"/>
      <sheetData sheetId="2" refreshError="1"/>
      <sheetData sheetId="3" refreshError="1"/>
      <sheetData sheetId="4" refreshError="1"/>
      <sheetData sheetId="5">
        <row r="36">
          <cell r="C36">
            <v>236286</v>
          </cell>
        </row>
        <row r="37">
          <cell r="C37">
            <v>17.005793899876938</v>
          </cell>
        </row>
        <row r="42">
          <cell r="C42">
            <v>5091</v>
          </cell>
        </row>
        <row r="43">
          <cell r="C43">
            <v>1.3515343139987736E-2</v>
          </cell>
        </row>
        <row r="45">
          <cell r="C45">
            <v>4010</v>
          </cell>
        </row>
      </sheetData>
      <sheetData sheetId="6">
        <row r="69">
          <cell r="D69">
            <v>20.266677029212676</v>
          </cell>
          <cell r="E69">
            <v>23.460056796223327</v>
          </cell>
          <cell r="F69">
            <v>25.874012710544168</v>
          </cell>
          <cell r="G69">
            <v>26.760630702445795</v>
          </cell>
          <cell r="H69">
            <v>27.355129928734858</v>
          </cell>
          <cell r="I69">
            <v>27.948659935106164</v>
          </cell>
          <cell r="J69">
            <v>28.203666129808887</v>
          </cell>
        </row>
      </sheetData>
      <sheetData sheetId="7" refreshError="1"/>
      <sheetData sheetId="8" refreshError="1"/>
      <sheetData sheetId="9" refreshError="1"/>
      <sheetData sheetId="10">
        <row r="17">
          <cell r="U17">
            <v>18005.782000000003</v>
          </cell>
        </row>
        <row r="24">
          <cell r="U24" t="str">
            <v>Валовый сбор</v>
          </cell>
        </row>
        <row r="37">
          <cell r="S37">
            <v>142</v>
          </cell>
        </row>
        <row r="38">
          <cell r="S38">
            <v>315.70699999999999</v>
          </cell>
        </row>
        <row r="39">
          <cell r="S39">
            <v>25.052999999999997</v>
          </cell>
        </row>
        <row r="40">
          <cell r="S40">
            <v>29.805</v>
          </cell>
        </row>
      </sheetData>
      <sheetData sheetId="11">
        <row r="8">
          <cell r="V8">
            <v>3539</v>
          </cell>
          <cell r="W8">
            <v>8276.3029999999999</v>
          </cell>
          <cell r="X8">
            <v>9311.6110000000008</v>
          </cell>
        </row>
        <row r="9">
          <cell r="V9">
            <v>3743.0149999999999</v>
          </cell>
          <cell r="W9">
            <v>5618.1379999999999</v>
          </cell>
          <cell r="X9">
            <v>7701.6170000000002</v>
          </cell>
        </row>
        <row r="10">
          <cell r="X10">
            <v>114.65900000000001</v>
          </cell>
        </row>
        <row r="11">
          <cell r="X11">
            <v>311.87700000000001</v>
          </cell>
        </row>
        <row r="12">
          <cell r="X12">
            <v>24.960999999999999</v>
          </cell>
        </row>
        <row r="25">
          <cell r="W25">
            <v>333700.038</v>
          </cell>
        </row>
        <row r="26">
          <cell r="W26">
            <v>25479.607</v>
          </cell>
        </row>
        <row r="35">
          <cell r="W35">
            <v>14169.227999999999</v>
          </cell>
        </row>
      </sheetData>
      <sheetData sheetId="12" refreshError="1"/>
      <sheetData sheetId="13" refreshError="1"/>
      <sheetData sheetId="14" refreshError="1"/>
      <sheetData sheetId="15" refreshError="1"/>
      <sheetData sheetId="16" refreshError="1"/>
      <sheetData sheetId="17" refreshError="1"/>
      <sheetData sheetId="18">
        <row r="5">
          <cell r="D5">
            <v>155300</v>
          </cell>
          <cell r="E5">
            <v>48500</v>
          </cell>
          <cell r="F5">
            <v>65500</v>
          </cell>
          <cell r="G5">
            <v>24100</v>
          </cell>
          <cell r="H5">
            <v>20830</v>
          </cell>
          <cell r="I5">
            <v>18600</v>
          </cell>
        </row>
        <row r="61">
          <cell r="D61">
            <v>15685.055098749999</v>
          </cell>
          <cell r="E61">
            <v>10235.77108</v>
          </cell>
          <cell r="F61">
            <v>6572.2710800000004</v>
          </cell>
          <cell r="G61">
            <v>3869.3710799999999</v>
          </cell>
          <cell r="H61">
            <v>2982.7249999999999</v>
          </cell>
          <cell r="I61">
            <v>1359.7624999999998</v>
          </cell>
        </row>
      </sheetData>
      <sheetData sheetId="19">
        <row r="12">
          <cell r="H12">
            <v>43712</v>
          </cell>
          <cell r="K12">
            <v>10000</v>
          </cell>
        </row>
        <row r="13">
          <cell r="H13">
            <v>43697</v>
          </cell>
          <cell r="K13">
            <v>800</v>
          </cell>
        </row>
        <row r="14">
          <cell r="H14">
            <v>44701</v>
          </cell>
          <cell r="K14">
            <v>125000</v>
          </cell>
        </row>
        <row r="15">
          <cell r="H15">
            <v>46073</v>
          </cell>
          <cell r="K15">
            <v>65000</v>
          </cell>
        </row>
        <row r="16">
          <cell r="H16">
            <v>46052</v>
          </cell>
          <cell r="K16">
            <v>42029.887999999999</v>
          </cell>
        </row>
        <row r="17">
          <cell r="H17">
            <v>46203</v>
          </cell>
          <cell r="K17">
            <v>23770.195</v>
          </cell>
        </row>
        <row r="18">
          <cell r="H18">
            <v>43945</v>
          </cell>
          <cell r="K18">
            <v>12530</v>
          </cell>
        </row>
        <row r="19">
          <cell r="H19">
            <v>45138</v>
          </cell>
          <cell r="L19">
            <v>4800</v>
          </cell>
        </row>
        <row r="23">
          <cell r="H23">
            <v>43797</v>
          </cell>
          <cell r="L23">
            <v>90000</v>
          </cell>
        </row>
      </sheetData>
      <sheetData sheetId="20" refreshError="1"/>
      <sheetData sheetId="21" refreshError="1"/>
      <sheetData sheetId="22" refreshError="1"/>
      <sheetData sheetId="23">
        <row r="12">
          <cell r="D12">
            <v>7556.9690000000001</v>
          </cell>
          <cell r="E12">
            <v>7897.219000000001</v>
          </cell>
          <cell r="F12">
            <v>9584.9659999999985</v>
          </cell>
          <cell r="G12">
            <v>10792.266</v>
          </cell>
        </row>
      </sheetData>
      <sheetData sheetId="24" refreshError="1"/>
      <sheetData sheetId="25">
        <row r="89">
          <cell r="F89">
            <v>3150.8</v>
          </cell>
          <cell r="H89">
            <v>4064.1</v>
          </cell>
        </row>
        <row r="90">
          <cell r="J90">
            <v>4358.9999999999991</v>
          </cell>
        </row>
      </sheetData>
      <sheetData sheetId="26" refreshError="1"/>
      <sheetData sheetId="27" refreshError="1"/>
      <sheetData sheetId="28" refreshError="1"/>
      <sheetData sheetId="29">
        <row r="4">
          <cell r="G4" t="str">
            <v>Low end</v>
          </cell>
        </row>
      </sheetData>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Погашения ИИ"/>
      <sheetName val="Либерти"/>
      <sheetName val="Айдаред"/>
      <sheetName val="Василиса"/>
      <sheetName val="Вильямс Прайт"/>
      <sheetName val="Женева"/>
      <sheetName val="Любава"/>
      <sheetName val="Прикубанское"/>
      <sheetName val="Талида"/>
      <sheetName val="Мутсу"/>
      <sheetName val="Консолидация Презентация"/>
      <sheetName val="Поквартально ИИ 2кв 20"/>
      <sheetName val="Поквартально НЗ 2кв 20 "/>
      <sheetName val="Графики"/>
      <sheetName val="Financial Model_Quarter"/>
      <sheetName val="Financial Model"/>
      <sheetName val="План производства"/>
      <sheetName val="Сравнение"/>
      <sheetName val="табл_2"/>
      <sheetName val="табл_3"/>
      <sheetName val="табл_4"/>
      <sheetName val="Интеринвест"/>
      <sheetName val="Новозаведенское"/>
      <sheetName val="Факт сбора яблок 2020"/>
      <sheetName val="WIP AT"/>
      <sheetName val="Консолидация"/>
      <sheetName val="Продажи_ИИ 16-1кв20"/>
      <sheetName val="Продажи_НЗ 16-1кв20"/>
      <sheetName val="Динамика продаж"/>
      <sheetName val="Прогноз Валового Сбора"/>
      <sheetName val="Прогноз урожайности"/>
      <sheetName val="CapEx_Группа"/>
      <sheetName val="NWC"/>
      <sheetName val="График погашения_СВОД"/>
      <sheetName val="ИИ_КП_1 пол 20"/>
      <sheetName val="ИИ _График погашения осн долг_"/>
      <sheetName val=" НЗ 2020 1е полуг"/>
      <sheetName val="НЗ 2020 на 31.08.20"/>
      <sheetName val="Capex_ИИ"/>
      <sheetName val="Capex_Нз"/>
      <sheetName val="План по НЗ"/>
      <sheetName val="Свод по сортам"/>
      <sheetName val="резюме по саду"/>
      <sheetName val="Приложение"/>
      <sheetName val="For Press"/>
      <sheetName val="Орошение"/>
      <sheetName val="Фильтр ИИ"/>
      <sheetName val="Фильтр НЗ"/>
      <sheetName val="Валовый Сбор ИИ"/>
      <sheetName val="Вал Сбор НЗ"/>
      <sheetName val="Амортизация НЗ"/>
      <sheetName val="Амортизация ИИ 1кв20"/>
      <sheetName val="Амортизация ИИ 1 пол 2020"/>
      <sheetName val="НЗ_аморт 1 пол20"/>
      <sheetName val="НЗ_аморт 1 кв 20"/>
      <sheetName val="ИИ _ Проч Дох и расх_20"/>
      <sheetName val="ИИ_КФВ"/>
      <sheetName val="НЗ _ 2020 1е полуг"/>
      <sheetName val="ИИ _ Проч Дох и расх_19"/>
      <sheetName val="ИИ _ Проч дох и расх 18"/>
      <sheetName val="ИИ _ Проч дох и расх 2017"/>
      <sheetName val="НЗ _ 2020 1кв"/>
      <sheetName val="НЗ _ 2019"/>
      <sheetName val="НЗ _ 2018"/>
      <sheetName val="НЗ _ 2017"/>
      <sheetName val="НЗ _ 2016"/>
      <sheetName val="For Pres"/>
    </sheetNames>
    <sheetDataSet>
      <sheetData sheetId="0"/>
      <sheetData sheetId="1"/>
      <sheetData sheetId="2"/>
      <sheetData sheetId="3"/>
      <sheetData sheetId="4"/>
      <sheetData sheetId="5"/>
      <sheetData sheetId="6"/>
      <sheetData sheetId="7"/>
      <sheetData sheetId="8"/>
      <sheetData sheetId="9"/>
      <sheetData sheetId="10"/>
      <sheetData sheetId="11">
        <row r="72">
          <cell r="T72">
            <v>175989</v>
          </cell>
          <cell r="U72">
            <v>69786</v>
          </cell>
          <cell r="V72">
            <v>33560</v>
          </cell>
          <cell r="W72">
            <v>39698</v>
          </cell>
        </row>
        <row r="73">
          <cell r="T73">
            <v>77408</v>
          </cell>
          <cell r="U73">
            <v>26852</v>
          </cell>
          <cell r="V73">
            <v>54175</v>
          </cell>
          <cell r="W73">
            <v>101167</v>
          </cell>
        </row>
        <row r="79">
          <cell r="T79">
            <v>423</v>
          </cell>
          <cell r="U79">
            <v>1012</v>
          </cell>
          <cell r="V79">
            <v>621</v>
          </cell>
          <cell r="W79">
            <v>337</v>
          </cell>
        </row>
        <row r="80">
          <cell r="T80">
            <v>3501</v>
          </cell>
          <cell r="U80">
            <v>3172</v>
          </cell>
          <cell r="V80">
            <v>2826</v>
          </cell>
          <cell r="W80">
            <v>3335</v>
          </cell>
        </row>
        <row r="81">
          <cell r="T81">
            <v>0</v>
          </cell>
          <cell r="U81">
            <v>0</v>
          </cell>
          <cell r="V81">
            <v>0</v>
          </cell>
          <cell r="W81">
            <v>0</v>
          </cell>
        </row>
        <row r="82">
          <cell r="T82">
            <v>198</v>
          </cell>
          <cell r="U82">
            <v>1751</v>
          </cell>
          <cell r="V82">
            <v>763</v>
          </cell>
          <cell r="W82">
            <v>4266</v>
          </cell>
        </row>
        <row r="83">
          <cell r="T83">
            <v>1353</v>
          </cell>
          <cell r="U83">
            <v>1301</v>
          </cell>
          <cell r="V83">
            <v>2478</v>
          </cell>
          <cell r="W83">
            <v>788</v>
          </cell>
        </row>
        <row r="91">
          <cell r="T91">
            <v>16879.98487</v>
          </cell>
          <cell r="U91">
            <v>16802.276810000007</v>
          </cell>
        </row>
      </sheetData>
      <sheetData sheetId="12">
        <row r="75">
          <cell r="T75">
            <v>46016</v>
          </cell>
          <cell r="U75">
            <v>14551</v>
          </cell>
          <cell r="V75">
            <v>20587</v>
          </cell>
          <cell r="W75">
            <v>57234</v>
          </cell>
        </row>
        <row r="76">
          <cell r="T76">
            <v>31505</v>
          </cell>
          <cell r="U76">
            <v>9749</v>
          </cell>
          <cell r="V76">
            <v>17234</v>
          </cell>
          <cell r="W76">
            <v>37464</v>
          </cell>
        </row>
        <row r="78">
          <cell r="T78">
            <v>0</v>
          </cell>
          <cell r="U78">
            <v>0</v>
          </cell>
          <cell r="W78">
            <v>0</v>
          </cell>
        </row>
        <row r="79">
          <cell r="T79">
            <v>0</v>
          </cell>
          <cell r="U79">
            <v>0</v>
          </cell>
          <cell r="W79">
            <v>0</v>
          </cell>
        </row>
        <row r="82">
          <cell r="T82">
            <v>0</v>
          </cell>
          <cell r="U82">
            <v>0</v>
          </cell>
          <cell r="V82">
            <v>0</v>
          </cell>
          <cell r="W82">
            <v>0</v>
          </cell>
        </row>
        <row r="83">
          <cell r="T83">
            <v>297</v>
          </cell>
          <cell r="U83">
            <v>340</v>
          </cell>
          <cell r="V83">
            <v>416</v>
          </cell>
          <cell r="W83">
            <v>360</v>
          </cell>
        </row>
        <row r="84">
          <cell r="T84">
            <v>0</v>
          </cell>
          <cell r="U84">
            <v>0</v>
          </cell>
          <cell r="V84">
            <v>0</v>
          </cell>
          <cell r="W84">
            <v>0</v>
          </cell>
        </row>
        <row r="85">
          <cell r="T85">
            <v>161</v>
          </cell>
          <cell r="U85">
            <v>1123</v>
          </cell>
          <cell r="V85">
            <v>4213</v>
          </cell>
          <cell r="W85">
            <v>-655</v>
          </cell>
        </row>
        <row r="86">
          <cell r="T86">
            <v>319</v>
          </cell>
          <cell r="U86">
            <v>3180</v>
          </cell>
          <cell r="V86">
            <v>3160</v>
          </cell>
          <cell r="W86">
            <v>2087</v>
          </cell>
        </row>
        <row r="91">
          <cell r="T91">
            <v>0</v>
          </cell>
          <cell r="U91">
            <v>0</v>
          </cell>
          <cell r="V91">
            <v>0</v>
          </cell>
          <cell r="W91">
            <v>2172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Таблица4" displayName="Таблица4" ref="A1:N17" totalsRowCount="1">
  <autoFilter ref="A1:N16" xr:uid="{00000000-0009-0000-0100-000004000000}"/>
  <tableColumns count="14">
    <tableColumn id="1" xr3:uid="{00000000-0010-0000-0000-000001000000}" name="Сад"/>
    <tableColumn id="2" xr3:uid="{00000000-0010-0000-0000-000002000000}" name="Сорт"/>
    <tableColumn id="3" xr3:uid="{00000000-0010-0000-0000-000003000000}" name="Культура"/>
    <tableColumn id="4" xr3:uid="{00000000-0010-0000-0000-000004000000}" name="Год посадки"/>
    <tableColumn id="5" xr3:uid="{00000000-0010-0000-0000-000005000000}" name="Площадь, га" totalsRowFunction="custom">
      <totalsRowFormula>SUM(Таблица4[Площадь, га])</totalsRowFormula>
    </tableColumn>
    <tableColumn id="6" xr3:uid="{00000000-0010-0000-0000-000006000000}" name="Количество деревьев"/>
    <tableColumn id="7" xr3:uid="{00000000-0010-0000-0000-000007000000}" name="Схема посадки"/>
    <tableColumn id="8" xr3:uid="{00000000-0010-0000-0000-000008000000}" name="Плотность посадки, деревьев на 1 га"/>
    <tableColumn id="9" xr3:uid="{00000000-0010-0000-0000-000009000000}" name="Валовый сбор 2017 г, т" totalsRowFunction="custom">
      <totalsRowFormula>SUM(Таблица4[Валовый сбор 2017 г, т])</totalsRowFormula>
    </tableColumn>
    <tableColumn id="10" xr3:uid="{00000000-0010-0000-0000-00000A000000}" name="Урожайность 2017, год т/га"/>
    <tableColumn id="11" xr3:uid="{00000000-0010-0000-0000-00000B000000}" name="Валовый сбор 2018 г, т" totalsRowFunction="custom">
      <totalsRowFormula>SUM(Таблица4[Валовый сбор 2018 г, т])</totalsRowFormula>
    </tableColumn>
    <tableColumn id="12" xr3:uid="{00000000-0010-0000-0000-00000C000000}" name="Урожайность 2018, год т/га"/>
    <tableColumn id="13" xr3:uid="{00000000-0010-0000-0000-00000D000000}" name="Валовый сбор 2019 г, т" totalsRowFunction="custom">
      <totalsRowFormula>SUM(Таблица4[Валовый сбор 2019 г, т])</totalsRowFormula>
    </tableColumn>
    <tableColumn id="14" xr3:uid="{00000000-0010-0000-0000-00000E000000}" name="Урожайность 2019, год т/га"/>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Таблица7" displayName="Таблица7" ref="A1:N4" totalsRowCount="1">
  <autoFilter ref="A1:N3" xr:uid="{00000000-0009-0000-0100-000007000000}"/>
  <tableColumns count="14">
    <tableColumn id="1" xr3:uid="{00000000-0010-0000-0100-000001000000}" name="Сад"/>
    <tableColumn id="2" xr3:uid="{00000000-0010-0000-0100-000002000000}" name="Сорт"/>
    <tableColumn id="3" xr3:uid="{00000000-0010-0000-0100-000003000000}" name="Культура"/>
    <tableColumn id="4" xr3:uid="{00000000-0010-0000-0100-000004000000}" name="Год посадки"/>
    <tableColumn id="5" xr3:uid="{00000000-0010-0000-0100-000005000000}" name="Площадь, га" totalsRowFunction="custom">
      <totalsRowFormula>SUM(Таблица7[Площадь, га])</totalsRowFormula>
    </tableColumn>
    <tableColumn id="6" xr3:uid="{00000000-0010-0000-0100-000006000000}" name="Количество деревьев"/>
    <tableColumn id="7" xr3:uid="{00000000-0010-0000-0100-000007000000}" name="Схема посадки"/>
    <tableColumn id="8" xr3:uid="{00000000-0010-0000-0100-000008000000}" name="Плотность посадки, деревьев на 1 га"/>
    <tableColumn id="9" xr3:uid="{00000000-0010-0000-0100-000009000000}" name="Валовый сбор 2017 г, т" totalsRowFunction="custom">
      <totalsRowFormula>SUM(Таблица7[Валовый сбор 2017 г, т])</totalsRowFormula>
    </tableColumn>
    <tableColumn id="10" xr3:uid="{00000000-0010-0000-0100-00000A000000}" name="Урожайность 2017, год т/га"/>
    <tableColumn id="11" xr3:uid="{00000000-0010-0000-0100-00000B000000}" name="Валовый сбор 2018 г, т" totalsRowFunction="custom">
      <totalsRowFormula>SUM(Таблица7[Валовый сбор 2018 г, т])</totalsRowFormula>
    </tableColumn>
    <tableColumn id="12" xr3:uid="{00000000-0010-0000-0100-00000C000000}" name="Урожайность 2018, год т/га"/>
    <tableColumn id="13" xr3:uid="{00000000-0010-0000-0100-00000D000000}" name="Валовый сбор 2019 г, т" totalsRowFunction="custom">
      <totalsRowFormula>SUM(Таблица7[Валовый сбор 2019 г, т])</totalsRowFormula>
    </tableColumn>
    <tableColumn id="14" xr3:uid="{00000000-0010-0000-0100-00000E000000}" name="Урожайность 2019, год т/га"/>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Таблица8" displayName="Таблица8" ref="A1:K2" totalsRowShown="0">
  <autoFilter ref="A1:K2" xr:uid="{00000000-0009-0000-0100-000008000000}"/>
  <tableColumns count="11">
    <tableColumn id="1" xr3:uid="{00000000-0010-0000-0200-000001000000}" name="Власиха"/>
    <tableColumn id="2" xr3:uid="{00000000-0010-0000-0200-000002000000}" name="Сорт"/>
    <tableColumn id="3" xr3:uid="{00000000-0010-0000-0200-000003000000}" name="Культура"/>
    <tableColumn id="4" xr3:uid="{00000000-0010-0000-0200-000004000000}" name="Год посадки"/>
    <tableColumn id="5" xr3:uid="{00000000-0010-0000-0200-000005000000}" name="Площадь, га"/>
    <tableColumn id="6" xr3:uid="{00000000-0010-0000-0200-000006000000}" name="Количество деревьев"/>
    <tableColumn id="7" xr3:uid="{00000000-0010-0000-0200-000007000000}" name="Схема посадки"/>
    <tableColumn id="8" xr3:uid="{00000000-0010-0000-0200-000008000000}" name="Плотность посадки, деревьев на 1 га"/>
    <tableColumn id="9" xr3:uid="{00000000-0010-0000-0200-000009000000}" name="Валовый сбор 2017 г, т"/>
    <tableColumn id="11" xr3:uid="{00000000-0010-0000-0200-00000B000000}" name="Валовый сбор 2018 г, т"/>
    <tableColumn id="13" xr3:uid="{00000000-0010-0000-0200-00000D000000}" name="Валовый сбор 2019 г, т"/>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Таблица9" displayName="Таблица9" ref="A1:J7" totalsRowCount="1">
  <autoFilter ref="A1:J6" xr:uid="{00000000-0009-0000-0100-000009000000}"/>
  <tableColumns count="10">
    <tableColumn id="1" xr3:uid="{00000000-0010-0000-0300-000001000000}" name="Сад"/>
    <tableColumn id="2" xr3:uid="{00000000-0010-0000-0300-000002000000}" name="Сорт"/>
    <tableColumn id="3" xr3:uid="{00000000-0010-0000-0300-000003000000}" name="Культура"/>
    <tableColumn id="4" xr3:uid="{00000000-0010-0000-0300-000004000000}" name="Год посадки"/>
    <tableColumn id="5" xr3:uid="{00000000-0010-0000-0300-000005000000}" name="Площадь, га" totalsRowFunction="custom">
      <totalsRowFormula>SUM(Таблица9[Площадь, га])</totalsRowFormula>
    </tableColumn>
    <tableColumn id="6" xr3:uid="{00000000-0010-0000-0300-000006000000}" name="Количество деревьев"/>
    <tableColumn id="7" xr3:uid="{00000000-0010-0000-0300-000007000000}" name="Схема посадки"/>
    <tableColumn id="9" xr3:uid="{00000000-0010-0000-0300-000009000000}" name="Валовый сбор 2017 г, т" totalsRowFunction="custom">
      <totalsRowFormula>SUM(Таблица9[Валовый сбор 2017 г, т])</totalsRowFormula>
    </tableColumn>
    <tableColumn id="11" xr3:uid="{00000000-0010-0000-0300-00000B000000}" name="Валовый сбор 2018 г, т" totalsRowFunction="custom">
      <totalsRowFormula>SUM(Таблица9[Валовый сбор 2018 г, т])</totalsRowFormula>
    </tableColumn>
    <tableColumn id="13" xr3:uid="{00000000-0010-0000-0300-00000D000000}" name="Валовый сбор 2019 г, т" totalsRowFunction="custom">
      <totalsRowFormula>SUM(Таблица9[Валовый сбор 2019 г, т])</totalsRow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Таблица10" displayName="Таблица10" ref="A1:J6" totalsRowCount="1">
  <autoFilter ref="A1:J5" xr:uid="{00000000-0009-0000-0100-00000A000000}"/>
  <tableColumns count="10">
    <tableColumn id="1" xr3:uid="{00000000-0010-0000-0400-000001000000}" name="Сад"/>
    <tableColumn id="2" xr3:uid="{00000000-0010-0000-0400-000002000000}" name="Сорт"/>
    <tableColumn id="3" xr3:uid="{00000000-0010-0000-0400-000003000000}" name="Культура"/>
    <tableColumn id="4" xr3:uid="{00000000-0010-0000-0400-000004000000}" name="Год посадки"/>
    <tableColumn id="5" xr3:uid="{00000000-0010-0000-0400-000005000000}" name="Площадь, га" totalsRowFunction="custom">
      <totalsRowFormula>SUM(Таблица10[Площадь, га])</totalsRowFormula>
    </tableColumn>
    <tableColumn id="6" xr3:uid="{00000000-0010-0000-0400-000006000000}" name="Количество деревьев"/>
    <tableColumn id="7" xr3:uid="{00000000-0010-0000-0400-000007000000}" name="Схема посадки"/>
    <tableColumn id="9" xr3:uid="{00000000-0010-0000-0400-000009000000}" name="Валовый сбор 2017 г, т" totalsRowFunction="custom">
      <totalsRowFormula>SUM(Таблица10[Валовый сбор 2017 г, т])</totalsRowFormula>
    </tableColumn>
    <tableColumn id="11" xr3:uid="{00000000-0010-0000-0400-00000B000000}" name="Валовый сбор 2018 г, т" totalsRowFunction="custom">
      <totalsRowFormula>SUM(Таблица10[Валовый сбор 2018 г, т])</totalsRowFormula>
    </tableColumn>
    <tableColumn id="13" xr3:uid="{00000000-0010-0000-0400-00000D000000}" name="Валовый сбор 2019 г, т" totalsRowFunction="custom">
      <totalsRowFormula>SUM(Таблица10[Валовый сбор 2019 г, т])</totalsRow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5000000}" name="Таблица11" displayName="Таблица11" ref="A1:J6" totalsRowCount="1">
  <autoFilter ref="A1:J5" xr:uid="{00000000-0009-0000-0100-00000B000000}"/>
  <tableColumns count="10">
    <tableColumn id="1" xr3:uid="{00000000-0010-0000-0500-000001000000}" name="Сад"/>
    <tableColumn id="2" xr3:uid="{00000000-0010-0000-0500-000002000000}" name="Сорт"/>
    <tableColumn id="3" xr3:uid="{00000000-0010-0000-0500-000003000000}" name="Культура"/>
    <tableColumn id="4" xr3:uid="{00000000-0010-0000-0500-000004000000}" name="Год посадки"/>
    <tableColumn id="5" xr3:uid="{00000000-0010-0000-0500-000005000000}" name="Площадь, га" totalsRowFunction="custom">
      <totalsRowFormula>SUM(Таблица11[Площадь, га])</totalsRowFormula>
    </tableColumn>
    <tableColumn id="6" xr3:uid="{00000000-0010-0000-0500-000006000000}" name="Количество деревьев"/>
    <tableColumn id="7" xr3:uid="{00000000-0010-0000-0500-000007000000}" name="Схема посадки"/>
    <tableColumn id="9" xr3:uid="{00000000-0010-0000-0500-000009000000}" name="Валовый сбор 2017 г, т" totalsRowFunction="custom">
      <totalsRowFormula>SUM(Таблица11[Валовый сбор 2017 г, т])</totalsRowFormula>
    </tableColumn>
    <tableColumn id="11" xr3:uid="{00000000-0010-0000-0500-00000B000000}" name="Валовый сбор 2018 г, т" totalsRowFunction="custom">
      <totalsRowFormula>SUM(Таблица11[Валовый сбор 2018 г, т])</totalsRowFormula>
    </tableColumn>
    <tableColumn id="13" xr3:uid="{00000000-0010-0000-0500-00000D000000}" name="Валовый сбор 2019 г, т" totalsRowFunction="custom">
      <totalsRowFormula>SUM(Таблица11[Валовый сбор 2019 г, т])</totalsRow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6000000}" name="Таблица12" displayName="Таблица12" ref="A1:J7" totalsRowCount="1">
  <autoFilter ref="A1:J6" xr:uid="{00000000-0009-0000-0100-00000C000000}"/>
  <tableColumns count="10">
    <tableColumn id="1" xr3:uid="{00000000-0010-0000-0600-000001000000}" name="Сад"/>
    <tableColumn id="2" xr3:uid="{00000000-0010-0000-0600-000002000000}" name="Сорт"/>
    <tableColumn id="3" xr3:uid="{00000000-0010-0000-0600-000003000000}" name="Культура"/>
    <tableColumn id="4" xr3:uid="{00000000-0010-0000-0600-000004000000}" name="Год посадки"/>
    <tableColumn id="5" xr3:uid="{00000000-0010-0000-0600-000005000000}" name="Площадь, га" totalsRowFunction="custom">
      <totalsRowFormula>SUM(Таблица12[Площадь, га])</totalsRowFormula>
    </tableColumn>
    <tableColumn id="6" xr3:uid="{00000000-0010-0000-0600-000006000000}" name="Количество деревьев"/>
    <tableColumn id="7" xr3:uid="{00000000-0010-0000-0600-000007000000}" name="Схема посадки"/>
    <tableColumn id="9" xr3:uid="{00000000-0010-0000-0600-000009000000}" name="Валовый сбор 2017 г, т" totalsRowFunction="custom">
      <totalsRowFormula>SUM(Таблица12[Валовый сбор 2017 г, т])</totalsRowFormula>
    </tableColumn>
    <tableColumn id="11" xr3:uid="{00000000-0010-0000-0600-00000B000000}" name="Валовый сбор 2018 г, т" totalsRowFunction="custom">
      <totalsRowFormula>SUM(Таблица12[Валовый сбор 2018 г, т])</totalsRowFormula>
    </tableColumn>
    <tableColumn id="13" xr3:uid="{00000000-0010-0000-0600-00000D000000}" name="Валовый сбор 2019 г, т" totalsRowFunction="custom">
      <totalsRowFormula>SUM(Таблица12[Валовый сбор 2019 г, т])</totalsRow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7000000}" name="Таблица13" displayName="Таблица13" ref="A1:J6" totalsRowCount="1">
  <autoFilter ref="A1:J5" xr:uid="{00000000-0009-0000-0100-00000D000000}"/>
  <tableColumns count="10">
    <tableColumn id="1" xr3:uid="{00000000-0010-0000-0700-000001000000}" name="Сад"/>
    <tableColumn id="2" xr3:uid="{00000000-0010-0000-0700-000002000000}" name="Сорт"/>
    <tableColumn id="3" xr3:uid="{00000000-0010-0000-0700-000003000000}" name="Культура"/>
    <tableColumn id="4" xr3:uid="{00000000-0010-0000-0700-000004000000}" name="Год посадки"/>
    <tableColumn id="5" xr3:uid="{00000000-0010-0000-0700-000005000000}" name="Площадь, га" totalsRowFunction="custom">
      <totalsRowFormula>SUM(Таблица13[Площадь, га])</totalsRowFormula>
    </tableColumn>
    <tableColumn id="6" xr3:uid="{00000000-0010-0000-0700-000006000000}" name="Количество деревьев"/>
    <tableColumn id="7" xr3:uid="{00000000-0010-0000-0700-000007000000}" name="Схема посадки"/>
    <tableColumn id="9" xr3:uid="{00000000-0010-0000-0700-000009000000}" name="Валовый сбор 2017 г, т" totalsRowFunction="custom">
      <totalsRowFormula>SUM(Таблица13[Валовый сбор 2017 г, т])</totalsRowFormula>
    </tableColumn>
    <tableColumn id="11" xr3:uid="{00000000-0010-0000-0700-00000B000000}" name="Валовый сбор 2018 г, т" totalsRowFunction="custom">
      <totalsRowFormula>SUM(Таблица13[Валовый сбор 2018 г, т])</totalsRowFormula>
    </tableColumn>
    <tableColumn id="13" xr3:uid="{00000000-0010-0000-0700-00000D000000}" name="Валовый сбор 2019 г, т" totalsRowFunction="custom">
      <totalsRowFormula>SUM(Таблица13[Валовый сбор 2019 г, т])</totalsRow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8000000}" name="Таблица14" displayName="Таблица14" ref="A1:J2" totalsRowShown="0">
  <autoFilter ref="A1:J2" xr:uid="{00000000-0009-0000-0100-00000E000000}"/>
  <tableColumns count="10">
    <tableColumn id="1" xr3:uid="{00000000-0010-0000-0800-000001000000}" name="Сад"/>
    <tableColumn id="2" xr3:uid="{00000000-0010-0000-0800-000002000000}" name="Сорт"/>
    <tableColumn id="3" xr3:uid="{00000000-0010-0000-0800-000003000000}" name="Культура"/>
    <tableColumn id="4" xr3:uid="{00000000-0010-0000-0800-000004000000}" name="Год посадки"/>
    <tableColumn id="5" xr3:uid="{00000000-0010-0000-0800-000005000000}" name="Площадь, га"/>
    <tableColumn id="6" xr3:uid="{00000000-0010-0000-0800-000006000000}" name="Количество деревьев"/>
    <tableColumn id="7" xr3:uid="{00000000-0010-0000-0800-000007000000}" name="Схема посадки"/>
    <tableColumn id="9" xr3:uid="{00000000-0010-0000-0800-000009000000}" name="Валовый сбор 2017 г, т"/>
    <tableColumn id="11" xr3:uid="{00000000-0010-0000-0800-00000B000000}" name="Валовый сбор 2018 г, т"/>
    <tableColumn id="13" xr3:uid="{00000000-0010-0000-0800-00000D000000}" name="Валовый сбор 2019 г, т"/>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3:K64"/>
  <sheetViews>
    <sheetView topLeftCell="A37" zoomScaleNormal="100" workbookViewId="0">
      <selection activeCell="C63" sqref="C63:I64"/>
    </sheetView>
  </sheetViews>
  <sheetFormatPr baseColWidth="10" defaultColWidth="9.1640625" defaultRowHeight="15"/>
  <cols>
    <col min="1" max="1" width="9.1640625" style="32"/>
    <col min="2" max="2" width="23.5" style="32" customWidth="1"/>
    <col min="3" max="3" width="20.5" style="32" bestFit="1" customWidth="1"/>
    <col min="4" max="4" width="9" style="32" customWidth="1"/>
    <col min="5" max="5" width="15.83203125" style="32" customWidth="1"/>
    <col min="6" max="6" width="12.1640625" style="32" customWidth="1"/>
    <col min="7" max="7" width="13.1640625" style="32" customWidth="1"/>
    <col min="8" max="8" width="12.5" style="32" customWidth="1"/>
    <col min="9" max="9" width="19.5" style="32" customWidth="1"/>
    <col min="10" max="10" width="13.5" style="32" customWidth="1"/>
    <col min="11" max="11" width="29.5" style="32" customWidth="1"/>
    <col min="12" max="16384" width="9.1640625" style="32"/>
  </cols>
  <sheetData>
    <row r="3" spans="2:11">
      <c r="B3" s="77" t="s">
        <v>236</v>
      </c>
      <c r="C3" s="78"/>
      <c r="D3" s="748" t="s">
        <v>237</v>
      </c>
      <c r="E3" s="748"/>
      <c r="F3" s="748"/>
      <c r="G3" s="748"/>
      <c r="H3" s="748"/>
      <c r="I3" s="748"/>
    </row>
    <row r="4" spans="2:11">
      <c r="B4" s="77" t="s">
        <v>238</v>
      </c>
      <c r="C4" s="77" t="s">
        <v>239</v>
      </c>
      <c r="D4" s="79" t="s">
        <v>240</v>
      </c>
      <c r="E4" s="79" t="s">
        <v>241</v>
      </c>
      <c r="F4" s="79" t="s">
        <v>242</v>
      </c>
      <c r="G4" s="79" t="s">
        <v>243</v>
      </c>
      <c r="H4" s="79" t="s">
        <v>244</v>
      </c>
      <c r="I4" s="79" t="s">
        <v>245</v>
      </c>
    </row>
    <row r="5" spans="2:11">
      <c r="B5" s="29" t="s">
        <v>246</v>
      </c>
      <c r="C5" s="80"/>
      <c r="D5" s="81">
        <f t="shared" ref="D5:I5" si="0">SUM(D6:D11)</f>
        <v>155300</v>
      </c>
      <c r="E5" s="81">
        <f t="shared" si="0"/>
        <v>48500</v>
      </c>
      <c r="F5" s="81">
        <f t="shared" si="0"/>
        <v>65500</v>
      </c>
      <c r="G5" s="81">
        <f t="shared" si="0"/>
        <v>24100</v>
      </c>
      <c r="H5" s="81">
        <f t="shared" si="0"/>
        <v>20830</v>
      </c>
      <c r="I5" s="81">
        <f t="shared" si="0"/>
        <v>18600</v>
      </c>
    </row>
    <row r="6" spans="2:11">
      <c r="B6" s="32" t="str">
        <f t="shared" ref="B6:B11" si="1">B21</f>
        <v>ПАО "Сбербанк"</v>
      </c>
      <c r="C6" s="82">
        <f>'[8]Расшифровка кредитов и займов'!K12</f>
        <v>10000</v>
      </c>
      <c r="D6" s="83">
        <v>10000</v>
      </c>
      <c r="E6" s="83"/>
      <c r="F6" s="83"/>
      <c r="G6" s="83"/>
      <c r="H6" s="83"/>
      <c r="I6" s="83"/>
    </row>
    <row r="7" spans="2:11">
      <c r="B7" s="32" t="str">
        <f t="shared" si="1"/>
        <v>ПАО "Сбербанк"</v>
      </c>
      <c r="C7" s="82">
        <f>'[8]Расшифровка кредитов и займов'!K13</f>
        <v>800</v>
      </c>
      <c r="D7" s="83">
        <v>800</v>
      </c>
      <c r="E7" s="83"/>
      <c r="F7" s="83"/>
      <c r="G7" s="83"/>
      <c r="H7" s="83"/>
      <c r="I7" s="83"/>
      <c r="J7" s="84"/>
    </row>
    <row r="8" spans="2:11">
      <c r="B8" s="32" t="str">
        <f t="shared" si="1"/>
        <v>ПАО "Сбербанк"</v>
      </c>
      <c r="C8" s="82">
        <f>'[8]Расшифровка кредитов и займов'!K14</f>
        <v>125000</v>
      </c>
      <c r="D8" s="83">
        <v>40000</v>
      </c>
      <c r="E8" s="83">
        <f>4*8500</f>
        <v>34000</v>
      </c>
      <c r="F8" s="83">
        <f>8500*6</f>
        <v>51000</v>
      </c>
      <c r="G8" s="83"/>
      <c r="H8" s="83"/>
      <c r="I8" s="83"/>
      <c r="K8" s="83"/>
    </row>
    <row r="9" spans="2:11">
      <c r="B9" s="32" t="str">
        <f t="shared" si="1"/>
        <v>ПАО "Сбербанк"</v>
      </c>
      <c r="C9" s="82">
        <f>'[8]Расшифровка кредитов и займов'!K15</f>
        <v>65000</v>
      </c>
      <c r="D9" s="83">
        <v>4500</v>
      </c>
      <c r="E9" s="83">
        <v>4500</v>
      </c>
      <c r="F9" s="83">
        <v>4500</v>
      </c>
      <c r="G9" s="83">
        <f>4700*3</f>
        <v>14100</v>
      </c>
      <c r="H9" s="83">
        <f>14100+4700</f>
        <v>18800</v>
      </c>
      <c r="I9" s="33">
        <v>18600</v>
      </c>
    </row>
    <row r="10" spans="2:11">
      <c r="B10" s="32" t="str">
        <f t="shared" si="1"/>
        <v>ПАО ВТБ</v>
      </c>
      <c r="C10" s="82">
        <f>'[8]Расшифровка кредитов и займов'!K16</f>
        <v>42029.887999999999</v>
      </c>
      <c r="D10" s="83">
        <v>10000</v>
      </c>
      <c r="E10" s="83">
        <v>10000</v>
      </c>
      <c r="F10" s="83">
        <v>10000</v>
      </c>
      <c r="G10" s="83">
        <v>10000</v>
      </c>
      <c r="H10" s="83">
        <v>2030</v>
      </c>
      <c r="I10" s="83"/>
    </row>
    <row r="11" spans="2:11">
      <c r="B11" s="32" t="str">
        <f t="shared" si="1"/>
        <v>ПАО Сбербанк</v>
      </c>
      <c r="C11" s="82">
        <f>'[8]Расшифровка кредитов и займов'!L23</f>
        <v>90000</v>
      </c>
      <c r="D11" s="83">
        <v>90000</v>
      </c>
      <c r="E11" s="83"/>
      <c r="F11" s="83"/>
      <c r="G11" s="83"/>
      <c r="H11" s="83"/>
      <c r="I11" s="83"/>
    </row>
    <row r="12" spans="2:11">
      <c r="B12" s="29" t="s">
        <v>247</v>
      </c>
      <c r="C12" s="80"/>
      <c r="D12" s="81">
        <f t="shared" ref="D12:I12" si="2">SUM(D13:D15)</f>
        <v>12530</v>
      </c>
      <c r="E12" s="81">
        <f t="shared" si="2"/>
        <v>0</v>
      </c>
      <c r="F12" s="81">
        <f t="shared" si="2"/>
        <v>0</v>
      </c>
      <c r="G12" s="81">
        <f t="shared" si="2"/>
        <v>4800</v>
      </c>
      <c r="H12" s="81">
        <f t="shared" si="2"/>
        <v>0</v>
      </c>
      <c r="I12" s="81">
        <f t="shared" si="2"/>
        <v>23770</v>
      </c>
    </row>
    <row r="13" spans="2:11">
      <c r="B13" s="32" t="str">
        <f>B28</f>
        <v>ООО "Агротехника"</v>
      </c>
      <c r="C13" s="82">
        <f>'[8]Расшифровка кредитов и займов'!K18</f>
        <v>12530</v>
      </c>
      <c r="D13" s="83">
        <v>12530</v>
      </c>
      <c r="E13" s="83"/>
      <c r="F13" s="83"/>
      <c r="G13" s="83"/>
      <c r="H13" s="83"/>
      <c r="I13" s="83"/>
    </row>
    <row r="14" spans="2:11">
      <c r="B14" s="32" t="str">
        <f>B29</f>
        <v>ООО "Агротехника"</v>
      </c>
      <c r="C14" s="82">
        <f>'[8]Расшифровка кредитов и займов'!L19</f>
        <v>4800</v>
      </c>
      <c r="D14" s="83"/>
      <c r="E14" s="83"/>
      <c r="F14" s="83"/>
      <c r="G14" s="83">
        <v>4800</v>
      </c>
      <c r="H14" s="83"/>
      <c r="I14" s="83"/>
    </row>
    <row r="15" spans="2:11">
      <c r="B15" s="32" t="str">
        <f>B30</f>
        <v>ООО "Солвэкс"</v>
      </c>
      <c r="C15" s="82">
        <f>'[8]Расшифровка кредитов и займов'!K17</f>
        <v>23770.195</v>
      </c>
      <c r="D15" s="83"/>
      <c r="E15" s="83"/>
      <c r="F15" s="83"/>
      <c r="G15" s="83"/>
      <c r="H15" s="83"/>
      <c r="I15" s="83">
        <v>23770</v>
      </c>
    </row>
    <row r="16" spans="2:11">
      <c r="B16" s="29" t="s">
        <v>3</v>
      </c>
      <c r="C16" s="80"/>
      <c r="D16" s="81">
        <f t="shared" ref="D16:I16" si="3">D5+D12</f>
        <v>167830</v>
      </c>
      <c r="E16" s="81">
        <f t="shared" si="3"/>
        <v>48500</v>
      </c>
      <c r="F16" s="81">
        <f t="shared" si="3"/>
        <v>65500</v>
      </c>
      <c r="G16" s="81">
        <f t="shared" si="3"/>
        <v>28900</v>
      </c>
      <c r="H16" s="81">
        <f t="shared" si="3"/>
        <v>20830</v>
      </c>
      <c r="I16" s="81">
        <f t="shared" si="3"/>
        <v>42370</v>
      </c>
    </row>
    <row r="17" spans="2:9">
      <c r="C17" s="85"/>
    </row>
    <row r="18" spans="2:9">
      <c r="C18" s="85"/>
    </row>
    <row r="19" spans="2:9">
      <c r="B19" s="77" t="s">
        <v>248</v>
      </c>
      <c r="C19" s="86"/>
      <c r="D19" s="79" t="s">
        <v>240</v>
      </c>
      <c r="E19" s="79" t="s">
        <v>241</v>
      </c>
      <c r="F19" s="79" t="s">
        <v>242</v>
      </c>
      <c r="G19" s="79" t="s">
        <v>243</v>
      </c>
      <c r="H19" s="79" t="s">
        <v>244</v>
      </c>
      <c r="I19" s="79" t="s">
        <v>249</v>
      </c>
    </row>
    <row r="20" spans="2:9">
      <c r="B20" s="29" t="s">
        <v>246</v>
      </c>
      <c r="C20" s="81">
        <f t="shared" ref="C20:I20" si="4">SUM(C21:C26)</f>
        <v>332829.88800000004</v>
      </c>
      <c r="D20" s="81">
        <f t="shared" si="4"/>
        <v>177529.88800000001</v>
      </c>
      <c r="E20" s="81">
        <f t="shared" si="4"/>
        <v>129029.88800000001</v>
      </c>
      <c r="F20" s="81">
        <f t="shared" si="4"/>
        <v>63529.887999999999</v>
      </c>
      <c r="G20" s="81">
        <f t="shared" si="4"/>
        <v>39429.887999999999</v>
      </c>
      <c r="H20" s="81">
        <f t="shared" si="4"/>
        <v>18599.887999999999</v>
      </c>
      <c r="I20" s="81">
        <f t="shared" si="4"/>
        <v>-0.11200000000098953</v>
      </c>
    </row>
    <row r="21" spans="2:9">
      <c r="B21" s="32" t="s">
        <v>42</v>
      </c>
      <c r="C21" s="82">
        <f t="shared" ref="C21:C26" si="5">C6</f>
        <v>10000</v>
      </c>
      <c r="D21" s="84">
        <f t="shared" ref="D21:D26" si="6">C6-D6</f>
        <v>0</v>
      </c>
    </row>
    <row r="22" spans="2:9">
      <c r="B22" s="32" t="s">
        <v>42</v>
      </c>
      <c r="C22" s="82">
        <f t="shared" si="5"/>
        <v>800</v>
      </c>
      <c r="D22" s="84">
        <f t="shared" si="6"/>
        <v>0</v>
      </c>
    </row>
    <row r="23" spans="2:9">
      <c r="B23" s="32" t="s">
        <v>42</v>
      </c>
      <c r="C23" s="82">
        <f t="shared" si="5"/>
        <v>125000</v>
      </c>
      <c r="D23" s="84">
        <f t="shared" si="6"/>
        <v>85000</v>
      </c>
      <c r="E23" s="84">
        <f t="shared" ref="E23:I26" si="7">D23-E8</f>
        <v>51000</v>
      </c>
      <c r="F23" s="84">
        <f t="shared" si="7"/>
        <v>0</v>
      </c>
      <c r="G23" s="84">
        <f t="shared" si="7"/>
        <v>0</v>
      </c>
      <c r="H23" s="84">
        <f t="shared" si="7"/>
        <v>0</v>
      </c>
      <c r="I23" s="84">
        <f t="shared" si="7"/>
        <v>0</v>
      </c>
    </row>
    <row r="24" spans="2:9">
      <c r="B24" s="32" t="s">
        <v>42</v>
      </c>
      <c r="C24" s="82">
        <f t="shared" si="5"/>
        <v>65000</v>
      </c>
      <c r="D24" s="84">
        <f t="shared" si="6"/>
        <v>60500</v>
      </c>
      <c r="E24" s="84">
        <f t="shared" si="7"/>
        <v>56000</v>
      </c>
      <c r="F24" s="84">
        <f t="shared" si="7"/>
        <v>51500</v>
      </c>
      <c r="G24" s="84">
        <f t="shared" si="7"/>
        <v>37400</v>
      </c>
      <c r="H24" s="84">
        <f t="shared" si="7"/>
        <v>18600</v>
      </c>
      <c r="I24" s="84">
        <f t="shared" si="7"/>
        <v>0</v>
      </c>
    </row>
    <row r="25" spans="2:9">
      <c r="B25" s="32" t="s">
        <v>43</v>
      </c>
      <c r="C25" s="82">
        <f t="shared" si="5"/>
        <v>42029.887999999999</v>
      </c>
      <c r="D25" s="84">
        <f t="shared" si="6"/>
        <v>32029.887999999999</v>
      </c>
      <c r="E25" s="84">
        <f t="shared" si="7"/>
        <v>22029.887999999999</v>
      </c>
      <c r="F25" s="84">
        <f t="shared" si="7"/>
        <v>12029.887999999999</v>
      </c>
      <c r="G25" s="84">
        <f t="shared" si="7"/>
        <v>2029.887999999999</v>
      </c>
      <c r="H25" s="84">
        <f t="shared" si="7"/>
        <v>-0.11200000000098953</v>
      </c>
      <c r="I25" s="84">
        <f t="shared" si="7"/>
        <v>-0.11200000000098953</v>
      </c>
    </row>
    <row r="26" spans="2:9">
      <c r="B26" s="32" t="s">
        <v>250</v>
      </c>
      <c r="C26" s="82">
        <f t="shared" si="5"/>
        <v>90000</v>
      </c>
      <c r="D26" s="84">
        <f t="shared" si="6"/>
        <v>0</v>
      </c>
      <c r="E26" s="84">
        <f t="shared" si="7"/>
        <v>0</v>
      </c>
      <c r="F26" s="84">
        <f t="shared" si="7"/>
        <v>0</v>
      </c>
      <c r="G26" s="84">
        <f t="shared" si="7"/>
        <v>0</v>
      </c>
      <c r="H26" s="84">
        <f t="shared" si="7"/>
        <v>0</v>
      </c>
      <c r="I26" s="84">
        <f t="shared" si="7"/>
        <v>0</v>
      </c>
    </row>
    <row r="27" spans="2:9">
      <c r="B27" s="29" t="s">
        <v>247</v>
      </c>
      <c r="C27" s="81">
        <f t="shared" ref="C27:I27" si="8">SUM(C28:C30)</f>
        <v>41100.195</v>
      </c>
      <c r="D27" s="81">
        <f t="shared" si="8"/>
        <v>28570</v>
      </c>
      <c r="E27" s="81">
        <f t="shared" si="8"/>
        <v>28570</v>
      </c>
      <c r="F27" s="81">
        <f t="shared" si="8"/>
        <v>28570</v>
      </c>
      <c r="G27" s="81">
        <f t="shared" si="8"/>
        <v>23770</v>
      </c>
      <c r="H27" s="81">
        <f t="shared" si="8"/>
        <v>23770</v>
      </c>
      <c r="I27" s="81">
        <f t="shared" si="8"/>
        <v>0</v>
      </c>
    </row>
    <row r="28" spans="2:9">
      <c r="B28" s="32" t="s">
        <v>47</v>
      </c>
      <c r="C28" s="82">
        <f>C13</f>
        <v>12530</v>
      </c>
      <c r="D28" s="84">
        <f>C13-D13</f>
        <v>0</v>
      </c>
    </row>
    <row r="29" spans="2:9">
      <c r="B29" s="32" t="s">
        <v>47</v>
      </c>
      <c r="C29" s="82">
        <f>C14</f>
        <v>4800</v>
      </c>
      <c r="D29" s="84">
        <v>4800</v>
      </c>
      <c r="E29" s="84">
        <v>4800</v>
      </c>
      <c r="F29" s="84">
        <v>4800</v>
      </c>
      <c r="G29" s="84">
        <f>F29-G14</f>
        <v>0</v>
      </c>
      <c r="H29" s="84">
        <f>G29-H14</f>
        <v>0</v>
      </c>
      <c r="I29" s="84">
        <f>H29-I14</f>
        <v>0</v>
      </c>
    </row>
    <row r="30" spans="2:9">
      <c r="B30" s="32" t="s">
        <v>48</v>
      </c>
      <c r="C30" s="82">
        <f>C15</f>
        <v>23770.195</v>
      </c>
      <c r="D30" s="32">
        <v>23770</v>
      </c>
      <c r="E30" s="32">
        <v>23770</v>
      </c>
      <c r="F30" s="32">
        <v>23770</v>
      </c>
      <c r="G30" s="32">
        <v>23770</v>
      </c>
      <c r="H30" s="32">
        <v>23770</v>
      </c>
      <c r="I30" s="84">
        <f>H30-I15</f>
        <v>0</v>
      </c>
    </row>
    <row r="31" spans="2:9">
      <c r="B31" s="29" t="s">
        <v>3</v>
      </c>
      <c r="C31" s="80"/>
      <c r="D31" s="81">
        <f t="shared" ref="D31:I31" si="9">D20+D27</f>
        <v>206099.88800000001</v>
      </c>
      <c r="E31" s="81">
        <f t="shared" si="9"/>
        <v>157599.88800000001</v>
      </c>
      <c r="F31" s="81">
        <f t="shared" si="9"/>
        <v>92099.888000000006</v>
      </c>
      <c r="G31" s="81">
        <f t="shared" si="9"/>
        <v>63199.887999999999</v>
      </c>
      <c r="H31" s="81">
        <f t="shared" si="9"/>
        <v>42369.887999999999</v>
      </c>
      <c r="I31" s="81">
        <f t="shared" si="9"/>
        <v>-0.11200000000098953</v>
      </c>
    </row>
    <row r="34" spans="2:9">
      <c r="B34" s="77" t="s">
        <v>251</v>
      </c>
      <c r="C34" s="77"/>
      <c r="D34" s="79" t="s">
        <v>240</v>
      </c>
      <c r="E34" s="79" t="s">
        <v>241</v>
      </c>
      <c r="F34" s="79" t="s">
        <v>242</v>
      </c>
      <c r="G34" s="79" t="s">
        <v>243</v>
      </c>
      <c r="H34" s="79" t="s">
        <v>244</v>
      </c>
      <c r="I34" s="79" t="s">
        <v>249</v>
      </c>
    </row>
    <row r="35" spans="2:9">
      <c r="B35" s="29" t="s">
        <v>246</v>
      </c>
      <c r="C35" s="80"/>
      <c r="D35" s="81">
        <f t="shared" ref="D35:I35" si="10">SUM(D36:D41)</f>
        <v>255179.88800000001</v>
      </c>
      <c r="E35" s="81">
        <f t="shared" si="10"/>
        <v>153279.88800000001</v>
      </c>
      <c r="F35" s="81">
        <f t="shared" si="10"/>
        <v>96279.888000000006</v>
      </c>
      <c r="G35" s="81">
        <f t="shared" si="10"/>
        <v>51479.887999999999</v>
      </c>
      <c r="H35" s="81">
        <f t="shared" si="10"/>
        <v>29014.887999999999</v>
      </c>
      <c r="I35" s="81">
        <f t="shared" si="10"/>
        <v>9299.887999999999</v>
      </c>
    </row>
    <row r="36" spans="2:9">
      <c r="B36" s="32" t="s">
        <v>42</v>
      </c>
      <c r="D36" s="84">
        <f t="shared" ref="D36:E41" si="11">AVERAGE(C21:D21)</f>
        <v>5000</v>
      </c>
      <c r="E36" s="84">
        <f t="shared" si="11"/>
        <v>0</v>
      </c>
      <c r="F36" s="84"/>
      <c r="G36" s="84"/>
      <c r="H36" s="84"/>
      <c r="I36" s="84"/>
    </row>
    <row r="37" spans="2:9">
      <c r="B37" s="32" t="s">
        <v>42</v>
      </c>
      <c r="D37" s="84">
        <f t="shared" si="11"/>
        <v>400</v>
      </c>
      <c r="E37" s="84">
        <f>AVERAGE(D22:E22)</f>
        <v>0</v>
      </c>
      <c r="F37" s="84"/>
      <c r="G37" s="84"/>
      <c r="H37" s="84"/>
      <c r="I37" s="84"/>
    </row>
    <row r="38" spans="2:9">
      <c r="B38" s="32" t="s">
        <v>42</v>
      </c>
      <c r="D38" s="84">
        <f t="shared" si="11"/>
        <v>105000</v>
      </c>
      <c r="E38" s="84">
        <f>AVERAGE(D23:E23)</f>
        <v>68000</v>
      </c>
      <c r="F38" s="84">
        <f t="shared" ref="F38:I41" si="12">AVERAGE(E23:F23)</f>
        <v>25500</v>
      </c>
      <c r="G38" s="84">
        <f t="shared" si="12"/>
        <v>0</v>
      </c>
      <c r="H38" s="84">
        <f t="shared" si="12"/>
        <v>0</v>
      </c>
      <c r="I38" s="84">
        <f t="shared" si="12"/>
        <v>0</v>
      </c>
    </row>
    <row r="39" spans="2:9">
      <c r="B39" s="32" t="s">
        <v>42</v>
      </c>
      <c r="D39" s="84">
        <f t="shared" si="11"/>
        <v>62750</v>
      </c>
      <c r="E39" s="84">
        <f>AVERAGE(D24:E24)</f>
        <v>58250</v>
      </c>
      <c r="F39" s="84">
        <f t="shared" si="12"/>
        <v>53750</v>
      </c>
      <c r="G39" s="84">
        <f t="shared" si="12"/>
        <v>44450</v>
      </c>
      <c r="H39" s="84">
        <f t="shared" si="12"/>
        <v>28000</v>
      </c>
      <c r="I39" s="84">
        <f t="shared" si="12"/>
        <v>9300</v>
      </c>
    </row>
    <row r="40" spans="2:9">
      <c r="B40" s="32" t="s">
        <v>43</v>
      </c>
      <c r="D40" s="84">
        <f t="shared" si="11"/>
        <v>37029.887999999999</v>
      </c>
      <c r="E40" s="84">
        <f>AVERAGE(D25:E25)</f>
        <v>27029.887999999999</v>
      </c>
      <c r="F40" s="84">
        <f t="shared" si="12"/>
        <v>17029.887999999999</v>
      </c>
      <c r="G40" s="84">
        <f t="shared" si="12"/>
        <v>7029.887999999999</v>
      </c>
      <c r="H40" s="84">
        <f t="shared" si="12"/>
        <v>1014.887999999999</v>
      </c>
      <c r="I40" s="84">
        <f t="shared" si="12"/>
        <v>-0.11200000000098953</v>
      </c>
    </row>
    <row r="41" spans="2:9">
      <c r="B41" s="32" t="s">
        <v>250</v>
      </c>
      <c r="D41" s="84">
        <f t="shared" si="11"/>
        <v>45000</v>
      </c>
      <c r="E41" s="84">
        <f>AVERAGE(D26:E26)</f>
        <v>0</v>
      </c>
      <c r="F41" s="84">
        <f t="shared" si="12"/>
        <v>0</v>
      </c>
      <c r="G41" s="84">
        <f t="shared" si="12"/>
        <v>0</v>
      </c>
      <c r="H41" s="84">
        <f t="shared" si="12"/>
        <v>0</v>
      </c>
      <c r="I41" s="84">
        <f t="shared" si="12"/>
        <v>0</v>
      </c>
    </row>
    <row r="42" spans="2:9">
      <c r="B42" s="29" t="s">
        <v>247</v>
      </c>
      <c r="C42" s="80"/>
      <c r="D42" s="81">
        <f t="shared" ref="D42:I42" si="13">SUM(D43:D45)</f>
        <v>34835.097500000003</v>
      </c>
      <c r="E42" s="81">
        <f t="shared" si="13"/>
        <v>28570</v>
      </c>
      <c r="F42" s="81">
        <f t="shared" si="13"/>
        <v>28570</v>
      </c>
      <c r="G42" s="81">
        <f t="shared" si="13"/>
        <v>26170</v>
      </c>
      <c r="H42" s="81">
        <f t="shared" si="13"/>
        <v>23770</v>
      </c>
      <c r="I42" s="81">
        <f t="shared" si="13"/>
        <v>11885</v>
      </c>
    </row>
    <row r="43" spans="2:9">
      <c r="B43" s="32" t="s">
        <v>47</v>
      </c>
      <c r="D43" s="84">
        <f>AVERAGE(C28:D28)</f>
        <v>6265</v>
      </c>
      <c r="E43" s="84">
        <f t="shared" ref="E43:I45" si="14">AVERAGE(D28:E28)</f>
        <v>0</v>
      </c>
      <c r="F43" s="84"/>
      <c r="G43" s="84"/>
      <c r="H43" s="84"/>
      <c r="I43" s="84"/>
    </row>
    <row r="44" spans="2:9">
      <c r="B44" s="32" t="s">
        <v>47</v>
      </c>
      <c r="D44" s="84">
        <f>AVERAGE(C29:D29)</f>
        <v>4800</v>
      </c>
      <c r="E44" s="84">
        <f t="shared" si="14"/>
        <v>4800</v>
      </c>
      <c r="F44" s="84">
        <f t="shared" si="14"/>
        <v>4800</v>
      </c>
      <c r="G44" s="84">
        <f t="shared" si="14"/>
        <v>2400</v>
      </c>
      <c r="H44" s="84">
        <f t="shared" si="14"/>
        <v>0</v>
      </c>
      <c r="I44" s="84">
        <f t="shared" si="14"/>
        <v>0</v>
      </c>
    </row>
    <row r="45" spans="2:9">
      <c r="B45" s="32" t="s">
        <v>48</v>
      </c>
      <c r="D45" s="84">
        <f>AVERAGE(C30:D30)</f>
        <v>23770.0975</v>
      </c>
      <c r="E45" s="84">
        <f t="shared" si="14"/>
        <v>23770</v>
      </c>
      <c r="F45" s="84">
        <f t="shared" si="14"/>
        <v>23770</v>
      </c>
      <c r="G45" s="84">
        <f t="shared" si="14"/>
        <v>23770</v>
      </c>
      <c r="H45" s="84">
        <f t="shared" si="14"/>
        <v>23770</v>
      </c>
      <c r="I45" s="84">
        <f t="shared" si="14"/>
        <v>11885</v>
      </c>
    </row>
    <row r="46" spans="2:9">
      <c r="B46" s="29" t="s">
        <v>3</v>
      </c>
      <c r="C46" s="80"/>
      <c r="D46" s="81">
        <f t="shared" ref="D46:I46" si="15">D35+D42</f>
        <v>290014.98550000001</v>
      </c>
      <c r="E46" s="81">
        <f t="shared" si="15"/>
        <v>181849.88800000001</v>
      </c>
      <c r="F46" s="81">
        <f t="shared" si="15"/>
        <v>124849.88800000001</v>
      </c>
      <c r="G46" s="81">
        <f t="shared" si="15"/>
        <v>77649.888000000006</v>
      </c>
      <c r="H46" s="81">
        <f t="shared" si="15"/>
        <v>52784.887999999999</v>
      </c>
      <c r="I46" s="81">
        <f t="shared" si="15"/>
        <v>21184.887999999999</v>
      </c>
    </row>
    <row r="47" spans="2:9">
      <c r="D47" s="84"/>
      <c r="E47" s="84"/>
      <c r="F47" s="84"/>
      <c r="G47" s="84"/>
      <c r="H47" s="84"/>
      <c r="I47" s="84"/>
    </row>
    <row r="49" spans="2:9">
      <c r="B49" s="77" t="s">
        <v>252</v>
      </c>
      <c r="C49" s="77" t="s">
        <v>253</v>
      </c>
      <c r="D49" s="79" t="s">
        <v>240</v>
      </c>
      <c r="E49" s="79" t="s">
        <v>241</v>
      </c>
      <c r="F49" s="79" t="s">
        <v>242</v>
      </c>
      <c r="G49" s="79" t="s">
        <v>243</v>
      </c>
      <c r="H49" s="79" t="s">
        <v>244</v>
      </c>
      <c r="I49" s="79" t="s">
        <v>249</v>
      </c>
    </row>
    <row r="50" spans="2:9">
      <c r="B50" s="29" t="s">
        <v>246</v>
      </c>
      <c r="C50" s="80"/>
      <c r="D50" s="81">
        <f t="shared" ref="D50:I50" si="16">SUM(D51:D56)</f>
        <v>12656.44608</v>
      </c>
      <c r="E50" s="81">
        <f t="shared" si="16"/>
        <v>7677.0460800000001</v>
      </c>
      <c r="F50" s="81">
        <f t="shared" si="16"/>
        <v>4013.5460800000001</v>
      </c>
      <c r="G50" s="81">
        <f t="shared" si="16"/>
        <v>1490.6460800000002</v>
      </c>
      <c r="H50" s="81">
        <f t="shared" si="16"/>
        <v>784</v>
      </c>
      <c r="I50" s="81">
        <f t="shared" si="16"/>
        <v>260.39999999999998</v>
      </c>
    </row>
    <row r="51" spans="2:9">
      <c r="B51" s="32" t="s">
        <v>42</v>
      </c>
      <c r="C51" s="87">
        <v>0.111</v>
      </c>
      <c r="D51" s="84">
        <f t="shared" ref="D51:D56" si="17">C51*D36</f>
        <v>555</v>
      </c>
      <c r="E51" s="84">
        <f t="shared" ref="E51:E56" si="18">C51*E36</f>
        <v>0</v>
      </c>
      <c r="F51" s="84">
        <f t="shared" ref="F51:F56" si="19">C51*F36</f>
        <v>0</v>
      </c>
      <c r="G51" s="84">
        <f t="shared" ref="G51:G56" si="20">C51*G36</f>
        <v>0</v>
      </c>
      <c r="H51" s="84">
        <f>C51*H36</f>
        <v>0</v>
      </c>
      <c r="I51" s="84">
        <f>C51*I36</f>
        <v>0</v>
      </c>
    </row>
    <row r="52" spans="2:9">
      <c r="B52" s="32" t="s">
        <v>42</v>
      </c>
      <c r="C52" s="87">
        <v>0.121</v>
      </c>
      <c r="D52" s="84">
        <f t="shared" si="17"/>
        <v>48.4</v>
      </c>
      <c r="E52" s="84">
        <f t="shared" si="18"/>
        <v>0</v>
      </c>
      <c r="F52" s="84">
        <f t="shared" si="19"/>
        <v>0</v>
      </c>
      <c r="G52" s="84">
        <f t="shared" si="20"/>
        <v>0</v>
      </c>
      <c r="H52" s="84">
        <f>C52*H37</f>
        <v>0</v>
      </c>
      <c r="I52" s="84">
        <f>C52*I37</f>
        <v>0</v>
      </c>
    </row>
    <row r="53" spans="2:9">
      <c r="B53" s="32" t="s">
        <v>42</v>
      </c>
      <c r="C53" s="87">
        <v>7.4999999999999997E-2</v>
      </c>
      <c r="D53" s="84">
        <f t="shared" si="17"/>
        <v>7875</v>
      </c>
      <c r="E53" s="84">
        <f t="shared" si="18"/>
        <v>5100</v>
      </c>
      <c r="F53" s="84">
        <f t="shared" si="19"/>
        <v>1912.5</v>
      </c>
      <c r="G53" s="84">
        <f t="shared" si="20"/>
        <v>0</v>
      </c>
      <c r="H53" s="84">
        <f>C53*H38</f>
        <v>0</v>
      </c>
      <c r="I53" s="84">
        <f>C53*I38</f>
        <v>0</v>
      </c>
    </row>
    <row r="54" spans="2:9">
      <c r="B54" s="32" t="s">
        <v>42</v>
      </c>
      <c r="C54" s="87">
        <v>2.8000000000000001E-2</v>
      </c>
      <c r="D54" s="84">
        <f t="shared" si="17"/>
        <v>1757</v>
      </c>
      <c r="E54" s="84">
        <f t="shared" si="18"/>
        <v>1631</v>
      </c>
      <c r="F54" s="84">
        <f t="shared" si="19"/>
        <v>1505</v>
      </c>
      <c r="G54" s="84">
        <f t="shared" si="20"/>
        <v>1244.6000000000001</v>
      </c>
      <c r="H54" s="84">
        <f>C54*H39</f>
        <v>784</v>
      </c>
      <c r="I54" s="84">
        <f>C54*I39</f>
        <v>260.39999999999998</v>
      </c>
    </row>
    <row r="55" spans="2:9">
      <c r="B55" s="32" t="s">
        <v>43</v>
      </c>
      <c r="C55" s="87">
        <v>3.5000000000000003E-2</v>
      </c>
      <c r="D55" s="84">
        <f t="shared" si="17"/>
        <v>1296.0460800000001</v>
      </c>
      <c r="E55" s="84">
        <f t="shared" si="18"/>
        <v>946.04608000000007</v>
      </c>
      <c r="F55" s="84">
        <f t="shared" si="19"/>
        <v>596.04608000000007</v>
      </c>
      <c r="G55" s="84">
        <f t="shared" si="20"/>
        <v>246.04607999999999</v>
      </c>
      <c r="H55" s="84">
        <v>0</v>
      </c>
      <c r="I55" s="84">
        <v>0</v>
      </c>
    </row>
    <row r="56" spans="2:9">
      <c r="B56" s="32" t="s">
        <v>250</v>
      </c>
      <c r="C56" s="87">
        <v>2.5000000000000001E-2</v>
      </c>
      <c r="D56" s="84">
        <f t="shared" si="17"/>
        <v>1125</v>
      </c>
      <c r="E56" s="84">
        <f t="shared" si="18"/>
        <v>0</v>
      </c>
      <c r="F56" s="84">
        <f t="shared" si="19"/>
        <v>0</v>
      </c>
      <c r="G56" s="84">
        <f t="shared" si="20"/>
        <v>0</v>
      </c>
      <c r="H56" s="84">
        <f>C56*H41</f>
        <v>0</v>
      </c>
      <c r="I56" s="84">
        <f>C56*I41</f>
        <v>0</v>
      </c>
    </row>
    <row r="57" spans="2:9">
      <c r="B57" s="29" t="s">
        <v>247</v>
      </c>
      <c r="C57" s="80"/>
      <c r="D57" s="81">
        <f t="shared" ref="D57:I57" si="21">SUM(D58:D60)</f>
        <v>3028.6090187499999</v>
      </c>
      <c r="E57" s="81">
        <f t="shared" si="21"/>
        <v>2558.7249999999999</v>
      </c>
      <c r="F57" s="81">
        <f t="shared" si="21"/>
        <v>2558.7249999999999</v>
      </c>
      <c r="G57" s="81">
        <f t="shared" si="21"/>
        <v>2378.7249999999999</v>
      </c>
      <c r="H57" s="81">
        <f t="shared" si="21"/>
        <v>2198.7249999999999</v>
      </c>
      <c r="I57" s="81">
        <f t="shared" si="21"/>
        <v>1099.3625</v>
      </c>
    </row>
    <row r="58" spans="2:9">
      <c r="B58" s="32" t="s">
        <v>47</v>
      </c>
      <c r="C58" s="87">
        <v>7.4999999999999997E-2</v>
      </c>
      <c r="D58" s="84">
        <f>C58*D43</f>
        <v>469.875</v>
      </c>
      <c r="E58" s="84">
        <f>C58*E43</f>
        <v>0</v>
      </c>
      <c r="F58" s="84">
        <f>C58*F43</f>
        <v>0</v>
      </c>
      <c r="G58" s="84">
        <f>C58*G43</f>
        <v>0</v>
      </c>
      <c r="H58" s="84">
        <f>C58*H43</f>
        <v>0</v>
      </c>
      <c r="I58" s="84">
        <f>C58*I43</f>
        <v>0</v>
      </c>
    </row>
    <row r="59" spans="2:9">
      <c r="B59" s="32" t="s">
        <v>47</v>
      </c>
      <c r="C59" s="87">
        <v>7.4999999999999997E-2</v>
      </c>
      <c r="D59" s="84">
        <f>C59*D44</f>
        <v>360</v>
      </c>
      <c r="E59" s="84">
        <f>C59*E44</f>
        <v>360</v>
      </c>
      <c r="F59" s="84">
        <f>C59*F44</f>
        <v>360</v>
      </c>
      <c r="G59" s="84">
        <f>C59*G44</f>
        <v>180</v>
      </c>
      <c r="H59" s="84">
        <f>C59*H44</f>
        <v>0</v>
      </c>
      <c r="I59" s="84">
        <f>C59*I44</f>
        <v>0</v>
      </c>
    </row>
    <row r="60" spans="2:9">
      <c r="B60" s="32" t="s">
        <v>48</v>
      </c>
      <c r="C60" s="87">
        <v>9.2499999999999999E-2</v>
      </c>
      <c r="D60" s="84">
        <f>C60*D45</f>
        <v>2198.7340187499999</v>
      </c>
      <c r="E60" s="84">
        <f>C60*E45</f>
        <v>2198.7249999999999</v>
      </c>
      <c r="F60" s="84">
        <f>C60*F45</f>
        <v>2198.7249999999999</v>
      </c>
      <c r="G60" s="84">
        <f>C60*G45</f>
        <v>2198.7249999999999</v>
      </c>
      <c r="H60" s="84">
        <f>C60*H45</f>
        <v>2198.7249999999999</v>
      </c>
      <c r="I60" s="84">
        <f>C60*I45</f>
        <v>1099.3625</v>
      </c>
    </row>
    <row r="61" spans="2:9">
      <c r="B61" s="29" t="s">
        <v>3</v>
      </c>
      <c r="C61" s="80"/>
      <c r="D61" s="81">
        <f t="shared" ref="D61:I61" si="22">D50+D57</f>
        <v>15685.055098749999</v>
      </c>
      <c r="E61" s="81">
        <f t="shared" si="22"/>
        <v>10235.77108</v>
      </c>
      <c r="F61" s="81">
        <f t="shared" si="22"/>
        <v>6572.2710800000004</v>
      </c>
      <c r="G61" s="81">
        <f t="shared" si="22"/>
        <v>3869.3710799999999</v>
      </c>
      <c r="H61" s="81">
        <f t="shared" si="22"/>
        <v>2982.7249999999999</v>
      </c>
      <c r="I61" s="81">
        <f t="shared" si="22"/>
        <v>1359.7624999999998</v>
      </c>
    </row>
    <row r="63" spans="2:9">
      <c r="C63" s="88">
        <v>44013</v>
      </c>
      <c r="D63" s="88">
        <v>44378</v>
      </c>
      <c r="E63" s="88">
        <v>44743</v>
      </c>
      <c r="F63" s="88">
        <v>45108</v>
      </c>
      <c r="G63" s="88">
        <v>45474</v>
      </c>
      <c r="H63" s="88">
        <v>45839</v>
      </c>
      <c r="I63" s="88">
        <v>46204</v>
      </c>
    </row>
    <row r="64" spans="2:9">
      <c r="C64" s="89">
        <f>5000+85000+60500+50000</f>
        <v>200500</v>
      </c>
      <c r="D64" s="89">
        <f>42500+56000+40000</f>
        <v>138500</v>
      </c>
      <c r="E64" s="89">
        <f>0+51500+30000</f>
        <v>81500</v>
      </c>
      <c r="F64" s="89">
        <f>65000-29100+20000</f>
        <v>55900</v>
      </c>
      <c r="G64" s="89">
        <f>23300+10000</f>
        <v>33300</v>
      </c>
      <c r="H64" s="89">
        <f>9200+10000</f>
        <v>19200</v>
      </c>
      <c r="I64" s="89">
        <v>0</v>
      </c>
    </row>
  </sheetData>
  <mergeCells count="1">
    <mergeCell ref="D3:I3"/>
  </mergeCells>
  <pageMargins left="0.7" right="0.7" top="0.75" bottom="0.75" header="0.3" footer="0.3"/>
  <pageSetup paperSize="9" scale="96" fitToHeight="0" orientation="landscape" r:id="rId1"/>
  <rowBreaks count="1" manualBreakCount="1">
    <brk id="3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
  <sheetViews>
    <sheetView workbookViewId="0">
      <selection activeCell="D19" sqref="D19"/>
    </sheetView>
  </sheetViews>
  <sheetFormatPr baseColWidth="10" defaultColWidth="8.83203125" defaultRowHeight="15"/>
  <cols>
    <col min="3" max="3" width="10.5" customWidth="1"/>
    <col min="4" max="5" width="13.5" customWidth="1"/>
    <col min="6" max="6" width="21.5" customWidth="1"/>
    <col min="7" max="7" width="16" customWidth="1"/>
    <col min="8" max="10" width="22.5" customWidth="1"/>
  </cols>
  <sheetData>
    <row r="1" spans="1:10">
      <c r="A1" t="s">
        <v>181</v>
      </c>
      <c r="B1" t="s">
        <v>182</v>
      </c>
      <c r="C1" t="s">
        <v>183</v>
      </c>
      <c r="D1" t="s">
        <v>184</v>
      </c>
      <c r="E1" t="s">
        <v>185</v>
      </c>
      <c r="F1" t="s">
        <v>186</v>
      </c>
      <c r="G1" t="s">
        <v>187</v>
      </c>
      <c r="H1" t="s">
        <v>189</v>
      </c>
      <c r="I1" t="s">
        <v>191</v>
      </c>
      <c r="J1" t="s">
        <v>193</v>
      </c>
    </row>
    <row r="2" spans="1:10">
      <c r="B2" t="s">
        <v>206</v>
      </c>
      <c r="C2" t="s">
        <v>177</v>
      </c>
      <c r="D2">
        <v>2008</v>
      </c>
      <c r="E2">
        <v>1.9</v>
      </c>
      <c r="F2">
        <v>2800</v>
      </c>
      <c r="G2" t="s">
        <v>195</v>
      </c>
      <c r="H2">
        <v>11.41</v>
      </c>
      <c r="I2">
        <v>63.42</v>
      </c>
      <c r="J2">
        <v>75.5</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4D6F5-6704-43C1-B5C4-E7508A223CDB}">
  <sheetPr>
    <tabColor theme="4" tint="0.39997558519241921"/>
    <pageSetUpPr fitToPage="1"/>
  </sheetPr>
  <dimension ref="B2:P81"/>
  <sheetViews>
    <sheetView tabSelected="1" zoomScale="90" zoomScaleNormal="90" zoomScaleSheetLayoutView="96" workbookViewId="0">
      <selection activeCell="R25" sqref="R25"/>
    </sheetView>
  </sheetViews>
  <sheetFormatPr baseColWidth="10" defaultColWidth="9.1640625" defaultRowHeight="13"/>
  <cols>
    <col min="1" max="1" width="6.83203125" style="718" customWidth="1"/>
    <col min="2" max="2" width="45.33203125" style="718" customWidth="1"/>
    <col min="3" max="4" width="12" style="718" hidden="1" customWidth="1"/>
    <col min="5" max="16" width="12" style="718" customWidth="1"/>
    <col min="17" max="16384" width="9.1640625" style="718"/>
  </cols>
  <sheetData>
    <row r="2" spans="2:16" ht="16">
      <c r="B2" s="717" t="s">
        <v>845</v>
      </c>
    </row>
    <row r="4" spans="2:16">
      <c r="B4" s="719" t="s">
        <v>736</v>
      </c>
      <c r="C4" s="720" t="s">
        <v>298</v>
      </c>
      <c r="D4" s="720" t="s">
        <v>297</v>
      </c>
      <c r="E4" s="720" t="s">
        <v>296</v>
      </c>
      <c r="F4" s="720" t="s">
        <v>295</v>
      </c>
      <c r="G4" s="720">
        <v>2019</v>
      </c>
      <c r="H4" s="720" t="s">
        <v>294</v>
      </c>
      <c r="I4" s="720" t="s">
        <v>301</v>
      </c>
      <c r="J4" s="720" t="s">
        <v>639</v>
      </c>
      <c r="K4" s="720" t="s">
        <v>300</v>
      </c>
      <c r="L4" s="720" t="s">
        <v>299</v>
      </c>
      <c r="M4" s="720">
        <v>2020</v>
      </c>
      <c r="N4" s="720" t="s">
        <v>764</v>
      </c>
      <c r="O4" s="720" t="s">
        <v>846</v>
      </c>
      <c r="P4" s="720" t="s">
        <v>847</v>
      </c>
    </row>
    <row r="5" spans="2:16">
      <c r="B5" s="721" t="s">
        <v>18</v>
      </c>
      <c r="C5" s="722">
        <f t="shared" ref="C5:G7" si="0">C31+C57</f>
        <v>88990</v>
      </c>
      <c r="D5" s="722">
        <f t="shared" si="0"/>
        <v>66871</v>
      </c>
      <c r="E5" s="722">
        <f t="shared" si="0"/>
        <v>111521</v>
      </c>
      <c r="F5" s="722">
        <f t="shared" si="0"/>
        <v>264322</v>
      </c>
      <c r="G5" s="722">
        <f>G31+G57</f>
        <v>531704</v>
      </c>
      <c r="H5" s="722">
        <f>H31+H57</f>
        <v>222005</v>
      </c>
      <c r="I5" s="722">
        <f t="shared" ref="I5:P7" si="1">I31+I57</f>
        <v>84337</v>
      </c>
      <c r="J5" s="723">
        <f t="shared" si="1"/>
        <v>682185</v>
      </c>
      <c r="K5" s="722">
        <f t="shared" si="1"/>
        <v>54147</v>
      </c>
      <c r="L5" s="722">
        <f t="shared" si="1"/>
        <v>96932</v>
      </c>
      <c r="M5" s="722">
        <f t="shared" si="1"/>
        <v>457421</v>
      </c>
      <c r="N5" s="722">
        <f t="shared" si="1"/>
        <v>144753</v>
      </c>
      <c r="O5" s="723">
        <f>O31+O57</f>
        <v>295832</v>
      </c>
      <c r="P5" s="722">
        <f t="shared" si="1"/>
        <v>380169</v>
      </c>
    </row>
    <row r="6" spans="2:16">
      <c r="B6" s="724" t="s">
        <v>291</v>
      </c>
      <c r="C6" s="725">
        <f t="shared" si="0"/>
        <v>75377</v>
      </c>
      <c r="D6" s="725">
        <f t="shared" si="0"/>
        <v>55504</v>
      </c>
      <c r="E6" s="725">
        <f t="shared" si="0"/>
        <v>105082</v>
      </c>
      <c r="F6" s="725">
        <f t="shared" si="0"/>
        <v>206006</v>
      </c>
      <c r="G6" s="725">
        <f t="shared" si="0"/>
        <v>441969</v>
      </c>
      <c r="H6" s="725">
        <f>H32+H58</f>
        <v>108913</v>
      </c>
      <c r="I6" s="725">
        <f t="shared" si="1"/>
        <v>36601</v>
      </c>
      <c r="J6" s="726">
        <f t="shared" si="1"/>
        <v>456602</v>
      </c>
      <c r="K6" s="725">
        <f t="shared" si="1"/>
        <v>71409</v>
      </c>
      <c r="L6" s="725">
        <f t="shared" si="1"/>
        <v>138631</v>
      </c>
      <c r="M6" s="725">
        <f t="shared" si="1"/>
        <v>355554</v>
      </c>
      <c r="N6" s="725">
        <f t="shared" si="1"/>
        <v>110488</v>
      </c>
      <c r="O6" s="726">
        <f t="shared" si="1"/>
        <v>320528</v>
      </c>
      <c r="P6" s="725">
        <f t="shared" si="1"/>
        <v>357129</v>
      </c>
    </row>
    <row r="7" spans="2:16">
      <c r="B7" s="727" t="s">
        <v>848</v>
      </c>
      <c r="C7" s="725">
        <f t="shared" si="0"/>
        <v>22887</v>
      </c>
      <c r="D7" s="725">
        <f t="shared" si="0"/>
        <v>22188</v>
      </c>
      <c r="E7" s="725">
        <f t="shared" si="0"/>
        <v>20137</v>
      </c>
      <c r="F7" s="725">
        <f t="shared" si="0"/>
        <v>22266</v>
      </c>
      <c r="G7" s="725">
        <f t="shared" si="0"/>
        <v>87478</v>
      </c>
      <c r="H7" s="725">
        <f>H33+H59</f>
        <v>22485.98487</v>
      </c>
      <c r="I7" s="725">
        <f t="shared" si="1"/>
        <v>25500.276810000007</v>
      </c>
      <c r="J7" s="726">
        <f t="shared" si="1"/>
        <v>90389.261680000011</v>
      </c>
      <c r="K7" s="725">
        <f t="shared" si="1"/>
        <v>31989</v>
      </c>
      <c r="L7" s="725">
        <f t="shared" si="1"/>
        <v>29170</v>
      </c>
      <c r="M7" s="725">
        <f>M33+M59</f>
        <v>109145.26168000001</v>
      </c>
      <c r="N7" s="725">
        <f t="shared" si="1"/>
        <v>28851</v>
      </c>
      <c r="O7" s="726">
        <f t="shared" si="1"/>
        <v>90010</v>
      </c>
      <c r="P7" s="725">
        <f>P33+P59</f>
        <v>115510.27681000001</v>
      </c>
    </row>
    <row r="8" spans="2:16">
      <c r="B8" s="727"/>
      <c r="C8" s="727"/>
      <c r="D8" s="727"/>
      <c r="E8" s="727"/>
      <c r="F8" s="727"/>
      <c r="G8" s="725"/>
      <c r="H8" s="725"/>
      <c r="I8" s="725"/>
      <c r="J8" s="726"/>
      <c r="K8" s="725"/>
      <c r="L8" s="725"/>
      <c r="M8" s="725"/>
      <c r="N8" s="725"/>
      <c r="O8" s="728"/>
      <c r="P8" s="725"/>
    </row>
    <row r="9" spans="2:16">
      <c r="B9" s="729" t="s">
        <v>290</v>
      </c>
      <c r="C9" s="723">
        <f t="shared" ref="C9:N9" si="2">C5-C6</f>
        <v>13613</v>
      </c>
      <c r="D9" s="723">
        <f t="shared" si="2"/>
        <v>11367</v>
      </c>
      <c r="E9" s="723">
        <f t="shared" si="2"/>
        <v>6439</v>
      </c>
      <c r="F9" s="723">
        <f t="shared" si="2"/>
        <v>58316</v>
      </c>
      <c r="G9" s="723">
        <f t="shared" si="2"/>
        <v>89735</v>
      </c>
      <c r="H9" s="723">
        <f t="shared" si="2"/>
        <v>113092</v>
      </c>
      <c r="I9" s="723">
        <f t="shared" si="2"/>
        <v>47736</v>
      </c>
      <c r="J9" s="723">
        <f t="shared" si="2"/>
        <v>225583</v>
      </c>
      <c r="K9" s="723">
        <f t="shared" si="2"/>
        <v>-17262</v>
      </c>
      <c r="L9" s="723">
        <f t="shared" si="2"/>
        <v>-41699</v>
      </c>
      <c r="M9" s="723">
        <f t="shared" si="2"/>
        <v>101867</v>
      </c>
      <c r="N9" s="723">
        <f t="shared" si="2"/>
        <v>34265</v>
      </c>
      <c r="O9" s="723">
        <f>O5-O6</f>
        <v>-24696</v>
      </c>
      <c r="P9" s="723">
        <f>P5-P6</f>
        <v>23040</v>
      </c>
    </row>
    <row r="10" spans="2:16">
      <c r="B10" s="724" t="s">
        <v>289</v>
      </c>
      <c r="C10" s="730">
        <f t="shared" ref="C10:O11" si="3">C36+C62</f>
        <v>0</v>
      </c>
      <c r="D10" s="730">
        <f t="shared" si="3"/>
        <v>0</v>
      </c>
      <c r="E10" s="730">
        <f t="shared" si="3"/>
        <v>0</v>
      </c>
      <c r="F10" s="730">
        <f t="shared" si="3"/>
        <v>0</v>
      </c>
      <c r="G10" s="730">
        <f t="shared" si="3"/>
        <v>0</v>
      </c>
      <c r="H10" s="730">
        <f t="shared" si="3"/>
        <v>0</v>
      </c>
      <c r="I10" s="730">
        <f t="shared" si="3"/>
        <v>0</v>
      </c>
      <c r="J10" s="731">
        <f t="shared" si="3"/>
        <v>0</v>
      </c>
      <c r="K10" s="730">
        <f t="shared" si="3"/>
        <v>0</v>
      </c>
      <c r="L10" s="730">
        <f t="shared" si="3"/>
        <v>0</v>
      </c>
      <c r="M10" s="730">
        <f t="shared" si="3"/>
        <v>0</v>
      </c>
      <c r="N10" s="730">
        <f t="shared" si="3"/>
        <v>0</v>
      </c>
      <c r="O10" s="731">
        <f t="shared" si="3"/>
        <v>0</v>
      </c>
      <c r="P10" s="725">
        <f>P36+P62</f>
        <v>0</v>
      </c>
    </row>
    <row r="11" spans="2:16">
      <c r="B11" s="724" t="s">
        <v>288</v>
      </c>
      <c r="C11" s="730">
        <f t="shared" si="3"/>
        <v>0</v>
      </c>
      <c r="D11" s="730">
        <f t="shared" si="3"/>
        <v>0</v>
      </c>
      <c r="E11" s="730">
        <f t="shared" si="3"/>
        <v>0</v>
      </c>
      <c r="F11" s="730">
        <f t="shared" si="3"/>
        <v>0</v>
      </c>
      <c r="G11" s="730">
        <f t="shared" si="3"/>
        <v>0</v>
      </c>
      <c r="H11" s="730">
        <f t="shared" si="3"/>
        <v>0</v>
      </c>
      <c r="I11" s="730">
        <f t="shared" si="3"/>
        <v>0</v>
      </c>
      <c r="J11" s="731">
        <f t="shared" si="3"/>
        <v>0</v>
      </c>
      <c r="K11" s="730">
        <f t="shared" si="3"/>
        <v>0</v>
      </c>
      <c r="L11" s="730">
        <f t="shared" si="3"/>
        <v>0</v>
      </c>
      <c r="M11" s="730">
        <f t="shared" si="3"/>
        <v>0</v>
      </c>
      <c r="N11" s="730">
        <f t="shared" si="3"/>
        <v>0</v>
      </c>
      <c r="O11" s="731">
        <f t="shared" si="3"/>
        <v>0</v>
      </c>
      <c r="P11" s="725">
        <f>P37+P63</f>
        <v>0</v>
      </c>
    </row>
    <row r="12" spans="2:16">
      <c r="B12" s="724"/>
      <c r="C12" s="724"/>
      <c r="D12" s="724"/>
      <c r="E12" s="724"/>
      <c r="F12" s="724"/>
      <c r="G12" s="730"/>
      <c r="H12" s="730"/>
      <c r="I12" s="730"/>
      <c r="J12" s="731"/>
      <c r="K12" s="730"/>
      <c r="L12" s="730"/>
      <c r="M12" s="730"/>
      <c r="N12" s="730"/>
      <c r="O12" s="728"/>
      <c r="P12" s="725"/>
    </row>
    <row r="13" spans="2:16">
      <c r="B13" s="729" t="s">
        <v>849</v>
      </c>
      <c r="C13" s="723">
        <f t="shared" ref="C13:N13" si="4">C9-C10-C11</f>
        <v>13613</v>
      </c>
      <c r="D13" s="723">
        <f t="shared" si="4"/>
        <v>11367</v>
      </c>
      <c r="E13" s="723">
        <f t="shared" si="4"/>
        <v>6439</v>
      </c>
      <c r="F13" s="723">
        <f t="shared" si="4"/>
        <v>58316</v>
      </c>
      <c r="G13" s="723">
        <f t="shared" si="4"/>
        <v>89735</v>
      </c>
      <c r="H13" s="723">
        <f t="shared" si="4"/>
        <v>113092</v>
      </c>
      <c r="I13" s="723">
        <f t="shared" si="4"/>
        <v>47736</v>
      </c>
      <c r="J13" s="723">
        <f t="shared" si="4"/>
        <v>225583</v>
      </c>
      <c r="K13" s="723">
        <f t="shared" si="4"/>
        <v>-17262</v>
      </c>
      <c r="L13" s="723">
        <f t="shared" si="4"/>
        <v>-41699</v>
      </c>
      <c r="M13" s="723">
        <f t="shared" si="4"/>
        <v>101867</v>
      </c>
      <c r="N13" s="723">
        <f t="shared" si="4"/>
        <v>34265</v>
      </c>
      <c r="O13" s="723">
        <f>O9-O10-O11</f>
        <v>-24696</v>
      </c>
      <c r="P13" s="723">
        <f>P9-P10-P11</f>
        <v>23040</v>
      </c>
    </row>
    <row r="14" spans="2:16">
      <c r="B14" s="724" t="s">
        <v>286</v>
      </c>
      <c r="C14" s="730">
        <f t="shared" ref="C14:O20" si="5">C40+C66</f>
        <v>0</v>
      </c>
      <c r="D14" s="730">
        <f t="shared" si="5"/>
        <v>0</v>
      </c>
      <c r="E14" s="730">
        <f t="shared" si="5"/>
        <v>0</v>
      </c>
      <c r="F14" s="730">
        <f t="shared" si="5"/>
        <v>0</v>
      </c>
      <c r="G14" s="730">
        <f t="shared" si="5"/>
        <v>0</v>
      </c>
      <c r="H14" s="730">
        <f t="shared" si="5"/>
        <v>0</v>
      </c>
      <c r="I14" s="730">
        <f t="shared" si="5"/>
        <v>0</v>
      </c>
      <c r="J14" s="731">
        <f t="shared" si="5"/>
        <v>0</v>
      </c>
      <c r="K14" s="730">
        <f t="shared" si="5"/>
        <v>0</v>
      </c>
      <c r="L14" s="730">
        <f t="shared" si="5"/>
        <v>0</v>
      </c>
      <c r="M14" s="730">
        <f t="shared" si="5"/>
        <v>0</v>
      </c>
      <c r="N14" s="730">
        <f t="shared" si="5"/>
        <v>0</v>
      </c>
      <c r="O14" s="731">
        <f t="shared" si="5"/>
        <v>0</v>
      </c>
      <c r="P14" s="725">
        <f>P40+P66</f>
        <v>0</v>
      </c>
    </row>
    <row r="15" spans="2:16">
      <c r="B15" s="724" t="s">
        <v>285</v>
      </c>
      <c r="C15" s="725">
        <f t="shared" si="5"/>
        <v>706</v>
      </c>
      <c r="D15" s="725">
        <f t="shared" si="5"/>
        <v>564</v>
      </c>
      <c r="E15" s="725">
        <f t="shared" si="5"/>
        <v>103</v>
      </c>
      <c r="F15" s="725">
        <f t="shared" si="5"/>
        <v>166</v>
      </c>
      <c r="G15" s="725">
        <f t="shared" si="5"/>
        <v>1539</v>
      </c>
      <c r="H15" s="725">
        <f t="shared" si="5"/>
        <v>423</v>
      </c>
      <c r="I15" s="725">
        <f t="shared" si="5"/>
        <v>1012</v>
      </c>
      <c r="J15" s="726">
        <f t="shared" si="5"/>
        <v>1704</v>
      </c>
      <c r="K15" s="725">
        <f t="shared" si="5"/>
        <v>621</v>
      </c>
      <c r="L15" s="725">
        <f t="shared" si="5"/>
        <v>337</v>
      </c>
      <c r="M15" s="725">
        <f t="shared" si="5"/>
        <v>2393</v>
      </c>
      <c r="N15" s="725">
        <f t="shared" si="5"/>
        <v>252</v>
      </c>
      <c r="O15" s="726">
        <f>O41+O67</f>
        <v>1210</v>
      </c>
      <c r="P15" s="725">
        <f t="shared" ref="P15:P20" si="6">P41+P67</f>
        <v>2222</v>
      </c>
    </row>
    <row r="16" spans="2:16">
      <c r="B16" s="724" t="s">
        <v>284</v>
      </c>
      <c r="C16" s="725">
        <f t="shared" si="5"/>
        <v>5449</v>
      </c>
      <c r="D16" s="725">
        <f t="shared" si="5"/>
        <v>5357</v>
      </c>
      <c r="E16" s="725">
        <f t="shared" si="5"/>
        <v>5170</v>
      </c>
      <c r="F16" s="725">
        <f t="shared" si="5"/>
        <v>7544</v>
      </c>
      <c r="G16" s="725">
        <f t="shared" si="5"/>
        <v>23520</v>
      </c>
      <c r="H16" s="725">
        <f t="shared" si="5"/>
        <v>3798</v>
      </c>
      <c r="I16" s="725">
        <f t="shared" si="5"/>
        <v>3512</v>
      </c>
      <c r="J16" s="726">
        <f t="shared" si="5"/>
        <v>20024</v>
      </c>
      <c r="K16" s="725">
        <f t="shared" si="5"/>
        <v>3242</v>
      </c>
      <c r="L16" s="725">
        <f t="shared" si="5"/>
        <v>3695</v>
      </c>
      <c r="M16" s="725">
        <f t="shared" si="5"/>
        <v>14247</v>
      </c>
      <c r="N16" s="725">
        <f t="shared" si="5"/>
        <v>4123</v>
      </c>
      <c r="O16" s="726">
        <f t="shared" si="5"/>
        <v>11060</v>
      </c>
      <c r="P16" s="725">
        <f t="shared" si="6"/>
        <v>14572</v>
      </c>
    </row>
    <row r="17" spans="2:16">
      <c r="B17" s="724" t="s">
        <v>283</v>
      </c>
      <c r="C17" s="725">
        <f t="shared" si="5"/>
        <v>1280</v>
      </c>
      <c r="D17" s="725">
        <f t="shared" si="5"/>
        <v>949</v>
      </c>
      <c r="E17" s="725">
        <f t="shared" si="5"/>
        <v>447</v>
      </c>
      <c r="F17" s="725">
        <f t="shared" si="5"/>
        <v>85738</v>
      </c>
      <c r="G17" s="725">
        <f t="shared" si="5"/>
        <v>88414</v>
      </c>
      <c r="H17" s="725">
        <f t="shared" si="5"/>
        <v>359</v>
      </c>
      <c r="I17" s="725">
        <f t="shared" si="5"/>
        <v>2874</v>
      </c>
      <c r="J17" s="726">
        <f t="shared" si="5"/>
        <v>89418</v>
      </c>
      <c r="K17" s="725">
        <f t="shared" si="5"/>
        <v>4976</v>
      </c>
      <c r="L17" s="725">
        <f t="shared" si="5"/>
        <v>3611</v>
      </c>
      <c r="M17" s="725">
        <f t="shared" si="5"/>
        <v>11820</v>
      </c>
      <c r="N17" s="725">
        <f t="shared" si="5"/>
        <v>83</v>
      </c>
      <c r="O17" s="726">
        <f t="shared" si="5"/>
        <v>8670</v>
      </c>
      <c r="P17" s="725">
        <f t="shared" si="6"/>
        <v>11544</v>
      </c>
    </row>
    <row r="18" spans="2:16">
      <c r="B18" s="732" t="s">
        <v>850</v>
      </c>
      <c r="C18" s="725">
        <f t="shared" si="5"/>
        <v>45</v>
      </c>
      <c r="D18" s="725">
        <f t="shared" si="5"/>
        <v>8</v>
      </c>
      <c r="E18" s="725">
        <f t="shared" si="5"/>
        <v>0</v>
      </c>
      <c r="F18" s="725">
        <f t="shared" si="5"/>
        <v>14421</v>
      </c>
      <c r="G18" s="725">
        <f t="shared" si="5"/>
        <v>14474</v>
      </c>
      <c r="H18" s="725">
        <f t="shared" si="5"/>
        <v>198</v>
      </c>
      <c r="I18" s="725">
        <f t="shared" si="5"/>
        <v>-116</v>
      </c>
      <c r="J18" s="726">
        <f t="shared" si="5"/>
        <v>14503</v>
      </c>
      <c r="K18" s="725">
        <f t="shared" si="5"/>
        <v>4545</v>
      </c>
      <c r="L18" s="725">
        <f t="shared" si="5"/>
        <v>4082</v>
      </c>
      <c r="M18" s="725">
        <f>M44+M70</f>
        <v>8709</v>
      </c>
      <c r="N18" s="725">
        <f t="shared" si="5"/>
        <v>0</v>
      </c>
      <c r="O18" s="726">
        <f t="shared" si="5"/>
        <v>8627</v>
      </c>
      <c r="P18" s="725">
        <f t="shared" si="6"/>
        <v>8511</v>
      </c>
    </row>
    <row r="19" spans="2:16">
      <c r="B19" s="724" t="s">
        <v>282</v>
      </c>
      <c r="C19" s="725">
        <f t="shared" si="5"/>
        <v>3108</v>
      </c>
      <c r="D19" s="725">
        <f t="shared" si="5"/>
        <v>-655</v>
      </c>
      <c r="E19" s="725">
        <f t="shared" si="5"/>
        <v>688</v>
      </c>
      <c r="F19" s="725">
        <f t="shared" si="5"/>
        <v>41119</v>
      </c>
      <c r="G19" s="725">
        <f t="shared" si="5"/>
        <v>44260</v>
      </c>
      <c r="H19" s="725">
        <f t="shared" si="5"/>
        <v>1672</v>
      </c>
      <c r="I19" s="725">
        <f t="shared" si="5"/>
        <v>4481</v>
      </c>
      <c r="J19" s="726">
        <f t="shared" si="5"/>
        <v>47960</v>
      </c>
      <c r="K19" s="725">
        <f t="shared" si="5"/>
        <v>5638</v>
      </c>
      <c r="L19" s="725">
        <f t="shared" si="5"/>
        <v>2875</v>
      </c>
      <c r="M19" s="725">
        <f t="shared" si="5"/>
        <v>14666</v>
      </c>
      <c r="N19" s="725">
        <f t="shared" si="5"/>
        <v>1483</v>
      </c>
      <c r="O19" s="726">
        <f t="shared" si="5"/>
        <v>9996</v>
      </c>
      <c r="P19" s="725">
        <f t="shared" si="6"/>
        <v>14477</v>
      </c>
    </row>
    <row r="20" spans="2:16">
      <c r="B20" s="732" t="s">
        <v>851</v>
      </c>
      <c r="C20" s="725">
        <f t="shared" si="5"/>
        <v>891</v>
      </c>
      <c r="D20" s="725">
        <f t="shared" si="5"/>
        <v>285</v>
      </c>
      <c r="E20" s="725">
        <f t="shared" si="5"/>
        <v>333</v>
      </c>
      <c r="F20" s="725">
        <f t="shared" si="5"/>
        <v>1506</v>
      </c>
      <c r="G20" s="725">
        <f t="shared" si="5"/>
        <v>3015</v>
      </c>
      <c r="H20" s="725">
        <f t="shared" si="5"/>
        <v>556.44000000000005</v>
      </c>
      <c r="I20" s="725">
        <f t="shared" si="5"/>
        <v>1371</v>
      </c>
      <c r="J20" s="726">
        <f t="shared" si="5"/>
        <v>3766.44</v>
      </c>
      <c r="K20" s="725">
        <f t="shared" si="5"/>
        <v>635</v>
      </c>
      <c r="L20" s="725">
        <f t="shared" si="5"/>
        <v>434</v>
      </c>
      <c r="M20" s="725">
        <f t="shared" si="5"/>
        <v>2996.44</v>
      </c>
      <c r="N20" s="725">
        <f t="shared" si="5"/>
        <v>835</v>
      </c>
      <c r="O20" s="726">
        <f t="shared" si="5"/>
        <v>1904</v>
      </c>
      <c r="P20" s="725">
        <f t="shared" si="6"/>
        <v>3275</v>
      </c>
    </row>
    <row r="21" spans="2:16">
      <c r="B21" s="732"/>
      <c r="C21" s="732"/>
      <c r="D21" s="732"/>
      <c r="E21" s="732"/>
      <c r="F21" s="732"/>
      <c r="G21" s="725"/>
      <c r="H21" s="725"/>
      <c r="I21" s="725"/>
      <c r="J21" s="726"/>
      <c r="K21" s="725"/>
      <c r="L21" s="725"/>
      <c r="M21" s="725"/>
      <c r="N21" s="725"/>
      <c r="O21" s="728"/>
      <c r="P21" s="725"/>
    </row>
    <row r="22" spans="2:16">
      <c r="B22" s="733" t="s">
        <v>281</v>
      </c>
      <c r="C22" s="723">
        <f t="shared" ref="C22:N22" si="7">C13+C14+C15-C16+C17-C19</f>
        <v>7042</v>
      </c>
      <c r="D22" s="723">
        <f t="shared" si="7"/>
        <v>8178</v>
      </c>
      <c r="E22" s="723">
        <f t="shared" si="7"/>
        <v>1131</v>
      </c>
      <c r="F22" s="723">
        <f t="shared" si="7"/>
        <v>95557</v>
      </c>
      <c r="G22" s="723">
        <f t="shared" si="7"/>
        <v>111908</v>
      </c>
      <c r="H22" s="723">
        <f t="shared" si="7"/>
        <v>108404</v>
      </c>
      <c r="I22" s="723">
        <f t="shared" si="7"/>
        <v>43629</v>
      </c>
      <c r="J22" s="723">
        <f t="shared" si="7"/>
        <v>248721</v>
      </c>
      <c r="K22" s="723">
        <f t="shared" si="7"/>
        <v>-20545</v>
      </c>
      <c r="L22" s="723">
        <f t="shared" si="7"/>
        <v>-44321</v>
      </c>
      <c r="M22" s="723">
        <f t="shared" si="7"/>
        <v>87167</v>
      </c>
      <c r="N22" s="723">
        <f t="shared" si="7"/>
        <v>28994</v>
      </c>
      <c r="O22" s="723">
        <f>O13+O14+O15-O16+O17-O19</f>
        <v>-35872</v>
      </c>
      <c r="P22" s="723">
        <f>P13+P14+P15-P16+P17-P19</f>
        <v>7757</v>
      </c>
    </row>
    <row r="23" spans="2:16">
      <c r="B23" s="724" t="s">
        <v>280</v>
      </c>
      <c r="C23" s="730">
        <f t="shared" ref="C23:O23" si="8">C49+C75</f>
        <v>0</v>
      </c>
      <c r="D23" s="730">
        <f t="shared" si="8"/>
        <v>0</v>
      </c>
      <c r="E23" s="730">
        <f t="shared" si="8"/>
        <v>0</v>
      </c>
      <c r="F23" s="730">
        <f t="shared" si="8"/>
        <v>1634</v>
      </c>
      <c r="G23" s="730">
        <f t="shared" si="8"/>
        <v>1634</v>
      </c>
      <c r="H23" s="730">
        <f t="shared" si="8"/>
        <v>0</v>
      </c>
      <c r="I23" s="730">
        <f t="shared" si="8"/>
        <v>0</v>
      </c>
      <c r="J23" s="731">
        <f t="shared" si="8"/>
        <v>1634</v>
      </c>
      <c r="K23" s="730">
        <f t="shared" si="8"/>
        <v>0</v>
      </c>
      <c r="L23" s="730">
        <f t="shared" si="8"/>
        <v>2172</v>
      </c>
      <c r="M23" s="730">
        <f t="shared" si="8"/>
        <v>2172</v>
      </c>
      <c r="N23" s="730">
        <f t="shared" si="8"/>
        <v>0</v>
      </c>
      <c r="O23" s="731">
        <f t="shared" si="8"/>
        <v>2172</v>
      </c>
      <c r="P23" s="725">
        <f>P49+P75</f>
        <v>2172</v>
      </c>
    </row>
    <row r="24" spans="2:16">
      <c r="B24" s="724"/>
      <c r="C24" s="724"/>
      <c r="D24" s="724"/>
      <c r="E24" s="724"/>
      <c r="F24" s="724"/>
      <c r="G24" s="730"/>
      <c r="H24" s="730"/>
      <c r="I24" s="730"/>
      <c r="J24" s="731"/>
      <c r="K24" s="730"/>
      <c r="L24" s="730"/>
      <c r="M24" s="730"/>
      <c r="N24" s="730"/>
      <c r="O24" s="728"/>
      <c r="P24" s="725"/>
    </row>
    <row r="25" spans="2:16">
      <c r="B25" s="733" t="s">
        <v>279</v>
      </c>
      <c r="C25" s="723">
        <f t="shared" ref="C25:O25" si="9">C22-C23</f>
        <v>7042</v>
      </c>
      <c r="D25" s="723">
        <f t="shared" si="9"/>
        <v>8178</v>
      </c>
      <c r="E25" s="723">
        <f t="shared" si="9"/>
        <v>1131</v>
      </c>
      <c r="F25" s="723">
        <f t="shared" si="9"/>
        <v>93923</v>
      </c>
      <c r="G25" s="723">
        <f t="shared" si="9"/>
        <v>110274</v>
      </c>
      <c r="H25" s="723">
        <f t="shared" si="9"/>
        <v>108404</v>
      </c>
      <c r="I25" s="723">
        <f t="shared" si="9"/>
        <v>43629</v>
      </c>
      <c r="J25" s="723">
        <f t="shared" si="9"/>
        <v>247087</v>
      </c>
      <c r="K25" s="723">
        <f t="shared" si="9"/>
        <v>-20545</v>
      </c>
      <c r="L25" s="723">
        <f t="shared" si="9"/>
        <v>-46493</v>
      </c>
      <c r="M25" s="723">
        <f t="shared" si="9"/>
        <v>84995</v>
      </c>
      <c r="N25" s="723">
        <f t="shared" si="9"/>
        <v>28994</v>
      </c>
      <c r="O25" s="723">
        <f t="shared" si="9"/>
        <v>-38044</v>
      </c>
      <c r="P25" s="723">
        <f>P22-P23</f>
        <v>5585</v>
      </c>
    </row>
    <row r="26" spans="2:16">
      <c r="B26" s="721"/>
      <c r="C26" s="721"/>
      <c r="D26" s="721"/>
      <c r="E26" s="721"/>
      <c r="F26" s="721"/>
      <c r="G26" s="722"/>
      <c r="H26" s="722"/>
      <c r="I26" s="722"/>
      <c r="J26" s="723"/>
      <c r="K26" s="722"/>
      <c r="L26" s="724"/>
      <c r="M26" s="724"/>
      <c r="N26" s="724"/>
      <c r="O26" s="728"/>
      <c r="P26" s="725"/>
    </row>
    <row r="27" spans="2:16">
      <c r="B27" s="734" t="s">
        <v>19</v>
      </c>
      <c r="C27" s="735">
        <f t="shared" ref="C27:N27" si="10">C53+C79</f>
        <v>35654</v>
      </c>
      <c r="D27" s="735">
        <f t="shared" si="10"/>
        <v>33278</v>
      </c>
      <c r="E27" s="735">
        <f t="shared" si="10"/>
        <v>26243</v>
      </c>
      <c r="F27" s="735">
        <f t="shared" si="10"/>
        <v>93497</v>
      </c>
      <c r="G27" s="735">
        <f t="shared" si="10"/>
        <v>188672</v>
      </c>
      <c r="H27" s="735">
        <f t="shared" si="10"/>
        <v>135219.54487000001</v>
      </c>
      <c r="I27" s="735">
        <f t="shared" si="10"/>
        <v>71749.27681000001</v>
      </c>
      <c r="J27" s="735">
        <f t="shared" si="10"/>
        <v>326708.82167999999</v>
      </c>
      <c r="K27" s="735">
        <f t="shared" si="10"/>
        <v>18637</v>
      </c>
      <c r="L27" s="735">
        <f t="shared" si="10"/>
        <v>-8881</v>
      </c>
      <c r="M27" s="735">
        <f t="shared" si="10"/>
        <v>216724.82167999999</v>
      </c>
      <c r="N27" s="735">
        <f t="shared" si="10"/>
        <v>62281</v>
      </c>
      <c r="O27" s="735">
        <f>O53+O79</f>
        <v>72037</v>
      </c>
      <c r="P27" s="735">
        <f>P7+P13+P18-P20</f>
        <v>143786.27681000001</v>
      </c>
    </row>
    <row r="28" spans="2:16">
      <c r="H28" s="736"/>
    </row>
    <row r="29" spans="2:16">
      <c r="B29" s="737" t="s">
        <v>293</v>
      </c>
      <c r="C29" s="737"/>
      <c r="D29" s="737"/>
      <c r="E29" s="737"/>
      <c r="F29" s="737"/>
    </row>
    <row r="30" spans="2:16">
      <c r="B30" s="719" t="s">
        <v>736</v>
      </c>
      <c r="C30" s="720" t="s">
        <v>298</v>
      </c>
      <c r="D30" s="720" t="s">
        <v>297</v>
      </c>
      <c r="E30" s="720" t="s">
        <v>296</v>
      </c>
      <c r="F30" s="720" t="s">
        <v>295</v>
      </c>
      <c r="G30" s="720">
        <v>2019</v>
      </c>
      <c r="H30" s="720" t="s">
        <v>294</v>
      </c>
      <c r="I30" s="720" t="s">
        <v>301</v>
      </c>
      <c r="J30" s="720" t="s">
        <v>639</v>
      </c>
      <c r="K30" s="720" t="s">
        <v>300</v>
      </c>
      <c r="L30" s="720" t="s">
        <v>299</v>
      </c>
      <c r="M30" s="720">
        <v>2020</v>
      </c>
      <c r="N30" s="720" t="s">
        <v>764</v>
      </c>
      <c r="O30" s="720" t="s">
        <v>846</v>
      </c>
      <c r="P30" s="720" t="s">
        <v>847</v>
      </c>
    </row>
    <row r="31" spans="2:16">
      <c r="B31" s="721" t="s">
        <v>18</v>
      </c>
      <c r="C31" s="722">
        <v>75662</v>
      </c>
      <c r="D31" s="722">
        <v>59922</v>
      </c>
      <c r="E31" s="722">
        <v>84151</v>
      </c>
      <c r="F31" s="722">
        <v>213105</v>
      </c>
      <c r="G31" s="722">
        <v>432840</v>
      </c>
      <c r="H31" s="722">
        <f>'[9]Поквартально ИИ 2кв 20'!T72</f>
        <v>175989</v>
      </c>
      <c r="I31" s="722">
        <f>'[9]Поквартально ИИ 2кв 20'!U72</f>
        <v>69786</v>
      </c>
      <c r="J31" s="723">
        <f>E31+F31+H31+I31</f>
        <v>543031</v>
      </c>
      <c r="K31" s="722">
        <f>'[9]Поквартально ИИ 2кв 20'!V72</f>
        <v>33560</v>
      </c>
      <c r="L31" s="722">
        <f>'[9]Поквартально ИИ 2кв 20'!W72</f>
        <v>39698</v>
      </c>
      <c r="M31" s="722">
        <f>H31+I31+K31+L31</f>
        <v>319033</v>
      </c>
      <c r="N31" s="722">
        <v>73138</v>
      </c>
      <c r="O31" s="723">
        <f>K31+L31+N31</f>
        <v>146396</v>
      </c>
      <c r="P31" s="722">
        <f>I31+K31+L31+N31</f>
        <v>216182</v>
      </c>
    </row>
    <row r="32" spans="2:16">
      <c r="B32" s="724" t="s">
        <v>291</v>
      </c>
      <c r="C32" s="725">
        <v>65317</v>
      </c>
      <c r="D32" s="725">
        <v>49191</v>
      </c>
      <c r="E32" s="725">
        <v>77346</v>
      </c>
      <c r="F32" s="725">
        <v>162127</v>
      </c>
      <c r="G32" s="725">
        <v>353981</v>
      </c>
      <c r="H32" s="725">
        <f>'[9]Поквартально ИИ 2кв 20'!T73</f>
        <v>77408</v>
      </c>
      <c r="I32" s="725">
        <f>'[9]Поквартально ИИ 2кв 20'!U73</f>
        <v>26852</v>
      </c>
      <c r="J32" s="726">
        <f>E32+F32+H32+I32</f>
        <v>343733</v>
      </c>
      <c r="K32" s="725">
        <f>'[9]Поквартально ИИ 2кв 20'!V73</f>
        <v>54175</v>
      </c>
      <c r="L32" s="725">
        <f>'[9]Поквартально ИИ 2кв 20'!W73</f>
        <v>101167</v>
      </c>
      <c r="M32" s="725">
        <f>H32+I32+K32+L32</f>
        <v>259602</v>
      </c>
      <c r="N32" s="725">
        <v>65875</v>
      </c>
      <c r="O32" s="726">
        <f>K32+L32+N32</f>
        <v>221217</v>
      </c>
      <c r="P32" s="725">
        <f>I32+K32+L32+N32</f>
        <v>248069</v>
      </c>
    </row>
    <row r="33" spans="2:16">
      <c r="B33" s="727" t="s">
        <v>848</v>
      </c>
      <c r="C33" s="725">
        <v>16755</v>
      </c>
      <c r="D33" s="725">
        <v>16777</v>
      </c>
      <c r="E33" s="725">
        <v>14731</v>
      </c>
      <c r="F33" s="725">
        <v>15685</v>
      </c>
      <c r="G33" s="725">
        <v>63948</v>
      </c>
      <c r="H33" s="725">
        <f>'[9]Поквартально ИИ 2кв 20'!T91</f>
        <v>16879.98487</v>
      </c>
      <c r="I33" s="725">
        <f>'[9]Поквартально ИИ 2кв 20'!U91</f>
        <v>16802.276810000007</v>
      </c>
      <c r="J33" s="726">
        <f>E33+F33+H33+I33</f>
        <v>64098.261680000011</v>
      </c>
      <c r="K33" s="725">
        <v>22947</v>
      </c>
      <c r="L33" s="725">
        <v>20152</v>
      </c>
      <c r="M33" s="725">
        <f>H33+I33+K33+L33</f>
        <v>76781.261680000011</v>
      </c>
      <c r="N33" s="725">
        <v>20971</v>
      </c>
      <c r="O33" s="726">
        <f>K33+L33+N33</f>
        <v>64070</v>
      </c>
      <c r="P33" s="725">
        <f>I33+K33+L33+N33</f>
        <v>80872.27681000001</v>
      </c>
    </row>
    <row r="34" spans="2:16">
      <c r="B34" s="727"/>
      <c r="C34" s="727"/>
      <c r="D34" s="727"/>
      <c r="E34" s="727"/>
      <c r="F34" s="727"/>
      <c r="G34" s="725"/>
      <c r="H34" s="725"/>
      <c r="I34" s="725"/>
      <c r="J34" s="726"/>
      <c r="K34" s="725"/>
      <c r="L34" s="725"/>
      <c r="M34" s="725"/>
      <c r="N34" s="725"/>
      <c r="O34" s="728"/>
      <c r="P34" s="725"/>
    </row>
    <row r="35" spans="2:16">
      <c r="B35" s="729" t="s">
        <v>290</v>
      </c>
      <c r="C35" s="723">
        <f t="shared" ref="C35:N35" si="11">C31-C32</f>
        <v>10345</v>
      </c>
      <c r="D35" s="723">
        <f t="shared" si="11"/>
        <v>10731</v>
      </c>
      <c r="E35" s="723">
        <f t="shared" si="11"/>
        <v>6805</v>
      </c>
      <c r="F35" s="723">
        <f t="shared" si="11"/>
        <v>50978</v>
      </c>
      <c r="G35" s="723">
        <f t="shared" si="11"/>
        <v>78859</v>
      </c>
      <c r="H35" s="723">
        <f t="shared" si="11"/>
        <v>98581</v>
      </c>
      <c r="I35" s="723">
        <f t="shared" si="11"/>
        <v>42934</v>
      </c>
      <c r="J35" s="723">
        <f t="shared" si="11"/>
        <v>199298</v>
      </c>
      <c r="K35" s="723">
        <f t="shared" si="11"/>
        <v>-20615</v>
      </c>
      <c r="L35" s="723">
        <f t="shared" si="11"/>
        <v>-61469</v>
      </c>
      <c r="M35" s="723">
        <f t="shared" si="11"/>
        <v>59431</v>
      </c>
      <c r="N35" s="723">
        <f t="shared" si="11"/>
        <v>7263</v>
      </c>
      <c r="O35" s="723">
        <f>K35+L35+N35</f>
        <v>-74821</v>
      </c>
      <c r="P35" s="723">
        <f>P31-P32</f>
        <v>-31887</v>
      </c>
    </row>
    <row r="36" spans="2:16">
      <c r="B36" s="724" t="s">
        <v>289</v>
      </c>
      <c r="C36" s="730">
        <v>0</v>
      </c>
      <c r="D36" s="730">
        <v>0</v>
      </c>
      <c r="E36" s="730">
        <v>0</v>
      </c>
      <c r="F36" s="730">
        <v>0</v>
      </c>
      <c r="G36" s="730">
        <v>0</v>
      </c>
      <c r="H36" s="730">
        <v>0</v>
      </c>
      <c r="I36" s="725">
        <v>0</v>
      </c>
      <c r="J36" s="726">
        <f>E36+F36+H36+I36</f>
        <v>0</v>
      </c>
      <c r="K36" s="725">
        <v>0</v>
      </c>
      <c r="L36" s="725">
        <v>0</v>
      </c>
      <c r="M36" s="725">
        <f>H36+I36+K36+L36</f>
        <v>0</v>
      </c>
      <c r="N36" s="725">
        <v>0</v>
      </c>
      <c r="O36" s="726">
        <f>K36+L36+N36</f>
        <v>0</v>
      </c>
      <c r="P36" s="725">
        <f>I36+K36+L36+N36</f>
        <v>0</v>
      </c>
    </row>
    <row r="37" spans="2:16">
      <c r="B37" s="724" t="s">
        <v>288</v>
      </c>
      <c r="C37" s="730">
        <v>0</v>
      </c>
      <c r="D37" s="730">
        <v>0</v>
      </c>
      <c r="E37" s="730">
        <v>0</v>
      </c>
      <c r="F37" s="730">
        <v>0</v>
      </c>
      <c r="G37" s="730">
        <v>0</v>
      </c>
      <c r="H37" s="730">
        <v>0</v>
      </c>
      <c r="I37" s="725">
        <v>0</v>
      </c>
      <c r="J37" s="726">
        <f>E37+F37+H37+I37</f>
        <v>0</v>
      </c>
      <c r="K37" s="725">
        <v>0</v>
      </c>
      <c r="L37" s="725">
        <v>0</v>
      </c>
      <c r="M37" s="725">
        <f>H37+I37+K37+L37</f>
        <v>0</v>
      </c>
      <c r="N37" s="725">
        <v>0</v>
      </c>
      <c r="O37" s="726">
        <f>K37+L37+N37</f>
        <v>0</v>
      </c>
      <c r="P37" s="725">
        <f>I37+K37+L37+N37</f>
        <v>0</v>
      </c>
    </row>
    <row r="38" spans="2:16">
      <c r="B38" s="724"/>
      <c r="C38" s="724"/>
      <c r="D38" s="724"/>
      <c r="E38" s="724"/>
      <c r="F38" s="724"/>
      <c r="G38" s="730"/>
      <c r="H38" s="730"/>
      <c r="I38" s="725"/>
      <c r="J38" s="726"/>
      <c r="K38" s="725"/>
      <c r="L38" s="725"/>
      <c r="M38" s="725"/>
      <c r="N38" s="725"/>
      <c r="O38" s="728"/>
      <c r="P38" s="725"/>
    </row>
    <row r="39" spans="2:16">
      <c r="B39" s="733" t="s">
        <v>287</v>
      </c>
      <c r="C39" s="723">
        <f t="shared" ref="C39:N39" si="12">C35-C36-C37</f>
        <v>10345</v>
      </c>
      <c r="D39" s="723">
        <f t="shared" si="12"/>
        <v>10731</v>
      </c>
      <c r="E39" s="723">
        <f t="shared" si="12"/>
        <v>6805</v>
      </c>
      <c r="F39" s="723">
        <f t="shared" si="12"/>
        <v>50978</v>
      </c>
      <c r="G39" s="723">
        <f t="shared" si="12"/>
        <v>78859</v>
      </c>
      <c r="H39" s="723">
        <f t="shared" si="12"/>
        <v>98581</v>
      </c>
      <c r="I39" s="723">
        <f t="shared" si="12"/>
        <v>42934</v>
      </c>
      <c r="J39" s="723">
        <f t="shared" si="12"/>
        <v>199298</v>
      </c>
      <c r="K39" s="723">
        <f t="shared" si="12"/>
        <v>-20615</v>
      </c>
      <c r="L39" s="723">
        <f t="shared" si="12"/>
        <v>-61469</v>
      </c>
      <c r="M39" s="723">
        <f t="shared" si="12"/>
        <v>59431</v>
      </c>
      <c r="N39" s="723">
        <f t="shared" si="12"/>
        <v>7263</v>
      </c>
      <c r="O39" s="723">
        <f>K39+L39+N39</f>
        <v>-74821</v>
      </c>
      <c r="P39" s="723">
        <f>P35-P36-P37</f>
        <v>-31887</v>
      </c>
    </row>
    <row r="40" spans="2:16">
      <c r="B40" s="724" t="s">
        <v>286</v>
      </c>
      <c r="C40" s="730">
        <v>0</v>
      </c>
      <c r="D40" s="730">
        <v>0</v>
      </c>
      <c r="E40" s="730">
        <v>0</v>
      </c>
      <c r="F40" s="730">
        <v>0</v>
      </c>
      <c r="G40" s="730">
        <v>0</v>
      </c>
      <c r="H40" s="730">
        <f>'[9]Поквартально ИИ 2кв 20'!T81</f>
        <v>0</v>
      </c>
      <c r="I40" s="730">
        <f>'[9]Поквартально ИИ 2кв 20'!U81</f>
        <v>0</v>
      </c>
      <c r="J40" s="726">
        <f t="shared" ref="J40:J46" si="13">E40+F40+H40+I40</f>
        <v>0</v>
      </c>
      <c r="K40" s="730">
        <f>'[9]Поквартально ИИ 2кв 20'!V81</f>
        <v>0</v>
      </c>
      <c r="L40" s="730">
        <f>'[9]Поквартально ИИ 2кв 20'!W81</f>
        <v>0</v>
      </c>
      <c r="M40" s="725">
        <f>H40+I40+K40+L40</f>
        <v>0</v>
      </c>
      <c r="N40" s="730">
        <v>0</v>
      </c>
      <c r="O40" s="726">
        <f t="shared" ref="O40:O46" si="14">K40+L40+N40</f>
        <v>0</v>
      </c>
      <c r="P40" s="725">
        <f>I40+K40+L40+N40</f>
        <v>0</v>
      </c>
    </row>
    <row r="41" spans="2:16">
      <c r="B41" s="724" t="s">
        <v>285</v>
      </c>
      <c r="C41" s="725">
        <v>706</v>
      </c>
      <c r="D41" s="725">
        <v>564</v>
      </c>
      <c r="E41" s="725">
        <v>103</v>
      </c>
      <c r="F41" s="725">
        <v>166</v>
      </c>
      <c r="G41" s="725">
        <v>1539</v>
      </c>
      <c r="H41" s="730">
        <f>'[9]Поквартально ИИ 2кв 20'!T79</f>
        <v>423</v>
      </c>
      <c r="I41" s="730">
        <f>'[9]Поквартально ИИ 2кв 20'!U79</f>
        <v>1012</v>
      </c>
      <c r="J41" s="726">
        <f t="shared" si="13"/>
        <v>1704</v>
      </c>
      <c r="K41" s="730">
        <f>'[9]Поквартально ИИ 2кв 20'!V79</f>
        <v>621</v>
      </c>
      <c r="L41" s="730">
        <f>'[9]Поквартально ИИ 2кв 20'!W79</f>
        <v>337</v>
      </c>
      <c r="M41" s="725">
        <f t="shared" ref="M41:M46" si="15">H41+I41+K41+L41</f>
        <v>2393</v>
      </c>
      <c r="N41" s="730">
        <v>252</v>
      </c>
      <c r="O41" s="726">
        <f t="shared" si="14"/>
        <v>1210</v>
      </c>
      <c r="P41" s="725">
        <f t="shared" ref="P41:P46" si="16">I41+K41+L41+N41</f>
        <v>2222</v>
      </c>
    </row>
    <row r="42" spans="2:16">
      <c r="B42" s="724" t="s">
        <v>284</v>
      </c>
      <c r="C42" s="725">
        <v>4838</v>
      </c>
      <c r="D42" s="725">
        <v>4731</v>
      </c>
      <c r="E42" s="725">
        <v>4459</v>
      </c>
      <c r="F42" s="725">
        <v>6873</v>
      </c>
      <c r="G42" s="725">
        <v>20901</v>
      </c>
      <c r="H42" s="725">
        <f>'[9]Поквартально ИИ 2кв 20'!T80</f>
        <v>3501</v>
      </c>
      <c r="I42" s="725">
        <f>'[9]Поквартально ИИ 2кв 20'!U80</f>
        <v>3172</v>
      </c>
      <c r="J42" s="726">
        <f t="shared" si="13"/>
        <v>18005</v>
      </c>
      <c r="K42" s="725">
        <f>'[9]Поквартально ИИ 2кв 20'!V80</f>
        <v>2826</v>
      </c>
      <c r="L42" s="725">
        <f>'[9]Поквартально ИИ 2кв 20'!W80</f>
        <v>3335</v>
      </c>
      <c r="M42" s="725">
        <f t="shared" si="15"/>
        <v>12834</v>
      </c>
      <c r="N42" s="725">
        <v>3869</v>
      </c>
      <c r="O42" s="726">
        <f t="shared" si="14"/>
        <v>10030</v>
      </c>
      <c r="P42" s="725">
        <f t="shared" si="16"/>
        <v>13202</v>
      </c>
    </row>
    <row r="43" spans="2:16">
      <c r="B43" s="724" t="s">
        <v>283</v>
      </c>
      <c r="C43" s="725">
        <v>514</v>
      </c>
      <c r="D43" s="725">
        <v>949</v>
      </c>
      <c r="E43" s="725">
        <v>288</v>
      </c>
      <c r="F43" s="725">
        <v>54272</v>
      </c>
      <c r="G43" s="725">
        <v>56023</v>
      </c>
      <c r="H43" s="725">
        <f>'[9]Поквартально ИИ 2кв 20'!T82</f>
        <v>198</v>
      </c>
      <c r="I43" s="725">
        <f>'[9]Поквартально ИИ 2кв 20'!U82</f>
        <v>1751</v>
      </c>
      <c r="J43" s="726">
        <f t="shared" si="13"/>
        <v>56509</v>
      </c>
      <c r="K43" s="725">
        <f>'[9]Поквартально ИИ 2кв 20'!V82</f>
        <v>763</v>
      </c>
      <c r="L43" s="725">
        <f>'[9]Поквартально ИИ 2кв 20'!W82</f>
        <v>4266</v>
      </c>
      <c r="M43" s="725">
        <f t="shared" si="15"/>
        <v>6978</v>
      </c>
      <c r="N43" s="725">
        <v>12</v>
      </c>
      <c r="O43" s="726">
        <f t="shared" si="14"/>
        <v>5041</v>
      </c>
      <c r="P43" s="725">
        <f t="shared" si="16"/>
        <v>6792</v>
      </c>
    </row>
    <row r="44" spans="2:16">
      <c r="B44" s="732" t="s">
        <v>850</v>
      </c>
      <c r="C44" s="725">
        <v>45</v>
      </c>
      <c r="D44" s="725">
        <v>8</v>
      </c>
      <c r="E44" s="725">
        <v>0</v>
      </c>
      <c r="F44" s="725">
        <v>7668</v>
      </c>
      <c r="G44" s="725">
        <v>7721</v>
      </c>
      <c r="H44" s="725">
        <v>198</v>
      </c>
      <c r="I44" s="725">
        <v>-116</v>
      </c>
      <c r="J44" s="726">
        <f t="shared" si="13"/>
        <v>7750</v>
      </c>
      <c r="K44" s="725">
        <v>766</v>
      </c>
      <c r="L44" s="725">
        <v>4082</v>
      </c>
      <c r="M44" s="725">
        <f t="shared" si="15"/>
        <v>4930</v>
      </c>
      <c r="N44" s="725">
        <v>0</v>
      </c>
      <c r="O44" s="726">
        <f t="shared" si="14"/>
        <v>4848</v>
      </c>
      <c r="P44" s="725">
        <f t="shared" si="16"/>
        <v>4732</v>
      </c>
    </row>
    <row r="45" spans="2:16">
      <c r="B45" s="724" t="s">
        <v>282</v>
      </c>
      <c r="C45" s="725">
        <v>634</v>
      </c>
      <c r="D45" s="725">
        <v>216</v>
      </c>
      <c r="E45" s="725">
        <v>472</v>
      </c>
      <c r="F45" s="725">
        <v>18185</v>
      </c>
      <c r="G45" s="725">
        <v>19507</v>
      </c>
      <c r="H45" s="725">
        <f>'[9]Поквартально ИИ 2кв 20'!T83</f>
        <v>1353</v>
      </c>
      <c r="I45" s="725">
        <f>'[9]Поквартально ИИ 2кв 20'!U83</f>
        <v>1301</v>
      </c>
      <c r="J45" s="726">
        <f t="shared" si="13"/>
        <v>21311</v>
      </c>
      <c r="K45" s="725">
        <f>'[9]Поквартально ИИ 2кв 20'!V83</f>
        <v>2478</v>
      </c>
      <c r="L45" s="725">
        <f>'[9]Поквартально ИИ 2кв 20'!W83</f>
        <v>788</v>
      </c>
      <c r="M45" s="725">
        <f t="shared" si="15"/>
        <v>5920</v>
      </c>
      <c r="N45" s="725">
        <v>808</v>
      </c>
      <c r="O45" s="726">
        <f t="shared" si="14"/>
        <v>4074</v>
      </c>
      <c r="P45" s="725">
        <f t="shared" si="16"/>
        <v>5375</v>
      </c>
    </row>
    <row r="46" spans="2:16">
      <c r="B46" s="732" t="s">
        <v>851</v>
      </c>
      <c r="C46" s="725">
        <v>394</v>
      </c>
      <c r="D46" s="725">
        <v>136</v>
      </c>
      <c r="E46" s="725">
        <v>312</v>
      </c>
      <c r="F46" s="725">
        <v>1155</v>
      </c>
      <c r="G46" s="725">
        <v>1997</v>
      </c>
      <c r="H46" s="725">
        <v>270</v>
      </c>
      <c r="I46" s="725">
        <v>1208</v>
      </c>
      <c r="J46" s="726">
        <f t="shared" si="13"/>
        <v>2945</v>
      </c>
      <c r="K46" s="725">
        <v>564</v>
      </c>
      <c r="L46" s="724">
        <v>296</v>
      </c>
      <c r="M46" s="725">
        <f t="shared" si="15"/>
        <v>2338</v>
      </c>
      <c r="N46" s="725">
        <v>191</v>
      </c>
      <c r="O46" s="726">
        <f t="shared" si="14"/>
        <v>1051</v>
      </c>
      <c r="P46" s="725">
        <f t="shared" si="16"/>
        <v>2259</v>
      </c>
    </row>
    <row r="47" spans="2:16">
      <c r="B47" s="732"/>
      <c r="C47" s="732"/>
      <c r="D47" s="732"/>
      <c r="E47" s="732"/>
      <c r="F47" s="732"/>
      <c r="G47" s="725"/>
      <c r="H47" s="725"/>
      <c r="I47" s="725"/>
      <c r="J47" s="726"/>
      <c r="K47" s="725"/>
      <c r="L47" s="724"/>
      <c r="M47" s="725"/>
      <c r="N47" s="725"/>
      <c r="O47" s="728"/>
      <c r="P47" s="725"/>
    </row>
    <row r="48" spans="2:16">
      <c r="B48" s="733" t="s">
        <v>281</v>
      </c>
      <c r="C48" s="723">
        <f t="shared" ref="C48:N48" si="17">C39+C40+C41-C42+C43-C45</f>
        <v>6093</v>
      </c>
      <c r="D48" s="723">
        <f t="shared" si="17"/>
        <v>7297</v>
      </c>
      <c r="E48" s="723">
        <f t="shared" si="17"/>
        <v>2265</v>
      </c>
      <c r="F48" s="723">
        <f t="shared" si="17"/>
        <v>80358</v>
      </c>
      <c r="G48" s="723">
        <f t="shared" si="17"/>
        <v>96013</v>
      </c>
      <c r="H48" s="723">
        <f t="shared" si="17"/>
        <v>94348</v>
      </c>
      <c r="I48" s="723">
        <f t="shared" si="17"/>
        <v>41224</v>
      </c>
      <c r="J48" s="723">
        <f t="shared" si="17"/>
        <v>218195</v>
      </c>
      <c r="K48" s="723">
        <f t="shared" si="17"/>
        <v>-24535</v>
      </c>
      <c r="L48" s="723">
        <f t="shared" si="17"/>
        <v>-60989</v>
      </c>
      <c r="M48" s="723">
        <f t="shared" si="17"/>
        <v>50048</v>
      </c>
      <c r="N48" s="723">
        <f t="shared" si="17"/>
        <v>2850</v>
      </c>
      <c r="O48" s="723">
        <f>K48+L48+N48</f>
        <v>-82674</v>
      </c>
      <c r="P48" s="723">
        <f>P39+P40+P41-P42+P43-P45</f>
        <v>-41450</v>
      </c>
    </row>
    <row r="49" spans="2:16">
      <c r="B49" s="724" t="s">
        <v>280</v>
      </c>
      <c r="C49" s="730">
        <v>0</v>
      </c>
      <c r="D49" s="730">
        <v>0</v>
      </c>
      <c r="E49" s="730">
        <v>0</v>
      </c>
      <c r="F49" s="730">
        <v>0</v>
      </c>
      <c r="G49" s="730">
        <v>0</v>
      </c>
      <c r="H49" s="730">
        <v>0</v>
      </c>
      <c r="I49" s="730">
        <v>0</v>
      </c>
      <c r="J49" s="726">
        <f>E49+F49+H49+I49</f>
        <v>0</v>
      </c>
      <c r="K49" s="730">
        <v>0</v>
      </c>
      <c r="L49" s="730">
        <v>0</v>
      </c>
      <c r="M49" s="725">
        <f>H49+I49+K49+L49</f>
        <v>0</v>
      </c>
      <c r="N49" s="730">
        <v>0</v>
      </c>
      <c r="O49" s="726">
        <f>K49+L49+N49</f>
        <v>0</v>
      </c>
      <c r="P49" s="725">
        <f>I49+K49+L49+N49</f>
        <v>0</v>
      </c>
    </row>
    <row r="50" spans="2:16">
      <c r="B50" s="724"/>
      <c r="C50" s="724"/>
      <c r="D50" s="724"/>
      <c r="E50" s="724"/>
      <c r="F50" s="724"/>
      <c r="G50" s="730"/>
      <c r="H50" s="730"/>
      <c r="I50" s="730"/>
      <c r="J50" s="731"/>
      <c r="K50" s="730"/>
      <c r="L50" s="730"/>
      <c r="M50" s="730"/>
      <c r="N50" s="730"/>
      <c r="O50" s="728"/>
      <c r="P50" s="725"/>
    </row>
    <row r="51" spans="2:16">
      <c r="B51" s="733" t="s">
        <v>279</v>
      </c>
      <c r="C51" s="723">
        <f t="shared" ref="C51:N51" si="18">C48-C49</f>
        <v>6093</v>
      </c>
      <c r="D51" s="723">
        <f t="shared" si="18"/>
        <v>7297</v>
      </c>
      <c r="E51" s="723">
        <f t="shared" si="18"/>
        <v>2265</v>
      </c>
      <c r="F51" s="723">
        <f t="shared" si="18"/>
        <v>80358</v>
      </c>
      <c r="G51" s="723">
        <f t="shared" si="18"/>
        <v>96013</v>
      </c>
      <c r="H51" s="723">
        <f t="shared" si="18"/>
        <v>94348</v>
      </c>
      <c r="I51" s="723">
        <f t="shared" si="18"/>
        <v>41224</v>
      </c>
      <c r="J51" s="723">
        <f t="shared" si="18"/>
        <v>218195</v>
      </c>
      <c r="K51" s="723">
        <f t="shared" si="18"/>
        <v>-24535</v>
      </c>
      <c r="L51" s="723">
        <f t="shared" si="18"/>
        <v>-60989</v>
      </c>
      <c r="M51" s="723">
        <f t="shared" si="18"/>
        <v>50048</v>
      </c>
      <c r="N51" s="723">
        <f t="shared" si="18"/>
        <v>2850</v>
      </c>
      <c r="O51" s="723">
        <f>K51+L51+N51</f>
        <v>-82674</v>
      </c>
      <c r="P51" s="723">
        <f>P48-P49</f>
        <v>-41450</v>
      </c>
    </row>
    <row r="52" spans="2:16">
      <c r="B52" s="721"/>
      <c r="C52" s="721"/>
      <c r="D52" s="721"/>
      <c r="E52" s="721"/>
      <c r="F52" s="721"/>
      <c r="G52" s="722"/>
      <c r="H52" s="722"/>
      <c r="I52" s="722"/>
      <c r="J52" s="723"/>
      <c r="K52" s="722"/>
      <c r="L52" s="722"/>
      <c r="M52" s="722"/>
      <c r="N52" s="722"/>
      <c r="O52" s="728"/>
      <c r="P52" s="725"/>
    </row>
    <row r="53" spans="2:16">
      <c r="B53" s="734" t="s">
        <v>19</v>
      </c>
      <c r="C53" s="735">
        <f t="shared" ref="C53:L53" si="19">C33+C39+C44-C46</f>
        <v>26751</v>
      </c>
      <c r="D53" s="735">
        <f t="shared" si="19"/>
        <v>27380</v>
      </c>
      <c r="E53" s="735">
        <f t="shared" si="19"/>
        <v>21224</v>
      </c>
      <c r="F53" s="735">
        <f t="shared" si="19"/>
        <v>73176</v>
      </c>
      <c r="G53" s="735">
        <f t="shared" si="19"/>
        <v>148531</v>
      </c>
      <c r="H53" s="735">
        <f t="shared" si="19"/>
        <v>115388.98487</v>
      </c>
      <c r="I53" s="735">
        <f t="shared" si="19"/>
        <v>58412.27681000001</v>
      </c>
      <c r="J53" s="735">
        <f t="shared" si="19"/>
        <v>268201.26168</v>
      </c>
      <c r="K53" s="735">
        <f t="shared" si="19"/>
        <v>2534</v>
      </c>
      <c r="L53" s="735">
        <f t="shared" si="19"/>
        <v>-37531</v>
      </c>
      <c r="M53" s="735">
        <f>M33+M39+M44-M46</f>
        <v>138804.26168</v>
      </c>
      <c r="N53" s="735">
        <f>N33+N39+N44-N46</f>
        <v>28043</v>
      </c>
      <c r="O53" s="735">
        <f>K53+L53+N53</f>
        <v>-6954</v>
      </c>
      <c r="P53" s="735">
        <f>P33+P39+P44-P46</f>
        <v>51458.27681000001</v>
      </c>
    </row>
    <row r="54" spans="2:16">
      <c r="B54" s="737"/>
      <c r="C54" s="737"/>
      <c r="D54" s="737"/>
      <c r="E54" s="737"/>
      <c r="F54" s="737"/>
    </row>
    <row r="55" spans="2:16">
      <c r="B55" s="737" t="s">
        <v>292</v>
      </c>
      <c r="C55" s="737"/>
      <c r="D55" s="737"/>
      <c r="E55" s="737"/>
      <c r="F55" s="737"/>
    </row>
    <row r="56" spans="2:16">
      <c r="B56" s="719" t="s">
        <v>736</v>
      </c>
      <c r="C56" s="720" t="s">
        <v>298</v>
      </c>
      <c r="D56" s="720" t="s">
        <v>297</v>
      </c>
      <c r="E56" s="720" t="s">
        <v>296</v>
      </c>
      <c r="F56" s="720" t="s">
        <v>295</v>
      </c>
      <c r="G56" s="720">
        <v>2019</v>
      </c>
      <c r="H56" s="720" t="s">
        <v>294</v>
      </c>
      <c r="I56" s="720" t="s">
        <v>301</v>
      </c>
      <c r="J56" s="720" t="s">
        <v>639</v>
      </c>
      <c r="K56" s="720" t="s">
        <v>300</v>
      </c>
      <c r="L56" s="720" t="s">
        <v>299</v>
      </c>
      <c r="M56" s="720">
        <v>2020</v>
      </c>
      <c r="N56" s="720" t="s">
        <v>764</v>
      </c>
      <c r="O56" s="720" t="s">
        <v>846</v>
      </c>
      <c r="P56" s="720" t="s">
        <v>847</v>
      </c>
    </row>
    <row r="57" spans="2:16">
      <c r="B57" s="721" t="s">
        <v>18</v>
      </c>
      <c r="C57" s="722">
        <v>13328</v>
      </c>
      <c r="D57" s="722">
        <v>6949</v>
      </c>
      <c r="E57" s="722">
        <v>27370</v>
      </c>
      <c r="F57" s="722">
        <v>51217</v>
      </c>
      <c r="G57" s="722">
        <v>98864</v>
      </c>
      <c r="H57" s="722">
        <f>'[9]Поквартально НЗ 2кв 20 '!T75</f>
        <v>46016</v>
      </c>
      <c r="I57" s="722">
        <f>'[9]Поквартально НЗ 2кв 20 '!U75</f>
        <v>14551</v>
      </c>
      <c r="J57" s="723">
        <f>E57+F57+H57+I57</f>
        <v>139154</v>
      </c>
      <c r="K57" s="722">
        <f>'[9]Поквартально НЗ 2кв 20 '!V75</f>
        <v>20587</v>
      </c>
      <c r="L57" s="722">
        <f>'[9]Поквартально НЗ 2кв 20 '!W75</f>
        <v>57234</v>
      </c>
      <c r="M57" s="722">
        <f>H57+I57+K57+L57</f>
        <v>138388</v>
      </c>
      <c r="N57" s="722">
        <v>71615</v>
      </c>
      <c r="O57" s="723">
        <f>K57+L57+N57</f>
        <v>149436</v>
      </c>
      <c r="P57" s="722">
        <f>I57+K57+L57+N57</f>
        <v>163987</v>
      </c>
    </row>
    <row r="58" spans="2:16">
      <c r="B58" s="724" t="s">
        <v>291</v>
      </c>
      <c r="C58" s="725">
        <v>10060</v>
      </c>
      <c r="D58" s="725">
        <v>6313</v>
      </c>
      <c r="E58" s="725">
        <v>27736</v>
      </c>
      <c r="F58" s="725">
        <v>43879</v>
      </c>
      <c r="G58" s="725">
        <v>87988</v>
      </c>
      <c r="H58" s="725">
        <f>'[9]Поквартально НЗ 2кв 20 '!T76</f>
        <v>31505</v>
      </c>
      <c r="I58" s="725">
        <f>'[9]Поквартально НЗ 2кв 20 '!U76</f>
        <v>9749</v>
      </c>
      <c r="J58" s="726">
        <f>E58+F58+H58+I58</f>
        <v>112869</v>
      </c>
      <c r="K58" s="725">
        <f>'[9]Поквартально НЗ 2кв 20 '!V76</f>
        <v>17234</v>
      </c>
      <c r="L58" s="725">
        <f>'[9]Поквартально НЗ 2кв 20 '!W76</f>
        <v>37464</v>
      </c>
      <c r="M58" s="725">
        <f>H58+I58+K58+L58</f>
        <v>95952</v>
      </c>
      <c r="N58" s="725">
        <v>44613</v>
      </c>
      <c r="O58" s="726">
        <f>K58+L58+N58</f>
        <v>99311</v>
      </c>
      <c r="P58" s="725">
        <f>I58+K58+L58+N58</f>
        <v>109060</v>
      </c>
    </row>
    <row r="59" spans="2:16">
      <c r="B59" s="727" t="s">
        <v>848</v>
      </c>
      <c r="C59" s="725">
        <v>6132</v>
      </c>
      <c r="D59" s="725">
        <v>5411</v>
      </c>
      <c r="E59" s="725">
        <v>5406</v>
      </c>
      <c r="F59" s="725">
        <v>6581</v>
      </c>
      <c r="G59" s="725">
        <v>23530</v>
      </c>
      <c r="H59" s="725">
        <v>5606</v>
      </c>
      <c r="I59" s="725">
        <v>8698</v>
      </c>
      <c r="J59" s="726">
        <f>E59+F59+H59+I59</f>
        <v>26291</v>
      </c>
      <c r="K59" s="725">
        <v>9042</v>
      </c>
      <c r="L59" s="725">
        <v>9018</v>
      </c>
      <c r="M59" s="725">
        <f>H59+I59+K59+L59</f>
        <v>32364</v>
      </c>
      <c r="N59" s="725">
        <v>7880</v>
      </c>
      <c r="O59" s="726">
        <f>K59+L59+N59</f>
        <v>25940</v>
      </c>
      <c r="P59" s="725">
        <f>I59+K59+L59+N59</f>
        <v>34638</v>
      </c>
    </row>
    <row r="60" spans="2:16">
      <c r="B60" s="727"/>
      <c r="C60" s="727"/>
      <c r="D60" s="727"/>
      <c r="E60" s="727"/>
      <c r="F60" s="727"/>
      <c r="G60" s="725"/>
      <c r="H60" s="725"/>
      <c r="I60" s="725"/>
      <c r="J60" s="726"/>
      <c r="K60" s="725"/>
      <c r="L60" s="725"/>
      <c r="M60" s="725"/>
      <c r="N60" s="725"/>
      <c r="O60" s="728"/>
      <c r="P60" s="725"/>
    </row>
    <row r="61" spans="2:16">
      <c r="B61" s="729" t="s">
        <v>290</v>
      </c>
      <c r="C61" s="723">
        <f t="shared" ref="C61:M61" si="20">C57-C58</f>
        <v>3268</v>
      </c>
      <c r="D61" s="723">
        <f t="shared" si="20"/>
        <v>636</v>
      </c>
      <c r="E61" s="723">
        <f t="shared" si="20"/>
        <v>-366</v>
      </c>
      <c r="F61" s="723">
        <f t="shared" si="20"/>
        <v>7338</v>
      </c>
      <c r="G61" s="723">
        <f t="shared" si="20"/>
        <v>10876</v>
      </c>
      <c r="H61" s="723">
        <f t="shared" si="20"/>
        <v>14511</v>
      </c>
      <c r="I61" s="723">
        <f>I57-I58</f>
        <v>4802</v>
      </c>
      <c r="J61" s="723">
        <f>J57-J58</f>
        <v>26285</v>
      </c>
      <c r="K61" s="723">
        <f t="shared" si="20"/>
        <v>3353</v>
      </c>
      <c r="L61" s="723">
        <f t="shared" si="20"/>
        <v>19770</v>
      </c>
      <c r="M61" s="723">
        <f t="shared" si="20"/>
        <v>42436</v>
      </c>
      <c r="N61" s="723">
        <f>N57-N58</f>
        <v>27002</v>
      </c>
      <c r="O61" s="723">
        <f>O57-O58</f>
        <v>50125</v>
      </c>
      <c r="P61" s="723">
        <f>P57-P58</f>
        <v>54927</v>
      </c>
    </row>
    <row r="62" spans="2:16">
      <c r="B62" s="724" t="s">
        <v>289</v>
      </c>
      <c r="C62" s="725">
        <v>0</v>
      </c>
      <c r="D62" s="725">
        <v>0</v>
      </c>
      <c r="E62" s="725">
        <v>0</v>
      </c>
      <c r="F62" s="725">
        <v>0</v>
      </c>
      <c r="G62" s="725">
        <v>0</v>
      </c>
      <c r="H62" s="725">
        <f>'[9]Поквартально НЗ 2кв 20 '!T78</f>
        <v>0</v>
      </c>
      <c r="I62" s="725">
        <f>'[9]Поквартально НЗ 2кв 20 '!U78</f>
        <v>0</v>
      </c>
      <c r="J62" s="726">
        <f>E62+F62+H62+I62</f>
        <v>0</v>
      </c>
      <c r="K62" s="725">
        <f>'[9]Поквартально НЗ 2кв 20 '!W78</f>
        <v>0</v>
      </c>
      <c r="L62" s="725">
        <f>'[9]Поквартально НЗ 2кв 20 '!W78</f>
        <v>0</v>
      </c>
      <c r="M62" s="725">
        <f>H62+I62+K62+L62</f>
        <v>0</v>
      </c>
      <c r="N62" s="725">
        <v>0</v>
      </c>
      <c r="O62" s="726">
        <f>K62+L62+N62</f>
        <v>0</v>
      </c>
      <c r="P62" s="725">
        <f>I62+K62+L62+N62</f>
        <v>0</v>
      </c>
    </row>
    <row r="63" spans="2:16">
      <c r="B63" s="724" t="s">
        <v>288</v>
      </c>
      <c r="C63" s="725">
        <v>0</v>
      </c>
      <c r="D63" s="725">
        <v>0</v>
      </c>
      <c r="E63" s="725">
        <v>0</v>
      </c>
      <c r="F63" s="725">
        <v>0</v>
      </c>
      <c r="G63" s="725">
        <v>0</v>
      </c>
      <c r="H63" s="725">
        <f>'[9]Поквартально НЗ 2кв 20 '!T79</f>
        <v>0</v>
      </c>
      <c r="I63" s="725">
        <f>'[9]Поквартально НЗ 2кв 20 '!U79</f>
        <v>0</v>
      </c>
      <c r="J63" s="726">
        <f>E63+F63+H63+I63</f>
        <v>0</v>
      </c>
      <c r="K63" s="725">
        <f>'[9]Поквартально НЗ 2кв 20 '!W79</f>
        <v>0</v>
      </c>
      <c r="L63" s="725">
        <f>'[9]Поквартально НЗ 2кв 20 '!W79</f>
        <v>0</v>
      </c>
      <c r="M63" s="725">
        <f>H63+I63+K63+L63</f>
        <v>0</v>
      </c>
      <c r="N63" s="725">
        <v>0</v>
      </c>
      <c r="O63" s="726">
        <f>K63+L63+N63</f>
        <v>0</v>
      </c>
      <c r="P63" s="725">
        <f>I63+K63+L63+N63</f>
        <v>0</v>
      </c>
    </row>
    <row r="64" spans="2:16">
      <c r="B64" s="724"/>
      <c r="C64" s="724"/>
      <c r="D64" s="724"/>
      <c r="E64" s="724"/>
      <c r="F64" s="724"/>
      <c r="G64" s="725"/>
      <c r="H64" s="725"/>
      <c r="I64" s="725"/>
      <c r="J64" s="726"/>
      <c r="K64" s="725"/>
      <c r="L64" s="725"/>
      <c r="M64" s="725"/>
      <c r="N64" s="725"/>
      <c r="O64" s="728"/>
      <c r="P64" s="725"/>
    </row>
    <row r="65" spans="2:16">
      <c r="B65" s="733" t="s">
        <v>287</v>
      </c>
      <c r="C65" s="723">
        <f t="shared" ref="C65:N65" si="21">C61-C62-C63</f>
        <v>3268</v>
      </c>
      <c r="D65" s="723">
        <f t="shared" si="21"/>
        <v>636</v>
      </c>
      <c r="E65" s="723">
        <f t="shared" si="21"/>
        <v>-366</v>
      </c>
      <c r="F65" s="723">
        <f t="shared" si="21"/>
        <v>7338</v>
      </c>
      <c r="G65" s="723">
        <f t="shared" si="21"/>
        <v>10876</v>
      </c>
      <c r="H65" s="723">
        <f t="shared" si="21"/>
        <v>14511</v>
      </c>
      <c r="I65" s="723">
        <f t="shared" si="21"/>
        <v>4802</v>
      </c>
      <c r="J65" s="723">
        <f t="shared" si="21"/>
        <v>26285</v>
      </c>
      <c r="K65" s="723">
        <f t="shared" si="21"/>
        <v>3353</v>
      </c>
      <c r="L65" s="723">
        <f t="shared" si="21"/>
        <v>19770</v>
      </c>
      <c r="M65" s="723">
        <f t="shared" si="21"/>
        <v>42436</v>
      </c>
      <c r="N65" s="723">
        <f t="shared" si="21"/>
        <v>27002</v>
      </c>
      <c r="O65" s="723">
        <f>O61-O62-O63</f>
        <v>50125</v>
      </c>
      <c r="P65" s="723">
        <f>P61-P62-P63</f>
        <v>54927</v>
      </c>
    </row>
    <row r="66" spans="2:16">
      <c r="B66" s="724" t="s">
        <v>286</v>
      </c>
      <c r="C66" s="730">
        <v>0</v>
      </c>
      <c r="D66" s="730">
        <v>0</v>
      </c>
      <c r="E66" s="730">
        <v>0</v>
      </c>
      <c r="F66" s="730">
        <v>0</v>
      </c>
      <c r="G66" s="730">
        <v>0</v>
      </c>
      <c r="H66" s="730">
        <f>'[9]Поквартально НЗ 2кв 20 '!T84</f>
        <v>0</v>
      </c>
      <c r="I66" s="730">
        <f>'[9]Поквартально НЗ 2кв 20 '!U84</f>
        <v>0</v>
      </c>
      <c r="J66" s="726">
        <f t="shared" ref="J66:J72" si="22">E66+F66+H66+I66</f>
        <v>0</v>
      </c>
      <c r="K66" s="730">
        <f>'[9]Поквартально НЗ 2кв 20 '!V84</f>
        <v>0</v>
      </c>
      <c r="L66" s="730">
        <f>'[9]Поквартально НЗ 2кв 20 '!W84</f>
        <v>0</v>
      </c>
      <c r="M66" s="725">
        <f t="shared" ref="M66:M72" si="23">H66+I66+K66+L66</f>
        <v>0</v>
      </c>
      <c r="N66" s="730">
        <v>0</v>
      </c>
      <c r="O66" s="726">
        <f t="shared" ref="O66:O72" si="24">K66+L66+N66</f>
        <v>0</v>
      </c>
      <c r="P66" s="725">
        <f>I66+K66+L66+N66</f>
        <v>0</v>
      </c>
    </row>
    <row r="67" spans="2:16">
      <c r="B67" s="724" t="s">
        <v>285</v>
      </c>
      <c r="C67" s="725">
        <v>0</v>
      </c>
      <c r="D67" s="725">
        <v>0</v>
      </c>
      <c r="E67" s="725">
        <v>0</v>
      </c>
      <c r="F67" s="725">
        <v>0</v>
      </c>
      <c r="G67" s="725">
        <v>0</v>
      </c>
      <c r="H67" s="725">
        <f>'[9]Поквартально НЗ 2кв 20 '!T82</f>
        <v>0</v>
      </c>
      <c r="I67" s="725">
        <f>'[9]Поквартально НЗ 2кв 20 '!U82</f>
        <v>0</v>
      </c>
      <c r="J67" s="726">
        <f t="shared" si="22"/>
        <v>0</v>
      </c>
      <c r="K67" s="725">
        <f>'[9]Поквартально НЗ 2кв 20 '!V82</f>
        <v>0</v>
      </c>
      <c r="L67" s="725">
        <f>'[9]Поквартально НЗ 2кв 20 '!W82</f>
        <v>0</v>
      </c>
      <c r="M67" s="725">
        <f t="shared" si="23"/>
        <v>0</v>
      </c>
      <c r="N67" s="725">
        <v>0</v>
      </c>
      <c r="O67" s="726">
        <f t="shared" si="24"/>
        <v>0</v>
      </c>
      <c r="P67" s="725">
        <f t="shared" ref="P67:P72" si="25">I67+K67+L67+N67</f>
        <v>0</v>
      </c>
    </row>
    <row r="68" spans="2:16">
      <c r="B68" s="724" t="s">
        <v>284</v>
      </c>
      <c r="C68" s="725">
        <v>611</v>
      </c>
      <c r="D68" s="725">
        <v>626</v>
      </c>
      <c r="E68" s="725">
        <v>711</v>
      </c>
      <c r="F68" s="725">
        <v>671</v>
      </c>
      <c r="G68" s="725">
        <v>2619</v>
      </c>
      <c r="H68" s="725">
        <f>'[9]Поквартально НЗ 2кв 20 '!T83</f>
        <v>297</v>
      </c>
      <c r="I68" s="725">
        <f>'[9]Поквартально НЗ 2кв 20 '!U83</f>
        <v>340</v>
      </c>
      <c r="J68" s="726">
        <f t="shared" si="22"/>
        <v>2019</v>
      </c>
      <c r="K68" s="725">
        <f>'[9]Поквартально НЗ 2кв 20 '!V83</f>
        <v>416</v>
      </c>
      <c r="L68" s="725">
        <f>'[9]Поквартально НЗ 2кв 20 '!W83</f>
        <v>360</v>
      </c>
      <c r="M68" s="725">
        <f t="shared" si="23"/>
        <v>1413</v>
      </c>
      <c r="N68" s="725">
        <v>254</v>
      </c>
      <c r="O68" s="726">
        <f t="shared" si="24"/>
        <v>1030</v>
      </c>
      <c r="P68" s="725">
        <f t="shared" si="25"/>
        <v>1370</v>
      </c>
    </row>
    <row r="69" spans="2:16">
      <c r="B69" s="724" t="s">
        <v>283</v>
      </c>
      <c r="C69" s="725">
        <v>766</v>
      </c>
      <c r="D69" s="725">
        <v>0</v>
      </c>
      <c r="E69" s="725">
        <v>159</v>
      </c>
      <c r="F69" s="725">
        <v>31466</v>
      </c>
      <c r="G69" s="725">
        <v>32391</v>
      </c>
      <c r="H69" s="725">
        <f>'[9]Поквартально НЗ 2кв 20 '!T85</f>
        <v>161</v>
      </c>
      <c r="I69" s="725">
        <f>'[9]Поквартально НЗ 2кв 20 '!U85</f>
        <v>1123</v>
      </c>
      <c r="J69" s="726">
        <f t="shared" si="22"/>
        <v>32909</v>
      </c>
      <c r="K69" s="725">
        <f>'[9]Поквартально НЗ 2кв 20 '!V85</f>
        <v>4213</v>
      </c>
      <c r="L69" s="725">
        <f>'[9]Поквартально НЗ 2кв 20 '!W85</f>
        <v>-655</v>
      </c>
      <c r="M69" s="725">
        <f t="shared" si="23"/>
        <v>4842</v>
      </c>
      <c r="N69" s="725">
        <v>71</v>
      </c>
      <c r="O69" s="726">
        <f>K69+L69+N69</f>
        <v>3629</v>
      </c>
      <c r="P69" s="725">
        <f t="shared" si="25"/>
        <v>4752</v>
      </c>
    </row>
    <row r="70" spans="2:16">
      <c r="B70" s="732" t="s">
        <v>850</v>
      </c>
      <c r="C70" s="725">
        <v>0</v>
      </c>
      <c r="D70" s="725">
        <v>0</v>
      </c>
      <c r="E70" s="725">
        <v>0</v>
      </c>
      <c r="F70" s="725">
        <v>6753</v>
      </c>
      <c r="G70" s="725">
        <v>6753</v>
      </c>
      <c r="H70" s="725">
        <v>0</v>
      </c>
      <c r="I70" s="725">
        <v>0</v>
      </c>
      <c r="J70" s="726">
        <f t="shared" si="22"/>
        <v>6753</v>
      </c>
      <c r="K70" s="725">
        <v>3779</v>
      </c>
      <c r="L70" s="724">
        <v>0</v>
      </c>
      <c r="M70" s="725">
        <f t="shared" si="23"/>
        <v>3779</v>
      </c>
      <c r="N70" s="725">
        <v>0</v>
      </c>
      <c r="O70" s="726">
        <f t="shared" si="24"/>
        <v>3779</v>
      </c>
      <c r="P70" s="725">
        <f t="shared" si="25"/>
        <v>3779</v>
      </c>
    </row>
    <row r="71" spans="2:16">
      <c r="B71" s="724" t="s">
        <v>282</v>
      </c>
      <c r="C71" s="725">
        <v>2474</v>
      </c>
      <c r="D71" s="725">
        <v>-871</v>
      </c>
      <c r="E71" s="725">
        <v>216</v>
      </c>
      <c r="F71" s="725">
        <v>22934</v>
      </c>
      <c r="G71" s="725">
        <v>24753</v>
      </c>
      <c r="H71" s="725">
        <f>'[9]Поквартально НЗ 2кв 20 '!T86</f>
        <v>319</v>
      </c>
      <c r="I71" s="725">
        <f>'[9]Поквартально НЗ 2кв 20 '!U86</f>
        <v>3180</v>
      </c>
      <c r="J71" s="726">
        <f t="shared" si="22"/>
        <v>26649</v>
      </c>
      <c r="K71" s="725">
        <f>'[9]Поквартально НЗ 2кв 20 '!V86</f>
        <v>3160</v>
      </c>
      <c r="L71" s="725">
        <f>'[9]Поквартально НЗ 2кв 20 '!W86</f>
        <v>2087</v>
      </c>
      <c r="M71" s="725">
        <f t="shared" si="23"/>
        <v>8746</v>
      </c>
      <c r="N71" s="725">
        <v>675</v>
      </c>
      <c r="O71" s="726">
        <f t="shared" si="24"/>
        <v>5922</v>
      </c>
      <c r="P71" s="725">
        <f>I71+K71+L71+N71</f>
        <v>9102</v>
      </c>
    </row>
    <row r="72" spans="2:16">
      <c r="B72" s="732" t="s">
        <v>851</v>
      </c>
      <c r="C72" s="725">
        <v>497</v>
      </c>
      <c r="D72" s="725">
        <v>149</v>
      </c>
      <c r="E72" s="725">
        <v>21</v>
      </c>
      <c r="F72" s="725">
        <v>351</v>
      </c>
      <c r="G72" s="725">
        <v>1018</v>
      </c>
      <c r="H72" s="725">
        <v>286.44</v>
      </c>
      <c r="I72" s="725">
        <v>163</v>
      </c>
      <c r="J72" s="726">
        <f t="shared" si="22"/>
        <v>821.44</v>
      </c>
      <c r="K72" s="725">
        <v>71</v>
      </c>
      <c r="L72" s="724">
        <v>138</v>
      </c>
      <c r="M72" s="725">
        <f t="shared" si="23"/>
        <v>658.44</v>
      </c>
      <c r="N72" s="725">
        <v>644</v>
      </c>
      <c r="O72" s="726">
        <f t="shared" si="24"/>
        <v>853</v>
      </c>
      <c r="P72" s="725">
        <f t="shared" si="25"/>
        <v>1016</v>
      </c>
    </row>
    <row r="73" spans="2:16">
      <c r="B73" s="732"/>
      <c r="C73" s="725"/>
      <c r="D73" s="725"/>
      <c r="E73" s="725"/>
      <c r="F73" s="725"/>
      <c r="G73" s="725"/>
      <c r="H73" s="725"/>
      <c r="I73" s="725"/>
      <c r="J73" s="726"/>
      <c r="K73" s="725"/>
      <c r="L73" s="724"/>
      <c r="M73" s="725"/>
      <c r="N73" s="725"/>
      <c r="O73" s="728"/>
      <c r="P73" s="725"/>
    </row>
    <row r="74" spans="2:16">
      <c r="B74" s="733" t="s">
        <v>281</v>
      </c>
      <c r="C74" s="723">
        <f>C65+C66+C67-C68+C69-C71</f>
        <v>949</v>
      </c>
      <c r="D74" s="723">
        <f>D65+D66+D67-D68+D69-D71</f>
        <v>881</v>
      </c>
      <c r="E74" s="723">
        <f>E65+E66+E67-E68+E69-E71</f>
        <v>-1134</v>
      </c>
      <c r="F74" s="723">
        <f>F65+F66+F67-F68+F69-F71</f>
        <v>15199</v>
      </c>
      <c r="G74" s="723">
        <f>G65+G66+G67-G68+G69-G71</f>
        <v>15895</v>
      </c>
      <c r="H74" s="723">
        <f t="shared" ref="H74:N74" si="26">H65+H66+H67-H68+H69-H71</f>
        <v>14056</v>
      </c>
      <c r="I74" s="723">
        <f t="shared" si="26"/>
        <v>2405</v>
      </c>
      <c r="J74" s="723">
        <f t="shared" si="26"/>
        <v>30526</v>
      </c>
      <c r="K74" s="723">
        <f t="shared" si="26"/>
        <v>3990</v>
      </c>
      <c r="L74" s="723">
        <f t="shared" si="26"/>
        <v>16668</v>
      </c>
      <c r="M74" s="723">
        <f>M65+M66+M67-M68+M69-M71</f>
        <v>37119</v>
      </c>
      <c r="N74" s="723">
        <f t="shared" si="26"/>
        <v>26144</v>
      </c>
      <c r="O74" s="723">
        <f>O65+O66+O67-O68+O69-O71</f>
        <v>46802</v>
      </c>
      <c r="P74" s="723">
        <f>P65+P66+P67-P68+P69-P71</f>
        <v>49207</v>
      </c>
    </row>
    <row r="75" spans="2:16">
      <c r="B75" s="724" t="s">
        <v>280</v>
      </c>
      <c r="C75" s="725">
        <v>0</v>
      </c>
      <c r="D75" s="725">
        <v>0</v>
      </c>
      <c r="E75" s="725">
        <v>0</v>
      </c>
      <c r="F75" s="725">
        <v>1634</v>
      </c>
      <c r="G75" s="725">
        <v>1634</v>
      </c>
      <c r="H75" s="725">
        <f>'[9]Поквартально НЗ 2кв 20 '!T91</f>
        <v>0</v>
      </c>
      <c r="I75" s="725">
        <f>'[9]Поквартально НЗ 2кв 20 '!U91</f>
        <v>0</v>
      </c>
      <c r="J75" s="726">
        <f>E75+F75+H75+I75</f>
        <v>1634</v>
      </c>
      <c r="K75" s="725">
        <f>'[9]Поквартально НЗ 2кв 20 '!V91</f>
        <v>0</v>
      </c>
      <c r="L75" s="725">
        <f>'[9]Поквартально НЗ 2кв 20 '!W91</f>
        <v>2172</v>
      </c>
      <c r="M75" s="725">
        <f>H75+I75+K75+L75</f>
        <v>2172</v>
      </c>
      <c r="N75" s="725">
        <v>0</v>
      </c>
      <c r="O75" s="726">
        <f>K75+L75+N75</f>
        <v>2172</v>
      </c>
      <c r="P75" s="725">
        <f>I75+K75+L75+N75</f>
        <v>2172</v>
      </c>
    </row>
    <row r="76" spans="2:16">
      <c r="B76" s="724"/>
      <c r="C76" s="724"/>
      <c r="D76" s="724"/>
      <c r="E76" s="724"/>
      <c r="F76" s="724"/>
      <c r="G76" s="725"/>
      <c r="H76" s="725"/>
      <c r="I76" s="725"/>
      <c r="J76" s="726"/>
      <c r="K76" s="725"/>
      <c r="L76" s="725"/>
      <c r="M76" s="725"/>
      <c r="N76" s="725"/>
      <c r="O76" s="728"/>
      <c r="P76" s="725"/>
    </row>
    <row r="77" spans="2:16">
      <c r="B77" s="733" t="s">
        <v>279</v>
      </c>
      <c r="C77" s="723">
        <f>C74-C75</f>
        <v>949</v>
      </c>
      <c r="D77" s="723">
        <f>D74-D75</f>
        <v>881</v>
      </c>
      <c r="E77" s="723">
        <f>E74-E75</f>
        <v>-1134</v>
      </c>
      <c r="F77" s="723">
        <f>F74-F75</f>
        <v>13565</v>
      </c>
      <c r="G77" s="723">
        <f>G74-G75</f>
        <v>14261</v>
      </c>
      <c r="H77" s="723">
        <f t="shared" ref="H77:N77" si="27">H74-H75</f>
        <v>14056</v>
      </c>
      <c r="I77" s="723">
        <f t="shared" si="27"/>
        <v>2405</v>
      </c>
      <c r="J77" s="723">
        <f>J74-J75</f>
        <v>28892</v>
      </c>
      <c r="K77" s="723">
        <f t="shared" si="27"/>
        <v>3990</v>
      </c>
      <c r="L77" s="723">
        <f t="shared" si="27"/>
        <v>14496</v>
      </c>
      <c r="M77" s="723">
        <f t="shared" si="27"/>
        <v>34947</v>
      </c>
      <c r="N77" s="723">
        <f t="shared" si="27"/>
        <v>26144</v>
      </c>
      <c r="O77" s="723">
        <f>O74-O75</f>
        <v>44630</v>
      </c>
      <c r="P77" s="723">
        <f>P74-P75</f>
        <v>47035</v>
      </c>
    </row>
    <row r="78" spans="2:16">
      <c r="B78" s="724"/>
      <c r="C78" s="724"/>
      <c r="D78" s="724"/>
      <c r="E78" s="724"/>
      <c r="F78" s="724"/>
      <c r="G78" s="724"/>
      <c r="H78" s="724"/>
      <c r="I78" s="724"/>
      <c r="J78" s="728"/>
      <c r="K78" s="724"/>
      <c r="L78" s="724"/>
      <c r="M78" s="724"/>
      <c r="N78" s="724"/>
      <c r="O78" s="728"/>
      <c r="P78" s="725"/>
    </row>
    <row r="79" spans="2:16">
      <c r="B79" s="734" t="s">
        <v>19</v>
      </c>
      <c r="C79" s="735">
        <f t="shared" ref="C79:N79" si="28">C59+C65+C70-C72</f>
        <v>8903</v>
      </c>
      <c r="D79" s="735">
        <f t="shared" si="28"/>
        <v>5898</v>
      </c>
      <c r="E79" s="735">
        <f t="shared" si="28"/>
        <v>5019</v>
      </c>
      <c r="F79" s="735">
        <f t="shared" si="28"/>
        <v>20321</v>
      </c>
      <c r="G79" s="735">
        <f t="shared" si="28"/>
        <v>40141</v>
      </c>
      <c r="H79" s="735">
        <f t="shared" si="28"/>
        <v>19830.560000000001</v>
      </c>
      <c r="I79" s="735">
        <f t="shared" si="28"/>
        <v>13337</v>
      </c>
      <c r="J79" s="735">
        <f t="shared" si="28"/>
        <v>58507.56</v>
      </c>
      <c r="K79" s="735">
        <f t="shared" si="28"/>
        <v>16103</v>
      </c>
      <c r="L79" s="735">
        <f t="shared" si="28"/>
        <v>28650</v>
      </c>
      <c r="M79" s="735">
        <f>M59+M65+M70-M72</f>
        <v>77920.56</v>
      </c>
      <c r="N79" s="735">
        <f t="shared" si="28"/>
        <v>34238</v>
      </c>
      <c r="O79" s="735">
        <f>O59+O65+O70-O72</f>
        <v>78991</v>
      </c>
      <c r="P79" s="735">
        <f>P59+P65+P70-P72</f>
        <v>92328</v>
      </c>
    </row>
    <row r="81" spans="8:8">
      <c r="H81" s="738"/>
    </row>
  </sheetData>
  <dataConsolidate/>
  <pageMargins left="0.7" right="0.7" top="0.75" bottom="0.75" header="0.3" footer="0.3"/>
  <pageSetup paperSize="9" scale="52" fitToHeight="0" orientation="landscape" r:id="rId1"/>
  <rowBreaks count="2" manualBreakCount="2">
    <brk id="28" max="17" man="1"/>
    <brk id="78"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AW79"/>
  <sheetViews>
    <sheetView topLeftCell="A7" workbookViewId="0">
      <selection activeCell="N33" sqref="N33"/>
    </sheetView>
  </sheetViews>
  <sheetFormatPr baseColWidth="10" defaultColWidth="8.83203125" defaultRowHeight="13" outlineLevelCol="1"/>
  <cols>
    <col min="1" max="1" width="4.6640625" style="528" customWidth="1"/>
    <col min="2" max="2" width="28.5" style="528" customWidth="1"/>
    <col min="3" max="3" width="17.83203125" style="528" customWidth="1"/>
    <col min="4" max="13" width="9.1640625" style="528" outlineLevel="1"/>
    <col min="14" max="15" width="9.1640625" style="528"/>
    <col min="16" max="16" width="9.1640625" style="528" customWidth="1"/>
    <col min="17" max="241" width="9.1640625" style="528"/>
    <col min="242" max="242" width="25.33203125" style="528" customWidth="1"/>
    <col min="243" max="243" width="8.83203125" style="528" customWidth="1"/>
    <col min="244" max="255" width="9.1640625" style="528"/>
    <col min="256" max="256" width="9.1640625" style="528" customWidth="1"/>
    <col min="257" max="497" width="9.1640625" style="528"/>
    <col min="498" max="498" width="25.33203125" style="528" customWidth="1"/>
    <col min="499" max="499" width="8.83203125" style="528" customWidth="1"/>
    <col min="500" max="511" width="9.1640625" style="528"/>
    <col min="512" max="512" width="9.1640625" style="528" customWidth="1"/>
    <col min="513" max="753" width="9.1640625" style="528"/>
    <col min="754" max="754" width="25.33203125" style="528" customWidth="1"/>
    <col min="755" max="755" width="8.83203125" style="528" customWidth="1"/>
    <col min="756" max="767" width="9.1640625" style="528"/>
    <col min="768" max="768" width="9.1640625" style="528" customWidth="1"/>
    <col min="769" max="1009" width="9.1640625" style="528"/>
    <col min="1010" max="1010" width="25.33203125" style="528" customWidth="1"/>
    <col min="1011" max="1011" width="8.83203125" style="528" customWidth="1"/>
    <col min="1012" max="1023" width="9.1640625" style="528"/>
    <col min="1024" max="1024" width="9.1640625" style="528" customWidth="1"/>
    <col min="1025" max="1265" width="9.1640625" style="528"/>
    <col min="1266" max="1266" width="25.33203125" style="528" customWidth="1"/>
    <col min="1267" max="1267" width="8.83203125" style="528" customWidth="1"/>
    <col min="1268" max="1279" width="9.1640625" style="528"/>
    <col min="1280" max="1280" width="9.1640625" style="528" customWidth="1"/>
    <col min="1281" max="1521" width="9.1640625" style="528"/>
    <col min="1522" max="1522" width="25.33203125" style="528" customWidth="1"/>
    <col min="1523" max="1523" width="8.83203125" style="528" customWidth="1"/>
    <col min="1524" max="1535" width="9.1640625" style="528"/>
    <col min="1536" max="1536" width="9.1640625" style="528" customWidth="1"/>
    <col min="1537" max="1777" width="9.1640625" style="528"/>
    <col min="1778" max="1778" width="25.33203125" style="528" customWidth="1"/>
    <col min="1779" max="1779" width="8.83203125" style="528" customWidth="1"/>
    <col min="1780" max="1791" width="9.1640625" style="528"/>
    <col min="1792" max="1792" width="9.1640625" style="528" customWidth="1"/>
    <col min="1793" max="2033" width="9.1640625" style="528"/>
    <col min="2034" max="2034" width="25.33203125" style="528" customWidth="1"/>
    <col min="2035" max="2035" width="8.83203125" style="528" customWidth="1"/>
    <col min="2036" max="2047" width="9.1640625" style="528"/>
    <col min="2048" max="2048" width="9.1640625" style="528" customWidth="1"/>
    <col min="2049" max="2289" width="9.1640625" style="528"/>
    <col min="2290" max="2290" width="25.33203125" style="528" customWidth="1"/>
    <col min="2291" max="2291" width="8.83203125" style="528" customWidth="1"/>
    <col min="2292" max="2303" width="9.1640625" style="528"/>
    <col min="2304" max="2304" width="9.1640625" style="528" customWidth="1"/>
    <col min="2305" max="2545" width="9.1640625" style="528"/>
    <col min="2546" max="2546" width="25.33203125" style="528" customWidth="1"/>
    <col min="2547" max="2547" width="8.83203125" style="528" customWidth="1"/>
    <col min="2548" max="2559" width="9.1640625" style="528"/>
    <col min="2560" max="2560" width="9.1640625" style="528" customWidth="1"/>
    <col min="2561" max="2801" width="9.1640625" style="528"/>
    <col min="2802" max="2802" width="25.33203125" style="528" customWidth="1"/>
    <col min="2803" max="2803" width="8.83203125" style="528" customWidth="1"/>
    <col min="2804" max="2815" width="9.1640625" style="528"/>
    <col min="2816" max="2816" width="9.1640625" style="528" customWidth="1"/>
    <col min="2817" max="3057" width="9.1640625" style="528"/>
    <col min="3058" max="3058" width="25.33203125" style="528" customWidth="1"/>
    <col min="3059" max="3059" width="8.83203125" style="528" customWidth="1"/>
    <col min="3060" max="3071" width="9.1640625" style="528"/>
    <col min="3072" max="3072" width="9.1640625" style="528" customWidth="1"/>
    <col min="3073" max="3313" width="9.1640625" style="528"/>
    <col min="3314" max="3314" width="25.33203125" style="528" customWidth="1"/>
    <col min="3315" max="3315" width="8.83203125" style="528" customWidth="1"/>
    <col min="3316" max="3327" width="9.1640625" style="528"/>
    <col min="3328" max="3328" width="9.1640625" style="528" customWidth="1"/>
    <col min="3329" max="3569" width="9.1640625" style="528"/>
    <col min="3570" max="3570" width="25.33203125" style="528" customWidth="1"/>
    <col min="3571" max="3571" width="8.83203125" style="528" customWidth="1"/>
    <col min="3572" max="3583" width="9.1640625" style="528"/>
    <col min="3584" max="3584" width="9.1640625" style="528" customWidth="1"/>
    <col min="3585" max="3825" width="9.1640625" style="528"/>
    <col min="3826" max="3826" width="25.33203125" style="528" customWidth="1"/>
    <col min="3827" max="3827" width="8.83203125" style="528" customWidth="1"/>
    <col min="3828" max="3839" width="9.1640625" style="528"/>
    <col min="3840" max="3840" width="9.1640625" style="528" customWidth="1"/>
    <col min="3841" max="4081" width="9.1640625" style="528"/>
    <col min="4082" max="4082" width="25.33203125" style="528" customWidth="1"/>
    <col min="4083" max="4083" width="8.83203125" style="528" customWidth="1"/>
    <col min="4084" max="4095" width="9.1640625" style="528"/>
    <col min="4096" max="4096" width="9.1640625" style="528" customWidth="1"/>
    <col min="4097" max="4337" width="9.1640625" style="528"/>
    <col min="4338" max="4338" width="25.33203125" style="528" customWidth="1"/>
    <col min="4339" max="4339" width="8.83203125" style="528" customWidth="1"/>
    <col min="4340" max="4351" width="9.1640625" style="528"/>
    <col min="4352" max="4352" width="9.1640625" style="528" customWidth="1"/>
    <col min="4353" max="4593" width="9.1640625" style="528"/>
    <col min="4594" max="4594" width="25.33203125" style="528" customWidth="1"/>
    <col min="4595" max="4595" width="8.83203125" style="528" customWidth="1"/>
    <col min="4596" max="4607" width="9.1640625" style="528"/>
    <col min="4608" max="4608" width="9.1640625" style="528" customWidth="1"/>
    <col min="4609" max="4849" width="9.1640625" style="528"/>
    <col min="4850" max="4850" width="25.33203125" style="528" customWidth="1"/>
    <col min="4851" max="4851" width="8.83203125" style="528" customWidth="1"/>
    <col min="4852" max="4863" width="9.1640625" style="528"/>
    <col min="4864" max="4864" width="9.1640625" style="528" customWidth="1"/>
    <col min="4865" max="5105" width="9.1640625" style="528"/>
    <col min="5106" max="5106" width="25.33203125" style="528" customWidth="1"/>
    <col min="5107" max="5107" width="8.83203125" style="528" customWidth="1"/>
    <col min="5108" max="5119" width="9.1640625" style="528"/>
    <col min="5120" max="5120" width="9.1640625" style="528" customWidth="1"/>
    <col min="5121" max="5361" width="9.1640625" style="528"/>
    <col min="5362" max="5362" width="25.33203125" style="528" customWidth="1"/>
    <col min="5363" max="5363" width="8.83203125" style="528" customWidth="1"/>
    <col min="5364" max="5375" width="9.1640625" style="528"/>
    <col min="5376" max="5376" width="9.1640625" style="528" customWidth="1"/>
    <col min="5377" max="5617" width="9.1640625" style="528"/>
    <col min="5618" max="5618" width="25.33203125" style="528" customWidth="1"/>
    <col min="5619" max="5619" width="8.83203125" style="528" customWidth="1"/>
    <col min="5620" max="5631" width="9.1640625" style="528"/>
    <col min="5632" max="5632" width="9.1640625" style="528" customWidth="1"/>
    <col min="5633" max="5873" width="9.1640625" style="528"/>
    <col min="5874" max="5874" width="25.33203125" style="528" customWidth="1"/>
    <col min="5875" max="5875" width="8.83203125" style="528" customWidth="1"/>
    <col min="5876" max="5887" width="9.1640625" style="528"/>
    <col min="5888" max="5888" width="9.1640625" style="528" customWidth="1"/>
    <col min="5889" max="6129" width="9.1640625" style="528"/>
    <col min="6130" max="6130" width="25.33203125" style="528" customWidth="1"/>
    <col min="6131" max="6131" width="8.83203125" style="528" customWidth="1"/>
    <col min="6132" max="6143" width="9.1640625" style="528"/>
    <col min="6144" max="6144" width="9.1640625" style="528" customWidth="1"/>
    <col min="6145" max="6385" width="9.1640625" style="528"/>
    <col min="6386" max="6386" width="25.33203125" style="528" customWidth="1"/>
    <col min="6387" max="6387" width="8.83203125" style="528" customWidth="1"/>
    <col min="6388" max="6399" width="9.1640625" style="528"/>
    <col min="6400" max="6400" width="9.1640625" style="528" customWidth="1"/>
    <col min="6401" max="6641" width="9.1640625" style="528"/>
    <col min="6642" max="6642" width="25.33203125" style="528" customWidth="1"/>
    <col min="6643" max="6643" width="8.83203125" style="528" customWidth="1"/>
    <col min="6644" max="6655" width="9.1640625" style="528"/>
    <col min="6656" max="6656" width="9.1640625" style="528" customWidth="1"/>
    <col min="6657" max="6897" width="9.1640625" style="528"/>
    <col min="6898" max="6898" width="25.33203125" style="528" customWidth="1"/>
    <col min="6899" max="6899" width="8.83203125" style="528" customWidth="1"/>
    <col min="6900" max="6911" width="9.1640625" style="528"/>
    <col min="6912" max="6912" width="9.1640625" style="528" customWidth="1"/>
    <col min="6913" max="7153" width="9.1640625" style="528"/>
    <col min="7154" max="7154" width="25.33203125" style="528" customWidth="1"/>
    <col min="7155" max="7155" width="8.83203125" style="528" customWidth="1"/>
    <col min="7156" max="7167" width="9.1640625" style="528"/>
    <col min="7168" max="7168" width="9.1640625" style="528" customWidth="1"/>
    <col min="7169" max="7409" width="9.1640625" style="528"/>
    <col min="7410" max="7410" width="25.33203125" style="528" customWidth="1"/>
    <col min="7411" max="7411" width="8.83203125" style="528" customWidth="1"/>
    <col min="7412" max="7423" width="9.1640625" style="528"/>
    <col min="7424" max="7424" width="9.1640625" style="528" customWidth="1"/>
    <col min="7425" max="7665" width="9.1640625" style="528"/>
    <col min="7666" max="7666" width="25.33203125" style="528" customWidth="1"/>
    <col min="7667" max="7667" width="8.83203125" style="528" customWidth="1"/>
    <col min="7668" max="7679" width="9.1640625" style="528"/>
    <col min="7680" max="7680" width="9.1640625" style="528" customWidth="1"/>
    <col min="7681" max="7921" width="9.1640625" style="528"/>
    <col min="7922" max="7922" width="25.33203125" style="528" customWidth="1"/>
    <col min="7923" max="7923" width="8.83203125" style="528" customWidth="1"/>
    <col min="7924" max="7935" width="9.1640625" style="528"/>
    <col min="7936" max="7936" width="9.1640625" style="528" customWidth="1"/>
    <col min="7937" max="8177" width="9.1640625" style="528"/>
    <col min="8178" max="8178" width="25.33203125" style="528" customWidth="1"/>
    <col min="8179" max="8179" width="8.83203125" style="528" customWidth="1"/>
    <col min="8180" max="8191" width="9.1640625" style="528"/>
    <col min="8192" max="8192" width="9.1640625" style="528" customWidth="1"/>
    <col min="8193" max="8433" width="9.1640625" style="528"/>
    <col min="8434" max="8434" width="25.33203125" style="528" customWidth="1"/>
    <col min="8435" max="8435" width="8.83203125" style="528" customWidth="1"/>
    <col min="8436" max="8447" width="9.1640625" style="528"/>
    <col min="8448" max="8448" width="9.1640625" style="528" customWidth="1"/>
    <col min="8449" max="8689" width="9.1640625" style="528"/>
    <col min="8690" max="8690" width="25.33203125" style="528" customWidth="1"/>
    <col min="8691" max="8691" width="8.83203125" style="528" customWidth="1"/>
    <col min="8692" max="8703" width="9.1640625" style="528"/>
    <col min="8704" max="8704" width="9.1640625" style="528" customWidth="1"/>
    <col min="8705" max="8945" width="9.1640625" style="528"/>
    <col min="8946" max="8946" width="25.33203125" style="528" customWidth="1"/>
    <col min="8947" max="8947" width="8.83203125" style="528" customWidth="1"/>
    <col min="8948" max="8959" width="9.1640625" style="528"/>
    <col min="8960" max="8960" width="9.1640625" style="528" customWidth="1"/>
    <col min="8961" max="9201" width="9.1640625" style="528"/>
    <col min="9202" max="9202" width="25.33203125" style="528" customWidth="1"/>
    <col min="9203" max="9203" width="8.83203125" style="528" customWidth="1"/>
    <col min="9204" max="9215" width="9.1640625" style="528"/>
    <col min="9216" max="9216" width="9.1640625" style="528" customWidth="1"/>
    <col min="9217" max="9457" width="9.1640625" style="528"/>
    <col min="9458" max="9458" width="25.33203125" style="528" customWidth="1"/>
    <col min="9459" max="9459" width="8.83203125" style="528" customWidth="1"/>
    <col min="9460" max="9471" width="9.1640625" style="528"/>
    <col min="9472" max="9472" width="9.1640625" style="528" customWidth="1"/>
    <col min="9473" max="9713" width="9.1640625" style="528"/>
    <col min="9714" max="9714" width="25.33203125" style="528" customWidth="1"/>
    <col min="9715" max="9715" width="8.83203125" style="528" customWidth="1"/>
    <col min="9716" max="9727" width="9.1640625" style="528"/>
    <col min="9728" max="9728" width="9.1640625" style="528" customWidth="1"/>
    <col min="9729" max="9969" width="9.1640625" style="528"/>
    <col min="9970" max="9970" width="25.33203125" style="528" customWidth="1"/>
    <col min="9971" max="9971" width="8.83203125" style="528" customWidth="1"/>
    <col min="9972" max="9983" width="9.1640625" style="528"/>
    <col min="9984" max="9984" width="9.1640625" style="528" customWidth="1"/>
    <col min="9985" max="10225" width="9.1640625" style="528"/>
    <col min="10226" max="10226" width="25.33203125" style="528" customWidth="1"/>
    <col min="10227" max="10227" width="8.83203125" style="528" customWidth="1"/>
    <col min="10228" max="10239" width="9.1640625" style="528"/>
    <col min="10240" max="10240" width="9.1640625" style="528" customWidth="1"/>
    <col min="10241" max="10481" width="9.1640625" style="528"/>
    <col min="10482" max="10482" width="25.33203125" style="528" customWidth="1"/>
    <col min="10483" max="10483" width="8.83203125" style="528" customWidth="1"/>
    <col min="10484" max="10495" width="9.1640625" style="528"/>
    <col min="10496" max="10496" width="9.1640625" style="528" customWidth="1"/>
    <col min="10497" max="10737" width="9.1640625" style="528"/>
    <col min="10738" max="10738" width="25.33203125" style="528" customWidth="1"/>
    <col min="10739" max="10739" width="8.83203125" style="528" customWidth="1"/>
    <col min="10740" max="10751" width="9.1640625" style="528"/>
    <col min="10752" max="10752" width="9.1640625" style="528" customWidth="1"/>
    <col min="10753" max="10993" width="9.1640625" style="528"/>
    <col min="10994" max="10994" width="25.33203125" style="528" customWidth="1"/>
    <col min="10995" max="10995" width="8.83203125" style="528" customWidth="1"/>
    <col min="10996" max="11007" width="9.1640625" style="528"/>
    <col min="11008" max="11008" width="9.1640625" style="528" customWidth="1"/>
    <col min="11009" max="11249" width="9.1640625" style="528"/>
    <col min="11250" max="11250" width="25.33203125" style="528" customWidth="1"/>
    <col min="11251" max="11251" width="8.83203125" style="528" customWidth="1"/>
    <col min="11252" max="11263" width="9.1640625" style="528"/>
    <col min="11264" max="11264" width="9.1640625" style="528" customWidth="1"/>
    <col min="11265" max="11505" width="9.1640625" style="528"/>
    <col min="11506" max="11506" width="25.33203125" style="528" customWidth="1"/>
    <col min="11507" max="11507" width="8.83203125" style="528" customWidth="1"/>
    <col min="11508" max="11519" width="9.1640625" style="528"/>
    <col min="11520" max="11520" width="9.1640625" style="528" customWidth="1"/>
    <col min="11521" max="11761" width="9.1640625" style="528"/>
    <col min="11762" max="11762" width="25.33203125" style="528" customWidth="1"/>
    <col min="11763" max="11763" width="8.83203125" style="528" customWidth="1"/>
    <col min="11764" max="11775" width="9.1640625" style="528"/>
    <col min="11776" max="11776" width="9.1640625" style="528" customWidth="1"/>
    <col min="11777" max="12017" width="9.1640625" style="528"/>
    <col min="12018" max="12018" width="25.33203125" style="528" customWidth="1"/>
    <col min="12019" max="12019" width="8.83203125" style="528" customWidth="1"/>
    <col min="12020" max="12031" width="9.1640625" style="528"/>
    <col min="12032" max="12032" width="9.1640625" style="528" customWidth="1"/>
    <col min="12033" max="12273" width="9.1640625" style="528"/>
    <col min="12274" max="12274" width="25.33203125" style="528" customWidth="1"/>
    <col min="12275" max="12275" width="8.83203125" style="528" customWidth="1"/>
    <col min="12276" max="12287" width="9.1640625" style="528"/>
    <col min="12288" max="12288" width="9.1640625" style="528" customWidth="1"/>
    <col min="12289" max="12529" width="9.1640625" style="528"/>
    <col min="12530" max="12530" width="25.33203125" style="528" customWidth="1"/>
    <col min="12531" max="12531" width="8.83203125" style="528" customWidth="1"/>
    <col min="12532" max="12543" width="9.1640625" style="528"/>
    <col min="12544" max="12544" width="9.1640625" style="528" customWidth="1"/>
    <col min="12545" max="12785" width="9.1640625" style="528"/>
    <col min="12786" max="12786" width="25.33203125" style="528" customWidth="1"/>
    <col min="12787" max="12787" width="8.83203125" style="528" customWidth="1"/>
    <col min="12788" max="12799" width="9.1640625" style="528"/>
    <col min="12800" max="12800" width="9.1640625" style="528" customWidth="1"/>
    <col min="12801" max="13041" width="9.1640625" style="528"/>
    <col min="13042" max="13042" width="25.33203125" style="528" customWidth="1"/>
    <col min="13043" max="13043" width="8.83203125" style="528" customWidth="1"/>
    <col min="13044" max="13055" width="9.1640625" style="528"/>
    <col min="13056" max="13056" width="9.1640625" style="528" customWidth="1"/>
    <col min="13057" max="13297" width="9.1640625" style="528"/>
    <col min="13298" max="13298" width="25.33203125" style="528" customWidth="1"/>
    <col min="13299" max="13299" width="8.83203125" style="528" customWidth="1"/>
    <col min="13300" max="13311" width="9.1640625" style="528"/>
    <col min="13312" max="13312" width="9.1640625" style="528" customWidth="1"/>
    <col min="13313" max="13553" width="9.1640625" style="528"/>
    <col min="13554" max="13554" width="25.33203125" style="528" customWidth="1"/>
    <col min="13555" max="13555" width="8.83203125" style="528" customWidth="1"/>
    <col min="13556" max="13567" width="9.1640625" style="528"/>
    <col min="13568" max="13568" width="9.1640625" style="528" customWidth="1"/>
    <col min="13569" max="13809" width="9.1640625" style="528"/>
    <col min="13810" max="13810" width="25.33203125" style="528" customWidth="1"/>
    <col min="13811" max="13811" width="8.83203125" style="528" customWidth="1"/>
    <col min="13812" max="13823" width="9.1640625" style="528"/>
    <col min="13824" max="13824" width="9.1640625" style="528" customWidth="1"/>
    <col min="13825" max="14065" width="9.1640625" style="528"/>
    <col min="14066" max="14066" width="25.33203125" style="528" customWidth="1"/>
    <col min="14067" max="14067" width="8.83203125" style="528" customWidth="1"/>
    <col min="14068" max="14079" width="9.1640625" style="528"/>
    <col min="14080" max="14080" width="9.1640625" style="528" customWidth="1"/>
    <col min="14081" max="14321" width="9.1640625" style="528"/>
    <col min="14322" max="14322" width="25.33203125" style="528" customWidth="1"/>
    <col min="14323" max="14323" width="8.83203125" style="528" customWidth="1"/>
    <col min="14324" max="14335" width="9.1640625" style="528"/>
    <col min="14336" max="14336" width="9.1640625" style="528" customWidth="1"/>
    <col min="14337" max="14577" width="9.1640625" style="528"/>
    <col min="14578" max="14578" width="25.33203125" style="528" customWidth="1"/>
    <col min="14579" max="14579" width="8.83203125" style="528" customWidth="1"/>
    <col min="14580" max="14591" width="9.1640625" style="528"/>
    <col min="14592" max="14592" width="9.1640625" style="528" customWidth="1"/>
    <col min="14593" max="14833" width="9.1640625" style="528"/>
    <col min="14834" max="14834" width="25.33203125" style="528" customWidth="1"/>
    <col min="14835" max="14835" width="8.83203125" style="528" customWidth="1"/>
    <col min="14836" max="14847" width="9.1640625" style="528"/>
    <col min="14848" max="14848" width="9.1640625" style="528" customWidth="1"/>
    <col min="14849" max="15089" width="9.1640625" style="528"/>
    <col min="15090" max="15090" width="25.33203125" style="528" customWidth="1"/>
    <col min="15091" max="15091" width="8.83203125" style="528" customWidth="1"/>
    <col min="15092" max="15103" width="9.1640625" style="528"/>
    <col min="15104" max="15104" width="9.1640625" style="528" customWidth="1"/>
    <col min="15105" max="15345" width="9.1640625" style="528"/>
    <col min="15346" max="15346" width="25.33203125" style="528" customWidth="1"/>
    <col min="15347" max="15347" width="8.83203125" style="528" customWidth="1"/>
    <col min="15348" max="15359" width="9.1640625" style="528"/>
    <col min="15360" max="15360" width="9.1640625" style="528" customWidth="1"/>
    <col min="15361" max="15601" width="9.1640625" style="528"/>
    <col min="15602" max="15602" width="25.33203125" style="528" customWidth="1"/>
    <col min="15603" max="15603" width="8.83203125" style="528" customWidth="1"/>
    <col min="15604" max="15615" width="9.1640625" style="528"/>
    <col min="15616" max="15616" width="9.1640625" style="528" customWidth="1"/>
    <col min="15617" max="15857" width="9.1640625" style="528"/>
    <col min="15858" max="15858" width="25.33203125" style="528" customWidth="1"/>
    <col min="15859" max="15859" width="8.83203125" style="528" customWidth="1"/>
    <col min="15860" max="15871" width="9.1640625" style="528"/>
    <col min="15872" max="15872" width="9.1640625" style="528" customWidth="1"/>
    <col min="15873" max="16113" width="9.1640625" style="528"/>
    <col min="16114" max="16114" width="25.33203125" style="528" customWidth="1"/>
    <col min="16115" max="16115" width="8.83203125" style="528" customWidth="1"/>
    <col min="16116" max="16127" width="9.1640625" style="528"/>
    <col min="16128" max="16128" width="9.1640625" style="528" customWidth="1"/>
    <col min="16129" max="16384" width="9.1640625" style="528"/>
  </cols>
  <sheetData>
    <row r="1" spans="1:49">
      <c r="A1" s="751"/>
      <c r="B1" s="751"/>
      <c r="C1" s="751"/>
      <c r="D1" s="751"/>
      <c r="E1" s="751"/>
      <c r="F1" s="751"/>
      <c r="G1" s="751"/>
      <c r="H1" s="751"/>
      <c r="I1" s="751"/>
      <c r="J1" s="751"/>
      <c r="K1" s="751"/>
      <c r="L1" s="751"/>
      <c r="M1" s="751"/>
      <c r="N1" s="751"/>
      <c r="O1" s="751"/>
      <c r="P1" s="751"/>
      <c r="Q1" s="751"/>
      <c r="R1" s="751"/>
      <c r="S1" s="751"/>
      <c r="T1" s="751"/>
      <c r="U1" s="751"/>
      <c r="V1" s="751"/>
      <c r="W1" s="751"/>
    </row>
    <row r="2" spans="1:49" ht="16">
      <c r="A2" s="555" t="s">
        <v>744</v>
      </c>
      <c r="B2" s="555"/>
      <c r="C2" s="555"/>
      <c r="D2" s="555"/>
      <c r="E2" s="555"/>
      <c r="F2" s="555"/>
      <c r="G2" s="555"/>
      <c r="H2" s="555"/>
      <c r="I2" s="555"/>
      <c r="J2" s="555"/>
      <c r="K2" s="555"/>
      <c r="L2" s="555"/>
      <c r="M2" s="555"/>
      <c r="N2" s="555"/>
      <c r="O2" s="555"/>
      <c r="P2" s="555"/>
      <c r="Q2" s="555"/>
      <c r="R2" s="555"/>
      <c r="S2" s="555"/>
      <c r="T2" s="555"/>
      <c r="U2" s="555"/>
      <c r="V2" s="555"/>
      <c r="W2" s="555"/>
    </row>
    <row r="3" spans="1:49">
      <c r="A3" s="584"/>
      <c r="B3" s="584"/>
      <c r="C3" s="584"/>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585"/>
      <c r="AF3" s="585"/>
      <c r="AG3" s="585"/>
      <c r="AH3" s="585"/>
      <c r="AI3" s="585"/>
      <c r="AJ3" s="585"/>
      <c r="AK3" s="585"/>
      <c r="AL3" s="585"/>
      <c r="AM3" s="585"/>
      <c r="AN3" s="585"/>
      <c r="AO3" s="585"/>
      <c r="AP3" s="585"/>
      <c r="AQ3" s="585"/>
      <c r="AR3" s="585"/>
      <c r="AS3" s="585"/>
      <c r="AT3" s="585"/>
      <c r="AU3" s="585"/>
      <c r="AV3" s="585"/>
      <c r="AW3" s="585"/>
    </row>
    <row r="4" spans="1:49">
      <c r="A4" s="752" t="s">
        <v>655</v>
      </c>
      <c r="B4" s="750" t="s">
        <v>656</v>
      </c>
      <c r="C4" s="753" t="s">
        <v>677</v>
      </c>
      <c r="D4" s="750" t="s">
        <v>725</v>
      </c>
      <c r="E4" s="750"/>
      <c r="F4" s="755" t="s">
        <v>724</v>
      </c>
      <c r="G4" s="755"/>
      <c r="H4" s="755"/>
      <c r="I4" s="755"/>
      <c r="J4" s="754" t="s">
        <v>714</v>
      </c>
      <c r="K4" s="754"/>
      <c r="L4" s="754"/>
      <c r="M4" s="754"/>
      <c r="N4" s="749" t="s">
        <v>715</v>
      </c>
      <c r="O4" s="749"/>
      <c r="P4" s="749"/>
      <c r="Q4" s="749"/>
      <c r="R4" s="754" t="s">
        <v>716</v>
      </c>
      <c r="S4" s="754"/>
      <c r="T4" s="754"/>
      <c r="U4" s="754"/>
      <c r="V4" s="749" t="s">
        <v>717</v>
      </c>
      <c r="W4" s="749"/>
      <c r="X4" s="749"/>
      <c r="Y4" s="749"/>
      <c r="Z4" s="754" t="s">
        <v>718</v>
      </c>
      <c r="AA4" s="754"/>
      <c r="AB4" s="754"/>
      <c r="AC4" s="754"/>
      <c r="AD4" s="749" t="s">
        <v>719</v>
      </c>
      <c r="AE4" s="749"/>
      <c r="AF4" s="749"/>
      <c r="AG4" s="749"/>
      <c r="AH4" s="754" t="s">
        <v>720</v>
      </c>
      <c r="AI4" s="754"/>
      <c r="AJ4" s="754"/>
      <c r="AK4" s="754"/>
      <c r="AL4" s="749" t="s">
        <v>721</v>
      </c>
      <c r="AM4" s="749"/>
      <c r="AN4" s="749"/>
      <c r="AO4" s="749"/>
      <c r="AP4" s="754" t="s">
        <v>722</v>
      </c>
      <c r="AQ4" s="754"/>
      <c r="AR4" s="754"/>
      <c r="AS4" s="754"/>
      <c r="AT4" s="749" t="s">
        <v>723</v>
      </c>
      <c r="AU4" s="749"/>
      <c r="AV4" s="749"/>
      <c r="AW4" s="749"/>
    </row>
    <row r="5" spans="1:49">
      <c r="A5" s="752"/>
      <c r="B5" s="750"/>
      <c r="C5" s="753"/>
      <c r="D5" s="581" t="s">
        <v>657</v>
      </c>
      <c r="E5" s="581" t="s">
        <v>658</v>
      </c>
      <c r="F5" s="579" t="s">
        <v>659</v>
      </c>
      <c r="G5" s="579" t="s">
        <v>660</v>
      </c>
      <c r="H5" s="579" t="s">
        <v>661</v>
      </c>
      <c r="I5" s="579" t="s">
        <v>662</v>
      </c>
      <c r="J5" s="581" t="s">
        <v>663</v>
      </c>
      <c r="K5" s="581" t="s">
        <v>664</v>
      </c>
      <c r="L5" s="581" t="s">
        <v>665</v>
      </c>
      <c r="M5" s="581" t="s">
        <v>666</v>
      </c>
      <c r="N5" s="579" t="s">
        <v>667</v>
      </c>
      <c r="O5" s="579" t="s">
        <v>668</v>
      </c>
      <c r="P5" s="579" t="s">
        <v>669</v>
      </c>
      <c r="Q5" s="579" t="s">
        <v>670</v>
      </c>
      <c r="R5" s="581" t="s">
        <v>671</v>
      </c>
      <c r="S5" s="581" t="s">
        <v>672</v>
      </c>
      <c r="T5" s="581" t="s">
        <v>673</v>
      </c>
      <c r="U5" s="581" t="s">
        <v>674</v>
      </c>
      <c r="V5" s="579" t="s">
        <v>675</v>
      </c>
      <c r="W5" s="579" t="s">
        <v>676</v>
      </c>
      <c r="X5" s="579" t="s">
        <v>678</v>
      </c>
      <c r="Y5" s="579" t="s">
        <v>679</v>
      </c>
      <c r="Z5" s="581" t="s">
        <v>680</v>
      </c>
      <c r="AA5" s="581" t="s">
        <v>681</v>
      </c>
      <c r="AB5" s="581" t="s">
        <v>682</v>
      </c>
      <c r="AC5" s="581" t="s">
        <v>683</v>
      </c>
      <c r="AD5" s="579" t="s">
        <v>684</v>
      </c>
      <c r="AE5" s="579" t="s">
        <v>685</v>
      </c>
      <c r="AF5" s="579" t="s">
        <v>686</v>
      </c>
      <c r="AG5" s="579" t="s">
        <v>687</v>
      </c>
      <c r="AH5" s="581" t="s">
        <v>688</v>
      </c>
      <c r="AI5" s="581" t="s">
        <v>689</v>
      </c>
      <c r="AJ5" s="581" t="s">
        <v>690</v>
      </c>
      <c r="AK5" s="581" t="s">
        <v>691</v>
      </c>
      <c r="AL5" s="579" t="s">
        <v>702</v>
      </c>
      <c r="AM5" s="579" t="s">
        <v>703</v>
      </c>
      <c r="AN5" s="579" t="s">
        <v>704</v>
      </c>
      <c r="AO5" s="579" t="s">
        <v>705</v>
      </c>
      <c r="AP5" s="581" t="s">
        <v>706</v>
      </c>
      <c r="AQ5" s="581" t="s">
        <v>707</v>
      </c>
      <c r="AR5" s="581" t="s">
        <v>708</v>
      </c>
      <c r="AS5" s="581" t="s">
        <v>709</v>
      </c>
      <c r="AT5" s="579" t="s">
        <v>710</v>
      </c>
      <c r="AU5" s="579" t="s">
        <v>711</v>
      </c>
      <c r="AV5" s="579" t="s">
        <v>712</v>
      </c>
      <c r="AW5" s="579" t="s">
        <v>713</v>
      </c>
    </row>
    <row r="6" spans="1:49">
      <c r="A6" s="529">
        <v>1</v>
      </c>
      <c r="B6" s="534" t="s">
        <v>82</v>
      </c>
      <c r="C6" s="533" t="s">
        <v>575</v>
      </c>
      <c r="D6" s="539"/>
      <c r="E6" s="710"/>
      <c r="F6" s="710">
        <v>12492</v>
      </c>
      <c r="G6" s="710">
        <v>12387</v>
      </c>
      <c r="H6" s="710"/>
      <c r="I6" s="710"/>
      <c r="J6" s="710">
        <v>9085</v>
      </c>
      <c r="K6" s="710">
        <v>8311</v>
      </c>
      <c r="L6" s="710"/>
      <c r="M6" s="539"/>
      <c r="N6" s="539">
        <f>(Интеринвест!S22+Новозаведенское!Q96)*'Распределение урожая'!J29</f>
        <v>10971.484746171469</v>
      </c>
      <c r="O6" s="539">
        <f>Интеринвест!S22+Новозаведенское!Q96-'План производства'!N6</f>
        <v>10879.265253828531</v>
      </c>
      <c r="P6" s="539"/>
      <c r="Q6" s="539"/>
      <c r="R6" s="539">
        <f>(Интеринвест!U22+Новозаведенское!S96)*'Распределение урожая'!J29</f>
        <v>11259.791409622574</v>
      </c>
      <c r="S6" s="539">
        <f>Интеринвест!U22+Новозаведенское!S96-'План производства'!R6</f>
        <v>11165.148590377428</v>
      </c>
      <c r="T6" s="539"/>
      <c r="U6" s="539"/>
      <c r="V6" s="539">
        <f>(Интеринвест!W22+Новозаведенское!U96)*'Распределение урожая'!J29</f>
        <v>13302.687066200411</v>
      </c>
      <c r="W6" s="539">
        <f>Интеринвест!W22+Новозаведенское!U96-'План производства'!V6</f>
        <v>13190.872933799594</v>
      </c>
      <c r="X6" s="539"/>
      <c r="Y6" s="539"/>
      <c r="Z6" s="539">
        <f>(Интеринвест!Y22+Новозаведенское!W96)*'Распределение урожая'!J29</f>
        <v>11932.197323043529</v>
      </c>
      <c r="AA6" s="539">
        <f>Интеринвест!Y22+Новозаведенское!W96-'План производства'!Z6</f>
        <v>11831.90267695647</v>
      </c>
      <c r="AB6" s="539"/>
      <c r="AC6" s="539"/>
      <c r="AD6" s="539">
        <f>(Интеринвест!AA22+Новозаведенское!Y96)*'Распределение урожая'!J29</f>
        <v>14643.728045339443</v>
      </c>
      <c r="AE6" s="539">
        <f>Интеринвест!AA22+Новозаведенское!Y96-'План производства'!AD6</f>
        <v>14520.641954660559</v>
      </c>
      <c r="AF6" s="539"/>
      <c r="AG6" s="539"/>
      <c r="AH6" s="539">
        <f>(Интеринвест!AC22+Новозаведенское!AA96)*'Распределение урожая'!J29</f>
        <v>11773.746402990473</v>
      </c>
      <c r="AI6" s="539">
        <f>Интеринвест!AC22+Новозаведенское!AA96-'План производства'!AH6</f>
        <v>11674.783597009526</v>
      </c>
      <c r="AJ6" s="540"/>
      <c r="AK6" s="540"/>
      <c r="AL6" s="539">
        <f>(Интеринвест!AE22+Новозаведенское!AC96)*'Распределение урожая'!J29</f>
        <v>14097.145930302664</v>
      </c>
      <c r="AM6" s="539">
        <f>Интеринвест!AE22+Новозаведенское!AC96-'План производства'!AL6</f>
        <v>13978.654069697335</v>
      </c>
      <c r="AN6" s="540"/>
      <c r="AO6" s="539"/>
      <c r="AP6" s="539">
        <f>(Интеринвест!AG22+Новозаведенское!AE96)*'Распределение урожая'!J29</f>
        <v>11827.035359942118</v>
      </c>
      <c r="AQ6" s="539">
        <f>Интеринвест!AG22+Новозаведенское!AE96-'План производства'!AP6</f>
        <v>11727.624640057878</v>
      </c>
      <c r="AR6" s="539"/>
      <c r="AS6" s="539"/>
      <c r="AT6" s="539">
        <f>(Интеринвест!AI22+Новозаведенское!AG96)*'Распределение урожая'!J29</f>
        <v>13880.214233691066</v>
      </c>
      <c r="AU6" s="539">
        <f>Интеринвест!AI22+Новозаведенское!AG96-'План производства'!AT6</f>
        <v>13763.545766308936</v>
      </c>
      <c r="AV6" s="539"/>
      <c r="AW6" s="539"/>
    </row>
    <row r="7" spans="1:49">
      <c r="A7" s="529">
        <v>2</v>
      </c>
      <c r="B7" s="534" t="s">
        <v>85</v>
      </c>
      <c r="C7" s="533" t="s">
        <v>575</v>
      </c>
      <c r="D7" s="539"/>
      <c r="E7" s="710">
        <v>30</v>
      </c>
      <c r="F7" s="710">
        <v>467.24199999999996</v>
      </c>
      <c r="G7" s="710">
        <v>32.113</v>
      </c>
      <c r="H7" s="710"/>
      <c r="I7" s="710"/>
      <c r="J7" s="710">
        <v>281.61</v>
      </c>
      <c r="K7" s="710"/>
      <c r="L7" s="710"/>
      <c r="M7" s="539">
        <f>(Интеринвест!$S$20+Новозаведенское!$Q$95)*'Распределение урожая'!J8</f>
        <v>28.003651268932234</v>
      </c>
      <c r="N7" s="539">
        <f>(Интеринвест!$S$20+Новозаведенское!$Q$95)*'Распределение урожая'!K8</f>
        <v>265.02418791243929</v>
      </c>
      <c r="O7" s="539">
        <f>(Интеринвест!$S$20+Новозаведенское!$Q$95)*'Распределение урожая'!L8</f>
        <v>30.17216081862847</v>
      </c>
      <c r="P7" s="539"/>
      <c r="Q7" s="539">
        <f>(Интеринвест!U20+Новозаведенское!S95)*'Распределение урожая'!J8</f>
        <v>33.531599755806852</v>
      </c>
      <c r="R7" s="539">
        <f>(Интеринвест!V20+Новозаведенское!T95)*'Распределение урожая'!K8</f>
        <v>11.206674612634087</v>
      </c>
      <c r="S7" s="539">
        <f>(Интеринвест!W20+Новозаведенское!U95)*'Распределение урожая'!L8</f>
        <v>42.690993633535889</v>
      </c>
      <c r="T7" s="539"/>
      <c r="U7" s="539">
        <f>(Интеринвест!W20+Новозаведенское!U95)*'Распределение урожая'!J8</f>
        <v>39.622740486642051</v>
      </c>
      <c r="V7" s="539">
        <f>(Интеринвест!X20+Новозаведенское!V95)*'Распределение урожая'!K8</f>
        <v>14.760010465420505</v>
      </c>
      <c r="W7" s="539">
        <f>(Интеринвест!Y20+Новозаведенское!W95)*'Распределение урожая'!L8</f>
        <v>50.178021163405951</v>
      </c>
      <c r="X7" s="539"/>
      <c r="Y7" s="539">
        <f>(Интеринвест!Y20+Новозаведенское!W95)*'Распределение урожая'!J8</f>
        <v>46.571666327509519</v>
      </c>
      <c r="Z7" s="539">
        <f>(Интеринвест!Z20+Новозаведенское!X95)*'Распределение урожая'!K8</f>
        <v>17.083345446088547</v>
      </c>
      <c r="AA7" s="539">
        <f>(Интеринвест!AA20+Новозаведенское!Y95)*'Распределение урожая'!L8</f>
        <v>47.050646821128552</v>
      </c>
      <c r="AB7" s="539"/>
      <c r="AC7" s="539">
        <f>(Интеринвест!AA20+Новозаведенское!Y95)*'Распределение урожая'!J8</f>
        <v>43.669060147097298</v>
      </c>
      <c r="AD7" s="539">
        <f>(Интеринвест!AB20+Новозаведенское!Z95)*'Распределение урожая'!K8</f>
        <v>9.5666734498095867</v>
      </c>
      <c r="AE7" s="539">
        <f>(Интеринвест!AC20+Новозаведенское!AA95)*'Распределение урожая'!L8</f>
        <v>50.551438995319664</v>
      </c>
      <c r="AF7" s="539"/>
      <c r="AG7" s="539">
        <f>(Интеринвест!AC20+Новозаведенское!AA95)*'Распределение урожая'!J8</f>
        <v>46.918246169946798</v>
      </c>
      <c r="AH7" s="539">
        <f>(Интеринвест!AD20+Новозаведенское!AB95)*'Распределение урожая'!K8</f>
        <v>16.81001191895113</v>
      </c>
      <c r="AI7" s="539">
        <f>(Интеринвест!AE20+Новозаведенское!AC95)*'Распределение урожая'!L8</f>
        <v>56.15270647402545</v>
      </c>
      <c r="AJ7" s="539"/>
      <c r="AK7" s="539">
        <f>(Интеринвест!AE20+Новозаведенское!AC95)*'Распределение урожая'!J8</f>
        <v>52.116943806506001</v>
      </c>
      <c r="AL7" s="539">
        <f>(Интеринвест!AF20+Новозаведенское!AD95)*'Распределение урожая'!K8</f>
        <v>12.300008721183755</v>
      </c>
      <c r="AM7" s="539">
        <f>(Интеринвест!AG20+Новозаведенское!AE95)*'Распределение урожая'!L8</f>
        <v>47.5174191110207</v>
      </c>
      <c r="AN7" s="539"/>
      <c r="AO7" s="539">
        <f>(Интеринвест!AG20+Новозаведенское!AE95)*'Распределение урожая'!J8</f>
        <v>44.102284950143897</v>
      </c>
      <c r="AP7" s="539">
        <f>(Интеринвест!AH20+Новозаведенское!AF95)*'Распределение урожая'!K8</f>
        <v>9.430006686240878</v>
      </c>
      <c r="AQ7" s="539">
        <f>(Интеринвест!AI20+Новозаведенское!AG95)*'Распределение урожая'!L8</f>
        <v>58.719954068432266</v>
      </c>
      <c r="AR7" s="539"/>
      <c r="AS7" s="539">
        <f>(Интеринвест!AI20+Новозаведенское!AG95)*'Распределение урожая'!J8</f>
        <v>54.499680223262303</v>
      </c>
      <c r="AT7" s="539">
        <f>(Интеринвест!AJ20+Новозаведенское!AH95)*'Распределение урожая'!K8</f>
        <v>18.245012936422569</v>
      </c>
      <c r="AU7" s="539">
        <f>(Интеринвест!AK20+Новозаведенское!AI95)*'Распределение урожая'!L8</f>
        <v>44.996848745603103</v>
      </c>
      <c r="AV7" s="539"/>
      <c r="AW7" s="539"/>
    </row>
    <row r="8" spans="1:49">
      <c r="A8" s="529">
        <v>3</v>
      </c>
      <c r="B8" s="534" t="s">
        <v>84</v>
      </c>
      <c r="C8" s="533" t="s">
        <v>575</v>
      </c>
      <c r="D8" s="539"/>
      <c r="E8" s="710"/>
      <c r="F8" s="710">
        <v>114.65900000000001</v>
      </c>
      <c r="G8" s="710">
        <v>27.345999999999989</v>
      </c>
      <c r="H8" s="710"/>
      <c r="I8" s="710"/>
      <c r="J8" s="710">
        <v>91.88</v>
      </c>
      <c r="K8" s="710">
        <v>22.490000000000009</v>
      </c>
      <c r="L8" s="710"/>
      <c r="M8" s="539"/>
      <c r="N8" s="539">
        <f>Интеринвест!S21*'Распределение урожая'!J9</f>
        <v>255.95509313052352</v>
      </c>
      <c r="O8" s="539">
        <f>Интеринвест!S21*'Распределение урожая'!K9</f>
        <v>61.044906869476407</v>
      </c>
      <c r="P8" s="539"/>
      <c r="Q8" s="539"/>
      <c r="R8" s="539">
        <f>Интеринвест!U21*'Распределение урожая'!J9</f>
        <v>403.42398338086684</v>
      </c>
      <c r="S8" s="539">
        <f>Интеринвест!U21*'Распределение урожая'!K9</f>
        <v>96.216016619133114</v>
      </c>
      <c r="T8" s="539"/>
      <c r="U8" s="539"/>
      <c r="V8" s="539">
        <f>Интеринвест!W21*'Распределение урожая'!J9</f>
        <v>511.74870039787328</v>
      </c>
      <c r="W8" s="539">
        <f>Интеринвест!W21*'Распределение урожая'!K9</f>
        <v>122.05129960212666</v>
      </c>
      <c r="X8" s="539"/>
      <c r="Y8" s="539"/>
      <c r="Z8" s="539">
        <f>Интеринвест!Y21*'Распределение урожая'!J9</f>
        <v>659.3467793387556</v>
      </c>
      <c r="AA8" s="539">
        <f>Интеринвест!Y21*'Распределение урожая'!K9</f>
        <v>157.25322066124428</v>
      </c>
      <c r="AB8" s="539"/>
      <c r="AC8" s="539"/>
      <c r="AD8" s="539">
        <f>Интеринвест!AA21*'Распределение урожая'!J9</f>
        <v>673.88050702440046</v>
      </c>
      <c r="AE8" s="539">
        <f>Интеринвест!AA21*'Распределение урожая'!K9</f>
        <v>160.71949297559942</v>
      </c>
      <c r="AF8" s="539"/>
      <c r="AG8" s="539"/>
      <c r="AH8" s="539">
        <f>Интеринвест!AC21*'Распределение урожая'!J9</f>
        <v>492.12816802225274</v>
      </c>
      <c r="AI8" s="539">
        <f>Интеринвест!AC21*'Распределение урожая'!K9</f>
        <v>117.37183197774725</v>
      </c>
      <c r="AJ8" s="539"/>
      <c r="AK8" s="539"/>
      <c r="AL8" s="539">
        <f>Интеринвест!AE21*'Распределение урожая'!J9</f>
        <v>742.59274180486602</v>
      </c>
      <c r="AM8" s="539">
        <f>Интеринвест!AE21*'Распределение урожая'!K9</f>
        <v>177.10725819513394</v>
      </c>
      <c r="AN8" s="539"/>
      <c r="AO8" s="539"/>
      <c r="AP8" s="539">
        <f>Интеринвест!AG21*'Распределение урожая'!J9</f>
        <v>605.24901517552189</v>
      </c>
      <c r="AQ8" s="539">
        <f>Интеринвест!AG21*'Распределение урожая'!K9</f>
        <v>144.35098482447799</v>
      </c>
      <c r="AR8" s="539"/>
      <c r="AS8" s="539"/>
      <c r="AT8" s="539">
        <f>Интеринвест!AI21*'Распределение урожая'!J9</f>
        <v>604.0378712017183</v>
      </c>
      <c r="AU8" s="539">
        <f>Интеринвест!AI21*'Распределение урожая'!K9</f>
        <v>144.06212879828175</v>
      </c>
      <c r="AV8" s="539"/>
      <c r="AW8" s="539"/>
    </row>
    <row r="9" spans="1:49">
      <c r="A9" s="529">
        <v>4</v>
      </c>
      <c r="B9" s="532" t="s">
        <v>86</v>
      </c>
      <c r="C9" s="533" t="s">
        <v>575</v>
      </c>
      <c r="D9" s="539"/>
      <c r="E9" s="710">
        <v>25</v>
      </c>
      <c r="F9" s="710"/>
      <c r="G9" s="710"/>
      <c r="H9" s="710"/>
      <c r="I9" s="710">
        <v>4.54</v>
      </c>
      <c r="J9" s="710"/>
      <c r="K9" s="710"/>
      <c r="L9" s="710"/>
      <c r="M9" s="539">
        <f>Интеринвест!S19</f>
        <v>21.299999999999997</v>
      </c>
      <c r="N9" s="539"/>
      <c r="O9" s="539"/>
      <c r="P9" s="539"/>
      <c r="Q9" s="539">
        <f>Интеринвест!U19</f>
        <v>21.299999999999997</v>
      </c>
      <c r="R9" s="539"/>
      <c r="S9" s="539"/>
      <c r="T9" s="539"/>
      <c r="U9" s="539">
        <f>Интеринвест!W19</f>
        <v>25.999999999999996</v>
      </c>
      <c r="V9" s="539"/>
      <c r="W9" s="539"/>
      <c r="X9" s="539"/>
      <c r="Y9" s="539">
        <f>Интеринвест!Y19</f>
        <v>44.8</v>
      </c>
      <c r="Z9" s="539"/>
      <c r="AA9" s="539"/>
      <c r="AB9" s="539"/>
      <c r="AC9" s="539">
        <f>Интеринвест!AA19</f>
        <v>70.8</v>
      </c>
      <c r="AD9" s="539"/>
      <c r="AE9" s="539"/>
      <c r="AF9" s="539"/>
      <c r="AG9" s="539">
        <f>Интеринвест!AC19</f>
        <v>81.2</v>
      </c>
      <c r="AH9" s="539"/>
      <c r="AI9" s="540"/>
      <c r="AJ9" s="540"/>
      <c r="AK9" s="539">
        <f>Интеринвест!AE19</f>
        <v>73.8</v>
      </c>
      <c r="AL9" s="539"/>
      <c r="AM9" s="539"/>
      <c r="AN9" s="539"/>
      <c r="AO9" s="539">
        <f>Интеринвест!AG19</f>
        <v>96.8</v>
      </c>
      <c r="AP9" s="539"/>
      <c r="AQ9" s="539"/>
      <c r="AR9" s="539"/>
      <c r="AS9" s="539">
        <f>Интеринвест!AI19</f>
        <v>70.8</v>
      </c>
      <c r="AT9" s="539"/>
      <c r="AU9" s="539"/>
      <c r="AV9" s="539"/>
      <c r="AW9" s="539">
        <f>Интеринвест!AK19</f>
        <v>96.8</v>
      </c>
    </row>
    <row r="10" spans="1:49">
      <c r="A10" s="529">
        <v>5</v>
      </c>
      <c r="B10" s="532" t="s">
        <v>87</v>
      </c>
      <c r="C10" s="533" t="s">
        <v>575</v>
      </c>
      <c r="D10" s="539"/>
      <c r="E10" s="710"/>
      <c r="F10" s="710">
        <v>2161.6880000000001</v>
      </c>
      <c r="G10" s="710">
        <v>186.4</v>
      </c>
      <c r="H10" s="710">
        <v>1.02</v>
      </c>
      <c r="I10" s="710"/>
      <c r="J10" s="710">
        <v>1314.12</v>
      </c>
      <c r="K10" s="710">
        <v>209.02</v>
      </c>
      <c r="L10" s="710"/>
      <c r="M10" s="539"/>
      <c r="N10" s="539">
        <f>J10</f>
        <v>1314.12</v>
      </c>
      <c r="O10" s="539">
        <f>K10</f>
        <v>209.02</v>
      </c>
      <c r="P10" s="539"/>
      <c r="Q10" s="539"/>
      <c r="R10" s="539">
        <f>N10</f>
        <v>1314.12</v>
      </c>
      <c r="S10" s="539">
        <f>O10</f>
        <v>209.02</v>
      </c>
      <c r="T10" s="539"/>
      <c r="U10" s="539"/>
      <c r="V10" s="539">
        <f>R10</f>
        <v>1314.12</v>
      </c>
      <c r="W10" s="539">
        <f>S10</f>
        <v>209.02</v>
      </c>
      <c r="X10" s="539"/>
      <c r="Y10" s="539"/>
      <c r="Z10" s="539">
        <f>V10</f>
        <v>1314.12</v>
      </c>
      <c r="AA10" s="539">
        <f>W10</f>
        <v>209.02</v>
      </c>
      <c r="AB10" s="539"/>
      <c r="AC10" s="539"/>
      <c r="AD10" s="539">
        <f>Z10</f>
        <v>1314.12</v>
      </c>
      <c r="AE10" s="539">
        <f>AA10</f>
        <v>209.02</v>
      </c>
      <c r="AF10" s="539"/>
      <c r="AG10" s="539"/>
      <c r="AH10" s="539">
        <f>AD10</f>
        <v>1314.12</v>
      </c>
      <c r="AI10" s="539">
        <f>AE10</f>
        <v>209.02</v>
      </c>
      <c r="AJ10" s="539"/>
      <c r="AK10" s="539"/>
      <c r="AL10" s="539">
        <f>AH10</f>
        <v>1314.12</v>
      </c>
      <c r="AM10" s="539">
        <f>AI10</f>
        <v>209.02</v>
      </c>
      <c r="AN10" s="539"/>
      <c r="AO10" s="539"/>
      <c r="AP10" s="539">
        <f>AL10</f>
        <v>1314.12</v>
      </c>
      <c r="AQ10" s="539">
        <f>AM10</f>
        <v>209.02</v>
      </c>
      <c r="AR10" s="539"/>
      <c r="AS10" s="539"/>
      <c r="AT10" s="539">
        <f>AP10</f>
        <v>1314.12</v>
      </c>
      <c r="AU10" s="539">
        <f>AQ10</f>
        <v>209.02</v>
      </c>
      <c r="AV10" s="539"/>
      <c r="AW10" s="539"/>
    </row>
    <row r="11" spans="1:49">
      <c r="A11" s="539">
        <v>6</v>
      </c>
      <c r="B11" s="539" t="s">
        <v>699</v>
      </c>
      <c r="C11" s="533" t="s">
        <v>575</v>
      </c>
      <c r="D11" s="539"/>
      <c r="E11" s="710">
        <v>3</v>
      </c>
      <c r="F11" s="710"/>
      <c r="G11" s="710"/>
      <c r="H11" s="710"/>
      <c r="I11" s="710"/>
      <c r="J11" s="710">
        <v>168.62</v>
      </c>
      <c r="K11" s="710"/>
      <c r="L11" s="710"/>
      <c r="M11" s="539"/>
      <c r="N11" s="539"/>
      <c r="O11" s="539">
        <f>K11</f>
        <v>0</v>
      </c>
      <c r="P11" s="539"/>
      <c r="Q11" s="539"/>
      <c r="R11" s="539"/>
      <c r="S11" s="539">
        <f>O11</f>
        <v>0</v>
      </c>
      <c r="T11" s="539"/>
      <c r="U11" s="539"/>
      <c r="V11" s="539"/>
      <c r="W11" s="539">
        <f>S11</f>
        <v>0</v>
      </c>
      <c r="X11" s="539"/>
      <c r="Y11" s="539"/>
      <c r="Z11" s="539"/>
      <c r="AA11" s="539">
        <f>W11</f>
        <v>0</v>
      </c>
      <c r="AB11" s="539"/>
      <c r="AC11" s="539"/>
      <c r="AD11" s="539"/>
      <c r="AE11" s="539">
        <f>AA11</f>
        <v>0</v>
      </c>
      <c r="AF11" s="539"/>
      <c r="AG11" s="539"/>
      <c r="AH11" s="539"/>
      <c r="AI11" s="539">
        <f>AE11</f>
        <v>0</v>
      </c>
      <c r="AJ11" s="539"/>
      <c r="AK11" s="539"/>
      <c r="AL11" s="539"/>
      <c r="AM11" s="539">
        <f>AI11</f>
        <v>0</v>
      </c>
      <c r="AN11" s="539"/>
      <c r="AO11" s="539"/>
      <c r="AP11" s="539"/>
      <c r="AQ11" s="539">
        <f>AM11</f>
        <v>0</v>
      </c>
      <c r="AR11" s="539"/>
      <c r="AS11" s="539"/>
      <c r="AT11" s="539"/>
      <c r="AU11" s="539">
        <f>AQ11</f>
        <v>0</v>
      </c>
      <c r="AV11" s="539"/>
      <c r="AW11" s="539"/>
    </row>
    <row r="12" spans="1:49">
      <c r="A12" s="539">
        <v>7</v>
      </c>
      <c r="B12" s="539" t="s">
        <v>151</v>
      </c>
      <c r="C12" s="533" t="s">
        <v>575</v>
      </c>
      <c r="D12" s="539"/>
      <c r="E12" s="710">
        <v>73</v>
      </c>
      <c r="F12" s="710"/>
      <c r="G12" s="710"/>
      <c r="H12" s="710"/>
      <c r="I12" s="710">
        <v>38.28</v>
      </c>
      <c r="J12" s="710"/>
      <c r="K12" s="710"/>
      <c r="L12" s="710"/>
      <c r="M12" s="539"/>
      <c r="N12" s="539"/>
      <c r="O12" s="539"/>
      <c r="P12" s="539"/>
      <c r="Q12" s="539">
        <f>M12</f>
        <v>0</v>
      </c>
      <c r="R12" s="539"/>
      <c r="S12" s="539"/>
      <c r="T12" s="539"/>
      <c r="U12" s="539">
        <f>Q12</f>
        <v>0</v>
      </c>
      <c r="V12" s="539"/>
      <c r="W12" s="539"/>
      <c r="X12" s="539"/>
      <c r="Y12" s="539">
        <f>U12</f>
        <v>0</v>
      </c>
      <c r="Z12" s="539"/>
      <c r="AA12" s="539"/>
      <c r="AB12" s="539"/>
      <c r="AC12" s="539">
        <f>Y12</f>
        <v>0</v>
      </c>
      <c r="AD12" s="539"/>
      <c r="AE12" s="539"/>
      <c r="AF12" s="539"/>
      <c r="AG12" s="539">
        <f>AC12</f>
        <v>0</v>
      </c>
      <c r="AH12" s="539"/>
      <c r="AI12" s="539"/>
      <c r="AJ12" s="539"/>
      <c r="AK12" s="539">
        <f>AG12</f>
        <v>0</v>
      </c>
      <c r="AL12" s="539"/>
      <c r="AM12" s="539"/>
      <c r="AN12" s="539"/>
      <c r="AO12" s="539">
        <f>AK12</f>
        <v>0</v>
      </c>
      <c r="AP12" s="539"/>
      <c r="AQ12" s="539"/>
      <c r="AR12" s="539"/>
      <c r="AS12" s="539">
        <f>AO12</f>
        <v>0</v>
      </c>
      <c r="AT12" s="539"/>
      <c r="AU12" s="539"/>
      <c r="AV12" s="539"/>
      <c r="AW12" s="539">
        <f>AS12</f>
        <v>0</v>
      </c>
    </row>
    <row r="14" spans="1:49" ht="16">
      <c r="A14" s="555" t="s">
        <v>745</v>
      </c>
      <c r="B14" s="555"/>
      <c r="C14" s="555"/>
      <c r="D14" s="555"/>
      <c r="E14" s="555"/>
      <c r="F14" s="555"/>
      <c r="G14" s="555"/>
      <c r="H14" s="555"/>
      <c r="I14" s="555"/>
      <c r="J14" s="555"/>
      <c r="K14" s="555"/>
      <c r="L14" s="555"/>
      <c r="M14" s="555"/>
      <c r="N14" s="555"/>
      <c r="O14" s="555"/>
      <c r="P14" s="555"/>
      <c r="Q14" s="555"/>
      <c r="R14" s="555"/>
      <c r="S14" s="555"/>
      <c r="T14" s="555"/>
      <c r="U14" s="555"/>
      <c r="V14" s="555"/>
      <c r="W14" s="555"/>
    </row>
    <row r="16" spans="1:49">
      <c r="A16" s="750" t="s">
        <v>655</v>
      </c>
      <c r="B16" s="750" t="s">
        <v>656</v>
      </c>
      <c r="C16" s="750" t="s">
        <v>677</v>
      </c>
      <c r="D16" s="750" t="s">
        <v>725</v>
      </c>
      <c r="E16" s="750"/>
      <c r="F16" s="755" t="s">
        <v>724</v>
      </c>
      <c r="G16" s="755"/>
      <c r="H16" s="755"/>
      <c r="I16" s="755"/>
      <c r="J16" s="754" t="s">
        <v>714</v>
      </c>
      <c r="K16" s="754"/>
      <c r="L16" s="754"/>
      <c r="M16" s="754"/>
      <c r="N16" s="749" t="s">
        <v>715</v>
      </c>
      <c r="O16" s="749"/>
      <c r="P16" s="749"/>
      <c r="Q16" s="749"/>
      <c r="R16" s="754" t="s">
        <v>716</v>
      </c>
      <c r="S16" s="754"/>
      <c r="T16" s="754"/>
      <c r="U16" s="754"/>
      <c r="V16" s="749" t="s">
        <v>717</v>
      </c>
      <c r="W16" s="749"/>
      <c r="X16" s="749"/>
      <c r="Y16" s="749"/>
      <c r="Z16" s="754" t="s">
        <v>718</v>
      </c>
      <c r="AA16" s="754"/>
      <c r="AB16" s="754"/>
      <c r="AC16" s="754"/>
      <c r="AD16" s="749" t="s">
        <v>719</v>
      </c>
      <c r="AE16" s="749"/>
      <c r="AF16" s="749"/>
      <c r="AG16" s="749"/>
      <c r="AH16" s="754" t="s">
        <v>720</v>
      </c>
      <c r="AI16" s="754"/>
      <c r="AJ16" s="754"/>
      <c r="AK16" s="754"/>
      <c r="AL16" s="749" t="s">
        <v>721</v>
      </c>
      <c r="AM16" s="749"/>
      <c r="AN16" s="749"/>
      <c r="AO16" s="749"/>
      <c r="AP16" s="754" t="s">
        <v>722</v>
      </c>
      <c r="AQ16" s="754"/>
      <c r="AR16" s="754"/>
      <c r="AS16" s="754"/>
      <c r="AT16" s="749" t="s">
        <v>723</v>
      </c>
      <c r="AU16" s="749"/>
      <c r="AV16" s="749"/>
      <c r="AW16" s="749"/>
    </row>
    <row r="17" spans="1:49">
      <c r="A17" s="750"/>
      <c r="B17" s="750"/>
      <c r="C17" s="750"/>
      <c r="D17" s="581" t="s">
        <v>657</v>
      </c>
      <c r="E17" s="581" t="s">
        <v>658</v>
      </c>
      <c r="F17" s="579" t="s">
        <v>659</v>
      </c>
      <c r="G17" s="579" t="s">
        <v>660</v>
      </c>
      <c r="H17" s="579" t="s">
        <v>661</v>
      </c>
      <c r="I17" s="579" t="s">
        <v>662</v>
      </c>
      <c r="J17" s="581" t="s">
        <v>663</v>
      </c>
      <c r="K17" s="581" t="s">
        <v>664</v>
      </c>
      <c r="L17" s="581" t="s">
        <v>665</v>
      </c>
      <c r="M17" s="581" t="s">
        <v>666</v>
      </c>
      <c r="N17" s="579" t="s">
        <v>667</v>
      </c>
      <c r="O17" s="579" t="s">
        <v>668</v>
      </c>
      <c r="P17" s="579" t="s">
        <v>669</v>
      </c>
      <c r="Q17" s="579" t="s">
        <v>670</v>
      </c>
      <c r="R17" s="581" t="s">
        <v>671</v>
      </c>
      <c r="S17" s="581" t="s">
        <v>672</v>
      </c>
      <c r="T17" s="581" t="s">
        <v>673</v>
      </c>
      <c r="U17" s="581" t="s">
        <v>674</v>
      </c>
      <c r="V17" s="579" t="s">
        <v>675</v>
      </c>
      <c r="W17" s="579" t="s">
        <v>676</v>
      </c>
      <c r="X17" s="579" t="s">
        <v>678</v>
      </c>
      <c r="Y17" s="579" t="s">
        <v>679</v>
      </c>
      <c r="Z17" s="581" t="s">
        <v>680</v>
      </c>
      <c r="AA17" s="581" t="s">
        <v>681</v>
      </c>
      <c r="AB17" s="581" t="s">
        <v>682</v>
      </c>
      <c r="AC17" s="581" t="s">
        <v>683</v>
      </c>
      <c r="AD17" s="579" t="s">
        <v>684</v>
      </c>
      <c r="AE17" s="579" t="s">
        <v>685</v>
      </c>
      <c r="AF17" s="579" t="s">
        <v>686</v>
      </c>
      <c r="AG17" s="579" t="s">
        <v>687</v>
      </c>
      <c r="AH17" s="581" t="s">
        <v>688</v>
      </c>
      <c r="AI17" s="581" t="s">
        <v>689</v>
      </c>
      <c r="AJ17" s="581" t="s">
        <v>690</v>
      </c>
      <c r="AK17" s="581" t="s">
        <v>691</v>
      </c>
      <c r="AL17" s="579" t="s">
        <v>702</v>
      </c>
      <c r="AM17" s="579" t="s">
        <v>703</v>
      </c>
      <c r="AN17" s="579" t="s">
        <v>704</v>
      </c>
      <c r="AO17" s="579" t="s">
        <v>705</v>
      </c>
      <c r="AP17" s="581" t="s">
        <v>706</v>
      </c>
      <c r="AQ17" s="581" t="s">
        <v>707</v>
      </c>
      <c r="AR17" s="581" t="s">
        <v>708</v>
      </c>
      <c r="AS17" s="581" t="s">
        <v>709</v>
      </c>
      <c r="AT17" s="579" t="s">
        <v>710</v>
      </c>
      <c r="AU17" s="579" t="s">
        <v>711</v>
      </c>
      <c r="AV17" s="579" t="s">
        <v>712</v>
      </c>
      <c r="AW17" s="579" t="s">
        <v>713</v>
      </c>
    </row>
    <row r="18" spans="1:49">
      <c r="A18" s="529"/>
      <c r="B18" s="530" t="s">
        <v>697</v>
      </c>
      <c r="C18" s="531" t="s">
        <v>575</v>
      </c>
      <c r="D18" s="540">
        <f>D19+D20</f>
        <v>2552.27</v>
      </c>
      <c r="E18" s="540">
        <f t="shared" ref="E18:AW18" si="0">E19+E20</f>
        <v>2654.9470000000001</v>
      </c>
      <c r="F18" s="578">
        <f t="shared" si="0"/>
        <v>4964.6210000000001</v>
      </c>
      <c r="G18" s="578">
        <f t="shared" si="0"/>
        <v>12540.826000000001</v>
      </c>
      <c r="H18" s="578">
        <f t="shared" si="0"/>
        <v>5534.5590000000002</v>
      </c>
      <c r="I18" s="578">
        <f t="shared" si="0"/>
        <v>1676.7099999999996</v>
      </c>
      <c r="J18" s="578">
        <f t="shared" si="0"/>
        <v>2243.3799999999997</v>
      </c>
      <c r="K18" s="578">
        <f t="shared" si="0"/>
        <v>5605.5210000000006</v>
      </c>
      <c r="L18" s="578">
        <f t="shared" si="0"/>
        <v>4431.7</v>
      </c>
      <c r="M18" s="578">
        <f t="shared" si="0"/>
        <v>5002</v>
      </c>
      <c r="N18" s="578">
        <f t="shared" si="0"/>
        <v>3675.4385676232469</v>
      </c>
      <c r="O18" s="578">
        <f t="shared" si="0"/>
        <v>5881.7848351289686</v>
      </c>
      <c r="P18" s="578">
        <f t="shared" si="0"/>
        <v>8374.3792443476941</v>
      </c>
      <c r="Q18" s="578">
        <f t="shared" si="0"/>
        <v>3776.7092522303974</v>
      </c>
      <c r="R18" s="578">
        <f t="shared" si="0"/>
        <v>3820.172141992382</v>
      </c>
      <c r="S18" s="578">
        <f t="shared" si="0"/>
        <v>6258.5867950586689</v>
      </c>
      <c r="T18" s="578">
        <f t="shared" si="0"/>
        <v>8408.0884449005189</v>
      </c>
      <c r="U18" s="578">
        <f t="shared" si="0"/>
        <v>3791.9115550994816</v>
      </c>
      <c r="V18" s="578">
        <f t="shared" si="0"/>
        <v>4907.4497477721607</v>
      </c>
      <c r="W18" s="578">
        <f t="shared" si="0"/>
        <v>9213.407147465834</v>
      </c>
      <c r="X18" s="578">
        <f t="shared" si="0"/>
        <v>8408.0884449005189</v>
      </c>
      <c r="Y18" s="578">
        <f t="shared" si="0"/>
        <v>3791.9115550994816</v>
      </c>
      <c r="Z18" s="578">
        <f t="shared" si="0"/>
        <v>4178.0425448700271</v>
      </c>
      <c r="AA18" s="578">
        <f t="shared" si="0"/>
        <v>7231.1468333835965</v>
      </c>
      <c r="AB18" s="578">
        <f t="shared" si="0"/>
        <v>8408.0884449005189</v>
      </c>
      <c r="AC18" s="578">
        <f t="shared" si="0"/>
        <v>3791.9115550994816</v>
      </c>
      <c r="AD18" s="578">
        <f t="shared" si="0"/>
        <v>5621.1836187880554</v>
      </c>
      <c r="AE18" s="578">
        <f t="shared" si="0"/>
        <v>11153.073114160332</v>
      </c>
      <c r="AF18" s="578">
        <f t="shared" si="0"/>
        <v>8408.0884449005189</v>
      </c>
      <c r="AG18" s="578">
        <f t="shared" si="0"/>
        <v>3791.9115550994816</v>
      </c>
      <c r="AH18" s="578">
        <f>AH19+AH20</f>
        <v>4093.7112005675544</v>
      </c>
      <c r="AI18" s="578">
        <f t="shared" si="0"/>
        <v>7001.9652783086249</v>
      </c>
      <c r="AJ18" s="578">
        <f t="shared" si="0"/>
        <v>8408.0884449005189</v>
      </c>
      <c r="AK18" s="578">
        <f t="shared" si="0"/>
        <v>3791.9115550994816</v>
      </c>
      <c r="AL18" s="578">
        <f t="shared" si="0"/>
        <v>5330.2796308698662</v>
      </c>
      <c r="AM18" s="578">
        <f t="shared" si="0"/>
        <v>10362.503144239356</v>
      </c>
      <c r="AN18" s="578">
        <f t="shared" si="0"/>
        <v>8408.0884449005189</v>
      </c>
      <c r="AO18" s="578">
        <f t="shared" si="0"/>
        <v>3791.9115550994816</v>
      </c>
      <c r="AP18" s="578">
        <f t="shared" si="0"/>
        <v>4122.0728495545336</v>
      </c>
      <c r="AQ18" s="578">
        <f t="shared" si="0"/>
        <v>7079.0418015526157</v>
      </c>
      <c r="AR18" s="578">
        <f t="shared" si="0"/>
        <v>8408.0884449005189</v>
      </c>
      <c r="AS18" s="578">
        <f t="shared" si="0"/>
        <v>3791.9115550994816</v>
      </c>
      <c r="AT18" s="578">
        <f t="shared" si="0"/>
        <v>5214.8234278326972</v>
      </c>
      <c r="AU18" s="578">
        <f t="shared" si="0"/>
        <v>10048.735678844707</v>
      </c>
      <c r="AV18" s="578">
        <f t="shared" si="0"/>
        <v>8408.0884449005189</v>
      </c>
      <c r="AW18" s="578">
        <f t="shared" si="0"/>
        <v>3791.9115550994816</v>
      </c>
    </row>
    <row r="19" spans="1:49">
      <c r="A19" s="529">
        <v>1</v>
      </c>
      <c r="B19" s="547" t="s">
        <v>0</v>
      </c>
      <c r="C19" s="533" t="s">
        <v>575</v>
      </c>
      <c r="D19" s="742">
        <v>2543.11</v>
      </c>
      <c r="E19" s="743">
        <v>1839.3719999999998</v>
      </c>
      <c r="F19" s="710">
        <v>1367.3789999999999</v>
      </c>
      <c r="G19" s="710">
        <v>5733.1109999999999</v>
      </c>
      <c r="H19" s="710">
        <v>4728.1990000000005</v>
      </c>
      <c r="I19" s="710">
        <v>1444.8899999999996</v>
      </c>
      <c r="J19" s="710">
        <v>227.73999999999987</v>
      </c>
      <c r="K19" s="710">
        <v>1297.4080000000008</v>
      </c>
      <c r="L19" s="710">
        <v>2651.7</v>
      </c>
      <c r="M19" s="710">
        <v>3204</v>
      </c>
      <c r="N19" s="539">
        <f>'Financial Model'!E30*'Динамика продаж'!X18</f>
        <v>271.59590168264992</v>
      </c>
      <c r="O19" s="539">
        <f>'Financial Model'!E30*'Динамика продаж'!Y18</f>
        <v>1253.5520983173506</v>
      </c>
      <c r="P19" s="539">
        <f>'Financial Model'!E31*'Динамика продаж'!V18</f>
        <v>8374.3792443476941</v>
      </c>
      <c r="Q19" s="539">
        <f>'Financial Model'!E31*'Динамика продаж'!W18</f>
        <v>3776.7092522303974</v>
      </c>
      <c r="R19" s="539">
        <f>'Financial Model'!F30*'Динамика продаж'!X18</f>
        <v>326.88392290800579</v>
      </c>
      <c r="S19" s="539">
        <f>'Financial Model'!F30*'Динамика продаж'!Y18</f>
        <v>1508.7342074341559</v>
      </c>
      <c r="T19" s="539">
        <f>'Financial Model'!F31*'Динамика продаж'!V18</f>
        <v>8408.0884449005189</v>
      </c>
      <c r="U19" s="539">
        <f>'Financial Model'!F31*'Динамика продаж'!W18</f>
        <v>3791.9115550994816</v>
      </c>
      <c r="V19" s="539">
        <f>'Financial Model'!G30*'Динамика продаж'!X18</f>
        <v>780.36441199846104</v>
      </c>
      <c r="W19" s="539">
        <f>'Financial Model'!G30*'Динамика продаж'!Y18</f>
        <v>3601.7754320014747</v>
      </c>
      <c r="X19" s="539">
        <f>'Financial Model'!H31*'Динамика продаж'!V18</f>
        <v>8408.0884449005189</v>
      </c>
      <c r="Y19" s="539">
        <f>'Financial Model'!H31*'Динамика продаж'!W18</f>
        <v>3791.9115550994816</v>
      </c>
      <c r="Z19" s="539">
        <f>'Financial Model'!H30*'Динамика продаж'!X18</f>
        <v>476.14409755453784</v>
      </c>
      <c r="AA19" s="539">
        <f>'Financial Model'!H30*'Динамика продаж'!Y18</f>
        <v>2197.6452107452455</v>
      </c>
      <c r="AB19" s="539">
        <f>'Financial Model'!I31*'Динамика продаж'!V18</f>
        <v>8408.0884449005189</v>
      </c>
      <c r="AC19" s="539">
        <f>'Financial Model'!I31*'Динамика продаж'!W18</f>
        <v>3791.9115550994816</v>
      </c>
      <c r="AD19" s="539">
        <f>'Financial Model'!I30*'Динамика продаж'!X18</f>
        <v>1078.0477112664387</v>
      </c>
      <c r="AE19" s="539">
        <f>'Financial Model'!I30*'Динамика продаж'!Y18</f>
        <v>4975.7340304910458</v>
      </c>
      <c r="AF19" s="539">
        <f>'Financial Model'!J31*'Динамика продаж'!V18</f>
        <v>8408.0884449005189</v>
      </c>
      <c r="AG19" s="539">
        <f>'Financial Model'!J31*'Динамика продаж'!W18</f>
        <v>3791.9115550994816</v>
      </c>
      <c r="AH19" s="539">
        <f>'Financial Model'!J30*'Динамика продаж'!X18</f>
        <v>440.97127779199542</v>
      </c>
      <c r="AI19" s="539">
        <f>'Financial Model'!J30*'Динамика продаж'!Y18</f>
        <v>2035.3049038999982</v>
      </c>
      <c r="AJ19" s="539">
        <f>'Financial Model'!J31*'Динамика продаж'!V18</f>
        <v>8408.0884449005189</v>
      </c>
      <c r="AK19" s="539">
        <f>'Financial Model'!J31*'Динамика продаж'!W18</f>
        <v>3791.9115550994816</v>
      </c>
      <c r="AL19" s="539">
        <f>'Financial Model'!K30*'Динамика продаж'!X18</f>
        <v>956.71781169134954</v>
      </c>
      <c r="AM19" s="539">
        <f>'Financial Model'!K30*'Динамика продаж'!Y18</f>
        <v>4415.7353366274619</v>
      </c>
      <c r="AN19" s="539">
        <f>'Financial Model'!K31*'Динамика продаж'!V18</f>
        <v>8408.0884449005189</v>
      </c>
      <c r="AO19" s="539">
        <f>'Financial Model'!K31*'Динамика продаж'!W18</f>
        <v>3791.9115550994816</v>
      </c>
      <c r="AP19" s="539">
        <f>'Financial Model'!L30*'Динамика продаж'!X18</f>
        <v>452.80032162188581</v>
      </c>
      <c r="AQ19" s="539">
        <f>'Financial Model'!L30*'Динамика продаж'!Y18</f>
        <v>2089.901908575619</v>
      </c>
      <c r="AR19" s="539">
        <f>'Financial Model'!L31*'Динамика продаж'!V18</f>
        <v>8408.0884449005189</v>
      </c>
      <c r="AS19" s="539">
        <f>'Financial Model'!L31*'Динамика продаж'!W18</f>
        <v>3791.9115550994816</v>
      </c>
      <c r="AT19" s="539">
        <f>'Financial Model'!M30*'Динамика продаж'!X18</f>
        <v>908.563471766107</v>
      </c>
      <c r="AU19" s="539">
        <f>'Financial Model'!M30*'Динамика продаж'!Y18</f>
        <v>4193.4787654406555</v>
      </c>
      <c r="AV19" s="539">
        <f>'Financial Model'!M31*'Динамика продаж'!V18</f>
        <v>8408.0884449005189</v>
      </c>
      <c r="AW19" s="539">
        <f>'Financial Model'!M31*'Динамика продаж'!W18</f>
        <v>3791.9115550994816</v>
      </c>
    </row>
    <row r="20" spans="1:49">
      <c r="A20" s="529">
        <v>2</v>
      </c>
      <c r="B20" s="547" t="s">
        <v>1</v>
      </c>
      <c r="C20" s="533" t="s">
        <v>575</v>
      </c>
      <c r="D20" s="742">
        <v>9.16</v>
      </c>
      <c r="E20" s="743">
        <v>815.57500000000005</v>
      </c>
      <c r="F20" s="710">
        <v>3597.2420000000002</v>
      </c>
      <c r="G20" s="710">
        <v>6807.715000000002</v>
      </c>
      <c r="H20" s="710">
        <v>806.36</v>
      </c>
      <c r="I20" s="710">
        <v>231.82000000000002</v>
      </c>
      <c r="J20" s="710">
        <v>2015.6399999999999</v>
      </c>
      <c r="K20" s="710">
        <v>4308.1130000000003</v>
      </c>
      <c r="L20" s="710">
        <v>1780</v>
      </c>
      <c r="M20" s="710">
        <v>1798</v>
      </c>
      <c r="N20" s="539">
        <f>'Financial Model'!E33*'Динамика продаж'!$X$24</f>
        <v>3403.8426659405968</v>
      </c>
      <c r="O20" s="539">
        <f>'Financial Model'!E33*'Динамика продаж'!$Y$24</f>
        <v>4628.2327368116175</v>
      </c>
      <c r="P20" s="539">
        <v>0</v>
      </c>
      <c r="Q20" s="539">
        <v>0</v>
      </c>
      <c r="R20" s="539">
        <f>'Financial Model'!F33*'Динамика продаж'!$X$24</f>
        <v>3493.2882190843761</v>
      </c>
      <c r="S20" s="539">
        <f>'Financial Model'!F33*'Динамика продаж'!$Y$24</f>
        <v>4749.852587624513</v>
      </c>
      <c r="T20" s="539">
        <v>0</v>
      </c>
      <c r="U20" s="539">
        <v>0</v>
      </c>
      <c r="V20" s="539">
        <f>'Financial Model'!G33*'Динамика продаж'!$X$24</f>
        <v>4127.0853357736996</v>
      </c>
      <c r="W20" s="539">
        <f>'Financial Model'!G33*'Динамика продаж'!$Y$24</f>
        <v>5611.6317154643584</v>
      </c>
      <c r="X20" s="539">
        <v>0</v>
      </c>
      <c r="Y20" s="539">
        <v>0</v>
      </c>
      <c r="Z20" s="539">
        <f>'Financial Model'!H33*'Динамика продаж'!$X$24</f>
        <v>3701.8984473154896</v>
      </c>
      <c r="AA20" s="539">
        <f>'Financial Model'!H33*'Динамика продаж'!$Y$24</f>
        <v>5033.5016226383514</v>
      </c>
      <c r="AB20" s="539">
        <v>0</v>
      </c>
      <c r="AC20" s="539">
        <v>0</v>
      </c>
      <c r="AD20" s="539">
        <f>'Financial Model'!I33*'Динамика продаж'!$X$24</f>
        <v>4543.1359075216169</v>
      </c>
      <c r="AE20" s="539">
        <f>'Financial Model'!I33*'Динамика продаж'!$Y$24</f>
        <v>6177.3390836692852</v>
      </c>
      <c r="AF20" s="539">
        <v>0</v>
      </c>
      <c r="AG20" s="539">
        <v>0</v>
      </c>
      <c r="AH20" s="539">
        <f>'Financial Model'!J33*'Динамика продаж'!$X$24</f>
        <v>3652.7399227755591</v>
      </c>
      <c r="AI20" s="539">
        <f>'Financial Model'!J33*'Динамика продаж'!$Y$24</f>
        <v>4966.6603744086269</v>
      </c>
      <c r="AJ20" s="539">
        <v>0</v>
      </c>
      <c r="AK20" s="539">
        <v>0</v>
      </c>
      <c r="AL20" s="539">
        <f>'Financial Model'!K33*'Динамика продаж'!X24</f>
        <v>4373.561819178517</v>
      </c>
      <c r="AM20" s="539">
        <f>'Financial Model'!K33*'Динамика продаж'!Y24</f>
        <v>5946.7678076118946</v>
      </c>
      <c r="AN20" s="539">
        <v>0</v>
      </c>
      <c r="AO20" s="539">
        <v>0</v>
      </c>
      <c r="AP20" s="539">
        <f>'Financial Model'!L33*'Динамика продаж'!$X$24</f>
        <v>3669.2725279326482</v>
      </c>
      <c r="AQ20" s="539">
        <f>'Financial Model'!L33*'Динамика продаж'!$Y$24</f>
        <v>4989.1398929769966</v>
      </c>
      <c r="AR20" s="539">
        <v>0</v>
      </c>
      <c r="AS20" s="539">
        <v>0</v>
      </c>
      <c r="AT20" s="539">
        <f>'Financial Model'!M33*'Динамика продаж'!$X$24</f>
        <v>4306.2599560665903</v>
      </c>
      <c r="AU20" s="539">
        <f>'Financial Model'!M33*'Динамика продаж'!$Y$24</f>
        <v>5855.2569134040505</v>
      </c>
      <c r="AV20" s="539">
        <v>0</v>
      </c>
      <c r="AW20" s="539">
        <v>0</v>
      </c>
    </row>
    <row r="21" spans="1:49">
      <c r="A21" s="529">
        <v>3</v>
      </c>
      <c r="B21" s="534" t="s">
        <v>85</v>
      </c>
      <c r="C21" s="533" t="s">
        <v>575</v>
      </c>
      <c r="D21" s="742">
        <v>0</v>
      </c>
      <c r="E21" s="742">
        <v>30</v>
      </c>
      <c r="F21" s="710">
        <v>467.24199999999996</v>
      </c>
      <c r="G21" s="710">
        <v>32.302999999999997</v>
      </c>
      <c r="H21" s="710">
        <v>0</v>
      </c>
      <c r="I21" s="710">
        <v>0</v>
      </c>
      <c r="J21" s="710">
        <v>281.61</v>
      </c>
      <c r="K21" s="710">
        <v>0.21999999999999886</v>
      </c>
      <c r="L21" s="710">
        <v>0</v>
      </c>
      <c r="M21" s="539">
        <f>M7</f>
        <v>28.003651268932234</v>
      </c>
      <c r="N21" s="539">
        <f t="shared" ref="N21:AJ21" si="1">N7</f>
        <v>265.02418791243929</v>
      </c>
      <c r="O21" s="539">
        <f t="shared" si="1"/>
        <v>30.17216081862847</v>
      </c>
      <c r="P21" s="539">
        <f t="shared" si="1"/>
        <v>0</v>
      </c>
      <c r="Q21" s="539">
        <f t="shared" si="1"/>
        <v>33.531599755806852</v>
      </c>
      <c r="R21" s="539">
        <f t="shared" si="1"/>
        <v>11.206674612634087</v>
      </c>
      <c r="S21" s="539">
        <f t="shared" si="1"/>
        <v>42.690993633535889</v>
      </c>
      <c r="T21" s="539">
        <f t="shared" si="1"/>
        <v>0</v>
      </c>
      <c r="U21" s="539">
        <f t="shared" si="1"/>
        <v>39.622740486642051</v>
      </c>
      <c r="V21" s="539">
        <f t="shared" si="1"/>
        <v>14.760010465420505</v>
      </c>
      <c r="W21" s="539">
        <f t="shared" si="1"/>
        <v>50.178021163405951</v>
      </c>
      <c r="X21" s="539">
        <f t="shared" si="1"/>
        <v>0</v>
      </c>
      <c r="Y21" s="539">
        <f t="shared" si="1"/>
        <v>46.571666327509519</v>
      </c>
      <c r="Z21" s="539">
        <f t="shared" si="1"/>
        <v>17.083345446088547</v>
      </c>
      <c r="AA21" s="539">
        <f t="shared" si="1"/>
        <v>47.050646821128552</v>
      </c>
      <c r="AB21" s="539">
        <f t="shared" si="1"/>
        <v>0</v>
      </c>
      <c r="AC21" s="539">
        <f t="shared" si="1"/>
        <v>43.669060147097298</v>
      </c>
      <c r="AD21" s="539">
        <f t="shared" si="1"/>
        <v>9.5666734498095867</v>
      </c>
      <c r="AE21" s="539">
        <f t="shared" si="1"/>
        <v>50.551438995319664</v>
      </c>
      <c r="AF21" s="539">
        <f t="shared" si="1"/>
        <v>0</v>
      </c>
      <c r="AG21" s="539">
        <f t="shared" si="1"/>
        <v>46.918246169946798</v>
      </c>
      <c r="AH21" s="539">
        <f>AH7</f>
        <v>16.81001191895113</v>
      </c>
      <c r="AI21" s="539">
        <f t="shared" si="1"/>
        <v>56.15270647402545</v>
      </c>
      <c r="AJ21" s="539">
        <f t="shared" si="1"/>
        <v>0</v>
      </c>
      <c r="AK21" s="539">
        <f t="shared" ref="AK21:AK26" si="2">AK7</f>
        <v>52.116943806506001</v>
      </c>
      <c r="AL21" s="539">
        <f t="shared" ref="AL21:AW21" si="3">AL7</f>
        <v>12.300008721183755</v>
      </c>
      <c r="AM21" s="539">
        <f t="shared" si="3"/>
        <v>47.5174191110207</v>
      </c>
      <c r="AN21" s="539">
        <f t="shared" si="3"/>
        <v>0</v>
      </c>
      <c r="AO21" s="539">
        <f t="shared" si="3"/>
        <v>44.102284950143897</v>
      </c>
      <c r="AP21" s="539">
        <f t="shared" si="3"/>
        <v>9.430006686240878</v>
      </c>
      <c r="AQ21" s="539">
        <f t="shared" si="3"/>
        <v>58.719954068432266</v>
      </c>
      <c r="AR21" s="539">
        <f t="shared" si="3"/>
        <v>0</v>
      </c>
      <c r="AS21" s="539">
        <f t="shared" si="3"/>
        <v>54.499680223262303</v>
      </c>
      <c r="AT21" s="539">
        <f t="shared" si="3"/>
        <v>18.245012936422569</v>
      </c>
      <c r="AU21" s="539">
        <f t="shared" si="3"/>
        <v>44.996848745603103</v>
      </c>
      <c r="AV21" s="539">
        <f t="shared" si="3"/>
        <v>0</v>
      </c>
      <c r="AW21" s="539">
        <f t="shared" si="3"/>
        <v>0</v>
      </c>
    </row>
    <row r="22" spans="1:49">
      <c r="A22" s="529">
        <v>4</v>
      </c>
      <c r="B22" s="534" t="s">
        <v>84</v>
      </c>
      <c r="C22" s="533" t="s">
        <v>575</v>
      </c>
      <c r="D22" s="742">
        <v>0</v>
      </c>
      <c r="E22" s="742">
        <v>0</v>
      </c>
      <c r="F22" s="710">
        <v>114.65900000000001</v>
      </c>
      <c r="G22" s="710">
        <v>27.345999999999989</v>
      </c>
      <c r="H22" s="710">
        <v>0</v>
      </c>
      <c r="I22" s="710">
        <v>0</v>
      </c>
      <c r="J22" s="710">
        <v>91.88</v>
      </c>
      <c r="K22" s="710">
        <v>22.490000000000009</v>
      </c>
      <c r="L22" s="710">
        <v>0</v>
      </c>
      <c r="M22" s="539">
        <f t="shared" ref="M22:AJ22" si="4">M8</f>
        <v>0</v>
      </c>
      <c r="N22" s="539">
        <f t="shared" si="4"/>
        <v>255.95509313052352</v>
      </c>
      <c r="O22" s="539">
        <f t="shared" si="4"/>
        <v>61.044906869476407</v>
      </c>
      <c r="P22" s="539">
        <f t="shared" si="4"/>
        <v>0</v>
      </c>
      <c r="Q22" s="539">
        <f t="shared" si="4"/>
        <v>0</v>
      </c>
      <c r="R22" s="539">
        <f t="shared" si="4"/>
        <v>403.42398338086684</v>
      </c>
      <c r="S22" s="539">
        <f t="shared" si="4"/>
        <v>96.216016619133114</v>
      </c>
      <c r="T22" s="539">
        <f t="shared" si="4"/>
        <v>0</v>
      </c>
      <c r="U22" s="539">
        <f t="shared" si="4"/>
        <v>0</v>
      </c>
      <c r="V22" s="539">
        <f t="shared" si="4"/>
        <v>511.74870039787328</v>
      </c>
      <c r="W22" s="539">
        <f t="shared" si="4"/>
        <v>122.05129960212666</v>
      </c>
      <c r="X22" s="539">
        <f t="shared" si="4"/>
        <v>0</v>
      </c>
      <c r="Y22" s="539">
        <f t="shared" si="4"/>
        <v>0</v>
      </c>
      <c r="Z22" s="539">
        <f t="shared" si="4"/>
        <v>659.3467793387556</v>
      </c>
      <c r="AA22" s="539">
        <f t="shared" si="4"/>
        <v>157.25322066124428</v>
      </c>
      <c r="AB22" s="539">
        <f t="shared" si="4"/>
        <v>0</v>
      </c>
      <c r="AC22" s="539">
        <f t="shared" si="4"/>
        <v>0</v>
      </c>
      <c r="AD22" s="539">
        <f t="shared" si="4"/>
        <v>673.88050702440046</v>
      </c>
      <c r="AE22" s="539">
        <f t="shared" si="4"/>
        <v>160.71949297559942</v>
      </c>
      <c r="AF22" s="539">
        <f t="shared" si="4"/>
        <v>0</v>
      </c>
      <c r="AG22" s="539">
        <f t="shared" si="4"/>
        <v>0</v>
      </c>
      <c r="AH22" s="539">
        <f t="shared" si="4"/>
        <v>492.12816802225274</v>
      </c>
      <c r="AI22" s="539">
        <f t="shared" si="4"/>
        <v>117.37183197774725</v>
      </c>
      <c r="AJ22" s="539">
        <f t="shared" si="4"/>
        <v>0</v>
      </c>
      <c r="AK22" s="539">
        <f t="shared" si="2"/>
        <v>0</v>
      </c>
      <c r="AL22" s="539">
        <f t="shared" ref="AL22:AW22" si="5">AL8</f>
        <v>742.59274180486602</v>
      </c>
      <c r="AM22" s="539">
        <f t="shared" si="5"/>
        <v>177.10725819513394</v>
      </c>
      <c r="AN22" s="539">
        <f t="shared" si="5"/>
        <v>0</v>
      </c>
      <c r="AO22" s="539">
        <f t="shared" si="5"/>
        <v>0</v>
      </c>
      <c r="AP22" s="539">
        <f t="shared" si="5"/>
        <v>605.24901517552189</v>
      </c>
      <c r="AQ22" s="539">
        <f t="shared" si="5"/>
        <v>144.35098482447799</v>
      </c>
      <c r="AR22" s="539">
        <f t="shared" si="5"/>
        <v>0</v>
      </c>
      <c r="AS22" s="539">
        <f t="shared" si="5"/>
        <v>0</v>
      </c>
      <c r="AT22" s="539">
        <f t="shared" si="5"/>
        <v>604.0378712017183</v>
      </c>
      <c r="AU22" s="539">
        <f t="shared" si="5"/>
        <v>144.06212879828175</v>
      </c>
      <c r="AV22" s="539">
        <f t="shared" si="5"/>
        <v>0</v>
      </c>
      <c r="AW22" s="539">
        <f t="shared" si="5"/>
        <v>0</v>
      </c>
    </row>
    <row r="23" spans="1:49">
      <c r="A23" s="529">
        <v>5</v>
      </c>
      <c r="B23" s="532" t="s">
        <v>86</v>
      </c>
      <c r="C23" s="533" t="s">
        <v>575</v>
      </c>
      <c r="D23" s="742">
        <v>0</v>
      </c>
      <c r="E23" s="742">
        <v>25</v>
      </c>
      <c r="F23" s="710">
        <v>0</v>
      </c>
      <c r="G23" s="710">
        <v>0</v>
      </c>
      <c r="H23" s="710">
        <v>0</v>
      </c>
      <c r="I23" s="710">
        <v>4.54</v>
      </c>
      <c r="J23" s="710">
        <v>0</v>
      </c>
      <c r="K23" s="710">
        <v>0</v>
      </c>
      <c r="L23" s="710">
        <v>0</v>
      </c>
      <c r="M23" s="539">
        <f t="shared" ref="M23:AJ23" si="6">M9</f>
        <v>21.299999999999997</v>
      </c>
      <c r="N23" s="539">
        <f t="shared" si="6"/>
        <v>0</v>
      </c>
      <c r="O23" s="539">
        <f t="shared" si="6"/>
        <v>0</v>
      </c>
      <c r="P23" s="539">
        <f t="shared" si="6"/>
        <v>0</v>
      </c>
      <c r="Q23" s="539">
        <f t="shared" si="6"/>
        <v>21.299999999999997</v>
      </c>
      <c r="R23" s="539">
        <f t="shared" si="6"/>
        <v>0</v>
      </c>
      <c r="S23" s="539">
        <f t="shared" si="6"/>
        <v>0</v>
      </c>
      <c r="T23" s="539">
        <f t="shared" si="6"/>
        <v>0</v>
      </c>
      <c r="U23" s="539">
        <f t="shared" si="6"/>
        <v>25.999999999999996</v>
      </c>
      <c r="V23" s="539">
        <f t="shared" si="6"/>
        <v>0</v>
      </c>
      <c r="W23" s="539">
        <f t="shared" si="6"/>
        <v>0</v>
      </c>
      <c r="X23" s="539">
        <f t="shared" si="6"/>
        <v>0</v>
      </c>
      <c r="Y23" s="539">
        <f t="shared" si="6"/>
        <v>44.8</v>
      </c>
      <c r="Z23" s="539">
        <f t="shared" si="6"/>
        <v>0</v>
      </c>
      <c r="AA23" s="539">
        <f t="shared" si="6"/>
        <v>0</v>
      </c>
      <c r="AB23" s="539">
        <f t="shared" si="6"/>
        <v>0</v>
      </c>
      <c r="AC23" s="539">
        <f t="shared" si="6"/>
        <v>70.8</v>
      </c>
      <c r="AD23" s="539">
        <f t="shared" si="6"/>
        <v>0</v>
      </c>
      <c r="AE23" s="539">
        <f t="shared" si="6"/>
        <v>0</v>
      </c>
      <c r="AF23" s="539">
        <f t="shared" si="6"/>
        <v>0</v>
      </c>
      <c r="AG23" s="539">
        <f t="shared" si="6"/>
        <v>81.2</v>
      </c>
      <c r="AH23" s="539">
        <f t="shared" si="6"/>
        <v>0</v>
      </c>
      <c r="AI23" s="539">
        <f t="shared" si="6"/>
        <v>0</v>
      </c>
      <c r="AJ23" s="539">
        <f t="shared" si="6"/>
        <v>0</v>
      </c>
      <c r="AK23" s="539">
        <f t="shared" si="2"/>
        <v>73.8</v>
      </c>
      <c r="AL23" s="539">
        <f t="shared" ref="AL23:AW23" si="7">AL9</f>
        <v>0</v>
      </c>
      <c r="AM23" s="539">
        <f t="shared" si="7"/>
        <v>0</v>
      </c>
      <c r="AN23" s="539">
        <f t="shared" si="7"/>
        <v>0</v>
      </c>
      <c r="AO23" s="539">
        <f t="shared" si="7"/>
        <v>96.8</v>
      </c>
      <c r="AP23" s="539">
        <f t="shared" si="7"/>
        <v>0</v>
      </c>
      <c r="AQ23" s="539">
        <f t="shared" si="7"/>
        <v>0</v>
      </c>
      <c r="AR23" s="539">
        <f t="shared" si="7"/>
        <v>0</v>
      </c>
      <c r="AS23" s="539">
        <f t="shared" si="7"/>
        <v>70.8</v>
      </c>
      <c r="AT23" s="539">
        <f t="shared" si="7"/>
        <v>0</v>
      </c>
      <c r="AU23" s="539">
        <f t="shared" si="7"/>
        <v>0</v>
      </c>
      <c r="AV23" s="539">
        <f t="shared" si="7"/>
        <v>0</v>
      </c>
      <c r="AW23" s="539">
        <f t="shared" si="7"/>
        <v>96.8</v>
      </c>
    </row>
    <row r="24" spans="1:49">
      <c r="A24" s="529">
        <v>6</v>
      </c>
      <c r="B24" s="532" t="s">
        <v>87</v>
      </c>
      <c r="C24" s="533" t="s">
        <v>575</v>
      </c>
      <c r="D24" s="742">
        <v>0</v>
      </c>
      <c r="E24" s="742">
        <v>0</v>
      </c>
      <c r="F24" s="710">
        <v>2161.6880000000001</v>
      </c>
      <c r="G24" s="710">
        <v>186.4</v>
      </c>
      <c r="H24" s="710">
        <v>1.02</v>
      </c>
      <c r="I24" s="710">
        <v>0</v>
      </c>
      <c r="J24" s="710">
        <v>1314.12</v>
      </c>
      <c r="K24" s="710">
        <v>209.02</v>
      </c>
      <c r="L24" s="710">
        <v>0</v>
      </c>
      <c r="M24" s="539">
        <f t="shared" ref="M24:AJ24" si="8">M10</f>
        <v>0</v>
      </c>
      <c r="N24" s="539">
        <f t="shared" si="8"/>
        <v>1314.12</v>
      </c>
      <c r="O24" s="539">
        <f t="shared" si="8"/>
        <v>209.02</v>
      </c>
      <c r="P24" s="539">
        <f t="shared" si="8"/>
        <v>0</v>
      </c>
      <c r="Q24" s="539">
        <f t="shared" si="8"/>
        <v>0</v>
      </c>
      <c r="R24" s="539">
        <f t="shared" si="8"/>
        <v>1314.12</v>
      </c>
      <c r="S24" s="539">
        <f t="shared" si="8"/>
        <v>209.02</v>
      </c>
      <c r="T24" s="539">
        <f t="shared" si="8"/>
        <v>0</v>
      </c>
      <c r="U24" s="539">
        <f t="shared" si="8"/>
        <v>0</v>
      </c>
      <c r="V24" s="539">
        <f t="shared" si="8"/>
        <v>1314.12</v>
      </c>
      <c r="W24" s="539">
        <f t="shared" si="8"/>
        <v>209.02</v>
      </c>
      <c r="X24" s="539">
        <f t="shared" si="8"/>
        <v>0</v>
      </c>
      <c r="Y24" s="539">
        <f t="shared" si="8"/>
        <v>0</v>
      </c>
      <c r="Z24" s="539">
        <f t="shared" si="8"/>
        <v>1314.12</v>
      </c>
      <c r="AA24" s="539">
        <f t="shared" si="8"/>
        <v>209.02</v>
      </c>
      <c r="AB24" s="539">
        <f t="shared" si="8"/>
        <v>0</v>
      </c>
      <c r="AC24" s="539">
        <f t="shared" si="8"/>
        <v>0</v>
      </c>
      <c r="AD24" s="539">
        <f t="shared" si="8"/>
        <v>1314.12</v>
      </c>
      <c r="AE24" s="539">
        <f t="shared" si="8"/>
        <v>209.02</v>
      </c>
      <c r="AF24" s="539">
        <f t="shared" si="8"/>
        <v>0</v>
      </c>
      <c r="AG24" s="539">
        <f t="shared" si="8"/>
        <v>0</v>
      </c>
      <c r="AH24" s="539">
        <f t="shared" si="8"/>
        <v>1314.12</v>
      </c>
      <c r="AI24" s="539">
        <f t="shared" si="8"/>
        <v>209.02</v>
      </c>
      <c r="AJ24" s="539">
        <f t="shared" si="8"/>
        <v>0</v>
      </c>
      <c r="AK24" s="539">
        <f t="shared" si="2"/>
        <v>0</v>
      </c>
      <c r="AL24" s="539">
        <f t="shared" ref="AL24:AW24" si="9">AL10</f>
        <v>1314.12</v>
      </c>
      <c r="AM24" s="539">
        <f t="shared" si="9"/>
        <v>209.02</v>
      </c>
      <c r="AN24" s="539">
        <f t="shared" si="9"/>
        <v>0</v>
      </c>
      <c r="AO24" s="539">
        <f t="shared" si="9"/>
        <v>0</v>
      </c>
      <c r="AP24" s="539">
        <f t="shared" si="9"/>
        <v>1314.12</v>
      </c>
      <c r="AQ24" s="539">
        <f t="shared" si="9"/>
        <v>209.02</v>
      </c>
      <c r="AR24" s="539">
        <f t="shared" si="9"/>
        <v>0</v>
      </c>
      <c r="AS24" s="539">
        <f t="shared" si="9"/>
        <v>0</v>
      </c>
      <c r="AT24" s="539">
        <f t="shared" si="9"/>
        <v>1314.12</v>
      </c>
      <c r="AU24" s="539">
        <f t="shared" si="9"/>
        <v>209.02</v>
      </c>
      <c r="AV24" s="539">
        <f t="shared" si="9"/>
        <v>0</v>
      </c>
      <c r="AW24" s="539">
        <f t="shared" si="9"/>
        <v>0</v>
      </c>
    </row>
    <row r="25" spans="1:49">
      <c r="A25" s="529">
        <v>7</v>
      </c>
      <c r="B25" s="539" t="s">
        <v>699</v>
      </c>
      <c r="C25" s="533" t="s">
        <v>575</v>
      </c>
      <c r="D25" s="742">
        <v>0</v>
      </c>
      <c r="E25" s="742">
        <v>3</v>
      </c>
      <c r="F25" s="710">
        <v>0</v>
      </c>
      <c r="G25" s="710">
        <v>95.88</v>
      </c>
      <c r="H25" s="710">
        <v>0</v>
      </c>
      <c r="I25" s="710">
        <v>0</v>
      </c>
      <c r="J25" s="710">
        <v>168.62</v>
      </c>
      <c r="K25" s="710">
        <v>0</v>
      </c>
      <c r="L25" s="710">
        <v>0</v>
      </c>
      <c r="M25" s="539">
        <f t="shared" ref="M25:AJ25" si="10">M11</f>
        <v>0</v>
      </c>
      <c r="N25" s="539">
        <f t="shared" si="10"/>
        <v>0</v>
      </c>
      <c r="O25" s="539">
        <f t="shared" si="10"/>
        <v>0</v>
      </c>
      <c r="P25" s="539">
        <f t="shared" si="10"/>
        <v>0</v>
      </c>
      <c r="Q25" s="539">
        <f t="shared" si="10"/>
        <v>0</v>
      </c>
      <c r="R25" s="539">
        <f t="shared" si="10"/>
        <v>0</v>
      </c>
      <c r="S25" s="539">
        <f t="shared" si="10"/>
        <v>0</v>
      </c>
      <c r="T25" s="539">
        <f t="shared" si="10"/>
        <v>0</v>
      </c>
      <c r="U25" s="539">
        <f t="shared" si="10"/>
        <v>0</v>
      </c>
      <c r="V25" s="539">
        <f t="shared" si="10"/>
        <v>0</v>
      </c>
      <c r="W25" s="539">
        <f t="shared" si="10"/>
        <v>0</v>
      </c>
      <c r="X25" s="539">
        <f t="shared" si="10"/>
        <v>0</v>
      </c>
      <c r="Y25" s="539">
        <f t="shared" si="10"/>
        <v>0</v>
      </c>
      <c r="Z25" s="539">
        <f t="shared" si="10"/>
        <v>0</v>
      </c>
      <c r="AA25" s="539">
        <f t="shared" si="10"/>
        <v>0</v>
      </c>
      <c r="AB25" s="539">
        <f t="shared" si="10"/>
        <v>0</v>
      </c>
      <c r="AC25" s="539">
        <f t="shared" si="10"/>
        <v>0</v>
      </c>
      <c r="AD25" s="539">
        <f t="shared" si="10"/>
        <v>0</v>
      </c>
      <c r="AE25" s="539">
        <f t="shared" si="10"/>
        <v>0</v>
      </c>
      <c r="AF25" s="539">
        <f t="shared" si="10"/>
        <v>0</v>
      </c>
      <c r="AG25" s="539">
        <f t="shared" si="10"/>
        <v>0</v>
      </c>
      <c r="AH25" s="539">
        <f t="shared" si="10"/>
        <v>0</v>
      </c>
      <c r="AI25" s="539">
        <f t="shared" si="10"/>
        <v>0</v>
      </c>
      <c r="AJ25" s="539">
        <f t="shared" si="10"/>
        <v>0</v>
      </c>
      <c r="AK25" s="539">
        <f t="shared" si="2"/>
        <v>0</v>
      </c>
      <c r="AL25" s="539">
        <f t="shared" ref="AL25:AW25" si="11">AL11</f>
        <v>0</v>
      </c>
      <c r="AM25" s="539">
        <f t="shared" si="11"/>
        <v>0</v>
      </c>
      <c r="AN25" s="539">
        <f t="shared" si="11"/>
        <v>0</v>
      </c>
      <c r="AO25" s="539">
        <f t="shared" si="11"/>
        <v>0</v>
      </c>
      <c r="AP25" s="539">
        <f t="shared" si="11"/>
        <v>0</v>
      </c>
      <c r="AQ25" s="539">
        <f t="shared" si="11"/>
        <v>0</v>
      </c>
      <c r="AR25" s="539">
        <f t="shared" si="11"/>
        <v>0</v>
      </c>
      <c r="AS25" s="539">
        <f t="shared" si="11"/>
        <v>0</v>
      </c>
      <c r="AT25" s="539">
        <f t="shared" si="11"/>
        <v>0</v>
      </c>
      <c r="AU25" s="539">
        <f t="shared" si="11"/>
        <v>0</v>
      </c>
      <c r="AV25" s="539">
        <f t="shared" si="11"/>
        <v>0</v>
      </c>
      <c r="AW25" s="539">
        <f t="shared" si="11"/>
        <v>0</v>
      </c>
    </row>
    <row r="26" spans="1:49">
      <c r="A26" s="529">
        <v>8</v>
      </c>
      <c r="B26" s="539" t="s">
        <v>151</v>
      </c>
      <c r="C26" s="533" t="s">
        <v>575</v>
      </c>
      <c r="D26" s="742">
        <v>0</v>
      </c>
      <c r="E26" s="742">
        <v>73</v>
      </c>
      <c r="F26" s="710">
        <v>0</v>
      </c>
      <c r="G26" s="710">
        <v>0</v>
      </c>
      <c r="H26" s="710">
        <v>0</v>
      </c>
      <c r="I26" s="710">
        <v>38.28</v>
      </c>
      <c r="J26" s="710">
        <v>0</v>
      </c>
      <c r="K26" s="710">
        <v>0</v>
      </c>
      <c r="L26" s="710">
        <v>0</v>
      </c>
      <c r="M26" s="539">
        <f t="shared" ref="M26:AJ26" si="12">M12</f>
        <v>0</v>
      </c>
      <c r="N26" s="539">
        <f t="shared" si="12"/>
        <v>0</v>
      </c>
      <c r="O26" s="539">
        <f t="shared" si="12"/>
        <v>0</v>
      </c>
      <c r="P26" s="539">
        <f t="shared" si="12"/>
        <v>0</v>
      </c>
      <c r="Q26" s="539">
        <f t="shared" si="12"/>
        <v>0</v>
      </c>
      <c r="R26" s="539">
        <f t="shared" si="12"/>
        <v>0</v>
      </c>
      <c r="S26" s="539">
        <f t="shared" si="12"/>
        <v>0</v>
      </c>
      <c r="T26" s="539">
        <f t="shared" si="12"/>
        <v>0</v>
      </c>
      <c r="U26" s="539">
        <f t="shared" si="12"/>
        <v>0</v>
      </c>
      <c r="V26" s="539">
        <f t="shared" si="12"/>
        <v>0</v>
      </c>
      <c r="W26" s="539">
        <f t="shared" si="12"/>
        <v>0</v>
      </c>
      <c r="X26" s="539">
        <f t="shared" si="12"/>
        <v>0</v>
      </c>
      <c r="Y26" s="539">
        <f t="shared" si="12"/>
        <v>0</v>
      </c>
      <c r="Z26" s="539">
        <f t="shared" si="12"/>
        <v>0</v>
      </c>
      <c r="AA26" s="539">
        <f t="shared" si="12"/>
        <v>0</v>
      </c>
      <c r="AB26" s="539">
        <f t="shared" si="12"/>
        <v>0</v>
      </c>
      <c r="AC26" s="539">
        <f t="shared" si="12"/>
        <v>0</v>
      </c>
      <c r="AD26" s="539">
        <f t="shared" si="12"/>
        <v>0</v>
      </c>
      <c r="AE26" s="539">
        <f t="shared" si="12"/>
        <v>0</v>
      </c>
      <c r="AF26" s="539">
        <f t="shared" si="12"/>
        <v>0</v>
      </c>
      <c r="AG26" s="539">
        <f t="shared" si="12"/>
        <v>0</v>
      </c>
      <c r="AH26" s="539">
        <f t="shared" si="12"/>
        <v>0</v>
      </c>
      <c r="AI26" s="539">
        <f t="shared" si="12"/>
        <v>0</v>
      </c>
      <c r="AJ26" s="539">
        <f t="shared" si="12"/>
        <v>0</v>
      </c>
      <c r="AK26" s="539">
        <f t="shared" si="2"/>
        <v>0</v>
      </c>
      <c r="AL26" s="539">
        <f t="shared" ref="AL26:AW26" si="13">AL12</f>
        <v>0</v>
      </c>
      <c r="AM26" s="539">
        <f t="shared" si="13"/>
        <v>0</v>
      </c>
      <c r="AN26" s="539">
        <f t="shared" si="13"/>
        <v>0</v>
      </c>
      <c r="AO26" s="539">
        <f t="shared" si="13"/>
        <v>0</v>
      </c>
      <c r="AP26" s="539">
        <f t="shared" si="13"/>
        <v>0</v>
      </c>
      <c r="AQ26" s="539">
        <f t="shared" si="13"/>
        <v>0</v>
      </c>
      <c r="AR26" s="539">
        <f t="shared" si="13"/>
        <v>0</v>
      </c>
      <c r="AS26" s="539">
        <f t="shared" si="13"/>
        <v>0</v>
      </c>
      <c r="AT26" s="539">
        <f t="shared" si="13"/>
        <v>0</v>
      </c>
      <c r="AU26" s="539">
        <f t="shared" si="13"/>
        <v>0</v>
      </c>
      <c r="AV26" s="539">
        <f t="shared" si="13"/>
        <v>0</v>
      </c>
      <c r="AW26" s="539">
        <f t="shared" si="13"/>
        <v>0</v>
      </c>
    </row>
    <row r="28" spans="1:49" ht="16">
      <c r="A28" s="555" t="s">
        <v>746</v>
      </c>
      <c r="B28" s="555"/>
      <c r="C28" s="555"/>
      <c r="D28" s="555"/>
      <c r="E28" s="555"/>
      <c r="F28" s="555"/>
      <c r="G28" s="555"/>
      <c r="H28" s="555"/>
      <c r="I28" s="555"/>
      <c r="J28" s="555"/>
      <c r="K28" s="555"/>
      <c r="L28" s="555"/>
      <c r="M28" s="555"/>
      <c r="N28" s="555"/>
      <c r="O28" s="555"/>
      <c r="P28" s="555"/>
      <c r="Q28" s="555"/>
      <c r="R28" s="555"/>
      <c r="S28" s="555"/>
      <c r="T28" s="555"/>
      <c r="U28" s="555"/>
      <c r="V28" s="555"/>
      <c r="W28" s="555"/>
    </row>
    <row r="30" spans="1:49">
      <c r="A30" s="750" t="s">
        <v>655</v>
      </c>
      <c r="B30" s="750" t="s">
        <v>656</v>
      </c>
      <c r="C30" s="750" t="s">
        <v>677</v>
      </c>
      <c r="D30" s="750" t="s">
        <v>725</v>
      </c>
      <c r="E30" s="750"/>
      <c r="F30" s="755" t="s">
        <v>724</v>
      </c>
      <c r="G30" s="755"/>
      <c r="H30" s="755"/>
      <c r="I30" s="755"/>
      <c r="J30" s="754" t="s">
        <v>714</v>
      </c>
      <c r="K30" s="754"/>
      <c r="L30" s="754"/>
      <c r="M30" s="754"/>
      <c r="N30" s="749" t="s">
        <v>715</v>
      </c>
      <c r="O30" s="749"/>
      <c r="P30" s="749"/>
      <c r="Q30" s="749"/>
      <c r="R30" s="754" t="s">
        <v>716</v>
      </c>
      <c r="S30" s="754"/>
      <c r="T30" s="754"/>
      <c r="U30" s="754"/>
      <c r="V30" s="749" t="s">
        <v>717</v>
      </c>
      <c r="W30" s="749"/>
      <c r="X30" s="749"/>
      <c r="Y30" s="749"/>
      <c r="Z30" s="754" t="s">
        <v>718</v>
      </c>
      <c r="AA30" s="754"/>
      <c r="AB30" s="754"/>
      <c r="AC30" s="754"/>
      <c r="AD30" s="749" t="s">
        <v>719</v>
      </c>
      <c r="AE30" s="749"/>
      <c r="AF30" s="749"/>
      <c r="AG30" s="749"/>
      <c r="AH30" s="754" t="s">
        <v>720</v>
      </c>
      <c r="AI30" s="754"/>
      <c r="AJ30" s="754"/>
      <c r="AK30" s="754"/>
      <c r="AL30" s="749" t="s">
        <v>721</v>
      </c>
      <c r="AM30" s="749"/>
      <c r="AN30" s="749"/>
      <c r="AO30" s="749"/>
      <c r="AP30" s="754" t="s">
        <v>722</v>
      </c>
      <c r="AQ30" s="754"/>
      <c r="AR30" s="754"/>
      <c r="AS30" s="754"/>
      <c r="AT30" s="749" t="s">
        <v>723</v>
      </c>
      <c r="AU30" s="749"/>
      <c r="AV30" s="749"/>
      <c r="AW30" s="749"/>
    </row>
    <row r="31" spans="1:49">
      <c r="A31" s="750"/>
      <c r="B31" s="750"/>
      <c r="C31" s="750"/>
      <c r="D31" s="581" t="s">
        <v>657</v>
      </c>
      <c r="E31" s="581" t="s">
        <v>658</v>
      </c>
      <c r="F31" s="579" t="s">
        <v>659</v>
      </c>
      <c r="G31" s="579" t="s">
        <v>660</v>
      </c>
      <c r="H31" s="579" t="s">
        <v>661</v>
      </c>
      <c r="I31" s="579" t="s">
        <v>662</v>
      </c>
      <c r="J31" s="581" t="s">
        <v>663</v>
      </c>
      <c r="K31" s="581" t="s">
        <v>664</v>
      </c>
      <c r="L31" s="581" t="s">
        <v>665</v>
      </c>
      <c r="M31" s="581" t="s">
        <v>666</v>
      </c>
      <c r="N31" s="579" t="s">
        <v>667</v>
      </c>
      <c r="O31" s="579" t="s">
        <v>668</v>
      </c>
      <c r="P31" s="579" t="s">
        <v>669</v>
      </c>
      <c r="Q31" s="579" t="s">
        <v>670</v>
      </c>
      <c r="R31" s="581" t="s">
        <v>671</v>
      </c>
      <c r="S31" s="581" t="s">
        <v>672</v>
      </c>
      <c r="T31" s="581" t="s">
        <v>673</v>
      </c>
      <c r="U31" s="581" t="s">
        <v>674</v>
      </c>
      <c r="V31" s="579" t="s">
        <v>675</v>
      </c>
      <c r="W31" s="579" t="s">
        <v>676</v>
      </c>
      <c r="X31" s="579" t="s">
        <v>678</v>
      </c>
      <c r="Y31" s="579" t="s">
        <v>679</v>
      </c>
      <c r="Z31" s="581" t="s">
        <v>680</v>
      </c>
      <c r="AA31" s="581" t="s">
        <v>681</v>
      </c>
      <c r="AB31" s="581" t="s">
        <v>682</v>
      </c>
      <c r="AC31" s="581" t="s">
        <v>683</v>
      </c>
      <c r="AD31" s="579" t="s">
        <v>684</v>
      </c>
      <c r="AE31" s="579" t="s">
        <v>685</v>
      </c>
      <c r="AF31" s="579" t="s">
        <v>686</v>
      </c>
      <c r="AG31" s="579" t="s">
        <v>687</v>
      </c>
      <c r="AH31" s="581" t="s">
        <v>688</v>
      </c>
      <c r="AI31" s="581" t="s">
        <v>689</v>
      </c>
      <c r="AJ31" s="581" t="s">
        <v>690</v>
      </c>
      <c r="AK31" s="581" t="s">
        <v>691</v>
      </c>
      <c r="AL31" s="579" t="s">
        <v>702</v>
      </c>
      <c r="AM31" s="579" t="s">
        <v>703</v>
      </c>
      <c r="AN31" s="579" t="s">
        <v>704</v>
      </c>
      <c r="AO31" s="579" t="s">
        <v>705</v>
      </c>
      <c r="AP31" s="581" t="s">
        <v>706</v>
      </c>
      <c r="AQ31" s="581" t="s">
        <v>707</v>
      </c>
      <c r="AR31" s="581" t="s">
        <v>708</v>
      </c>
      <c r="AS31" s="581" t="s">
        <v>709</v>
      </c>
      <c r="AT31" s="579" t="s">
        <v>710</v>
      </c>
      <c r="AU31" s="579" t="s">
        <v>711</v>
      </c>
      <c r="AV31" s="579" t="s">
        <v>712</v>
      </c>
      <c r="AW31" s="579" t="s">
        <v>713</v>
      </c>
    </row>
    <row r="32" spans="1:49">
      <c r="A32" s="529">
        <v>1</v>
      </c>
      <c r="B32" s="548" t="s">
        <v>0</v>
      </c>
      <c r="C32" s="533" t="s">
        <v>734</v>
      </c>
      <c r="D32" s="740">
        <v>34.927821315895365</v>
      </c>
      <c r="E32" s="741">
        <v>29.139235202739492</v>
      </c>
      <c r="F32" s="711">
        <v>35.786274324821434</v>
      </c>
      <c r="G32" s="711">
        <v>36.800154226911012</v>
      </c>
      <c r="H32" s="711">
        <v>46.020665796849912</v>
      </c>
      <c r="I32" s="711">
        <v>54.128023586570635</v>
      </c>
      <c r="J32" s="711">
        <v>42.629621498199754</v>
      </c>
      <c r="K32" s="711">
        <v>44.794114048934439</v>
      </c>
      <c r="L32" s="711">
        <v>46.563713843949166</v>
      </c>
      <c r="M32" s="740">
        <v>52.853182817398107</v>
      </c>
      <c r="N32" s="550">
        <f>'Financial Model'!E37</f>
        <v>44.983883125777893</v>
      </c>
      <c r="O32" s="550">
        <f>N32</f>
        <v>44.983883125777893</v>
      </c>
      <c r="P32" s="550">
        <f>'Financial Model'!E38</f>
        <v>51.154964177096232</v>
      </c>
      <c r="Q32" s="550">
        <f>P32</f>
        <v>51.154964177096232</v>
      </c>
      <c r="R32" s="550">
        <f>'Financial Model'!F37</f>
        <v>46.436862550740521</v>
      </c>
      <c r="S32" s="550">
        <f>R32</f>
        <v>46.436862550740521</v>
      </c>
      <c r="T32" s="550">
        <f>'Financial Model'!F38</f>
        <v>52.80726952001644</v>
      </c>
      <c r="U32" s="550">
        <f>T32</f>
        <v>52.80726952001644</v>
      </c>
      <c r="V32" s="550">
        <f>'Financial Model'!G37</f>
        <v>48.187532268903439</v>
      </c>
      <c r="W32" s="550">
        <f>V32</f>
        <v>48.187532268903439</v>
      </c>
      <c r="X32" s="550">
        <f>'Financial Model'!G38</f>
        <v>54.798103580921065</v>
      </c>
      <c r="Y32" s="550">
        <f>X32</f>
        <v>54.798103580921065</v>
      </c>
      <c r="Z32" s="550">
        <f>'Financial Model'!H37</f>
        <v>50.187314858062933</v>
      </c>
      <c r="AA32" s="550">
        <f>Z32</f>
        <v>50.187314858062933</v>
      </c>
      <c r="AB32" s="550">
        <f>'Financial Model'!H38</f>
        <v>57.072224879529294</v>
      </c>
      <c r="AC32" s="550">
        <f>AB32</f>
        <v>57.072224879529294</v>
      </c>
      <c r="AD32" s="550">
        <f>'Financial Model'!I37</f>
        <v>51.692934303804826</v>
      </c>
      <c r="AE32" s="550">
        <f>AD32</f>
        <v>51.692934303804826</v>
      </c>
      <c r="AF32" s="550">
        <f>'Financial Model'!I38</f>
        <v>58.784391625915177</v>
      </c>
      <c r="AG32" s="550">
        <f>AF32</f>
        <v>58.784391625915177</v>
      </c>
      <c r="AH32" s="550">
        <f>'Financial Model'!J37</f>
        <v>53.243722332918971</v>
      </c>
      <c r="AI32" s="550">
        <f>AH32</f>
        <v>53.243722332918971</v>
      </c>
      <c r="AJ32" s="550">
        <f>'Financial Model'!J38</f>
        <v>60.547923374692637</v>
      </c>
      <c r="AK32" s="550">
        <f>AJ32</f>
        <v>60.547923374692637</v>
      </c>
      <c r="AL32" s="550">
        <f>'Financial Model'!K37</f>
        <v>54.84103400290654</v>
      </c>
      <c r="AM32" s="550">
        <f>AL32</f>
        <v>54.84103400290654</v>
      </c>
      <c r="AN32" s="550">
        <f>'Financial Model'!K38</f>
        <v>62.364361075933417</v>
      </c>
      <c r="AO32" s="550">
        <f>AN32</f>
        <v>62.364361075933417</v>
      </c>
      <c r="AP32" s="550">
        <f>'Financial Model'!L37</f>
        <v>56.486265022993734</v>
      </c>
      <c r="AQ32" s="550">
        <f>AP32</f>
        <v>56.486265022993734</v>
      </c>
      <c r="AR32" s="550">
        <f>'Financial Model'!L38</f>
        <v>64.235291908211423</v>
      </c>
      <c r="AS32" s="550">
        <f>AR32</f>
        <v>64.235291908211423</v>
      </c>
      <c r="AT32" s="550">
        <f>'Financial Model'!M37</f>
        <v>58.18085297368355</v>
      </c>
      <c r="AU32" s="550">
        <f>AT32</f>
        <v>58.18085297368355</v>
      </c>
      <c r="AV32" s="550">
        <f>'Financial Model'!M38</f>
        <v>66.162350665457765</v>
      </c>
      <c r="AW32" s="550">
        <f>AV32</f>
        <v>66.162350665457765</v>
      </c>
    </row>
    <row r="33" spans="1:49">
      <c r="A33" s="529">
        <v>2</v>
      </c>
      <c r="B33" s="548" t="s">
        <v>1</v>
      </c>
      <c r="C33" s="533" t="s">
        <v>734</v>
      </c>
      <c r="D33" s="740">
        <v>3.7718340611353716</v>
      </c>
      <c r="E33" s="741">
        <v>6.029874628329706</v>
      </c>
      <c r="F33" s="711">
        <v>7.5243069551617587</v>
      </c>
      <c r="G33" s="711">
        <v>7.167728231866346</v>
      </c>
      <c r="H33" s="711">
        <v>4.6758321345304825</v>
      </c>
      <c r="I33" s="711">
        <v>5.318997498058839</v>
      </c>
      <c r="J33" s="711">
        <v>7.800048619793218</v>
      </c>
      <c r="K33" s="711">
        <v>8.2901230260209058</v>
      </c>
      <c r="L33" s="711">
        <v>11.821348314606741</v>
      </c>
      <c r="M33" s="740">
        <v>8.4339078897746322</v>
      </c>
      <c r="N33" s="550">
        <f>'Financial Model'!$E$40</f>
        <v>9.3507699501590462</v>
      </c>
      <c r="O33" s="550">
        <f>'Financial Model'!$E$40</f>
        <v>9.3507699501590462</v>
      </c>
      <c r="P33" s="550">
        <f>'Financial Model'!$E$40</f>
        <v>9.3507699501590462</v>
      </c>
      <c r="Q33" s="550">
        <f>'Financial Model'!$E$40</f>
        <v>9.3507699501590462</v>
      </c>
      <c r="R33" s="550">
        <f>'Financial Model'!$F$40</f>
        <v>9.652799819549184</v>
      </c>
      <c r="S33" s="550">
        <f>'Financial Model'!$F$40</f>
        <v>9.652799819549184</v>
      </c>
      <c r="T33" s="550">
        <f>'Financial Model'!$F$40</f>
        <v>9.652799819549184</v>
      </c>
      <c r="U33" s="550">
        <f>'Financial Model'!$F$40</f>
        <v>9.652799819549184</v>
      </c>
      <c r="V33" s="550">
        <f>'Financial Model'!$G$40</f>
        <v>10.016710372746189</v>
      </c>
      <c r="W33" s="550">
        <f>'Financial Model'!$G$40</f>
        <v>10.016710372746189</v>
      </c>
      <c r="X33" s="550">
        <f>'Financial Model'!$G$40</f>
        <v>10.016710372746189</v>
      </c>
      <c r="Y33" s="550">
        <f>'Financial Model'!$G$40</f>
        <v>10.016710372746189</v>
      </c>
      <c r="Z33" s="550">
        <f>'Financial Model'!$H$40</f>
        <v>10.432403853215156</v>
      </c>
      <c r="AA33" s="550">
        <f>'Financial Model'!$H$40</f>
        <v>10.432403853215156</v>
      </c>
      <c r="AB33" s="550">
        <f>'Financial Model'!$H$40</f>
        <v>10.432403853215156</v>
      </c>
      <c r="AC33" s="550">
        <f>'Financial Model'!$H$40</f>
        <v>10.432403853215156</v>
      </c>
      <c r="AD33" s="550">
        <f>'Financial Model'!$I$40</f>
        <v>10.745375968811612</v>
      </c>
      <c r="AE33" s="550">
        <f>'Financial Model'!$I$40</f>
        <v>10.745375968811612</v>
      </c>
      <c r="AF33" s="550">
        <f>'Financial Model'!$I$40</f>
        <v>10.745375968811612</v>
      </c>
      <c r="AG33" s="550">
        <f>'Financial Model'!$I$40</f>
        <v>10.745375968811612</v>
      </c>
      <c r="AH33" s="550">
        <f>'Financial Model'!$J$40</f>
        <v>11.067737247875961</v>
      </c>
      <c r="AI33" s="550">
        <f>'Financial Model'!$J$40</f>
        <v>11.067737247875961</v>
      </c>
      <c r="AJ33" s="550">
        <f>'Financial Model'!$J$40</f>
        <v>11.067737247875961</v>
      </c>
      <c r="AK33" s="550">
        <f>'Financial Model'!$J$40</f>
        <v>11.067737247875961</v>
      </c>
      <c r="AL33" s="550">
        <f>'Financial Model'!$K$40</f>
        <v>11.39976936531224</v>
      </c>
      <c r="AM33" s="550">
        <f>'Financial Model'!$K$40</f>
        <v>11.39976936531224</v>
      </c>
      <c r="AN33" s="550">
        <f>'Financial Model'!$K$40</f>
        <v>11.39976936531224</v>
      </c>
      <c r="AO33" s="550">
        <f>'Financial Model'!$K$40</f>
        <v>11.39976936531224</v>
      </c>
      <c r="AP33" s="550">
        <f>'Financial Model'!$L$40</f>
        <v>11.741762446271608</v>
      </c>
      <c r="AQ33" s="550">
        <f>'Financial Model'!$L$40</f>
        <v>11.741762446271608</v>
      </c>
      <c r="AR33" s="550">
        <f>'Financial Model'!$L$40</f>
        <v>11.741762446271608</v>
      </c>
      <c r="AS33" s="550">
        <f>'Financial Model'!$L$40</f>
        <v>11.741762446271608</v>
      </c>
      <c r="AT33" s="550">
        <f>'Financial Model'!$M$40</f>
        <v>12.094015319659757</v>
      </c>
      <c r="AU33" s="550">
        <f>'Financial Model'!$M$40</f>
        <v>12.094015319659757</v>
      </c>
      <c r="AV33" s="550">
        <f>'Financial Model'!$M$40</f>
        <v>12.094015319659757</v>
      </c>
      <c r="AW33" s="550">
        <f>'Financial Model'!$M$40</f>
        <v>12.094015319659757</v>
      </c>
    </row>
    <row r="34" spans="1:49">
      <c r="A34" s="529">
        <v>3</v>
      </c>
      <c r="B34" s="534" t="s">
        <v>85</v>
      </c>
      <c r="C34" s="533" t="s">
        <v>734</v>
      </c>
      <c r="D34" s="740"/>
      <c r="E34" s="740">
        <v>20.83331655762456</v>
      </c>
      <c r="F34" s="711">
        <v>22.028606161261187</v>
      </c>
      <c r="G34" s="711">
        <v>8.9538432962882695</v>
      </c>
      <c r="H34" s="711"/>
      <c r="I34" s="711"/>
      <c r="J34" s="711">
        <v>25.487873299953833</v>
      </c>
      <c r="K34" s="711"/>
      <c r="L34" s="711"/>
      <c r="M34" s="550"/>
      <c r="N34" s="550">
        <f>J34*'Financial Model_Quarter'!$N$5</f>
        <v>26.311131607542343</v>
      </c>
      <c r="O34" s="550">
        <f>K34*'Financial Model_Quarter'!$O$5</f>
        <v>0</v>
      </c>
      <c r="P34" s="550">
        <f>L34*'Financial Model_Quarter'!$P$5</f>
        <v>0</v>
      </c>
      <c r="Q34" s="550">
        <f>M34*'Financial Model_Quarter'!$Q$5</f>
        <v>0</v>
      </c>
      <c r="R34" s="550">
        <f>N34*'Financial Model_Quarter'!$R$5</f>
        <v>27.303061269146692</v>
      </c>
      <c r="S34" s="550">
        <f>O34*'Financial Model_Quarter'!$S$5</f>
        <v>0</v>
      </c>
      <c r="T34" s="550">
        <f>P34*'Financial Model_Quarter'!$T$5</f>
        <v>0</v>
      </c>
      <c r="U34" s="550">
        <f>Q34*'Financial Model_Quarter'!$U$5</f>
        <v>0</v>
      </c>
      <c r="V34" s="550">
        <f>R34*'Financial Model_Quarter'!$V$5</f>
        <v>28.436138311816283</v>
      </c>
      <c r="W34" s="550">
        <f>S34*'Financial Model_Quarter'!$W$5</f>
        <v>0</v>
      </c>
      <c r="X34" s="550">
        <f>T34*'Financial Model_Quarter'!$X$5</f>
        <v>0</v>
      </c>
      <c r="Y34" s="550">
        <f>U34*'Financial Model_Quarter'!$Y$5</f>
        <v>0</v>
      </c>
      <c r="Z34" s="550">
        <f>V34*'Financial Model_Quarter'!$Z$5</f>
        <v>29.289222461170773</v>
      </c>
      <c r="AA34" s="550">
        <f>W34*'Financial Model_Quarter'!$AA$5</f>
        <v>0</v>
      </c>
      <c r="AB34" s="550">
        <f>X34*'Financial Model_Quarter'!$AB$5</f>
        <v>0</v>
      </c>
      <c r="AC34" s="550">
        <f>Y34*'Financial Model_Quarter'!$AC$5</f>
        <v>0</v>
      </c>
      <c r="AD34" s="550">
        <f>Z34*'Financial Model_Quarter'!$AD$5</f>
        <v>30.167899135005896</v>
      </c>
      <c r="AE34" s="550">
        <f>AA34*'Financial Model_Quarter'!$AE$5</f>
        <v>0</v>
      </c>
      <c r="AF34" s="550">
        <f>AB34*'Financial Model_Quarter'!$AF$5</f>
        <v>0</v>
      </c>
      <c r="AG34" s="550">
        <f>AC34*'Financial Model_Quarter'!$AG$5</f>
        <v>0</v>
      </c>
      <c r="AH34" s="550">
        <f>AD34*'Financial Model_Quarter'!$AH$5</f>
        <v>31.072936109056073</v>
      </c>
      <c r="AI34" s="550">
        <f>AE34*'Financial Model_Quarter'!$AI$5</f>
        <v>0</v>
      </c>
      <c r="AJ34" s="550">
        <f>AF34*'Financial Model_Quarter'!$AJ$5</f>
        <v>0</v>
      </c>
      <c r="AK34" s="550">
        <f>AG34*'Financial Model_Quarter'!$AK$5</f>
        <v>0</v>
      </c>
      <c r="AL34" s="550">
        <f>AH34*'Financial Model_Quarter'!$AL$5</f>
        <v>32.005124192327756</v>
      </c>
      <c r="AM34" s="550">
        <f>AI34*'Financial Model_Quarter'!$AM$5</f>
        <v>0</v>
      </c>
      <c r="AN34" s="550">
        <f>AJ34*'Financial Model_Quarter'!$AN$5</f>
        <v>0</v>
      </c>
      <c r="AO34" s="550">
        <f>AK34*'Financial Model_Quarter'!$AO$5</f>
        <v>0</v>
      </c>
      <c r="AP34" s="550">
        <f>AL34*'Financial Model_Quarter'!$AP$5</f>
        <v>32.965277918097591</v>
      </c>
      <c r="AQ34" s="550">
        <f>AM34*'Financial Model_Quarter'!$AQ$5</f>
        <v>0</v>
      </c>
      <c r="AR34" s="550">
        <f>AN34*'Financial Model_Quarter'!$AR$5</f>
        <v>0</v>
      </c>
      <c r="AS34" s="550">
        <f>AO34*'Financial Model_Quarter'!$AS$5</f>
        <v>0</v>
      </c>
      <c r="AT34" s="550">
        <f>AP34*'Financial Model_Quarter'!$AT$5</f>
        <v>33.954236255640517</v>
      </c>
      <c r="AU34" s="550">
        <f>AQ34*'Financial Model_Quarter'!$AU$5</f>
        <v>0</v>
      </c>
      <c r="AV34" s="550">
        <f>AR34*'Financial Model_Quarter'!$AV$5</f>
        <v>0</v>
      </c>
      <c r="AW34" s="550">
        <f>AS34*'Financial Model_Quarter'!$AW$5</f>
        <v>0</v>
      </c>
    </row>
    <row r="35" spans="1:49">
      <c r="A35" s="529">
        <v>4</v>
      </c>
      <c r="B35" s="534" t="s">
        <v>84</v>
      </c>
      <c r="C35" s="533" t="s">
        <v>734</v>
      </c>
      <c r="D35" s="740"/>
      <c r="E35" s="740"/>
      <c r="F35" s="711">
        <v>41.557906487933785</v>
      </c>
      <c r="G35" s="711">
        <v>41.557906487933785</v>
      </c>
      <c r="H35" s="711"/>
      <c r="I35" s="711"/>
      <c r="J35" s="711">
        <v>52.227361776229863</v>
      </c>
      <c r="K35" s="711">
        <v>21.95686971987551</v>
      </c>
      <c r="L35" s="711"/>
      <c r="M35" s="550"/>
      <c r="N35" s="550">
        <f>J35*'Financial Model_Quarter'!$N$5</f>
        <v>53.914305561602085</v>
      </c>
      <c r="O35" s="550">
        <f>K35*'Financial Model_Quarter'!$O$5</f>
        <v>22.666076611827489</v>
      </c>
      <c r="P35" s="550">
        <f>L35*'Financial Model_Quarter'!$P$5</f>
        <v>0</v>
      </c>
      <c r="Q35" s="550">
        <f>M35*'Financial Model_Quarter'!$Q$5</f>
        <v>0</v>
      </c>
      <c r="R35" s="550">
        <f>N35*'Financial Model_Quarter'!$R$5</f>
        <v>55.946874881274489</v>
      </c>
      <c r="S35" s="550">
        <f>O35*'Financial Model_Quarter'!$S$5</f>
        <v>23.520587700093387</v>
      </c>
      <c r="T35" s="550">
        <f>P35*'Financial Model_Quarter'!$T$5</f>
        <v>0</v>
      </c>
      <c r="U35" s="550">
        <f>Q35*'Financial Model_Quarter'!$U$5</f>
        <v>0</v>
      </c>
      <c r="V35" s="550">
        <f>R35*'Financial Model_Quarter'!$V$5</f>
        <v>58.268670188847388</v>
      </c>
      <c r="W35" s="550">
        <f>S35*'Financial Model_Quarter'!$W$5</f>
        <v>24.496692089647265</v>
      </c>
      <c r="X35" s="550">
        <f>T35*'Financial Model_Quarter'!$X$5</f>
        <v>0</v>
      </c>
      <c r="Y35" s="550">
        <f>U35*'Financial Model_Quarter'!$Y$5</f>
        <v>0</v>
      </c>
      <c r="Z35" s="550">
        <f>V35*'Financial Model_Quarter'!$Z$5</f>
        <v>60.016730294512811</v>
      </c>
      <c r="AA35" s="550">
        <f>W35*'Financial Model_Quarter'!$AA$5</f>
        <v>25.231592852336682</v>
      </c>
      <c r="AB35" s="550">
        <f>X35*'Financial Model_Quarter'!$AB$5</f>
        <v>0</v>
      </c>
      <c r="AC35" s="550">
        <f>Y35*'Financial Model_Quarter'!$AC$5</f>
        <v>0</v>
      </c>
      <c r="AD35" s="550">
        <f>Z35*'Financial Model_Quarter'!$AD$5</f>
        <v>61.817232203348198</v>
      </c>
      <c r="AE35" s="550">
        <f>AA35*'Financial Model_Quarter'!$AE$5</f>
        <v>25.988540637906784</v>
      </c>
      <c r="AF35" s="550">
        <f>AB35*'Financial Model_Quarter'!$AF$5</f>
        <v>0</v>
      </c>
      <c r="AG35" s="550">
        <f>AC35*'Financial Model_Quarter'!$AG$5</f>
        <v>0</v>
      </c>
      <c r="AH35" s="550">
        <f>AD35*'Financial Model_Quarter'!$AH$5</f>
        <v>63.671749169448645</v>
      </c>
      <c r="AI35" s="550">
        <f>AE35*'Financial Model_Quarter'!$AI$5</f>
        <v>26.768196857043989</v>
      </c>
      <c r="AJ35" s="550">
        <f>AF35*'Financial Model_Quarter'!$AJ$5</f>
        <v>0</v>
      </c>
      <c r="AK35" s="550">
        <f>AG35*'Financial Model_Quarter'!$AK$5</f>
        <v>0</v>
      </c>
      <c r="AL35" s="550">
        <f>AH35*'Financial Model_Quarter'!$AL$5</f>
        <v>65.58190164453211</v>
      </c>
      <c r="AM35" s="550">
        <f>AI35*'Financial Model_Quarter'!$AM$5</f>
        <v>27.571242762755311</v>
      </c>
      <c r="AN35" s="550">
        <f>AJ35*'Financial Model_Quarter'!$AN$5</f>
        <v>0</v>
      </c>
      <c r="AO35" s="550">
        <f>AK35*'Financial Model_Quarter'!$AO$5</f>
        <v>0</v>
      </c>
      <c r="AP35" s="550">
        <f>AL35*'Financial Model_Quarter'!$AP$5</f>
        <v>67.549358693868072</v>
      </c>
      <c r="AQ35" s="550">
        <f>AM35*'Financial Model_Quarter'!$AQ$5</f>
        <v>28.398380045637971</v>
      </c>
      <c r="AR35" s="550">
        <f>AN35*'Financial Model_Quarter'!$AR$5</f>
        <v>0</v>
      </c>
      <c r="AS35" s="550">
        <f>AO35*'Financial Model_Quarter'!$AS$5</f>
        <v>0</v>
      </c>
      <c r="AT35" s="550">
        <f>AP35*'Financial Model_Quarter'!$AT$5</f>
        <v>69.575839454684115</v>
      </c>
      <c r="AU35" s="550">
        <f>AQ35*'Financial Model_Quarter'!$AU$5</f>
        <v>29.25033144700711</v>
      </c>
      <c r="AV35" s="550">
        <f>AR35*'Financial Model_Quarter'!$AV$5</f>
        <v>0</v>
      </c>
      <c r="AW35" s="550">
        <f>AS35*'Financial Model_Quarter'!$AW$5</f>
        <v>0</v>
      </c>
    </row>
    <row r="36" spans="1:49">
      <c r="A36" s="529">
        <v>5</v>
      </c>
      <c r="B36" s="532" t="s">
        <v>86</v>
      </c>
      <c r="C36" s="533" t="s">
        <v>734</v>
      </c>
      <c r="D36" s="740"/>
      <c r="E36" s="740">
        <v>91.376948038940753</v>
      </c>
      <c r="F36" s="711"/>
      <c r="G36" s="711"/>
      <c r="H36" s="711"/>
      <c r="I36" s="711">
        <v>50.028634361233479</v>
      </c>
      <c r="J36" s="711"/>
      <c r="K36" s="711"/>
      <c r="L36" s="711"/>
      <c r="M36" s="550">
        <f>I36*'Financial Model_Quarter'!$M$5</f>
        <v>51.48446762114537</v>
      </c>
      <c r="N36" s="550">
        <f>J36*'Financial Model_Quarter'!$N$5</f>
        <v>0</v>
      </c>
      <c r="O36" s="550">
        <f>K36*'Financial Model_Quarter'!$O$5</f>
        <v>0</v>
      </c>
      <c r="P36" s="550">
        <f>L36*'Financial Model_Quarter'!$P$5</f>
        <v>0</v>
      </c>
      <c r="Q36" s="550">
        <f>M36*'Financial Model_Quarter'!$Q$5</f>
        <v>53.147415925308366</v>
      </c>
      <c r="R36" s="550">
        <f>N36*'Financial Model_Quarter'!$R$5</f>
        <v>0</v>
      </c>
      <c r="S36" s="550">
        <f>O36*'Financial Model_Quarter'!$S$5</f>
        <v>0</v>
      </c>
      <c r="T36" s="550">
        <f>P36*'Financial Model_Quarter'!$T$5</f>
        <v>0</v>
      </c>
      <c r="U36" s="550">
        <f>Q36*'Financial Model_Quarter'!$U$5</f>
        <v>55.151073505692494</v>
      </c>
      <c r="V36" s="550">
        <f>R36*'Financial Model_Quarter'!$V$5</f>
        <v>0</v>
      </c>
      <c r="W36" s="550">
        <f>S36*'Financial Model_Quarter'!$W$5</f>
        <v>0</v>
      </c>
      <c r="X36" s="550">
        <f>T36*'Financial Model_Quarter'!$X$5</f>
        <v>0</v>
      </c>
      <c r="Y36" s="550">
        <f>U36*'Financial Model_Quarter'!$Y$5</f>
        <v>57.439843056178738</v>
      </c>
      <c r="Z36" s="550">
        <f>V36*'Financial Model_Quarter'!$Z$5</f>
        <v>0</v>
      </c>
      <c r="AA36" s="550">
        <f>W36*'Financial Model_Quarter'!$AA$5</f>
        <v>0</v>
      </c>
      <c r="AB36" s="550">
        <f>X36*'Financial Model_Quarter'!$AB$5</f>
        <v>0</v>
      </c>
      <c r="AC36" s="550">
        <f>Y36*'Financial Model_Quarter'!$AC$5</f>
        <v>59.163038347864102</v>
      </c>
      <c r="AD36" s="550">
        <f>Z36*'Financial Model_Quarter'!$AD$5</f>
        <v>0</v>
      </c>
      <c r="AE36" s="550">
        <f>AA36*'Financial Model_Quarter'!$AE$5</f>
        <v>0</v>
      </c>
      <c r="AF36" s="550">
        <f>AB36*'Financial Model_Quarter'!$AF$5</f>
        <v>0</v>
      </c>
      <c r="AG36" s="550">
        <f>AC36*'Financial Model_Quarter'!$AG$5</f>
        <v>60.937929498300029</v>
      </c>
      <c r="AH36" s="550">
        <f>AD36*'Financial Model_Quarter'!$AH$5</f>
        <v>0</v>
      </c>
      <c r="AI36" s="550">
        <f>AE36*'Financial Model_Quarter'!$AI$5</f>
        <v>0</v>
      </c>
      <c r="AJ36" s="550">
        <f>AF36*'Financial Model_Quarter'!$AJ$5</f>
        <v>0</v>
      </c>
      <c r="AK36" s="550">
        <f>AG36*'Financial Model_Quarter'!$AK$5</f>
        <v>62.76606738324903</v>
      </c>
      <c r="AL36" s="550">
        <f>AH36*'Financial Model_Quarter'!$AL$5</f>
        <v>0</v>
      </c>
      <c r="AM36" s="550">
        <f>AI36*'Financial Model_Quarter'!$AM$5</f>
        <v>0</v>
      </c>
      <c r="AN36" s="550">
        <f>AJ36*'Financial Model_Quarter'!$AN$5</f>
        <v>0</v>
      </c>
      <c r="AO36" s="550">
        <f>AK36*'Financial Model_Quarter'!$AO$5</f>
        <v>64.649049404746506</v>
      </c>
      <c r="AP36" s="550">
        <f>AL36*'Financial Model_Quarter'!$AP$5</f>
        <v>0</v>
      </c>
      <c r="AQ36" s="550">
        <f>AM36*'Financial Model_Quarter'!$AQ$5</f>
        <v>0</v>
      </c>
      <c r="AR36" s="550">
        <f>AN36*'Financial Model_Quarter'!$AR$5</f>
        <v>0</v>
      </c>
      <c r="AS36" s="550">
        <f>AO36*'Financial Model_Quarter'!$AS$5</f>
        <v>66.588520886888901</v>
      </c>
      <c r="AT36" s="550">
        <f>AP36*'Financial Model_Quarter'!$AT$5</f>
        <v>0</v>
      </c>
      <c r="AU36" s="550">
        <f>AQ36*'Financial Model_Quarter'!$AU$5</f>
        <v>0</v>
      </c>
      <c r="AV36" s="550">
        <f>AR36*'Financial Model_Quarter'!$AV$5</f>
        <v>0</v>
      </c>
      <c r="AW36" s="550">
        <f>AS36*'Financial Model_Quarter'!$AW$5</f>
        <v>68.586176513495573</v>
      </c>
    </row>
    <row r="37" spans="1:49">
      <c r="A37" s="529">
        <v>6</v>
      </c>
      <c r="B37" s="532" t="s">
        <v>87</v>
      </c>
      <c r="C37" s="533" t="s">
        <v>734</v>
      </c>
      <c r="D37" s="740"/>
      <c r="E37" s="740"/>
      <c r="F37" s="711">
        <v>9.4118836760901647</v>
      </c>
      <c r="G37" s="711">
        <v>9.6962446351931337</v>
      </c>
      <c r="H37" s="711">
        <v>9.0911764705882341</v>
      </c>
      <c r="I37" s="711"/>
      <c r="J37" s="711">
        <v>11.522083219188506</v>
      </c>
      <c r="K37" s="711">
        <v>11.548512104104869</v>
      </c>
      <c r="L37" s="711"/>
      <c r="M37" s="550"/>
      <c r="N37" s="550">
        <f>J37*'Financial Model_Quarter'!$N$5</f>
        <v>11.894246507168294</v>
      </c>
      <c r="O37" s="550">
        <f>K37*'Financial Model_Quarter'!$O$5</f>
        <v>11.921529045067457</v>
      </c>
      <c r="P37" s="550">
        <f>L37*'Financial Model_Quarter'!$P$5</f>
        <v>0</v>
      </c>
      <c r="Q37" s="550">
        <f>M37*'Financial Model_Quarter'!$Q$5</f>
        <v>0</v>
      </c>
      <c r="R37" s="550">
        <f>N37*'Financial Model_Quarter'!$R$5</f>
        <v>12.34265960048854</v>
      </c>
      <c r="S37" s="550">
        <f>O37*'Financial Model_Quarter'!$S$5</f>
        <v>12.370970690066502</v>
      </c>
      <c r="T37" s="550">
        <f>P37*'Financial Model_Quarter'!$T$5</f>
        <v>0</v>
      </c>
      <c r="U37" s="550">
        <f>Q37*'Financial Model_Quarter'!$U$5</f>
        <v>0</v>
      </c>
      <c r="V37" s="550">
        <f>R37*'Financial Model_Quarter'!$V$5</f>
        <v>12.854879973908815</v>
      </c>
      <c r="W37" s="550">
        <f>S37*'Financial Model_Quarter'!$W$5</f>
        <v>12.884365973704263</v>
      </c>
      <c r="X37" s="550">
        <f>T37*'Financial Model_Quarter'!$X$5</f>
        <v>0</v>
      </c>
      <c r="Y37" s="550">
        <f>U37*'Financial Model_Quarter'!$Y$5</f>
        <v>0</v>
      </c>
      <c r="Z37" s="550">
        <f>V37*'Financial Model_Quarter'!$Z$5</f>
        <v>13.24052637312608</v>
      </c>
      <c r="AA37" s="550">
        <f>W37*'Financial Model_Quarter'!$AA$5</f>
        <v>13.270896952915392</v>
      </c>
      <c r="AB37" s="550">
        <f>X37*'Financial Model_Quarter'!$AB$5</f>
        <v>0</v>
      </c>
      <c r="AC37" s="550">
        <f>Y37*'Financial Model_Quarter'!$AC$5</f>
        <v>0</v>
      </c>
      <c r="AD37" s="550">
        <f>Z37*'Financial Model_Quarter'!$AD$5</f>
        <v>13.637742164319864</v>
      </c>
      <c r="AE37" s="550">
        <f>AA37*'Financial Model_Quarter'!$AE$5</f>
        <v>13.669023861502854</v>
      </c>
      <c r="AF37" s="550">
        <f>AB37*'Financial Model_Quarter'!$AF$5</f>
        <v>0</v>
      </c>
      <c r="AG37" s="550">
        <f>AC37*'Financial Model_Quarter'!$AG$5</f>
        <v>0</v>
      </c>
      <c r="AH37" s="550">
        <f>AD37*'Financial Model_Quarter'!$AH$5</f>
        <v>14.04687442924946</v>
      </c>
      <c r="AI37" s="550">
        <f>AE37*'Financial Model_Quarter'!$AI$5</f>
        <v>14.07909457734794</v>
      </c>
      <c r="AJ37" s="550">
        <f>AF37*'Financial Model_Quarter'!$AJ$5</f>
        <v>0</v>
      </c>
      <c r="AK37" s="550">
        <f>AG37*'Financial Model_Quarter'!$AK$5</f>
        <v>0</v>
      </c>
      <c r="AL37" s="550">
        <f>AH37*'Financial Model_Quarter'!$AL$5</f>
        <v>14.468280662126944</v>
      </c>
      <c r="AM37" s="550">
        <f>AI37*'Financial Model_Quarter'!$AM$5</f>
        <v>14.501467414668378</v>
      </c>
      <c r="AN37" s="550">
        <f>AJ37*'Financial Model_Quarter'!$AN$5</f>
        <v>0</v>
      </c>
      <c r="AO37" s="550">
        <f>AK37*'Financial Model_Quarter'!$AO$5</f>
        <v>0</v>
      </c>
      <c r="AP37" s="550">
        <f>AL37*'Financial Model_Quarter'!$AP$5</f>
        <v>14.902329081990752</v>
      </c>
      <c r="AQ37" s="550">
        <f>AM37*'Financial Model_Quarter'!$AQ$5</f>
        <v>14.936511437108429</v>
      </c>
      <c r="AR37" s="550">
        <f>AN37*'Financial Model_Quarter'!$AR$5</f>
        <v>0</v>
      </c>
      <c r="AS37" s="550">
        <f>AO37*'Financial Model_Quarter'!$AS$5</f>
        <v>0</v>
      </c>
      <c r="AT37" s="550">
        <f>AP37*'Financial Model_Quarter'!$AT$5</f>
        <v>15.349398954450475</v>
      </c>
      <c r="AU37" s="550">
        <f>AQ37*'Financial Model_Quarter'!$AU$5</f>
        <v>15.384606780221683</v>
      </c>
      <c r="AV37" s="550">
        <f>AR37*'Financial Model_Quarter'!$AV$5</f>
        <v>0</v>
      </c>
      <c r="AW37" s="550">
        <f>AS37*'Financial Model_Quarter'!$AW$5</f>
        <v>0</v>
      </c>
    </row>
    <row r="38" spans="1:49">
      <c r="A38" s="529">
        <v>7</v>
      </c>
      <c r="B38" s="539" t="s">
        <v>699</v>
      </c>
      <c r="C38" s="533" t="s">
        <v>734</v>
      </c>
      <c r="D38" s="740"/>
      <c r="E38" s="740">
        <v>7.916666666666667</v>
      </c>
      <c r="F38" s="711"/>
      <c r="G38" s="711">
        <v>14.090947017104714</v>
      </c>
      <c r="H38" s="711"/>
      <c r="I38" s="711"/>
      <c r="J38" s="711">
        <v>8.1818289645356419</v>
      </c>
      <c r="K38" s="711"/>
      <c r="L38" s="711"/>
      <c r="M38" s="550"/>
      <c r="N38" s="550">
        <f>J38*'Financial Model_Quarter'!$N$5</f>
        <v>8.4461020400901425</v>
      </c>
      <c r="O38" s="550">
        <f>K38*'Financial Model_Quarter'!$O$5</f>
        <v>0</v>
      </c>
      <c r="P38" s="550">
        <f>L38*'Financial Model_Quarter'!$P$5</f>
        <v>0</v>
      </c>
      <c r="Q38" s="550">
        <f>M38*'Financial Model_Quarter'!$Q$5</f>
        <v>0</v>
      </c>
      <c r="R38" s="550">
        <f>N38*'Financial Model_Quarter'!$R$5</f>
        <v>8.7645200870015412</v>
      </c>
      <c r="S38" s="550">
        <f>O38*'Financial Model_Quarter'!$S$5</f>
        <v>0</v>
      </c>
      <c r="T38" s="550">
        <f>P38*'Financial Model_Quarter'!$T$5</f>
        <v>0</v>
      </c>
      <c r="U38" s="550">
        <f>Q38*'Financial Model_Quarter'!$U$5</f>
        <v>0</v>
      </c>
      <c r="V38" s="550">
        <f>R38*'Financial Model_Quarter'!$V$5</f>
        <v>9.1282476706121063</v>
      </c>
      <c r="W38" s="550">
        <f>S38*'Financial Model_Quarter'!$W$5</f>
        <v>0</v>
      </c>
      <c r="X38" s="550">
        <f>T38*'Financial Model_Quarter'!$X$5</f>
        <v>0</v>
      </c>
      <c r="Y38" s="550">
        <f>U38*'Financial Model_Quarter'!$Y$5</f>
        <v>0</v>
      </c>
      <c r="Z38" s="550">
        <f>V38*'Financial Model_Quarter'!$Z$5</f>
        <v>9.4020951007304703</v>
      </c>
      <c r="AA38" s="550">
        <f>W38*'Financial Model_Quarter'!$AA$5</f>
        <v>0</v>
      </c>
      <c r="AB38" s="550">
        <f>X38*'Financial Model_Quarter'!$AB$5</f>
        <v>0</v>
      </c>
      <c r="AC38" s="550">
        <f>Y38*'Financial Model_Quarter'!$AC$5</f>
        <v>0</v>
      </c>
      <c r="AD38" s="550">
        <f>Z38*'Financial Model_Quarter'!$AD$5</f>
        <v>9.6841579537523845</v>
      </c>
      <c r="AE38" s="550">
        <f>AA38*'Financial Model_Quarter'!$AE$5</f>
        <v>0</v>
      </c>
      <c r="AF38" s="550">
        <f>AB38*'Financial Model_Quarter'!$AF$5</f>
        <v>0</v>
      </c>
      <c r="AG38" s="550">
        <f>AC38*'Financial Model_Quarter'!$AG$5</f>
        <v>0</v>
      </c>
      <c r="AH38" s="550">
        <f>AD38*'Financial Model_Quarter'!$AH$5</f>
        <v>9.9746826923649561</v>
      </c>
      <c r="AI38" s="550">
        <f>AE38*'Financial Model_Quarter'!$AI$5</f>
        <v>0</v>
      </c>
      <c r="AJ38" s="550">
        <f>AF38*'Financial Model_Quarter'!$AJ$5</f>
        <v>0</v>
      </c>
      <c r="AK38" s="550">
        <f>AG38*'Financial Model_Quarter'!$AK$5</f>
        <v>0</v>
      </c>
      <c r="AL38" s="550">
        <f>AH38*'Financial Model_Quarter'!$AL$5</f>
        <v>10.273923173135906</v>
      </c>
      <c r="AM38" s="550">
        <f>AI38*'Financial Model_Quarter'!$AM$5</f>
        <v>0</v>
      </c>
      <c r="AN38" s="550">
        <f>AJ38*'Financial Model_Quarter'!$AN$5</f>
        <v>0</v>
      </c>
      <c r="AO38" s="550">
        <f>AK38*'Financial Model_Quarter'!$AO$5</f>
        <v>0</v>
      </c>
      <c r="AP38" s="550">
        <f>AL38*'Financial Model_Quarter'!$AP$5</f>
        <v>10.582140868329983</v>
      </c>
      <c r="AQ38" s="550">
        <f>AM38*'Financial Model_Quarter'!$AQ$5</f>
        <v>0</v>
      </c>
      <c r="AR38" s="550">
        <f>AN38*'Financial Model_Quarter'!$AR$5</f>
        <v>0</v>
      </c>
      <c r="AS38" s="550">
        <f>AO38*'Financial Model_Quarter'!$AS$5</f>
        <v>0</v>
      </c>
      <c r="AT38" s="550">
        <f>AP38*'Financial Model_Quarter'!$AT$5</f>
        <v>10.899605094379883</v>
      </c>
      <c r="AU38" s="550">
        <f>AQ38*'Financial Model_Quarter'!$AU$5</f>
        <v>0</v>
      </c>
      <c r="AV38" s="550">
        <f>AR38*'Financial Model_Quarter'!$AV$5</f>
        <v>0</v>
      </c>
      <c r="AW38" s="550">
        <f>AS38*'Financial Model_Quarter'!$AW$5</f>
        <v>0</v>
      </c>
    </row>
    <row r="39" spans="1:49">
      <c r="A39" s="529">
        <v>8</v>
      </c>
      <c r="B39" s="539" t="s">
        <v>151</v>
      </c>
      <c r="C39" s="533" t="s">
        <v>734</v>
      </c>
      <c r="D39" s="740"/>
      <c r="E39" s="740">
        <v>72.014123131770177</v>
      </c>
      <c r="F39" s="711"/>
      <c r="G39" s="711"/>
      <c r="H39" s="711"/>
      <c r="I39" s="711">
        <v>113.10005224660395</v>
      </c>
      <c r="J39" s="711"/>
      <c r="K39" s="711"/>
      <c r="L39" s="711"/>
      <c r="M39" s="550">
        <f>I39*'Financial Model_Quarter'!$M$5</f>
        <v>116.39126376698012</v>
      </c>
      <c r="N39" s="550">
        <f>J39*'Financial Model_Quarter'!$N$5</f>
        <v>0</v>
      </c>
      <c r="O39" s="550">
        <f>K39*'Financial Model_Quarter'!$O$5</f>
        <v>0</v>
      </c>
      <c r="P39" s="550">
        <f>L39*'Financial Model_Quarter'!$P$5</f>
        <v>0</v>
      </c>
      <c r="Q39" s="550">
        <f>M39*'Financial Model_Quarter'!$Q$5</f>
        <v>120.15070158665357</v>
      </c>
      <c r="R39" s="550">
        <f>N39*'Financial Model_Quarter'!$R$5</f>
        <v>0</v>
      </c>
      <c r="S39" s="550">
        <f>O39*'Financial Model_Quarter'!$S$5</f>
        <v>0</v>
      </c>
      <c r="T39" s="550">
        <f>P39*'Financial Model_Quarter'!$T$5</f>
        <v>0</v>
      </c>
      <c r="U39" s="550">
        <f>Q39*'Financial Model_Quarter'!$U$5</f>
        <v>124.68038303647042</v>
      </c>
      <c r="V39" s="550">
        <f>R39*'Financial Model_Quarter'!$V$5</f>
        <v>0</v>
      </c>
      <c r="W39" s="550">
        <f>S39*'Financial Model_Quarter'!$W$5</f>
        <v>0</v>
      </c>
      <c r="X39" s="550">
        <f>T39*'Financial Model_Quarter'!$X$5</f>
        <v>0</v>
      </c>
      <c r="Y39" s="550">
        <f>U39*'Financial Model_Quarter'!$Y$5</f>
        <v>129.85461893248396</v>
      </c>
      <c r="Z39" s="550">
        <f>V39*'Financial Model_Quarter'!$Z$5</f>
        <v>0</v>
      </c>
      <c r="AA39" s="550">
        <f>W39*'Financial Model_Quarter'!$AA$5</f>
        <v>0</v>
      </c>
      <c r="AB39" s="550">
        <f>X39*'Financial Model_Quarter'!$AB$5</f>
        <v>0</v>
      </c>
      <c r="AC39" s="550">
        <f>Y39*'Financial Model_Quarter'!$AC$5</f>
        <v>133.75025750045847</v>
      </c>
      <c r="AD39" s="550">
        <f>Z39*'Financial Model_Quarter'!$AD$5</f>
        <v>0</v>
      </c>
      <c r="AE39" s="550">
        <f>AA39*'Financial Model_Quarter'!$AE$5</f>
        <v>0</v>
      </c>
      <c r="AF39" s="550">
        <f>AB39*'Financial Model_Quarter'!$AF$5</f>
        <v>0</v>
      </c>
      <c r="AG39" s="550">
        <f>AC39*'Financial Model_Quarter'!$AG$5</f>
        <v>137.76276522547224</v>
      </c>
      <c r="AH39" s="550">
        <f>AD39*'Financial Model_Quarter'!$AH$5</f>
        <v>0</v>
      </c>
      <c r="AI39" s="550">
        <f>AE39*'Financial Model_Quarter'!$AI$5</f>
        <v>0</v>
      </c>
      <c r="AJ39" s="550">
        <f>AF39*'Financial Model_Quarter'!$AJ$5</f>
        <v>0</v>
      </c>
      <c r="AK39" s="550">
        <f>AG39*'Financial Model_Quarter'!$AK$5</f>
        <v>141.89564818223641</v>
      </c>
      <c r="AL39" s="550">
        <f>AH39*'Financial Model_Quarter'!$AL$5</f>
        <v>0</v>
      </c>
      <c r="AM39" s="550">
        <f>AI39*'Financial Model_Quarter'!$AM$5</f>
        <v>0</v>
      </c>
      <c r="AN39" s="550">
        <f>AJ39*'Financial Model_Quarter'!$AN$5</f>
        <v>0</v>
      </c>
      <c r="AO39" s="550">
        <f>AK39*'Financial Model_Quarter'!$AO$5</f>
        <v>146.1525176277035</v>
      </c>
      <c r="AP39" s="550">
        <f>AL39*'Financial Model_Quarter'!$AP$5</f>
        <v>0</v>
      </c>
      <c r="AQ39" s="550">
        <f>AM39*'Financial Model_Quarter'!$AQ$5</f>
        <v>0</v>
      </c>
      <c r="AR39" s="550">
        <f>AN39*'Financial Model_Quarter'!$AR$5</f>
        <v>0</v>
      </c>
      <c r="AS39" s="550">
        <f>AO39*'Financial Model_Quarter'!$AS$5</f>
        <v>150.53709315653461</v>
      </c>
      <c r="AT39" s="550">
        <f>AP39*'Financial Model_Quarter'!$AT$5</f>
        <v>0</v>
      </c>
      <c r="AU39" s="550">
        <f>AQ39*'Financial Model_Quarter'!$AU$5</f>
        <v>0</v>
      </c>
      <c r="AV39" s="550">
        <f>AR39*'Financial Model_Quarter'!$AV$5</f>
        <v>0</v>
      </c>
      <c r="AW39" s="550">
        <f>AS39*'Financial Model_Quarter'!$AW$5</f>
        <v>155.05320595123067</v>
      </c>
    </row>
    <row r="40" spans="1:49">
      <c r="A40" s="551"/>
      <c r="B40" s="552"/>
      <c r="C40" s="553"/>
      <c r="D40" s="554"/>
      <c r="E40" s="554"/>
      <c r="F40" s="554"/>
      <c r="G40" s="554"/>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554"/>
      <c r="AG40" s="554"/>
      <c r="AH40" s="554"/>
      <c r="AI40" s="554"/>
      <c r="AJ40" s="554"/>
      <c r="AK40" s="554"/>
    </row>
    <row r="79" spans="1:1">
      <c r="A79" s="549">
        <v>1</v>
      </c>
    </row>
  </sheetData>
  <mergeCells count="46">
    <mergeCell ref="AH30:AK30"/>
    <mergeCell ref="AL30:AO30"/>
    <mergeCell ref="AP30:AS30"/>
    <mergeCell ref="AT30:AW30"/>
    <mergeCell ref="AT4:AW4"/>
    <mergeCell ref="AH16:AK16"/>
    <mergeCell ref="AL16:AO16"/>
    <mergeCell ref="AP16:AS16"/>
    <mergeCell ref="AT16:AW16"/>
    <mergeCell ref="AH4:AK4"/>
    <mergeCell ref="AL4:AO4"/>
    <mergeCell ref="AP4:AS4"/>
    <mergeCell ref="Z4:AC4"/>
    <mergeCell ref="AD4:AG4"/>
    <mergeCell ref="N16:Q16"/>
    <mergeCell ref="R16:U16"/>
    <mergeCell ref="V16:Y16"/>
    <mergeCell ref="Z16:AC16"/>
    <mergeCell ref="AD16:AG16"/>
    <mergeCell ref="D30:E30"/>
    <mergeCell ref="F30:I30"/>
    <mergeCell ref="N4:Q4"/>
    <mergeCell ref="R4:U4"/>
    <mergeCell ref="V4:Y4"/>
    <mergeCell ref="F4:I4"/>
    <mergeCell ref="D4:E4"/>
    <mergeCell ref="D16:E16"/>
    <mergeCell ref="F16:I16"/>
    <mergeCell ref="J16:M16"/>
    <mergeCell ref="J4:M4"/>
    <mergeCell ref="AD30:AG30"/>
    <mergeCell ref="A16:A17"/>
    <mergeCell ref="B16:B17"/>
    <mergeCell ref="C16:C17"/>
    <mergeCell ref="A1:W1"/>
    <mergeCell ref="A4:A5"/>
    <mergeCell ref="B4:B5"/>
    <mergeCell ref="C4:C5"/>
    <mergeCell ref="J30:M30"/>
    <mergeCell ref="N30:Q30"/>
    <mergeCell ref="R30:U30"/>
    <mergeCell ref="V30:Y30"/>
    <mergeCell ref="Z30:AC30"/>
    <mergeCell ref="A30:A31"/>
    <mergeCell ref="B30:B31"/>
    <mergeCell ref="C30:C31"/>
  </mergeCells>
  <pageMargins left="0.75" right="0.75" top="1" bottom="1" header="0.5" footer="0.5"/>
  <pageSetup paperSize="9" orientation="portrait" r:id="rId1"/>
  <headerFooter alignWithMargins="0"/>
  <ignoredErrors>
    <ignoredError sqref="N32:AG32 AI32:AK32 AH32 AL32:AW32"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AW120"/>
  <sheetViews>
    <sheetView showGridLines="0" zoomScale="80" zoomScaleNormal="80" zoomScaleSheetLayoutView="100" workbookViewId="0">
      <pane xSplit="1" ySplit="2" topLeftCell="B45" activePane="bottomRight" state="frozen"/>
      <selection pane="topRight" activeCell="B1" sqref="B1"/>
      <selection pane="bottomLeft" activeCell="A3" sqref="A3"/>
      <selection pane="bottomRight" activeCell="M31" sqref="M31"/>
    </sheetView>
  </sheetViews>
  <sheetFormatPr baseColWidth="10" defaultColWidth="8.83203125" defaultRowHeight="14" outlineLevelRow="1" outlineLevelCol="1"/>
  <cols>
    <col min="1" max="1" width="3.5" style="561" customWidth="1"/>
    <col min="2" max="2" width="61.5" style="561" customWidth="1"/>
    <col min="3" max="3" width="16.33203125" style="597" customWidth="1"/>
    <col min="4" max="9" width="12.5" style="561" customWidth="1" outlineLevel="1"/>
    <col min="10" max="49" width="12.5" style="561" customWidth="1"/>
    <col min="50" max="16384" width="8.83203125" style="561"/>
  </cols>
  <sheetData>
    <row r="1" spans="2:49">
      <c r="B1" s="562" t="s">
        <v>260</v>
      </c>
      <c r="C1" s="595"/>
    </row>
    <row r="2" spans="2:49">
      <c r="B2" s="563"/>
      <c r="C2" s="594" t="s">
        <v>732</v>
      </c>
      <c r="D2" s="586" t="s">
        <v>657</v>
      </c>
      <c r="E2" s="586" t="s">
        <v>658</v>
      </c>
      <c r="F2" s="586" t="s">
        <v>659</v>
      </c>
      <c r="G2" s="586" t="s">
        <v>660</v>
      </c>
      <c r="H2" s="586" t="s">
        <v>661</v>
      </c>
      <c r="I2" s="586" t="s">
        <v>662</v>
      </c>
      <c r="J2" s="586" t="s">
        <v>663</v>
      </c>
      <c r="K2" s="586" t="s">
        <v>664</v>
      </c>
      <c r="L2" s="586" t="s">
        <v>665</v>
      </c>
      <c r="M2" s="586" t="s">
        <v>666</v>
      </c>
      <c r="N2" s="586" t="s">
        <v>667</v>
      </c>
      <c r="O2" s="586" t="s">
        <v>668</v>
      </c>
      <c r="P2" s="586" t="s">
        <v>669</v>
      </c>
      <c r="Q2" s="586" t="s">
        <v>670</v>
      </c>
      <c r="R2" s="586" t="s">
        <v>671</v>
      </c>
      <c r="S2" s="586" t="s">
        <v>672</v>
      </c>
      <c r="T2" s="586" t="s">
        <v>673</v>
      </c>
      <c r="U2" s="586" t="s">
        <v>674</v>
      </c>
      <c r="V2" s="586" t="s">
        <v>675</v>
      </c>
      <c r="W2" s="586" t="s">
        <v>676</v>
      </c>
      <c r="X2" s="586" t="s">
        <v>678</v>
      </c>
      <c r="Y2" s="586" t="s">
        <v>679</v>
      </c>
      <c r="Z2" s="586" t="s">
        <v>680</v>
      </c>
      <c r="AA2" s="586" t="s">
        <v>681</v>
      </c>
      <c r="AB2" s="586" t="s">
        <v>682</v>
      </c>
      <c r="AC2" s="586" t="s">
        <v>683</v>
      </c>
      <c r="AD2" s="586" t="s">
        <v>684</v>
      </c>
      <c r="AE2" s="586" t="s">
        <v>685</v>
      </c>
      <c r="AF2" s="586" t="s">
        <v>686</v>
      </c>
      <c r="AG2" s="586" t="s">
        <v>687</v>
      </c>
      <c r="AH2" s="586" t="s">
        <v>688</v>
      </c>
      <c r="AI2" s="586" t="s">
        <v>689</v>
      </c>
      <c r="AJ2" s="586" t="s">
        <v>690</v>
      </c>
      <c r="AK2" s="586" t="s">
        <v>691</v>
      </c>
      <c r="AL2" s="587" t="s">
        <v>702</v>
      </c>
      <c r="AM2" s="587" t="s">
        <v>703</v>
      </c>
      <c r="AN2" s="588" t="s">
        <v>704</v>
      </c>
      <c r="AO2" s="588" t="s">
        <v>705</v>
      </c>
      <c r="AP2" s="588" t="s">
        <v>706</v>
      </c>
      <c r="AQ2" s="588" t="s">
        <v>707</v>
      </c>
      <c r="AR2" s="588" t="s">
        <v>708</v>
      </c>
      <c r="AS2" s="588" t="s">
        <v>709</v>
      </c>
      <c r="AT2" s="588" t="s">
        <v>710</v>
      </c>
      <c r="AU2" s="588" t="s">
        <v>711</v>
      </c>
      <c r="AV2" s="588" t="s">
        <v>712</v>
      </c>
      <c r="AW2" s="588" t="s">
        <v>713</v>
      </c>
    </row>
    <row r="3" spans="2:49">
      <c r="B3" s="593" t="s">
        <v>261</v>
      </c>
      <c r="C3" s="596"/>
      <c r="D3" s="589"/>
      <c r="E3" s="589"/>
      <c r="F3" s="589"/>
      <c r="G3" s="589"/>
      <c r="H3" s="589"/>
      <c r="I3" s="589"/>
      <c r="J3" s="589"/>
      <c r="K3" s="589"/>
      <c r="L3" s="589"/>
      <c r="M3" s="589"/>
      <c r="N3" s="589"/>
      <c r="O3" s="589"/>
      <c r="P3" s="589"/>
      <c r="Q3" s="589"/>
      <c r="R3" s="589"/>
      <c r="S3" s="589"/>
      <c r="T3" s="589"/>
      <c r="U3" s="589"/>
      <c r="V3" s="589"/>
      <c r="W3" s="589"/>
      <c r="X3" s="589"/>
      <c r="Y3" s="589"/>
      <c r="Z3" s="589"/>
      <c r="AA3" s="589"/>
      <c r="AB3" s="589"/>
      <c r="AC3" s="589"/>
      <c r="AD3" s="589"/>
      <c r="AE3" s="589"/>
      <c r="AF3" s="589"/>
      <c r="AG3" s="589"/>
      <c r="AH3" s="589"/>
      <c r="AI3" s="589"/>
      <c r="AJ3" s="589"/>
      <c r="AK3" s="589"/>
      <c r="AL3" s="589"/>
      <c r="AM3" s="589"/>
      <c r="AN3" s="589"/>
      <c r="AO3" s="589"/>
      <c r="AP3" s="589"/>
      <c r="AQ3" s="589"/>
      <c r="AR3" s="589"/>
      <c r="AS3" s="589"/>
      <c r="AT3" s="589"/>
      <c r="AU3" s="589"/>
      <c r="AV3" s="589"/>
      <c r="AW3" s="589"/>
    </row>
    <row r="4" spans="2:49">
      <c r="B4" s="564" t="s">
        <v>728</v>
      </c>
      <c r="C4" s="597" t="s">
        <v>698</v>
      </c>
      <c r="D4" s="565"/>
      <c r="E4" s="565"/>
      <c r="F4" s="577">
        <f>'Financial Model'!$C$4</f>
        <v>3.3099999999999997E-2</v>
      </c>
      <c r="G4" s="577">
        <f>'Financial Model'!$C$4</f>
        <v>3.3099999999999997E-2</v>
      </c>
      <c r="H4" s="577">
        <f>'Financial Model'!$C$4</f>
        <v>3.3099999999999997E-2</v>
      </c>
      <c r="I4" s="577">
        <f>'Financial Model'!$C$4</f>
        <v>3.3099999999999997E-2</v>
      </c>
      <c r="J4" s="577">
        <f>'Financial Model'!$D$4</f>
        <v>2.9100000000000001E-2</v>
      </c>
      <c r="K4" s="577">
        <f>'Financial Model'!$D$4</f>
        <v>2.9100000000000001E-2</v>
      </c>
      <c r="L4" s="577">
        <f>'Financial Model'!$D$4</f>
        <v>2.9100000000000001E-2</v>
      </c>
      <c r="M4" s="577">
        <f>'Financial Model'!$D$4</f>
        <v>2.9100000000000001E-2</v>
      </c>
      <c r="N4" s="577">
        <f>'Financial Model'!$E$4</f>
        <v>3.2300000000000002E-2</v>
      </c>
      <c r="O4" s="577">
        <f>'Financial Model'!$E$4</f>
        <v>3.2300000000000002E-2</v>
      </c>
      <c r="P4" s="577">
        <f>'Financial Model'!$E$4</f>
        <v>3.2300000000000002E-2</v>
      </c>
      <c r="Q4" s="577">
        <f>'Financial Model'!$E$4</f>
        <v>3.2300000000000002E-2</v>
      </c>
      <c r="R4" s="577">
        <f>'Financial Model'!$F$4</f>
        <v>3.7699999999999997E-2</v>
      </c>
      <c r="S4" s="577">
        <f>'Financial Model'!$F$4</f>
        <v>3.7699999999999997E-2</v>
      </c>
      <c r="T4" s="577">
        <f>'Financial Model'!$F$4</f>
        <v>3.7699999999999997E-2</v>
      </c>
      <c r="U4" s="577">
        <f>'Financial Model'!$F$4</f>
        <v>3.7699999999999997E-2</v>
      </c>
      <c r="V4" s="577">
        <f>'Financial Model'!$G$4</f>
        <v>4.1500000000000002E-2</v>
      </c>
      <c r="W4" s="577">
        <f>'Financial Model'!$G$4</f>
        <v>4.1500000000000002E-2</v>
      </c>
      <c r="X4" s="577">
        <f>'Financial Model'!$G$4</f>
        <v>4.1500000000000002E-2</v>
      </c>
      <c r="Y4" s="577">
        <f>'Financial Model'!$G$4</f>
        <v>4.1500000000000002E-2</v>
      </c>
      <c r="Z4" s="577">
        <f>'Financial Model'!$H$4</f>
        <v>0.03</v>
      </c>
      <c r="AA4" s="577">
        <f>'Financial Model'!$H$4</f>
        <v>0.03</v>
      </c>
      <c r="AB4" s="577">
        <f>'Financial Model'!$H$4</f>
        <v>0.03</v>
      </c>
      <c r="AC4" s="577">
        <f>'Financial Model'!$H$4</f>
        <v>0.03</v>
      </c>
      <c r="AD4" s="577">
        <f>'Financial Model'!$I$4</f>
        <v>0.03</v>
      </c>
      <c r="AE4" s="577">
        <f>'Financial Model'!$I$4</f>
        <v>0.03</v>
      </c>
      <c r="AF4" s="577">
        <f>'Financial Model'!$I$4</f>
        <v>0.03</v>
      </c>
      <c r="AG4" s="577">
        <f>'Financial Model'!$I$4</f>
        <v>0.03</v>
      </c>
      <c r="AH4" s="577">
        <f>'Financial Model'!$J$4</f>
        <v>0.03</v>
      </c>
      <c r="AI4" s="577">
        <f>'Financial Model'!$J$4</f>
        <v>0.03</v>
      </c>
      <c r="AJ4" s="577">
        <f>'Financial Model'!$J$4</f>
        <v>0.03</v>
      </c>
      <c r="AK4" s="577">
        <f>'Financial Model'!$J$4</f>
        <v>0.03</v>
      </c>
      <c r="AL4" s="577">
        <f>'Financial Model'!$K$4</f>
        <v>0.03</v>
      </c>
      <c r="AM4" s="577">
        <f>'Financial Model'!$K$4</f>
        <v>0.03</v>
      </c>
      <c r="AN4" s="577">
        <f>'Financial Model'!$K$4</f>
        <v>0.03</v>
      </c>
      <c r="AO4" s="577">
        <f>'Financial Model'!$K$4</f>
        <v>0.03</v>
      </c>
      <c r="AP4" s="577">
        <f>'Financial Model'!$L$4</f>
        <v>0.03</v>
      </c>
      <c r="AQ4" s="577">
        <f>'Financial Model'!$L$4</f>
        <v>0.03</v>
      </c>
      <c r="AR4" s="577">
        <f>'Financial Model'!$L$4</f>
        <v>0.03</v>
      </c>
      <c r="AS4" s="577">
        <f>'Financial Model'!$L$4</f>
        <v>0.03</v>
      </c>
      <c r="AT4" s="577">
        <f>'Financial Model'!$M$4</f>
        <v>0.03</v>
      </c>
      <c r="AU4" s="577">
        <f>'Financial Model'!$M$4</f>
        <v>0.03</v>
      </c>
      <c r="AV4" s="577">
        <f>'Financial Model'!$M$4</f>
        <v>0.03</v>
      </c>
      <c r="AW4" s="577">
        <f>'Financial Model'!$M$4</f>
        <v>0.03</v>
      </c>
    </row>
    <row r="5" spans="2:49">
      <c r="B5" s="564" t="s">
        <v>263</v>
      </c>
      <c r="C5" s="597" t="s">
        <v>698</v>
      </c>
      <c r="D5" s="566">
        <f>1*(1+D4)</f>
        <v>1</v>
      </c>
      <c r="E5" s="566">
        <f>D5*(1+E4)</f>
        <v>1</v>
      </c>
      <c r="F5" s="566">
        <f>(1+F4)</f>
        <v>1.0330999999999999</v>
      </c>
      <c r="G5" s="566">
        <f t="shared" ref="G5:AK5" si="0">(1+G4)</f>
        <v>1.0330999999999999</v>
      </c>
      <c r="H5" s="566">
        <f t="shared" si="0"/>
        <v>1.0330999999999999</v>
      </c>
      <c r="I5" s="566">
        <f t="shared" si="0"/>
        <v>1.0330999999999999</v>
      </c>
      <c r="J5" s="566">
        <f t="shared" si="0"/>
        <v>1.0290999999999999</v>
      </c>
      <c r="K5" s="566">
        <f t="shared" si="0"/>
        <v>1.0290999999999999</v>
      </c>
      <c r="L5" s="566">
        <f t="shared" si="0"/>
        <v>1.0290999999999999</v>
      </c>
      <c r="M5" s="566">
        <f t="shared" si="0"/>
        <v>1.0290999999999999</v>
      </c>
      <c r="N5" s="566">
        <f t="shared" si="0"/>
        <v>1.0323</v>
      </c>
      <c r="O5" s="566">
        <f t="shared" si="0"/>
        <v>1.0323</v>
      </c>
      <c r="P5" s="566">
        <f t="shared" si="0"/>
        <v>1.0323</v>
      </c>
      <c r="Q5" s="566">
        <f t="shared" si="0"/>
        <v>1.0323</v>
      </c>
      <c r="R5" s="566">
        <f t="shared" si="0"/>
        <v>1.0377000000000001</v>
      </c>
      <c r="S5" s="566">
        <f t="shared" si="0"/>
        <v>1.0377000000000001</v>
      </c>
      <c r="T5" s="566">
        <f t="shared" si="0"/>
        <v>1.0377000000000001</v>
      </c>
      <c r="U5" s="566">
        <f t="shared" si="0"/>
        <v>1.0377000000000001</v>
      </c>
      <c r="V5" s="566">
        <f t="shared" si="0"/>
        <v>1.0415000000000001</v>
      </c>
      <c r="W5" s="566">
        <f t="shared" si="0"/>
        <v>1.0415000000000001</v>
      </c>
      <c r="X5" s="566">
        <f t="shared" si="0"/>
        <v>1.0415000000000001</v>
      </c>
      <c r="Y5" s="566">
        <f t="shared" si="0"/>
        <v>1.0415000000000001</v>
      </c>
      <c r="Z5" s="566">
        <f t="shared" si="0"/>
        <v>1.03</v>
      </c>
      <c r="AA5" s="566">
        <f t="shared" si="0"/>
        <v>1.03</v>
      </c>
      <c r="AB5" s="566">
        <f t="shared" si="0"/>
        <v>1.03</v>
      </c>
      <c r="AC5" s="566">
        <f t="shared" si="0"/>
        <v>1.03</v>
      </c>
      <c r="AD5" s="566">
        <f t="shared" si="0"/>
        <v>1.03</v>
      </c>
      <c r="AE5" s="566">
        <f t="shared" si="0"/>
        <v>1.03</v>
      </c>
      <c r="AF5" s="566">
        <f t="shared" si="0"/>
        <v>1.03</v>
      </c>
      <c r="AG5" s="566">
        <f t="shared" si="0"/>
        <v>1.03</v>
      </c>
      <c r="AH5" s="566">
        <f t="shared" si="0"/>
        <v>1.03</v>
      </c>
      <c r="AI5" s="566">
        <f t="shared" si="0"/>
        <v>1.03</v>
      </c>
      <c r="AJ5" s="566">
        <f t="shared" si="0"/>
        <v>1.03</v>
      </c>
      <c r="AK5" s="566">
        <f t="shared" si="0"/>
        <v>1.03</v>
      </c>
      <c r="AL5" s="566">
        <f t="shared" ref="AL5:AW5" si="1">(1+AL4)</f>
        <v>1.03</v>
      </c>
      <c r="AM5" s="566">
        <f t="shared" si="1"/>
        <v>1.03</v>
      </c>
      <c r="AN5" s="566">
        <f t="shared" si="1"/>
        <v>1.03</v>
      </c>
      <c r="AO5" s="566">
        <f t="shared" si="1"/>
        <v>1.03</v>
      </c>
      <c r="AP5" s="566">
        <f t="shared" si="1"/>
        <v>1.03</v>
      </c>
      <c r="AQ5" s="566">
        <f t="shared" si="1"/>
        <v>1.03</v>
      </c>
      <c r="AR5" s="566">
        <f t="shared" si="1"/>
        <v>1.03</v>
      </c>
      <c r="AS5" s="566">
        <f t="shared" si="1"/>
        <v>1.03</v>
      </c>
      <c r="AT5" s="566">
        <f t="shared" si="1"/>
        <v>1.03</v>
      </c>
      <c r="AU5" s="566">
        <f t="shared" si="1"/>
        <v>1.03</v>
      </c>
      <c r="AV5" s="566">
        <f t="shared" si="1"/>
        <v>1.03</v>
      </c>
      <c r="AW5" s="566">
        <f t="shared" si="1"/>
        <v>1.03</v>
      </c>
    </row>
    <row r="6" spans="2:49">
      <c r="B6" s="580" t="s">
        <v>731</v>
      </c>
      <c r="C6" s="597" t="s">
        <v>698</v>
      </c>
      <c r="D6" s="565"/>
      <c r="E6" s="565"/>
      <c r="F6" s="577">
        <f>'Financial Model'!$C$6</f>
        <v>4.1200000000000001E-2</v>
      </c>
      <c r="G6" s="577">
        <f>'Financial Model'!$C$6</f>
        <v>4.1200000000000001E-2</v>
      </c>
      <c r="H6" s="577">
        <f>'Financial Model'!$C$6</f>
        <v>4.1200000000000001E-2</v>
      </c>
      <c r="I6" s="577">
        <f>'Financial Model'!$C$6</f>
        <v>4.1200000000000001E-2</v>
      </c>
      <c r="J6" s="577">
        <f>'Financial Model'!$D$6</f>
        <v>4.02E-2</v>
      </c>
      <c r="K6" s="577">
        <f>'Financial Model'!$D$6</f>
        <v>4.02E-2</v>
      </c>
      <c r="L6" s="577">
        <f>'Financial Model'!$D$6</f>
        <v>4.02E-2</v>
      </c>
      <c r="M6" s="577">
        <f>'Financial Model'!$D$6</f>
        <v>4.02E-2</v>
      </c>
      <c r="N6" s="577">
        <f>'Financial Model'!$E$6</f>
        <v>3.9600000000000003E-2</v>
      </c>
      <c r="O6" s="577">
        <f>'Financial Model'!$E$6</f>
        <v>3.9600000000000003E-2</v>
      </c>
      <c r="P6" s="577">
        <f>'Financial Model'!$E$6</f>
        <v>3.9600000000000003E-2</v>
      </c>
      <c r="Q6" s="577">
        <f>'Financial Model'!$E$6</f>
        <v>3.9600000000000003E-2</v>
      </c>
      <c r="R6" s="577">
        <f>'Financial Model'!$F$6</f>
        <v>4.1399999999999999E-2</v>
      </c>
      <c r="S6" s="577">
        <f>'Financial Model'!$F$6</f>
        <v>4.1399999999999999E-2</v>
      </c>
      <c r="T6" s="577">
        <f>'Financial Model'!$F$6</f>
        <v>4.1399999999999999E-2</v>
      </c>
      <c r="U6" s="577">
        <f>'Financial Model'!$F$6</f>
        <v>4.1399999999999999E-2</v>
      </c>
      <c r="V6" s="577">
        <f>'Financial Model'!$G$6</f>
        <v>4.4699999999999997E-2</v>
      </c>
      <c r="W6" s="577">
        <f>'Financial Model'!$G$6</f>
        <v>4.4699999999999997E-2</v>
      </c>
      <c r="X6" s="577">
        <f>'Financial Model'!$G$6</f>
        <v>4.4699999999999997E-2</v>
      </c>
      <c r="Y6" s="577">
        <f>'Financial Model'!$G$6</f>
        <v>4.4699999999999997E-2</v>
      </c>
      <c r="Z6" s="577">
        <f>'Financial Model'!$H$6</f>
        <v>4.4699999999999997E-2</v>
      </c>
      <c r="AA6" s="577">
        <f>'Financial Model'!$H$6</f>
        <v>4.4699999999999997E-2</v>
      </c>
      <c r="AB6" s="577">
        <f>'Financial Model'!$H$6</f>
        <v>4.4699999999999997E-2</v>
      </c>
      <c r="AC6" s="577">
        <f>'Financial Model'!$H$6</f>
        <v>4.4699999999999997E-2</v>
      </c>
      <c r="AD6" s="577">
        <f>'Financial Model'!$I$6</f>
        <v>4.4699999999999997E-2</v>
      </c>
      <c r="AE6" s="577">
        <f>'Financial Model'!$I$6</f>
        <v>4.4699999999999997E-2</v>
      </c>
      <c r="AF6" s="577">
        <f>'Financial Model'!$I$6</f>
        <v>4.4699999999999997E-2</v>
      </c>
      <c r="AG6" s="577">
        <f>'Financial Model'!$I$6</f>
        <v>4.4699999999999997E-2</v>
      </c>
      <c r="AH6" s="577">
        <f>'Financial Model'!$J$6</f>
        <v>4.4699999999999997E-2</v>
      </c>
      <c r="AI6" s="577">
        <f>'Financial Model'!$J$6</f>
        <v>4.4699999999999997E-2</v>
      </c>
      <c r="AJ6" s="577">
        <f>'Financial Model'!$J$6</f>
        <v>4.4699999999999997E-2</v>
      </c>
      <c r="AK6" s="577">
        <f>'Financial Model'!$J$6</f>
        <v>4.4699999999999997E-2</v>
      </c>
      <c r="AL6" s="577">
        <f>'Financial Model'!$K$6</f>
        <v>4.4699999999999997E-2</v>
      </c>
      <c r="AM6" s="577">
        <f>'Financial Model'!$K$6</f>
        <v>4.4699999999999997E-2</v>
      </c>
      <c r="AN6" s="577">
        <f>'Financial Model'!$K$6</f>
        <v>4.4699999999999997E-2</v>
      </c>
      <c r="AO6" s="577">
        <f>'Financial Model'!$K$6</f>
        <v>4.4699999999999997E-2</v>
      </c>
      <c r="AP6" s="577">
        <f>'Financial Model'!$L$6</f>
        <v>4.4699999999999997E-2</v>
      </c>
      <c r="AQ6" s="577">
        <f>'Financial Model'!$L$6</f>
        <v>4.4699999999999997E-2</v>
      </c>
      <c r="AR6" s="577">
        <f>'Financial Model'!$L$6</f>
        <v>4.4699999999999997E-2</v>
      </c>
      <c r="AS6" s="577">
        <f>'Financial Model'!$L$6</f>
        <v>4.4699999999999997E-2</v>
      </c>
      <c r="AT6" s="577">
        <f>'Financial Model'!$M$6</f>
        <v>4.4699999999999997E-2</v>
      </c>
      <c r="AU6" s="577">
        <f>'Financial Model'!$M$6</f>
        <v>4.4699999999999997E-2</v>
      </c>
      <c r="AV6" s="577">
        <f>'Financial Model'!$M$6</f>
        <v>4.4699999999999997E-2</v>
      </c>
      <c r="AW6" s="577">
        <f>'Financial Model'!$M$6</f>
        <v>4.4699999999999997E-2</v>
      </c>
    </row>
    <row r="7" spans="2:49">
      <c r="B7" s="580" t="s">
        <v>263</v>
      </c>
      <c r="C7" s="597" t="s">
        <v>698</v>
      </c>
      <c r="D7" s="566">
        <f>1*(1+D6)</f>
        <v>1</v>
      </c>
      <c r="E7" s="566">
        <f>D7*(1+E6)</f>
        <v>1</v>
      </c>
      <c r="F7" s="566">
        <f>(1+F6)</f>
        <v>1.0411999999999999</v>
      </c>
      <c r="G7" s="566">
        <f t="shared" ref="G7:AK7" si="2">(1+G6)</f>
        <v>1.0411999999999999</v>
      </c>
      <c r="H7" s="566">
        <f t="shared" si="2"/>
        <v>1.0411999999999999</v>
      </c>
      <c r="I7" s="566">
        <f t="shared" si="2"/>
        <v>1.0411999999999999</v>
      </c>
      <c r="J7" s="566">
        <f t="shared" si="2"/>
        <v>1.0402</v>
      </c>
      <c r="K7" s="566">
        <f t="shared" si="2"/>
        <v>1.0402</v>
      </c>
      <c r="L7" s="566">
        <f t="shared" si="2"/>
        <v>1.0402</v>
      </c>
      <c r="M7" s="566">
        <f t="shared" si="2"/>
        <v>1.0402</v>
      </c>
      <c r="N7" s="566">
        <f t="shared" si="2"/>
        <v>1.0396000000000001</v>
      </c>
      <c r="O7" s="566">
        <f t="shared" si="2"/>
        <v>1.0396000000000001</v>
      </c>
      <c r="P7" s="566">
        <f t="shared" si="2"/>
        <v>1.0396000000000001</v>
      </c>
      <c r="Q7" s="566">
        <f t="shared" si="2"/>
        <v>1.0396000000000001</v>
      </c>
      <c r="R7" s="566">
        <f t="shared" si="2"/>
        <v>1.0414000000000001</v>
      </c>
      <c r="S7" s="566">
        <f t="shared" si="2"/>
        <v>1.0414000000000001</v>
      </c>
      <c r="T7" s="566">
        <f t="shared" si="2"/>
        <v>1.0414000000000001</v>
      </c>
      <c r="U7" s="566">
        <f t="shared" si="2"/>
        <v>1.0414000000000001</v>
      </c>
      <c r="V7" s="566">
        <f t="shared" si="2"/>
        <v>1.0447</v>
      </c>
      <c r="W7" s="566">
        <f t="shared" si="2"/>
        <v>1.0447</v>
      </c>
      <c r="X7" s="566">
        <f t="shared" si="2"/>
        <v>1.0447</v>
      </c>
      <c r="Y7" s="566">
        <f t="shared" si="2"/>
        <v>1.0447</v>
      </c>
      <c r="Z7" s="566">
        <f t="shared" si="2"/>
        <v>1.0447</v>
      </c>
      <c r="AA7" s="566">
        <f t="shared" si="2"/>
        <v>1.0447</v>
      </c>
      <c r="AB7" s="566">
        <f t="shared" si="2"/>
        <v>1.0447</v>
      </c>
      <c r="AC7" s="566">
        <f t="shared" si="2"/>
        <v>1.0447</v>
      </c>
      <c r="AD7" s="566">
        <f t="shared" si="2"/>
        <v>1.0447</v>
      </c>
      <c r="AE7" s="566">
        <f t="shared" si="2"/>
        <v>1.0447</v>
      </c>
      <c r="AF7" s="566">
        <f t="shared" si="2"/>
        <v>1.0447</v>
      </c>
      <c r="AG7" s="566">
        <f t="shared" si="2"/>
        <v>1.0447</v>
      </c>
      <c r="AH7" s="566">
        <f t="shared" si="2"/>
        <v>1.0447</v>
      </c>
      <c r="AI7" s="566">
        <f t="shared" si="2"/>
        <v>1.0447</v>
      </c>
      <c r="AJ7" s="566">
        <f t="shared" si="2"/>
        <v>1.0447</v>
      </c>
      <c r="AK7" s="566">
        <f t="shared" si="2"/>
        <v>1.0447</v>
      </c>
      <c r="AL7" s="566">
        <f t="shared" ref="AL7:AW7" si="3">(1+AL6)</f>
        <v>1.0447</v>
      </c>
      <c r="AM7" s="566">
        <f t="shared" si="3"/>
        <v>1.0447</v>
      </c>
      <c r="AN7" s="566">
        <f t="shared" si="3"/>
        <v>1.0447</v>
      </c>
      <c r="AO7" s="566">
        <f t="shared" si="3"/>
        <v>1.0447</v>
      </c>
      <c r="AP7" s="566">
        <f t="shared" si="3"/>
        <v>1.0447</v>
      </c>
      <c r="AQ7" s="566">
        <f t="shared" si="3"/>
        <v>1.0447</v>
      </c>
      <c r="AR7" s="566">
        <f t="shared" si="3"/>
        <v>1.0447</v>
      </c>
      <c r="AS7" s="566">
        <f t="shared" si="3"/>
        <v>1.0447</v>
      </c>
      <c r="AT7" s="566">
        <f t="shared" si="3"/>
        <v>1.0447</v>
      </c>
      <c r="AU7" s="566">
        <f t="shared" si="3"/>
        <v>1.0447</v>
      </c>
      <c r="AV7" s="566">
        <f t="shared" si="3"/>
        <v>1.0447</v>
      </c>
      <c r="AW7" s="566">
        <f t="shared" si="3"/>
        <v>1.0447</v>
      </c>
    </row>
    <row r="8" spans="2:49" ht="15" thickBot="1">
      <c r="B8" s="564"/>
      <c r="D8" s="566"/>
      <c r="E8" s="566"/>
      <c r="F8" s="566"/>
      <c r="G8" s="566"/>
      <c r="H8" s="566"/>
      <c r="I8" s="566"/>
      <c r="J8" s="566"/>
      <c r="K8" s="566"/>
    </row>
    <row r="9" spans="2:49" ht="15" thickBot="1">
      <c r="B9" s="593" t="s">
        <v>727</v>
      </c>
      <c r="C9" s="596" t="s">
        <v>581</v>
      </c>
      <c r="D9" s="604">
        <v>1586</v>
      </c>
      <c r="E9" s="590">
        <f>D9</f>
        <v>1586</v>
      </c>
      <c r="F9" s="590">
        <f t="shared" ref="F9:AK9" si="4">E9</f>
        <v>1586</v>
      </c>
      <c r="G9" s="590">
        <f t="shared" si="4"/>
        <v>1586</v>
      </c>
      <c r="H9" s="590">
        <f t="shared" si="4"/>
        <v>1586</v>
      </c>
      <c r="I9" s="590">
        <f t="shared" si="4"/>
        <v>1586</v>
      </c>
      <c r="J9" s="590">
        <f t="shared" si="4"/>
        <v>1586</v>
      </c>
      <c r="K9" s="590">
        <f t="shared" si="4"/>
        <v>1586</v>
      </c>
      <c r="L9" s="590">
        <f t="shared" si="4"/>
        <v>1586</v>
      </c>
      <c r="M9" s="590">
        <f t="shared" si="4"/>
        <v>1586</v>
      </c>
      <c r="N9" s="590">
        <f t="shared" si="4"/>
        <v>1586</v>
      </c>
      <c r="O9" s="590">
        <f t="shared" si="4"/>
        <v>1586</v>
      </c>
      <c r="P9" s="590">
        <f t="shared" si="4"/>
        <v>1586</v>
      </c>
      <c r="Q9" s="590">
        <f t="shared" si="4"/>
        <v>1586</v>
      </c>
      <c r="R9" s="590">
        <f t="shared" si="4"/>
        <v>1586</v>
      </c>
      <c r="S9" s="590">
        <f t="shared" si="4"/>
        <v>1586</v>
      </c>
      <c r="T9" s="590">
        <f t="shared" si="4"/>
        <v>1586</v>
      </c>
      <c r="U9" s="590">
        <f t="shared" si="4"/>
        <v>1586</v>
      </c>
      <c r="V9" s="590">
        <f t="shared" si="4"/>
        <v>1586</v>
      </c>
      <c r="W9" s="590">
        <f t="shared" si="4"/>
        <v>1586</v>
      </c>
      <c r="X9" s="590">
        <f t="shared" si="4"/>
        <v>1586</v>
      </c>
      <c r="Y9" s="590">
        <f t="shared" si="4"/>
        <v>1586</v>
      </c>
      <c r="Z9" s="590">
        <f t="shared" si="4"/>
        <v>1586</v>
      </c>
      <c r="AA9" s="590">
        <f t="shared" si="4"/>
        <v>1586</v>
      </c>
      <c r="AB9" s="590">
        <f t="shared" si="4"/>
        <v>1586</v>
      </c>
      <c r="AC9" s="590">
        <f t="shared" si="4"/>
        <v>1586</v>
      </c>
      <c r="AD9" s="590">
        <f t="shared" si="4"/>
        <v>1586</v>
      </c>
      <c r="AE9" s="590">
        <f t="shared" si="4"/>
        <v>1586</v>
      </c>
      <c r="AF9" s="590">
        <f t="shared" si="4"/>
        <v>1586</v>
      </c>
      <c r="AG9" s="590">
        <f t="shared" si="4"/>
        <v>1586</v>
      </c>
      <c r="AH9" s="590">
        <f t="shared" si="4"/>
        <v>1586</v>
      </c>
      <c r="AI9" s="590">
        <f t="shared" si="4"/>
        <v>1586</v>
      </c>
      <c r="AJ9" s="590">
        <f t="shared" si="4"/>
        <v>1586</v>
      </c>
      <c r="AK9" s="590">
        <f t="shared" si="4"/>
        <v>1586</v>
      </c>
      <c r="AL9" s="590">
        <f t="shared" ref="AL9:AW9" si="5">AK9</f>
        <v>1586</v>
      </c>
      <c r="AM9" s="590">
        <f t="shared" si="5"/>
        <v>1586</v>
      </c>
      <c r="AN9" s="590">
        <f t="shared" si="5"/>
        <v>1586</v>
      </c>
      <c r="AO9" s="590">
        <f t="shared" si="5"/>
        <v>1586</v>
      </c>
      <c r="AP9" s="590">
        <f t="shared" si="5"/>
        <v>1586</v>
      </c>
      <c r="AQ9" s="590">
        <f t="shared" si="5"/>
        <v>1586</v>
      </c>
      <c r="AR9" s="590">
        <f t="shared" si="5"/>
        <v>1586</v>
      </c>
      <c r="AS9" s="590">
        <f t="shared" si="5"/>
        <v>1586</v>
      </c>
      <c r="AT9" s="590">
        <f t="shared" si="5"/>
        <v>1586</v>
      </c>
      <c r="AU9" s="590">
        <f t="shared" si="5"/>
        <v>1586</v>
      </c>
      <c r="AV9" s="590">
        <f t="shared" si="5"/>
        <v>1586</v>
      </c>
      <c r="AW9" s="590">
        <f t="shared" si="5"/>
        <v>1586</v>
      </c>
    </row>
    <row r="10" spans="2:49">
      <c r="B10" s="568"/>
      <c r="D10" s="569"/>
      <c r="E10" s="567"/>
      <c r="F10" s="567"/>
      <c r="G10" s="567"/>
      <c r="H10" s="567"/>
      <c r="I10" s="567"/>
      <c r="J10" s="567"/>
      <c r="K10" s="567"/>
    </row>
    <row r="11" spans="2:49">
      <c r="B11" s="593" t="s">
        <v>741</v>
      </c>
      <c r="C11" s="596" t="s">
        <v>733</v>
      </c>
      <c r="D11" s="592">
        <f>'План производства'!D6</f>
        <v>0</v>
      </c>
      <c r="E11" s="592">
        <f>'План производства'!E6</f>
        <v>0</v>
      </c>
      <c r="F11" s="592">
        <f>'План производства'!F6</f>
        <v>12492</v>
      </c>
      <c r="G11" s="592">
        <f>'План производства'!G6</f>
        <v>12387</v>
      </c>
      <c r="H11" s="592">
        <f>'План производства'!H6</f>
        <v>0</v>
      </c>
      <c r="I11" s="592">
        <f>'План производства'!I6</f>
        <v>0</v>
      </c>
      <c r="J11" s="592">
        <f>'План производства'!J6</f>
        <v>9085</v>
      </c>
      <c r="K11" s="592">
        <f>'План производства'!K6</f>
        <v>8311</v>
      </c>
      <c r="L11" s="592">
        <f>'План производства'!L6</f>
        <v>0</v>
      </c>
      <c r="M11" s="592">
        <f>'План производства'!M6</f>
        <v>0</v>
      </c>
      <c r="N11" s="592">
        <f>'План производства'!N6</f>
        <v>10971.484746171469</v>
      </c>
      <c r="O11" s="592">
        <f>'План производства'!O6</f>
        <v>10879.265253828531</v>
      </c>
      <c r="P11" s="592">
        <f>'План производства'!P6</f>
        <v>0</v>
      </c>
      <c r="Q11" s="592">
        <f>'План производства'!Q6</f>
        <v>0</v>
      </c>
      <c r="R11" s="592">
        <f>'План производства'!R6</f>
        <v>11259.791409622574</v>
      </c>
      <c r="S11" s="592">
        <f>'План производства'!S6</f>
        <v>11165.148590377428</v>
      </c>
      <c r="T11" s="592">
        <f>'План производства'!T6</f>
        <v>0</v>
      </c>
      <c r="U11" s="592">
        <f>'План производства'!U6</f>
        <v>0</v>
      </c>
      <c r="V11" s="592">
        <f>'План производства'!V6</f>
        <v>13302.687066200411</v>
      </c>
      <c r="W11" s="592">
        <f>'План производства'!W6</f>
        <v>13190.872933799594</v>
      </c>
      <c r="X11" s="592">
        <f>'План производства'!X6</f>
        <v>0</v>
      </c>
      <c r="Y11" s="592">
        <f>'План производства'!Y6</f>
        <v>0</v>
      </c>
      <c r="Z11" s="592">
        <f>'План производства'!Z6</f>
        <v>11932.197323043529</v>
      </c>
      <c r="AA11" s="592">
        <f>'План производства'!AA6</f>
        <v>11831.90267695647</v>
      </c>
      <c r="AB11" s="592">
        <f>'План производства'!AB6</f>
        <v>0</v>
      </c>
      <c r="AC11" s="592">
        <f>'План производства'!AC6</f>
        <v>0</v>
      </c>
      <c r="AD11" s="592">
        <f>'План производства'!AD6</f>
        <v>14643.728045339443</v>
      </c>
      <c r="AE11" s="592">
        <f>'План производства'!AE6</f>
        <v>14520.641954660559</v>
      </c>
      <c r="AF11" s="592">
        <f>'План производства'!AF6</f>
        <v>0</v>
      </c>
      <c r="AG11" s="592">
        <f>'План производства'!AG6</f>
        <v>0</v>
      </c>
      <c r="AH11" s="592">
        <f>'План производства'!AH6</f>
        <v>11773.746402990473</v>
      </c>
      <c r="AI11" s="592">
        <f>'План производства'!AI6</f>
        <v>11674.783597009526</v>
      </c>
      <c r="AJ11" s="592">
        <f>'План производства'!AJ6</f>
        <v>0</v>
      </c>
      <c r="AK11" s="592">
        <f>'План производства'!AK6</f>
        <v>0</v>
      </c>
      <c r="AL11" s="592">
        <f>'План производства'!AL6</f>
        <v>14097.145930302664</v>
      </c>
      <c r="AM11" s="592">
        <f>'План производства'!AM6</f>
        <v>13978.654069697335</v>
      </c>
      <c r="AN11" s="592">
        <f>'План производства'!AN6</f>
        <v>0</v>
      </c>
      <c r="AO11" s="592">
        <f>'План производства'!AO6</f>
        <v>0</v>
      </c>
      <c r="AP11" s="592">
        <f>'План производства'!AP6</f>
        <v>11827.035359942118</v>
      </c>
      <c r="AQ11" s="592">
        <f>'План производства'!AQ6</f>
        <v>11727.624640057878</v>
      </c>
      <c r="AR11" s="592">
        <f>'План производства'!AR6</f>
        <v>0</v>
      </c>
      <c r="AS11" s="592">
        <f>'План производства'!AS6</f>
        <v>0</v>
      </c>
      <c r="AT11" s="592">
        <f>'План производства'!AT6</f>
        <v>13880.214233691066</v>
      </c>
      <c r="AU11" s="592">
        <f>'План производства'!AU6</f>
        <v>13763.545766308936</v>
      </c>
      <c r="AV11" s="592">
        <f>'План производства'!AV6</f>
        <v>0</v>
      </c>
      <c r="AW11" s="592">
        <f>'План производства'!AW6</f>
        <v>0</v>
      </c>
    </row>
    <row r="12" spans="2:49">
      <c r="B12" s="573"/>
      <c r="C12" s="598"/>
      <c r="D12" s="573"/>
      <c r="E12" s="573"/>
      <c r="F12" s="573"/>
      <c r="G12" s="573"/>
      <c r="H12" s="573"/>
      <c r="I12" s="573"/>
      <c r="J12" s="573"/>
      <c r="K12" s="573"/>
      <c r="M12" s="572"/>
    </row>
    <row r="13" spans="2:49">
      <c r="B13" s="593" t="s">
        <v>730</v>
      </c>
      <c r="C13" s="596"/>
      <c r="D13" s="592"/>
      <c r="E13" s="592"/>
      <c r="F13" s="592"/>
      <c r="G13" s="592"/>
      <c r="H13" s="592"/>
      <c r="I13" s="592"/>
      <c r="J13" s="592"/>
      <c r="K13" s="592"/>
      <c r="L13" s="591"/>
      <c r="M13" s="591"/>
      <c r="N13" s="591"/>
      <c r="O13" s="591"/>
      <c r="P13" s="591"/>
      <c r="Q13" s="591"/>
      <c r="R13" s="591"/>
      <c r="S13" s="591"/>
      <c r="T13" s="591"/>
      <c r="U13" s="591"/>
      <c r="V13" s="591"/>
      <c r="W13" s="591"/>
      <c r="X13" s="591"/>
      <c r="Y13" s="591"/>
      <c r="Z13" s="591"/>
      <c r="AA13" s="591"/>
      <c r="AB13" s="591"/>
      <c r="AC13" s="591"/>
      <c r="AD13" s="591"/>
      <c r="AE13" s="591"/>
      <c r="AF13" s="591"/>
      <c r="AG13" s="591"/>
      <c r="AH13" s="591"/>
      <c r="AI13" s="591"/>
      <c r="AJ13" s="591"/>
      <c r="AK13" s="591"/>
      <c r="AL13" s="591"/>
      <c r="AM13" s="591"/>
      <c r="AN13" s="591"/>
      <c r="AO13" s="591"/>
      <c r="AP13" s="591"/>
      <c r="AQ13" s="591"/>
      <c r="AR13" s="591"/>
      <c r="AS13" s="591"/>
      <c r="AT13" s="591"/>
      <c r="AU13" s="591"/>
      <c r="AV13" s="591"/>
      <c r="AW13" s="591"/>
    </row>
    <row r="14" spans="2:49" ht="15" thickBot="1">
      <c r="B14" s="568" t="s">
        <v>726</v>
      </c>
      <c r="C14" s="597" t="s">
        <v>733</v>
      </c>
      <c r="D14" s="570">
        <f t="shared" ref="D14:AK14" si="6">D11*(1-D15)</f>
        <v>0</v>
      </c>
      <c r="E14" s="570">
        <f t="shared" si="6"/>
        <v>0</v>
      </c>
      <c r="F14" s="570">
        <f>F11*(1-F15)</f>
        <v>12303.342631617026</v>
      </c>
      <c r="G14" s="570">
        <f t="shared" si="6"/>
        <v>12199.928368382974</v>
      </c>
      <c r="H14" s="570">
        <f t="shared" si="6"/>
        <v>0</v>
      </c>
      <c r="I14" s="570">
        <f t="shared" si="6"/>
        <v>0</v>
      </c>
      <c r="J14" s="570">
        <f t="shared" si="6"/>
        <v>8947.796014108284</v>
      </c>
      <c r="K14" s="570">
        <f t="shared" si="6"/>
        <v>8185.4851594115516</v>
      </c>
      <c r="L14" s="570">
        <f t="shared" si="6"/>
        <v>0</v>
      </c>
      <c r="M14" s="570">
        <f t="shared" si="6"/>
        <v>0</v>
      </c>
      <c r="N14" s="570">
        <f t="shared" si="6"/>
        <v>10805.790586752109</v>
      </c>
      <c r="O14" s="570">
        <f t="shared" si="6"/>
        <v>10714.963816690553</v>
      </c>
      <c r="P14" s="570">
        <f t="shared" si="6"/>
        <v>0</v>
      </c>
      <c r="Q14" s="570">
        <f t="shared" si="6"/>
        <v>0</v>
      </c>
      <c r="R14" s="570">
        <f t="shared" si="6"/>
        <v>11089.743169478434</v>
      </c>
      <c r="S14" s="570">
        <f t="shared" si="6"/>
        <v>10996.529670215286</v>
      </c>
      <c r="T14" s="570">
        <f t="shared" si="6"/>
        <v>0</v>
      </c>
      <c r="U14" s="570">
        <f t="shared" si="6"/>
        <v>0</v>
      </c>
      <c r="V14" s="570">
        <f t="shared" si="6"/>
        <v>13101.786495088372</v>
      </c>
      <c r="W14" s="570">
        <f t="shared" si="6"/>
        <v>12991.661008218036</v>
      </c>
      <c r="X14" s="570">
        <f t="shared" si="6"/>
        <v>0</v>
      </c>
      <c r="Y14" s="570">
        <f t="shared" si="6"/>
        <v>0</v>
      </c>
      <c r="Z14" s="570">
        <f t="shared" si="6"/>
        <v>11751.99423738937</v>
      </c>
      <c r="AA14" s="570">
        <f t="shared" si="6"/>
        <v>11653.214266614006</v>
      </c>
      <c r="AB14" s="570">
        <f t="shared" si="6"/>
        <v>0</v>
      </c>
      <c r="AC14" s="570">
        <f t="shared" si="6"/>
        <v>0</v>
      </c>
      <c r="AD14" s="570">
        <f t="shared" si="6"/>
        <v>14422.574731510618</v>
      </c>
      <c r="AE14" s="570">
        <f t="shared" si="6"/>
        <v>14301.347518349508</v>
      </c>
      <c r="AF14" s="570">
        <f t="shared" si="6"/>
        <v>0</v>
      </c>
      <c r="AG14" s="570">
        <f t="shared" si="6"/>
        <v>0</v>
      </c>
      <c r="AH14" s="570">
        <f t="shared" si="6"/>
        <v>11595.936283522278</v>
      </c>
      <c r="AI14" s="570">
        <f t="shared" si="6"/>
        <v>11498.468039064239</v>
      </c>
      <c r="AJ14" s="570">
        <f t="shared" si="6"/>
        <v>0</v>
      </c>
      <c r="AK14" s="570">
        <f t="shared" si="6"/>
        <v>0</v>
      </c>
      <c r="AL14" s="570">
        <f t="shared" ref="AL14:AW14" si="7">AL11*(1-AL15)</f>
        <v>13884.247238906439</v>
      </c>
      <c r="AM14" s="570">
        <f t="shared" si="7"/>
        <v>13767.54487258518</v>
      </c>
      <c r="AN14" s="570">
        <f t="shared" si="7"/>
        <v>0</v>
      </c>
      <c r="AO14" s="570">
        <f t="shared" si="7"/>
        <v>0</v>
      </c>
      <c r="AP14" s="570">
        <f t="shared" si="7"/>
        <v>11648.420457061949</v>
      </c>
      <c r="AQ14" s="570">
        <f t="shared" si="7"/>
        <v>11550.511063210566</v>
      </c>
      <c r="AR14" s="570">
        <f t="shared" si="7"/>
        <v>0</v>
      </c>
      <c r="AS14" s="570">
        <f t="shared" si="7"/>
        <v>0</v>
      </c>
      <c r="AT14" s="570">
        <f>AT11*(1-AT15)</f>
        <v>13670.591700075947</v>
      </c>
      <c r="AU14" s="570">
        <f t="shared" si="7"/>
        <v>13555.685189628624</v>
      </c>
      <c r="AV14" s="570">
        <f t="shared" si="7"/>
        <v>0</v>
      </c>
      <c r="AW14" s="570">
        <f t="shared" si="7"/>
        <v>0</v>
      </c>
    </row>
    <row r="15" spans="2:49" ht="15" thickBot="1">
      <c r="B15" s="568" t="s">
        <v>642</v>
      </c>
      <c r="C15" s="597" t="s">
        <v>698</v>
      </c>
      <c r="D15" s="605">
        <f>'Financial Model'!C19</f>
        <v>1.5102254913782698E-2</v>
      </c>
      <c r="E15" s="574">
        <f>D15</f>
        <v>1.5102254913782698E-2</v>
      </c>
      <c r="F15" s="574">
        <f t="shared" ref="F15:K15" si="8">E15</f>
        <v>1.5102254913782698E-2</v>
      </c>
      <c r="G15" s="574">
        <f t="shared" si="8"/>
        <v>1.5102254913782698E-2</v>
      </c>
      <c r="H15" s="574">
        <f t="shared" si="8"/>
        <v>1.5102254913782698E-2</v>
      </c>
      <c r="I15" s="574">
        <f t="shared" si="8"/>
        <v>1.5102254913782698E-2</v>
      </c>
      <c r="J15" s="574">
        <f t="shared" si="8"/>
        <v>1.5102254913782698E-2</v>
      </c>
      <c r="K15" s="574">
        <f t="shared" si="8"/>
        <v>1.5102254913782698E-2</v>
      </c>
      <c r="L15" s="574">
        <f t="shared" ref="L15:AW15" si="9">K15</f>
        <v>1.5102254913782698E-2</v>
      </c>
      <c r="M15" s="574">
        <f t="shared" si="9"/>
        <v>1.5102254913782698E-2</v>
      </c>
      <c r="N15" s="574">
        <f t="shared" si="9"/>
        <v>1.5102254913782698E-2</v>
      </c>
      <c r="O15" s="574">
        <f t="shared" si="9"/>
        <v>1.5102254913782698E-2</v>
      </c>
      <c r="P15" s="574">
        <f t="shared" si="9"/>
        <v>1.5102254913782698E-2</v>
      </c>
      <c r="Q15" s="574">
        <f t="shared" si="9"/>
        <v>1.5102254913782698E-2</v>
      </c>
      <c r="R15" s="574">
        <f t="shared" si="9"/>
        <v>1.5102254913782698E-2</v>
      </c>
      <c r="S15" s="574">
        <f t="shared" si="9"/>
        <v>1.5102254913782698E-2</v>
      </c>
      <c r="T15" s="574">
        <f t="shared" si="9"/>
        <v>1.5102254913782698E-2</v>
      </c>
      <c r="U15" s="574">
        <f t="shared" si="9"/>
        <v>1.5102254913782698E-2</v>
      </c>
      <c r="V15" s="574">
        <f t="shared" si="9"/>
        <v>1.5102254913782698E-2</v>
      </c>
      <c r="W15" s="574">
        <f t="shared" si="9"/>
        <v>1.5102254913782698E-2</v>
      </c>
      <c r="X15" s="574">
        <f t="shared" si="9"/>
        <v>1.5102254913782698E-2</v>
      </c>
      <c r="Y15" s="574">
        <f t="shared" si="9"/>
        <v>1.5102254913782698E-2</v>
      </c>
      <c r="Z15" s="574">
        <f t="shared" si="9"/>
        <v>1.5102254913782698E-2</v>
      </c>
      <c r="AA15" s="574">
        <f t="shared" si="9"/>
        <v>1.5102254913782698E-2</v>
      </c>
      <c r="AB15" s="574">
        <f t="shared" si="9"/>
        <v>1.5102254913782698E-2</v>
      </c>
      <c r="AC15" s="574">
        <f t="shared" si="9"/>
        <v>1.5102254913782698E-2</v>
      </c>
      <c r="AD15" s="574">
        <f t="shared" si="9"/>
        <v>1.5102254913782698E-2</v>
      </c>
      <c r="AE15" s="574">
        <f t="shared" si="9"/>
        <v>1.5102254913782698E-2</v>
      </c>
      <c r="AF15" s="574">
        <f t="shared" si="9"/>
        <v>1.5102254913782698E-2</v>
      </c>
      <c r="AG15" s="574">
        <f t="shared" si="9"/>
        <v>1.5102254913782698E-2</v>
      </c>
      <c r="AH15" s="574">
        <f t="shared" si="9"/>
        <v>1.5102254913782698E-2</v>
      </c>
      <c r="AI15" s="574">
        <f t="shared" si="9"/>
        <v>1.5102254913782698E-2</v>
      </c>
      <c r="AJ15" s="574">
        <f t="shared" si="9"/>
        <v>1.5102254913782698E-2</v>
      </c>
      <c r="AK15" s="574">
        <f t="shared" si="9"/>
        <v>1.5102254913782698E-2</v>
      </c>
      <c r="AL15" s="574">
        <f t="shared" si="9"/>
        <v>1.5102254913782698E-2</v>
      </c>
      <c r="AM15" s="574">
        <f t="shared" si="9"/>
        <v>1.5102254913782698E-2</v>
      </c>
      <c r="AN15" s="574">
        <f t="shared" si="9"/>
        <v>1.5102254913782698E-2</v>
      </c>
      <c r="AO15" s="574">
        <f t="shared" si="9"/>
        <v>1.5102254913782698E-2</v>
      </c>
      <c r="AP15" s="574">
        <f t="shared" si="9"/>
        <v>1.5102254913782698E-2</v>
      </c>
      <c r="AQ15" s="574">
        <f t="shared" si="9"/>
        <v>1.5102254913782698E-2</v>
      </c>
      <c r="AR15" s="574">
        <f t="shared" si="9"/>
        <v>1.5102254913782698E-2</v>
      </c>
      <c r="AS15" s="574">
        <f t="shared" si="9"/>
        <v>1.5102254913782698E-2</v>
      </c>
      <c r="AT15" s="574">
        <f t="shared" si="9"/>
        <v>1.5102254913782698E-2</v>
      </c>
      <c r="AU15" s="574">
        <f t="shared" si="9"/>
        <v>1.5102254913782698E-2</v>
      </c>
      <c r="AV15" s="574">
        <f t="shared" si="9"/>
        <v>1.5102254913782698E-2</v>
      </c>
      <c r="AW15" s="574">
        <f t="shared" si="9"/>
        <v>1.5102254913782698E-2</v>
      </c>
    </row>
    <row r="16" spans="2:49">
      <c r="B16" s="573"/>
      <c r="C16" s="598"/>
      <c r="D16" s="573"/>
      <c r="E16" s="573"/>
      <c r="F16" s="573"/>
      <c r="G16" s="573"/>
      <c r="H16" s="573"/>
      <c r="I16" s="573"/>
      <c r="J16" s="573"/>
      <c r="K16" s="573"/>
      <c r="M16" s="572"/>
    </row>
    <row r="17" spans="2:49" ht="15" thickBot="1">
      <c r="B17" s="593" t="s">
        <v>729</v>
      </c>
      <c r="C17" s="596"/>
      <c r="D17" s="592"/>
      <c r="E17" s="592"/>
      <c r="F17" s="592"/>
      <c r="G17" s="592"/>
      <c r="H17" s="592"/>
      <c r="I17" s="592"/>
      <c r="J17" s="592"/>
      <c r="K17" s="592"/>
      <c r="L17" s="592"/>
      <c r="M17" s="592"/>
      <c r="N17" s="592"/>
      <c r="O17" s="592"/>
      <c r="P17" s="592"/>
      <c r="Q17" s="592"/>
      <c r="R17" s="592"/>
      <c r="S17" s="592"/>
      <c r="T17" s="592"/>
      <c r="U17" s="592"/>
      <c r="V17" s="592"/>
      <c r="W17" s="592"/>
      <c r="X17" s="592"/>
      <c r="Y17" s="592"/>
      <c r="Z17" s="592"/>
      <c r="AA17" s="592"/>
      <c r="AB17" s="592"/>
      <c r="AC17" s="592"/>
      <c r="AD17" s="592"/>
      <c r="AE17" s="592"/>
      <c r="AF17" s="592"/>
      <c r="AG17" s="592"/>
      <c r="AH17" s="592"/>
      <c r="AI17" s="592"/>
      <c r="AJ17" s="592"/>
      <c r="AK17" s="592"/>
      <c r="AL17" s="591"/>
      <c r="AM17" s="591"/>
      <c r="AN17" s="591"/>
      <c r="AO17" s="591"/>
      <c r="AP17" s="591"/>
      <c r="AQ17" s="591"/>
      <c r="AR17" s="591"/>
      <c r="AS17" s="591"/>
      <c r="AT17" s="591"/>
      <c r="AU17" s="591"/>
      <c r="AV17" s="591"/>
      <c r="AW17" s="591"/>
    </row>
    <row r="18" spans="2:49" ht="15" thickBot="1">
      <c r="B18" s="568" t="s">
        <v>268</v>
      </c>
      <c r="C18" s="597" t="s">
        <v>733</v>
      </c>
      <c r="D18" s="604">
        <v>12200</v>
      </c>
      <c r="E18" s="567">
        <f t="shared" ref="E18:K18" si="10">D18</f>
        <v>12200</v>
      </c>
      <c r="F18" s="567">
        <f t="shared" si="10"/>
        <v>12200</v>
      </c>
      <c r="G18" s="567">
        <f t="shared" si="10"/>
        <v>12200</v>
      </c>
      <c r="H18" s="567">
        <f t="shared" si="10"/>
        <v>12200</v>
      </c>
      <c r="I18" s="567">
        <f t="shared" si="10"/>
        <v>12200</v>
      </c>
      <c r="J18" s="567">
        <f t="shared" si="10"/>
        <v>12200</v>
      </c>
      <c r="K18" s="567">
        <f t="shared" si="10"/>
        <v>12200</v>
      </c>
      <c r="L18" s="567">
        <f t="shared" ref="L18:AW18" si="11">K18</f>
        <v>12200</v>
      </c>
      <c r="M18" s="567">
        <f t="shared" si="11"/>
        <v>12200</v>
      </c>
      <c r="N18" s="567">
        <f t="shared" si="11"/>
        <v>12200</v>
      </c>
      <c r="O18" s="567">
        <f t="shared" si="11"/>
        <v>12200</v>
      </c>
      <c r="P18" s="567">
        <f t="shared" si="11"/>
        <v>12200</v>
      </c>
      <c r="Q18" s="567">
        <f t="shared" si="11"/>
        <v>12200</v>
      </c>
      <c r="R18" s="567">
        <f t="shared" si="11"/>
        <v>12200</v>
      </c>
      <c r="S18" s="567">
        <f t="shared" si="11"/>
        <v>12200</v>
      </c>
      <c r="T18" s="567">
        <f t="shared" si="11"/>
        <v>12200</v>
      </c>
      <c r="U18" s="567">
        <f t="shared" si="11"/>
        <v>12200</v>
      </c>
      <c r="V18" s="567">
        <f t="shared" si="11"/>
        <v>12200</v>
      </c>
      <c r="W18" s="567">
        <f t="shared" si="11"/>
        <v>12200</v>
      </c>
      <c r="X18" s="567">
        <f t="shared" si="11"/>
        <v>12200</v>
      </c>
      <c r="Y18" s="567">
        <f t="shared" si="11"/>
        <v>12200</v>
      </c>
      <c r="Z18" s="567">
        <f t="shared" si="11"/>
        <v>12200</v>
      </c>
      <c r="AA18" s="567">
        <f t="shared" si="11"/>
        <v>12200</v>
      </c>
      <c r="AB18" s="567">
        <f t="shared" si="11"/>
        <v>12200</v>
      </c>
      <c r="AC18" s="567">
        <f t="shared" si="11"/>
        <v>12200</v>
      </c>
      <c r="AD18" s="567">
        <f t="shared" si="11"/>
        <v>12200</v>
      </c>
      <c r="AE18" s="567">
        <f t="shared" si="11"/>
        <v>12200</v>
      </c>
      <c r="AF18" s="567">
        <f t="shared" si="11"/>
        <v>12200</v>
      </c>
      <c r="AG18" s="567">
        <f t="shared" si="11"/>
        <v>12200</v>
      </c>
      <c r="AH18" s="567">
        <f t="shared" si="11"/>
        <v>12200</v>
      </c>
      <c r="AI18" s="567">
        <f t="shared" si="11"/>
        <v>12200</v>
      </c>
      <c r="AJ18" s="567">
        <f t="shared" si="11"/>
        <v>12200</v>
      </c>
      <c r="AK18" s="567">
        <f t="shared" si="11"/>
        <v>12200</v>
      </c>
      <c r="AL18" s="567">
        <f t="shared" si="11"/>
        <v>12200</v>
      </c>
      <c r="AM18" s="567">
        <f t="shared" si="11"/>
        <v>12200</v>
      </c>
      <c r="AN18" s="567">
        <f t="shared" si="11"/>
        <v>12200</v>
      </c>
      <c r="AO18" s="567">
        <f t="shared" si="11"/>
        <v>12200</v>
      </c>
      <c r="AP18" s="567">
        <f t="shared" si="11"/>
        <v>12200</v>
      </c>
      <c r="AQ18" s="567">
        <f t="shared" si="11"/>
        <v>12200</v>
      </c>
      <c r="AR18" s="567">
        <f t="shared" si="11"/>
        <v>12200</v>
      </c>
      <c r="AS18" s="567">
        <f t="shared" si="11"/>
        <v>12200</v>
      </c>
      <c r="AT18" s="567">
        <f t="shared" si="11"/>
        <v>12200</v>
      </c>
      <c r="AU18" s="567">
        <f t="shared" si="11"/>
        <v>12200</v>
      </c>
      <c r="AV18" s="567">
        <f t="shared" si="11"/>
        <v>12200</v>
      </c>
      <c r="AW18" s="567">
        <f t="shared" si="11"/>
        <v>12200</v>
      </c>
    </row>
    <row r="19" spans="2:49">
      <c r="B19" s="573"/>
      <c r="C19" s="598"/>
      <c r="D19" s="574"/>
      <c r="E19" s="573"/>
      <c r="F19" s="573"/>
      <c r="G19" s="573"/>
      <c r="H19" s="573"/>
      <c r="I19" s="573"/>
      <c r="J19" s="573"/>
      <c r="K19" s="573"/>
      <c r="M19" s="572"/>
    </row>
    <row r="20" spans="2:49">
      <c r="B20" s="593" t="s">
        <v>740</v>
      </c>
      <c r="C20" s="596"/>
      <c r="D20" s="590">
        <f>'План производства'!D18</f>
        <v>2552.27</v>
      </c>
      <c r="E20" s="590">
        <f>'План производства'!E18</f>
        <v>2654.9470000000001</v>
      </c>
      <c r="F20" s="590">
        <f>'План производства'!F18</f>
        <v>4964.6210000000001</v>
      </c>
      <c r="G20" s="590">
        <f>'План производства'!G18</f>
        <v>12540.826000000001</v>
      </c>
      <c r="H20" s="590">
        <f>'План производства'!H18</f>
        <v>5534.5590000000002</v>
      </c>
      <c r="I20" s="590">
        <f>'План производства'!I18</f>
        <v>1676.7099999999996</v>
      </c>
      <c r="J20" s="590">
        <f>'План производства'!J18</f>
        <v>2243.3799999999997</v>
      </c>
      <c r="K20" s="590">
        <f>'План производства'!K18</f>
        <v>5605.5210000000006</v>
      </c>
      <c r="L20" s="590">
        <f>'План производства'!L18</f>
        <v>4431.7</v>
      </c>
      <c r="M20" s="590">
        <f>'План производства'!M18</f>
        <v>5002</v>
      </c>
      <c r="N20" s="590">
        <f>'План производства'!N18</f>
        <v>3675.4385676232469</v>
      </c>
      <c r="O20" s="590">
        <f>'План производства'!O18</f>
        <v>5881.7848351289686</v>
      </c>
      <c r="P20" s="590">
        <f>'План производства'!P18</f>
        <v>8374.3792443476941</v>
      </c>
      <c r="Q20" s="590">
        <f>'План производства'!Q18</f>
        <v>3776.7092522303974</v>
      </c>
      <c r="R20" s="590">
        <f>'План производства'!R18</f>
        <v>3820.172141992382</v>
      </c>
      <c r="S20" s="590">
        <f>'План производства'!S18</f>
        <v>6258.5867950586689</v>
      </c>
      <c r="T20" s="590">
        <f>'План производства'!T18</f>
        <v>8408.0884449005189</v>
      </c>
      <c r="U20" s="590">
        <f>'План производства'!U18</f>
        <v>3791.9115550994816</v>
      </c>
      <c r="V20" s="590">
        <f>'План производства'!V18</f>
        <v>4907.4497477721607</v>
      </c>
      <c r="W20" s="590">
        <f>'План производства'!W18</f>
        <v>9213.407147465834</v>
      </c>
      <c r="X20" s="590">
        <f>'План производства'!X18</f>
        <v>8408.0884449005189</v>
      </c>
      <c r="Y20" s="590">
        <f>'План производства'!Y18</f>
        <v>3791.9115550994816</v>
      </c>
      <c r="Z20" s="590">
        <f>'План производства'!Z18</f>
        <v>4178.0425448700271</v>
      </c>
      <c r="AA20" s="590">
        <f>'План производства'!AA18</f>
        <v>7231.1468333835965</v>
      </c>
      <c r="AB20" s="590">
        <f>'План производства'!AB18</f>
        <v>8408.0884449005189</v>
      </c>
      <c r="AC20" s="590">
        <f>'План производства'!AC18</f>
        <v>3791.9115550994816</v>
      </c>
      <c r="AD20" s="590">
        <f>'План производства'!AD18</f>
        <v>5621.1836187880554</v>
      </c>
      <c r="AE20" s="590">
        <f>'План производства'!AE18</f>
        <v>11153.073114160332</v>
      </c>
      <c r="AF20" s="590">
        <f>'План производства'!AF18</f>
        <v>8408.0884449005189</v>
      </c>
      <c r="AG20" s="590">
        <f>'План производства'!AG18</f>
        <v>3791.9115550994816</v>
      </c>
      <c r="AH20" s="590">
        <f>'План производства'!AH18</f>
        <v>4093.7112005675544</v>
      </c>
      <c r="AI20" s="590">
        <f>'План производства'!AI18</f>
        <v>7001.9652783086249</v>
      </c>
      <c r="AJ20" s="590">
        <f>'План производства'!AJ18</f>
        <v>8408.0884449005189</v>
      </c>
      <c r="AK20" s="590">
        <f>'План производства'!AK18</f>
        <v>3791.9115550994816</v>
      </c>
      <c r="AL20" s="590">
        <f>'План производства'!AL18</f>
        <v>5330.2796308698662</v>
      </c>
      <c r="AM20" s="590">
        <f>'План производства'!AM18</f>
        <v>10362.503144239356</v>
      </c>
      <c r="AN20" s="590">
        <f>'План производства'!AN18</f>
        <v>8408.0884449005189</v>
      </c>
      <c r="AO20" s="590">
        <f>'План производства'!AO18</f>
        <v>3791.9115550994816</v>
      </c>
      <c r="AP20" s="590">
        <f>'План производства'!AP18</f>
        <v>4122.0728495545336</v>
      </c>
      <c r="AQ20" s="590">
        <f>'План производства'!AQ18</f>
        <v>7079.0418015526157</v>
      </c>
      <c r="AR20" s="590">
        <f>'План производства'!AR18</f>
        <v>8408.0884449005189</v>
      </c>
      <c r="AS20" s="590">
        <f>'План производства'!AS18</f>
        <v>3791.9115550994816</v>
      </c>
      <c r="AT20" s="590">
        <f>'План производства'!AT18</f>
        <v>5214.8234278326972</v>
      </c>
      <c r="AU20" s="590">
        <f>'План производства'!AU18</f>
        <v>10048.735678844707</v>
      </c>
      <c r="AV20" s="590">
        <f>'План производства'!AV18</f>
        <v>8408.0884449005189</v>
      </c>
      <c r="AW20" s="590">
        <f>'План производства'!AW18</f>
        <v>3791.9115550994816</v>
      </c>
    </row>
    <row r="21" spans="2:49" outlineLevel="1">
      <c r="B21" s="582" t="s">
        <v>0</v>
      </c>
      <c r="C21" s="599" t="s">
        <v>733</v>
      </c>
      <c r="D21" s="570">
        <f>'План производства'!D19</f>
        <v>2543.11</v>
      </c>
      <c r="E21" s="570">
        <f>'План производства'!E19</f>
        <v>1839.3719999999998</v>
      </c>
      <c r="F21" s="570">
        <f>'План производства'!F19</f>
        <v>1367.3789999999999</v>
      </c>
      <c r="G21" s="570">
        <f>'План производства'!G19</f>
        <v>5733.1109999999999</v>
      </c>
      <c r="H21" s="570">
        <f>'План производства'!H19</f>
        <v>4728.1990000000005</v>
      </c>
      <c r="I21" s="570">
        <f>'План производства'!I19</f>
        <v>1444.8899999999996</v>
      </c>
      <c r="J21" s="570">
        <f>'План производства'!J19</f>
        <v>227.73999999999987</v>
      </c>
      <c r="K21" s="570">
        <f>'План производства'!K19</f>
        <v>1297.4080000000008</v>
      </c>
      <c r="L21" s="570">
        <f>'План производства'!L19</f>
        <v>2651.7</v>
      </c>
      <c r="M21" s="570">
        <f>'План производства'!M19</f>
        <v>3204</v>
      </c>
      <c r="N21" s="570">
        <f>'План производства'!N19</f>
        <v>271.59590168264992</v>
      </c>
      <c r="O21" s="570">
        <f>'План производства'!O19</f>
        <v>1253.5520983173506</v>
      </c>
      <c r="P21" s="570">
        <f>'План производства'!P19</f>
        <v>8374.3792443476941</v>
      </c>
      <c r="Q21" s="570">
        <f>'План производства'!Q19</f>
        <v>3776.7092522303974</v>
      </c>
      <c r="R21" s="570">
        <f>'План производства'!R19</f>
        <v>326.88392290800579</v>
      </c>
      <c r="S21" s="570">
        <f>'План производства'!S19</f>
        <v>1508.7342074341559</v>
      </c>
      <c r="T21" s="570">
        <f>'План производства'!T19</f>
        <v>8408.0884449005189</v>
      </c>
      <c r="U21" s="570">
        <f>'План производства'!U19</f>
        <v>3791.9115550994816</v>
      </c>
      <c r="V21" s="570">
        <f>'План производства'!V19</f>
        <v>780.36441199846104</v>
      </c>
      <c r="W21" s="570">
        <f>'План производства'!W19</f>
        <v>3601.7754320014747</v>
      </c>
      <c r="X21" s="570">
        <f>'План производства'!X19</f>
        <v>8408.0884449005189</v>
      </c>
      <c r="Y21" s="570">
        <f>'План производства'!Y19</f>
        <v>3791.9115550994816</v>
      </c>
      <c r="Z21" s="570">
        <f>'План производства'!Z19</f>
        <v>476.14409755453784</v>
      </c>
      <c r="AA21" s="570">
        <f>'План производства'!AA19</f>
        <v>2197.6452107452455</v>
      </c>
      <c r="AB21" s="570">
        <f>'План производства'!AB19</f>
        <v>8408.0884449005189</v>
      </c>
      <c r="AC21" s="570">
        <f>'План производства'!AC19</f>
        <v>3791.9115550994816</v>
      </c>
      <c r="AD21" s="570">
        <f>'План производства'!AD19</f>
        <v>1078.0477112664387</v>
      </c>
      <c r="AE21" s="570">
        <f>'План производства'!AE19</f>
        <v>4975.7340304910458</v>
      </c>
      <c r="AF21" s="570">
        <f>'План производства'!AF19</f>
        <v>8408.0884449005189</v>
      </c>
      <c r="AG21" s="570">
        <f>'План производства'!AG19</f>
        <v>3791.9115550994816</v>
      </c>
      <c r="AH21" s="570">
        <f>'План производства'!AH19</f>
        <v>440.97127779199542</v>
      </c>
      <c r="AI21" s="570">
        <f>'План производства'!AI19</f>
        <v>2035.3049038999982</v>
      </c>
      <c r="AJ21" s="570">
        <f>'План производства'!AJ19</f>
        <v>8408.0884449005189</v>
      </c>
      <c r="AK21" s="570">
        <f>'План производства'!AK19</f>
        <v>3791.9115550994816</v>
      </c>
      <c r="AL21" s="570">
        <f>'План производства'!AL19</f>
        <v>956.71781169134954</v>
      </c>
      <c r="AM21" s="570">
        <f>'План производства'!AM19</f>
        <v>4415.7353366274619</v>
      </c>
      <c r="AN21" s="570">
        <f>'План производства'!AN19</f>
        <v>8408.0884449005189</v>
      </c>
      <c r="AO21" s="570">
        <f>'План производства'!AO19</f>
        <v>3791.9115550994816</v>
      </c>
      <c r="AP21" s="570">
        <f>'План производства'!AP19</f>
        <v>452.80032162188581</v>
      </c>
      <c r="AQ21" s="570">
        <f>'План производства'!AQ19</f>
        <v>2089.901908575619</v>
      </c>
      <c r="AR21" s="570">
        <f>'План производства'!AR19</f>
        <v>8408.0884449005189</v>
      </c>
      <c r="AS21" s="570">
        <f>'План производства'!AS19</f>
        <v>3791.9115550994816</v>
      </c>
      <c r="AT21" s="570">
        <f>'План производства'!AT19</f>
        <v>908.563471766107</v>
      </c>
      <c r="AU21" s="570">
        <f>'План производства'!AU19</f>
        <v>4193.4787654406555</v>
      </c>
      <c r="AV21" s="570">
        <f>'План производства'!AV19</f>
        <v>8408.0884449005189</v>
      </c>
      <c r="AW21" s="570">
        <f>'План производства'!AW19</f>
        <v>3791.9115550994816</v>
      </c>
    </row>
    <row r="22" spans="2:49" outlineLevel="1">
      <c r="B22" s="582" t="s">
        <v>1</v>
      </c>
      <c r="C22" s="599" t="s">
        <v>733</v>
      </c>
      <c r="D22" s="570">
        <f>'План производства'!D20</f>
        <v>9.16</v>
      </c>
      <c r="E22" s="570">
        <f>'План производства'!E20</f>
        <v>815.57500000000005</v>
      </c>
      <c r="F22" s="570">
        <f>'План производства'!F20</f>
        <v>3597.2420000000002</v>
      </c>
      <c r="G22" s="570">
        <f>'План производства'!G20</f>
        <v>6807.715000000002</v>
      </c>
      <c r="H22" s="570">
        <f>'План производства'!H20</f>
        <v>806.36</v>
      </c>
      <c r="I22" s="570">
        <f>'План производства'!I20</f>
        <v>231.82000000000002</v>
      </c>
      <c r="J22" s="570">
        <f>'План производства'!J20</f>
        <v>2015.6399999999999</v>
      </c>
      <c r="K22" s="570">
        <f>'План производства'!K20</f>
        <v>4308.1130000000003</v>
      </c>
      <c r="L22" s="570">
        <f>'План производства'!L20</f>
        <v>1780</v>
      </c>
      <c r="M22" s="570">
        <f>'План производства'!M20</f>
        <v>1798</v>
      </c>
      <c r="N22" s="570">
        <f>'План производства'!N20</f>
        <v>3403.8426659405968</v>
      </c>
      <c r="O22" s="570">
        <f>'План производства'!O20</f>
        <v>4628.2327368116175</v>
      </c>
      <c r="P22" s="570">
        <f>'План производства'!P20</f>
        <v>0</v>
      </c>
      <c r="Q22" s="570">
        <f>'План производства'!Q20</f>
        <v>0</v>
      </c>
      <c r="R22" s="570">
        <f>'План производства'!R20</f>
        <v>3493.2882190843761</v>
      </c>
      <c r="S22" s="570">
        <f>'План производства'!S20</f>
        <v>4749.852587624513</v>
      </c>
      <c r="T22" s="570">
        <f>'План производства'!T20</f>
        <v>0</v>
      </c>
      <c r="U22" s="570">
        <f>'План производства'!U20</f>
        <v>0</v>
      </c>
      <c r="V22" s="570">
        <f>'План производства'!V20</f>
        <v>4127.0853357736996</v>
      </c>
      <c r="W22" s="570">
        <f>'План производства'!W20</f>
        <v>5611.6317154643584</v>
      </c>
      <c r="X22" s="570">
        <f>'План производства'!X20</f>
        <v>0</v>
      </c>
      <c r="Y22" s="570">
        <f>'План производства'!Y20</f>
        <v>0</v>
      </c>
      <c r="Z22" s="570">
        <f>'План производства'!Z20</f>
        <v>3701.8984473154896</v>
      </c>
      <c r="AA22" s="570">
        <f>'План производства'!AA20</f>
        <v>5033.5016226383514</v>
      </c>
      <c r="AB22" s="570">
        <f>'План производства'!AB20</f>
        <v>0</v>
      </c>
      <c r="AC22" s="570">
        <f>'План производства'!AC20</f>
        <v>0</v>
      </c>
      <c r="AD22" s="570">
        <f>'План производства'!AD20</f>
        <v>4543.1359075216169</v>
      </c>
      <c r="AE22" s="570">
        <f>'План производства'!AE20</f>
        <v>6177.3390836692852</v>
      </c>
      <c r="AF22" s="570">
        <f>'План производства'!AF20</f>
        <v>0</v>
      </c>
      <c r="AG22" s="570">
        <f>'План производства'!AG20</f>
        <v>0</v>
      </c>
      <c r="AH22" s="570">
        <f>'План производства'!AH20</f>
        <v>3652.7399227755591</v>
      </c>
      <c r="AI22" s="570">
        <f>'План производства'!AI20</f>
        <v>4966.6603744086269</v>
      </c>
      <c r="AJ22" s="570">
        <f>'План производства'!AJ20</f>
        <v>0</v>
      </c>
      <c r="AK22" s="570">
        <f>'План производства'!AK20</f>
        <v>0</v>
      </c>
      <c r="AL22" s="570">
        <f>'План производства'!AL20</f>
        <v>4373.561819178517</v>
      </c>
      <c r="AM22" s="570">
        <f>'План производства'!AM20</f>
        <v>5946.7678076118946</v>
      </c>
      <c r="AN22" s="570">
        <f>'План производства'!AN20</f>
        <v>0</v>
      </c>
      <c r="AO22" s="570">
        <f>'План производства'!AO20</f>
        <v>0</v>
      </c>
      <c r="AP22" s="570">
        <f>'План производства'!AP20</f>
        <v>3669.2725279326482</v>
      </c>
      <c r="AQ22" s="570">
        <f>'План производства'!AQ20</f>
        <v>4989.1398929769966</v>
      </c>
      <c r="AR22" s="570">
        <f>'План производства'!AR20</f>
        <v>0</v>
      </c>
      <c r="AS22" s="570">
        <f>'План производства'!AS20</f>
        <v>0</v>
      </c>
      <c r="AT22" s="570">
        <f>'План производства'!AT20</f>
        <v>4306.2599560665903</v>
      </c>
      <c r="AU22" s="570">
        <f>'План производства'!AU20</f>
        <v>5855.2569134040505</v>
      </c>
      <c r="AV22" s="570">
        <f>'План производства'!AV20</f>
        <v>0</v>
      </c>
      <c r="AW22" s="570">
        <f>'План производства'!AW20</f>
        <v>0</v>
      </c>
    </row>
    <row r="23" spans="2:49" outlineLevel="1">
      <c r="B23" s="583" t="s">
        <v>85</v>
      </c>
      <c r="C23" s="600" t="s">
        <v>733</v>
      </c>
      <c r="D23" s="567">
        <f>'План производства'!D21</f>
        <v>0</v>
      </c>
      <c r="E23" s="567">
        <f>'План производства'!E21</f>
        <v>30</v>
      </c>
      <c r="F23" s="567">
        <f>'План производства'!F21</f>
        <v>467.24199999999996</v>
      </c>
      <c r="G23" s="567">
        <f>'План производства'!G21</f>
        <v>32.302999999999997</v>
      </c>
      <c r="H23" s="567">
        <f>'План производства'!H21</f>
        <v>0</v>
      </c>
      <c r="I23" s="567">
        <f>'План производства'!I21</f>
        <v>0</v>
      </c>
      <c r="J23" s="567">
        <f>'План производства'!J21</f>
        <v>281.61</v>
      </c>
      <c r="K23" s="567">
        <f>'План производства'!K21</f>
        <v>0.21999999999999886</v>
      </c>
      <c r="L23" s="567">
        <f>'План производства'!L21</f>
        <v>0</v>
      </c>
      <c r="M23" s="567">
        <f>'План производства'!M21</f>
        <v>28.003651268932234</v>
      </c>
      <c r="N23" s="567">
        <f>'План производства'!N21</f>
        <v>265.02418791243929</v>
      </c>
      <c r="O23" s="567">
        <f>'План производства'!O21</f>
        <v>30.17216081862847</v>
      </c>
      <c r="P23" s="567">
        <f>'План производства'!P21</f>
        <v>0</v>
      </c>
      <c r="Q23" s="567">
        <f>'План производства'!Q21</f>
        <v>33.531599755806852</v>
      </c>
      <c r="R23" s="567">
        <f>'План производства'!R21</f>
        <v>11.206674612634087</v>
      </c>
      <c r="S23" s="567">
        <f>'План производства'!S21</f>
        <v>42.690993633535889</v>
      </c>
      <c r="T23" s="567">
        <f>'План производства'!T21</f>
        <v>0</v>
      </c>
      <c r="U23" s="567">
        <f>'План производства'!U21</f>
        <v>39.622740486642051</v>
      </c>
      <c r="V23" s="567">
        <f>'План производства'!V21</f>
        <v>14.760010465420505</v>
      </c>
      <c r="W23" s="567">
        <f>'План производства'!W21</f>
        <v>50.178021163405951</v>
      </c>
      <c r="X23" s="567">
        <f>'План производства'!X21</f>
        <v>0</v>
      </c>
      <c r="Y23" s="567">
        <f>'План производства'!Y21</f>
        <v>46.571666327509519</v>
      </c>
      <c r="Z23" s="567">
        <f>'План производства'!Z21</f>
        <v>17.083345446088547</v>
      </c>
      <c r="AA23" s="567">
        <f>'План производства'!AA21</f>
        <v>47.050646821128552</v>
      </c>
      <c r="AB23" s="567">
        <f>'План производства'!AB21</f>
        <v>0</v>
      </c>
      <c r="AC23" s="567">
        <f>'План производства'!AC21</f>
        <v>43.669060147097298</v>
      </c>
      <c r="AD23" s="567">
        <f>'План производства'!AD21</f>
        <v>9.5666734498095867</v>
      </c>
      <c r="AE23" s="567">
        <f>'План производства'!AE21</f>
        <v>50.551438995319664</v>
      </c>
      <c r="AF23" s="567">
        <f>'План производства'!AF21</f>
        <v>0</v>
      </c>
      <c r="AG23" s="567">
        <f>'План производства'!AG21</f>
        <v>46.918246169946798</v>
      </c>
      <c r="AH23" s="567">
        <f>'План производства'!AH21</f>
        <v>16.81001191895113</v>
      </c>
      <c r="AI23" s="567">
        <f>'План производства'!AI21</f>
        <v>56.15270647402545</v>
      </c>
      <c r="AJ23" s="567">
        <f>'План производства'!AJ21</f>
        <v>0</v>
      </c>
      <c r="AK23" s="567">
        <f>'План производства'!AK21</f>
        <v>52.116943806506001</v>
      </c>
      <c r="AL23" s="567">
        <f>'План производства'!AL21</f>
        <v>12.300008721183755</v>
      </c>
      <c r="AM23" s="567">
        <f>'План производства'!AM21</f>
        <v>47.5174191110207</v>
      </c>
      <c r="AN23" s="567">
        <f>'План производства'!AN21</f>
        <v>0</v>
      </c>
      <c r="AO23" s="567">
        <f>'План производства'!AO21</f>
        <v>44.102284950143897</v>
      </c>
      <c r="AP23" s="567">
        <f>'План производства'!AP21</f>
        <v>9.430006686240878</v>
      </c>
      <c r="AQ23" s="567">
        <f>'План производства'!AQ21</f>
        <v>58.719954068432266</v>
      </c>
      <c r="AR23" s="567">
        <f>'План производства'!AR21</f>
        <v>0</v>
      </c>
      <c r="AS23" s="567">
        <f>'План производства'!AS21</f>
        <v>54.499680223262303</v>
      </c>
      <c r="AT23" s="567">
        <f>'План производства'!AT21</f>
        <v>18.245012936422569</v>
      </c>
      <c r="AU23" s="567">
        <f>'План производства'!AU21</f>
        <v>44.996848745603103</v>
      </c>
      <c r="AV23" s="567">
        <f>'План производства'!AV21</f>
        <v>0</v>
      </c>
      <c r="AW23" s="567">
        <f>'План производства'!AW21</f>
        <v>0</v>
      </c>
    </row>
    <row r="24" spans="2:49" outlineLevel="1">
      <c r="B24" s="583" t="s">
        <v>84</v>
      </c>
      <c r="C24" s="600" t="s">
        <v>733</v>
      </c>
      <c r="D24" s="567">
        <f>'План производства'!D22</f>
        <v>0</v>
      </c>
      <c r="E24" s="567">
        <f>'План производства'!E22</f>
        <v>0</v>
      </c>
      <c r="F24" s="567">
        <f>'План производства'!F22</f>
        <v>114.65900000000001</v>
      </c>
      <c r="G24" s="567">
        <f>'План производства'!G22</f>
        <v>27.345999999999989</v>
      </c>
      <c r="H24" s="567">
        <f>'План производства'!H22</f>
        <v>0</v>
      </c>
      <c r="I24" s="567">
        <f>'План производства'!I22</f>
        <v>0</v>
      </c>
      <c r="J24" s="567">
        <f>'План производства'!J22</f>
        <v>91.88</v>
      </c>
      <c r="K24" s="567">
        <f>'План производства'!K22</f>
        <v>22.490000000000009</v>
      </c>
      <c r="L24" s="567">
        <f>'План производства'!L22</f>
        <v>0</v>
      </c>
      <c r="M24" s="567">
        <f>'План производства'!M22</f>
        <v>0</v>
      </c>
      <c r="N24" s="567">
        <f>'План производства'!N22</f>
        <v>255.95509313052352</v>
      </c>
      <c r="O24" s="567">
        <f>'План производства'!O22</f>
        <v>61.044906869476407</v>
      </c>
      <c r="P24" s="567">
        <f>'План производства'!P22</f>
        <v>0</v>
      </c>
      <c r="Q24" s="567">
        <f>'План производства'!Q22</f>
        <v>0</v>
      </c>
      <c r="R24" s="567">
        <f>'План производства'!R22</f>
        <v>403.42398338086684</v>
      </c>
      <c r="S24" s="567">
        <f>'План производства'!S22</f>
        <v>96.216016619133114</v>
      </c>
      <c r="T24" s="567">
        <f>'План производства'!T22</f>
        <v>0</v>
      </c>
      <c r="U24" s="567">
        <f>'План производства'!U22</f>
        <v>0</v>
      </c>
      <c r="V24" s="567">
        <f>'План производства'!V22</f>
        <v>511.74870039787328</v>
      </c>
      <c r="W24" s="567">
        <f>'План производства'!W22</f>
        <v>122.05129960212666</v>
      </c>
      <c r="X24" s="567">
        <f>'План производства'!X22</f>
        <v>0</v>
      </c>
      <c r="Y24" s="567">
        <f>'План производства'!Y22</f>
        <v>0</v>
      </c>
      <c r="Z24" s="567">
        <f>'План производства'!Z22</f>
        <v>659.3467793387556</v>
      </c>
      <c r="AA24" s="567">
        <f>'План производства'!AA22</f>
        <v>157.25322066124428</v>
      </c>
      <c r="AB24" s="567">
        <f>'План производства'!AB22</f>
        <v>0</v>
      </c>
      <c r="AC24" s="567">
        <f>'План производства'!AC22</f>
        <v>0</v>
      </c>
      <c r="AD24" s="567">
        <f>'План производства'!AD22</f>
        <v>673.88050702440046</v>
      </c>
      <c r="AE24" s="567">
        <f>'План производства'!AE22</f>
        <v>160.71949297559942</v>
      </c>
      <c r="AF24" s="567">
        <f>'План производства'!AF22</f>
        <v>0</v>
      </c>
      <c r="AG24" s="567">
        <f>'План производства'!AG22</f>
        <v>0</v>
      </c>
      <c r="AH24" s="567">
        <f>'План производства'!AH22</f>
        <v>492.12816802225274</v>
      </c>
      <c r="AI24" s="567">
        <f>'План производства'!AI22</f>
        <v>117.37183197774725</v>
      </c>
      <c r="AJ24" s="567">
        <f>'План производства'!AJ22</f>
        <v>0</v>
      </c>
      <c r="AK24" s="567">
        <f>'План производства'!AK22</f>
        <v>0</v>
      </c>
      <c r="AL24" s="567">
        <f>'План производства'!AL22</f>
        <v>742.59274180486602</v>
      </c>
      <c r="AM24" s="567">
        <f>'План производства'!AM22</f>
        <v>177.10725819513394</v>
      </c>
      <c r="AN24" s="567">
        <f>'План производства'!AN22</f>
        <v>0</v>
      </c>
      <c r="AO24" s="567">
        <f>'План производства'!AO22</f>
        <v>0</v>
      </c>
      <c r="AP24" s="567">
        <f>'План производства'!AP22</f>
        <v>605.24901517552189</v>
      </c>
      <c r="AQ24" s="567">
        <f>'План производства'!AQ22</f>
        <v>144.35098482447799</v>
      </c>
      <c r="AR24" s="567">
        <f>'План производства'!AR22</f>
        <v>0</v>
      </c>
      <c r="AS24" s="567">
        <f>'План производства'!AS22</f>
        <v>0</v>
      </c>
      <c r="AT24" s="567">
        <f>'План производства'!AT22</f>
        <v>604.0378712017183</v>
      </c>
      <c r="AU24" s="567">
        <f>'План производства'!AU22</f>
        <v>144.06212879828175</v>
      </c>
      <c r="AV24" s="567">
        <f>'План производства'!AV22</f>
        <v>0</v>
      </c>
      <c r="AW24" s="567">
        <f>'План производства'!AW22</f>
        <v>0</v>
      </c>
    </row>
    <row r="25" spans="2:49" outlineLevel="1">
      <c r="B25" s="583" t="s">
        <v>86</v>
      </c>
      <c r="C25" s="600" t="s">
        <v>733</v>
      </c>
      <c r="D25" s="567">
        <f>'План производства'!D23</f>
        <v>0</v>
      </c>
      <c r="E25" s="567">
        <f>'План производства'!E23</f>
        <v>25</v>
      </c>
      <c r="F25" s="567">
        <f>'План производства'!F23</f>
        <v>0</v>
      </c>
      <c r="G25" s="567">
        <f>'План производства'!G23</f>
        <v>0</v>
      </c>
      <c r="H25" s="567">
        <f>'План производства'!H23</f>
        <v>0</v>
      </c>
      <c r="I25" s="567">
        <f>'План производства'!I23</f>
        <v>4.54</v>
      </c>
      <c r="J25" s="567">
        <f>'План производства'!J23</f>
        <v>0</v>
      </c>
      <c r="K25" s="567">
        <f>'План производства'!K23</f>
        <v>0</v>
      </c>
      <c r="L25" s="567">
        <f>'План производства'!L23</f>
        <v>0</v>
      </c>
      <c r="M25" s="567">
        <f>'План производства'!M23</f>
        <v>21.299999999999997</v>
      </c>
      <c r="N25" s="567">
        <f>'План производства'!N23</f>
        <v>0</v>
      </c>
      <c r="O25" s="567">
        <f>'План производства'!O23</f>
        <v>0</v>
      </c>
      <c r="P25" s="567">
        <f>'План производства'!P23</f>
        <v>0</v>
      </c>
      <c r="Q25" s="567">
        <f>'План производства'!Q23</f>
        <v>21.299999999999997</v>
      </c>
      <c r="R25" s="567">
        <f>'План производства'!R23</f>
        <v>0</v>
      </c>
      <c r="S25" s="567">
        <f>'План производства'!S23</f>
        <v>0</v>
      </c>
      <c r="T25" s="567">
        <f>'План производства'!T23</f>
        <v>0</v>
      </c>
      <c r="U25" s="567">
        <f>'План производства'!U23</f>
        <v>25.999999999999996</v>
      </c>
      <c r="V25" s="567">
        <f>'План производства'!V23</f>
        <v>0</v>
      </c>
      <c r="W25" s="567">
        <f>'План производства'!W23</f>
        <v>0</v>
      </c>
      <c r="X25" s="567">
        <f>'План производства'!X23</f>
        <v>0</v>
      </c>
      <c r="Y25" s="567">
        <f>'План производства'!Y23</f>
        <v>44.8</v>
      </c>
      <c r="Z25" s="567">
        <f>'План производства'!Z23</f>
        <v>0</v>
      </c>
      <c r="AA25" s="567">
        <f>'План производства'!AA23</f>
        <v>0</v>
      </c>
      <c r="AB25" s="567">
        <f>'План производства'!AB23</f>
        <v>0</v>
      </c>
      <c r="AC25" s="567">
        <f>'План производства'!AC23</f>
        <v>70.8</v>
      </c>
      <c r="AD25" s="567">
        <f>'План производства'!AD23</f>
        <v>0</v>
      </c>
      <c r="AE25" s="567">
        <f>'План производства'!AE23</f>
        <v>0</v>
      </c>
      <c r="AF25" s="567">
        <f>'План производства'!AF23</f>
        <v>0</v>
      </c>
      <c r="AG25" s="567">
        <f>'План производства'!AG23</f>
        <v>81.2</v>
      </c>
      <c r="AH25" s="567">
        <f>'План производства'!AH23</f>
        <v>0</v>
      </c>
      <c r="AI25" s="567">
        <f>'План производства'!AI23</f>
        <v>0</v>
      </c>
      <c r="AJ25" s="567">
        <f>'План производства'!AJ23</f>
        <v>0</v>
      </c>
      <c r="AK25" s="567">
        <f>'План производства'!AK23</f>
        <v>73.8</v>
      </c>
      <c r="AL25" s="567">
        <f>'План производства'!AL23</f>
        <v>0</v>
      </c>
      <c r="AM25" s="567">
        <f>'План производства'!AM23</f>
        <v>0</v>
      </c>
      <c r="AN25" s="567">
        <f>'План производства'!AN23</f>
        <v>0</v>
      </c>
      <c r="AO25" s="567">
        <f>'План производства'!AO23</f>
        <v>96.8</v>
      </c>
      <c r="AP25" s="567">
        <f>'План производства'!AP23</f>
        <v>0</v>
      </c>
      <c r="AQ25" s="567">
        <f>'План производства'!AQ23</f>
        <v>0</v>
      </c>
      <c r="AR25" s="567">
        <f>'План производства'!AR23</f>
        <v>0</v>
      </c>
      <c r="AS25" s="567">
        <f>'План производства'!AS23</f>
        <v>70.8</v>
      </c>
      <c r="AT25" s="567">
        <f>'План производства'!AT23</f>
        <v>0</v>
      </c>
      <c r="AU25" s="567">
        <f>'План производства'!AU23</f>
        <v>0</v>
      </c>
      <c r="AV25" s="567">
        <f>'План производства'!AV23</f>
        <v>0</v>
      </c>
      <c r="AW25" s="567">
        <f>'План производства'!AW23</f>
        <v>96.8</v>
      </c>
    </row>
    <row r="26" spans="2:49" outlineLevel="1">
      <c r="B26" s="583" t="s">
        <v>87</v>
      </c>
      <c r="C26" s="600" t="s">
        <v>733</v>
      </c>
      <c r="D26" s="567">
        <f>'План производства'!D24</f>
        <v>0</v>
      </c>
      <c r="E26" s="567">
        <f>'План производства'!E24</f>
        <v>0</v>
      </c>
      <c r="F26" s="567">
        <f>'План производства'!F24</f>
        <v>2161.6880000000001</v>
      </c>
      <c r="G26" s="567">
        <f>'План производства'!G24</f>
        <v>186.4</v>
      </c>
      <c r="H26" s="567">
        <f>'План производства'!H24</f>
        <v>1.02</v>
      </c>
      <c r="I26" s="567">
        <f>'План производства'!I24</f>
        <v>0</v>
      </c>
      <c r="J26" s="567">
        <f>'План производства'!J24</f>
        <v>1314.12</v>
      </c>
      <c r="K26" s="567">
        <f>'План производства'!K24</f>
        <v>209.02</v>
      </c>
      <c r="L26" s="567">
        <f>'План производства'!L24</f>
        <v>0</v>
      </c>
      <c r="M26" s="567">
        <f>'План производства'!M24</f>
        <v>0</v>
      </c>
      <c r="N26" s="567">
        <f>'План производства'!N24</f>
        <v>1314.12</v>
      </c>
      <c r="O26" s="567">
        <f>'План производства'!O24</f>
        <v>209.02</v>
      </c>
      <c r="P26" s="567">
        <f>'План производства'!P24</f>
        <v>0</v>
      </c>
      <c r="Q26" s="567">
        <f>'План производства'!Q24</f>
        <v>0</v>
      </c>
      <c r="R26" s="567">
        <f>'План производства'!R24</f>
        <v>1314.12</v>
      </c>
      <c r="S26" s="567">
        <f>'План производства'!S24</f>
        <v>209.02</v>
      </c>
      <c r="T26" s="567">
        <f>'План производства'!T24</f>
        <v>0</v>
      </c>
      <c r="U26" s="567">
        <f>'План производства'!U24</f>
        <v>0</v>
      </c>
      <c r="V26" s="567">
        <f>'План производства'!V24</f>
        <v>1314.12</v>
      </c>
      <c r="W26" s="567">
        <f>'План производства'!W24</f>
        <v>209.02</v>
      </c>
      <c r="X26" s="567">
        <f>'План производства'!X24</f>
        <v>0</v>
      </c>
      <c r="Y26" s="567">
        <f>'План производства'!Y24</f>
        <v>0</v>
      </c>
      <c r="Z26" s="567">
        <f>'План производства'!Z24</f>
        <v>1314.12</v>
      </c>
      <c r="AA26" s="567">
        <f>'План производства'!AA24</f>
        <v>209.02</v>
      </c>
      <c r="AB26" s="567">
        <f>'План производства'!AB24</f>
        <v>0</v>
      </c>
      <c r="AC26" s="567">
        <f>'План производства'!AC24</f>
        <v>0</v>
      </c>
      <c r="AD26" s="567">
        <f>'План производства'!AD24</f>
        <v>1314.12</v>
      </c>
      <c r="AE26" s="567">
        <f>'План производства'!AE24</f>
        <v>209.02</v>
      </c>
      <c r="AF26" s="567">
        <f>'План производства'!AF24</f>
        <v>0</v>
      </c>
      <c r="AG26" s="567">
        <f>'План производства'!AG24</f>
        <v>0</v>
      </c>
      <c r="AH26" s="567">
        <f>'План производства'!AH24</f>
        <v>1314.12</v>
      </c>
      <c r="AI26" s="567">
        <f>'План производства'!AI24</f>
        <v>209.02</v>
      </c>
      <c r="AJ26" s="567">
        <f>'План производства'!AJ24</f>
        <v>0</v>
      </c>
      <c r="AK26" s="567">
        <f>'План производства'!AK24</f>
        <v>0</v>
      </c>
      <c r="AL26" s="567">
        <f>'План производства'!AL24</f>
        <v>1314.12</v>
      </c>
      <c r="AM26" s="567">
        <f>'План производства'!AM24</f>
        <v>209.02</v>
      </c>
      <c r="AN26" s="567">
        <f>'План производства'!AN24</f>
        <v>0</v>
      </c>
      <c r="AO26" s="567">
        <f>'План производства'!AO24</f>
        <v>0</v>
      </c>
      <c r="AP26" s="567">
        <f>'План производства'!AP24</f>
        <v>1314.12</v>
      </c>
      <c r="AQ26" s="567">
        <f>'План производства'!AQ24</f>
        <v>209.02</v>
      </c>
      <c r="AR26" s="567">
        <f>'План производства'!AR24</f>
        <v>0</v>
      </c>
      <c r="AS26" s="567">
        <f>'План производства'!AS24</f>
        <v>0</v>
      </c>
      <c r="AT26" s="567">
        <f>'План производства'!AT24</f>
        <v>1314.12</v>
      </c>
      <c r="AU26" s="567">
        <f>'План производства'!AU24</f>
        <v>209.02</v>
      </c>
      <c r="AV26" s="567">
        <f>'План производства'!AV24</f>
        <v>0</v>
      </c>
      <c r="AW26" s="567">
        <f>'План производства'!AW24</f>
        <v>0</v>
      </c>
    </row>
    <row r="27" spans="2:49" outlineLevel="1">
      <c r="B27" s="583" t="s">
        <v>699</v>
      </c>
      <c r="C27" s="600" t="s">
        <v>733</v>
      </c>
      <c r="D27" s="567">
        <f>'План производства'!D25</f>
        <v>0</v>
      </c>
      <c r="E27" s="567">
        <f>'План производства'!E25</f>
        <v>3</v>
      </c>
      <c r="F27" s="567">
        <f>'План производства'!F25</f>
        <v>0</v>
      </c>
      <c r="G27" s="567">
        <f>'План производства'!G25</f>
        <v>95.88</v>
      </c>
      <c r="H27" s="567">
        <f>'План производства'!H25</f>
        <v>0</v>
      </c>
      <c r="I27" s="567">
        <f>'План производства'!I25</f>
        <v>0</v>
      </c>
      <c r="J27" s="567">
        <f>'План производства'!J25</f>
        <v>168.62</v>
      </c>
      <c r="K27" s="567">
        <f>'План производства'!K25</f>
        <v>0</v>
      </c>
      <c r="L27" s="567">
        <f>'План производства'!L25</f>
        <v>0</v>
      </c>
      <c r="M27" s="567">
        <f>'План производства'!M25</f>
        <v>0</v>
      </c>
      <c r="N27" s="567">
        <f>'План производства'!N25</f>
        <v>0</v>
      </c>
      <c r="O27" s="567">
        <f>'План производства'!O25</f>
        <v>0</v>
      </c>
      <c r="P27" s="567">
        <f>'План производства'!P25</f>
        <v>0</v>
      </c>
      <c r="Q27" s="567">
        <f>'План производства'!Q25</f>
        <v>0</v>
      </c>
      <c r="R27" s="567">
        <f>'План производства'!R25</f>
        <v>0</v>
      </c>
      <c r="S27" s="567">
        <f>'План производства'!S25</f>
        <v>0</v>
      </c>
      <c r="T27" s="567">
        <f>'План производства'!T25</f>
        <v>0</v>
      </c>
      <c r="U27" s="567">
        <f>'План производства'!U25</f>
        <v>0</v>
      </c>
      <c r="V27" s="567">
        <f>'План производства'!V25</f>
        <v>0</v>
      </c>
      <c r="W27" s="567">
        <f>'План производства'!W25</f>
        <v>0</v>
      </c>
      <c r="X27" s="567">
        <f>'План производства'!X25</f>
        <v>0</v>
      </c>
      <c r="Y27" s="567">
        <f>'План производства'!Y25</f>
        <v>0</v>
      </c>
      <c r="Z27" s="567">
        <f>'План производства'!Z25</f>
        <v>0</v>
      </c>
      <c r="AA27" s="567">
        <f>'План производства'!AA25</f>
        <v>0</v>
      </c>
      <c r="AB27" s="567">
        <f>'План производства'!AB25</f>
        <v>0</v>
      </c>
      <c r="AC27" s="567">
        <f>'План производства'!AC25</f>
        <v>0</v>
      </c>
      <c r="AD27" s="567">
        <f>'План производства'!AD25</f>
        <v>0</v>
      </c>
      <c r="AE27" s="567">
        <f>'План производства'!AE25</f>
        <v>0</v>
      </c>
      <c r="AF27" s="567">
        <f>'План производства'!AF25</f>
        <v>0</v>
      </c>
      <c r="AG27" s="567">
        <f>'План производства'!AG25</f>
        <v>0</v>
      </c>
      <c r="AH27" s="567">
        <f>'План производства'!AH25</f>
        <v>0</v>
      </c>
      <c r="AI27" s="567">
        <f>'План производства'!AI25</f>
        <v>0</v>
      </c>
      <c r="AJ27" s="567">
        <f>'План производства'!AJ25</f>
        <v>0</v>
      </c>
      <c r="AK27" s="567">
        <f>'План производства'!AK25</f>
        <v>0</v>
      </c>
      <c r="AL27" s="567">
        <f>'План производства'!AL25</f>
        <v>0</v>
      </c>
      <c r="AM27" s="567">
        <f>'План производства'!AM25</f>
        <v>0</v>
      </c>
      <c r="AN27" s="567">
        <f>'План производства'!AN25</f>
        <v>0</v>
      </c>
      <c r="AO27" s="567">
        <f>'План производства'!AO25</f>
        <v>0</v>
      </c>
      <c r="AP27" s="567">
        <f>'План производства'!AP25</f>
        <v>0</v>
      </c>
      <c r="AQ27" s="567">
        <f>'План производства'!AQ25</f>
        <v>0</v>
      </c>
      <c r="AR27" s="567">
        <f>'План производства'!AR25</f>
        <v>0</v>
      </c>
      <c r="AS27" s="567">
        <f>'План производства'!AS25</f>
        <v>0</v>
      </c>
      <c r="AT27" s="567">
        <f>'План производства'!AT25</f>
        <v>0</v>
      </c>
      <c r="AU27" s="567">
        <f>'План производства'!AU25</f>
        <v>0</v>
      </c>
      <c r="AV27" s="567">
        <f>'План производства'!AV25</f>
        <v>0</v>
      </c>
      <c r="AW27" s="567">
        <f>'План производства'!AW25</f>
        <v>0</v>
      </c>
    </row>
    <row r="28" spans="2:49" outlineLevel="1">
      <c r="B28" s="583" t="s">
        <v>151</v>
      </c>
      <c r="C28" s="600" t="s">
        <v>733</v>
      </c>
      <c r="D28" s="567">
        <f>'План производства'!D26</f>
        <v>0</v>
      </c>
      <c r="E28" s="567">
        <f>'План производства'!E26</f>
        <v>73</v>
      </c>
      <c r="F28" s="567">
        <f>'План производства'!F26</f>
        <v>0</v>
      </c>
      <c r="G28" s="567">
        <f>'План производства'!G26</f>
        <v>0</v>
      </c>
      <c r="H28" s="567">
        <f>'План производства'!H26</f>
        <v>0</v>
      </c>
      <c r="I28" s="567">
        <f>'План производства'!I26</f>
        <v>38.28</v>
      </c>
      <c r="J28" s="567">
        <f>'План производства'!J26</f>
        <v>0</v>
      </c>
      <c r="K28" s="567">
        <f>'План производства'!K26</f>
        <v>0</v>
      </c>
      <c r="L28" s="567">
        <f>'План производства'!L26</f>
        <v>0</v>
      </c>
      <c r="M28" s="567">
        <f>'План производства'!M26</f>
        <v>0</v>
      </c>
      <c r="N28" s="567">
        <f>'План производства'!N26</f>
        <v>0</v>
      </c>
      <c r="O28" s="567">
        <f>'План производства'!O26</f>
        <v>0</v>
      </c>
      <c r="P28" s="567">
        <f>'План производства'!P26</f>
        <v>0</v>
      </c>
      <c r="Q28" s="567">
        <f>'План производства'!Q26</f>
        <v>0</v>
      </c>
      <c r="R28" s="567">
        <f>'План производства'!R26</f>
        <v>0</v>
      </c>
      <c r="S28" s="567">
        <f>'План производства'!S26</f>
        <v>0</v>
      </c>
      <c r="T28" s="567">
        <f>'План производства'!T26</f>
        <v>0</v>
      </c>
      <c r="U28" s="567">
        <f>'План производства'!U26</f>
        <v>0</v>
      </c>
      <c r="V28" s="567">
        <f>'План производства'!V26</f>
        <v>0</v>
      </c>
      <c r="W28" s="567">
        <f>'План производства'!W26</f>
        <v>0</v>
      </c>
      <c r="X28" s="567">
        <f>'План производства'!X26</f>
        <v>0</v>
      </c>
      <c r="Y28" s="567">
        <f>'План производства'!Y26</f>
        <v>0</v>
      </c>
      <c r="Z28" s="567">
        <f>'План производства'!Z26</f>
        <v>0</v>
      </c>
      <c r="AA28" s="567">
        <f>'План производства'!AA26</f>
        <v>0</v>
      </c>
      <c r="AB28" s="567">
        <f>'План производства'!AB26</f>
        <v>0</v>
      </c>
      <c r="AC28" s="567">
        <f>'План производства'!AC26</f>
        <v>0</v>
      </c>
      <c r="AD28" s="567">
        <f>'План производства'!AD26</f>
        <v>0</v>
      </c>
      <c r="AE28" s="567">
        <f>'План производства'!AE26</f>
        <v>0</v>
      </c>
      <c r="AF28" s="567">
        <f>'План производства'!AF26</f>
        <v>0</v>
      </c>
      <c r="AG28" s="567">
        <f>'План производства'!AG26</f>
        <v>0</v>
      </c>
      <c r="AH28" s="567">
        <f>'План производства'!AH26</f>
        <v>0</v>
      </c>
      <c r="AI28" s="567">
        <f>'План производства'!AI26</f>
        <v>0</v>
      </c>
      <c r="AJ28" s="567">
        <f>'План производства'!AJ26</f>
        <v>0</v>
      </c>
      <c r="AK28" s="567">
        <f>'План производства'!AK26</f>
        <v>0</v>
      </c>
      <c r="AL28" s="567">
        <f>'План производства'!AL26</f>
        <v>0</v>
      </c>
      <c r="AM28" s="567">
        <f>'План производства'!AM26</f>
        <v>0</v>
      </c>
      <c r="AN28" s="567">
        <f>'План производства'!AN26</f>
        <v>0</v>
      </c>
      <c r="AO28" s="567">
        <f>'План производства'!AO26</f>
        <v>0</v>
      </c>
      <c r="AP28" s="567">
        <f>'План производства'!AP26</f>
        <v>0</v>
      </c>
      <c r="AQ28" s="567">
        <f>'План производства'!AQ26</f>
        <v>0</v>
      </c>
      <c r="AR28" s="567">
        <f>'План производства'!AR26</f>
        <v>0</v>
      </c>
      <c r="AS28" s="567">
        <f>'План производства'!AS26</f>
        <v>0</v>
      </c>
      <c r="AT28" s="567">
        <f>'План производства'!AT26</f>
        <v>0</v>
      </c>
      <c r="AU28" s="567">
        <f>'План производства'!AU26</f>
        <v>0</v>
      </c>
      <c r="AV28" s="567">
        <f>'План производства'!AV26</f>
        <v>0</v>
      </c>
      <c r="AW28" s="567">
        <f>'План производства'!AW26</f>
        <v>0</v>
      </c>
    </row>
    <row r="29" spans="2:49">
      <c r="B29" s="573"/>
      <c r="C29" s="598"/>
      <c r="D29" s="573"/>
      <c r="E29" s="573"/>
      <c r="F29" s="573"/>
      <c r="G29" s="573"/>
      <c r="H29" s="573"/>
      <c r="I29" s="573"/>
      <c r="J29" s="573"/>
      <c r="K29" s="573"/>
      <c r="M29" s="572"/>
    </row>
    <row r="30" spans="2:49">
      <c r="B30" s="593" t="s">
        <v>735</v>
      </c>
      <c r="C30" s="601"/>
      <c r="D30" s="592"/>
      <c r="E30" s="592"/>
      <c r="F30" s="592"/>
      <c r="G30" s="592"/>
      <c r="H30" s="592"/>
      <c r="I30" s="592"/>
      <c r="J30" s="592"/>
      <c r="K30" s="592"/>
      <c r="L30" s="592"/>
      <c r="M30" s="592"/>
      <c r="N30" s="592"/>
      <c r="O30" s="592"/>
      <c r="P30" s="592"/>
      <c r="Q30" s="592"/>
      <c r="R30" s="592"/>
      <c r="S30" s="592"/>
      <c r="T30" s="592"/>
      <c r="U30" s="592"/>
      <c r="V30" s="592"/>
      <c r="W30" s="592"/>
      <c r="X30" s="592"/>
      <c r="Y30" s="592"/>
      <c r="Z30" s="592"/>
      <c r="AA30" s="592"/>
      <c r="AB30" s="592"/>
      <c r="AC30" s="592"/>
      <c r="AD30" s="592"/>
      <c r="AE30" s="592"/>
      <c r="AF30" s="592"/>
      <c r="AG30" s="592"/>
      <c r="AH30" s="592"/>
      <c r="AI30" s="592"/>
      <c r="AJ30" s="592"/>
      <c r="AK30" s="592"/>
      <c r="AL30" s="592"/>
      <c r="AM30" s="592"/>
      <c r="AN30" s="592"/>
      <c r="AO30" s="592"/>
      <c r="AP30" s="592"/>
      <c r="AQ30" s="592"/>
      <c r="AR30" s="592"/>
      <c r="AS30" s="592"/>
      <c r="AT30" s="592"/>
      <c r="AU30" s="592"/>
      <c r="AV30" s="592"/>
      <c r="AW30" s="592"/>
    </row>
    <row r="31" spans="2:49">
      <c r="B31" s="582" t="s">
        <v>0</v>
      </c>
      <c r="C31" s="599" t="s">
        <v>734</v>
      </c>
      <c r="D31" s="570">
        <f>'План производства'!D32</f>
        <v>34.927821315895365</v>
      </c>
      <c r="E31" s="570">
        <f>'План производства'!E32</f>
        <v>29.139235202739492</v>
      </c>
      <c r="F31" s="570">
        <f>'План производства'!F32</f>
        <v>35.786274324821434</v>
      </c>
      <c r="G31" s="570">
        <f>'План производства'!G32</f>
        <v>36.800154226911012</v>
      </c>
      <c r="H31" s="570">
        <f>'План производства'!H32</f>
        <v>46.020665796849912</v>
      </c>
      <c r="I31" s="570">
        <f>'План производства'!I32</f>
        <v>54.128023586570635</v>
      </c>
      <c r="J31" s="570">
        <f>'План производства'!J32</f>
        <v>42.629621498199754</v>
      </c>
      <c r="K31" s="570">
        <f>'План производства'!K32</f>
        <v>44.794114048934439</v>
      </c>
      <c r="L31" s="570">
        <f>'План производства'!L32</f>
        <v>46.563713843949166</v>
      </c>
      <c r="M31" s="570">
        <f>'План производства'!M32</f>
        <v>52.853182817398107</v>
      </c>
      <c r="N31" s="570">
        <f>'План производства'!N32</f>
        <v>44.983883125777893</v>
      </c>
      <c r="O31" s="570">
        <f>'План производства'!O32</f>
        <v>44.983883125777893</v>
      </c>
      <c r="P31" s="570">
        <f>'План производства'!P32</f>
        <v>51.154964177096232</v>
      </c>
      <c r="Q31" s="570">
        <f>'План производства'!Q32</f>
        <v>51.154964177096232</v>
      </c>
      <c r="R31" s="570">
        <f>'План производства'!R32</f>
        <v>46.436862550740521</v>
      </c>
      <c r="S31" s="570">
        <f>'План производства'!S32</f>
        <v>46.436862550740521</v>
      </c>
      <c r="T31" s="570">
        <f>'План производства'!T32</f>
        <v>52.80726952001644</v>
      </c>
      <c r="U31" s="570">
        <f>'План производства'!U32</f>
        <v>52.80726952001644</v>
      </c>
      <c r="V31" s="570">
        <f>'План производства'!V32</f>
        <v>48.187532268903439</v>
      </c>
      <c r="W31" s="570">
        <f>'План производства'!W32</f>
        <v>48.187532268903439</v>
      </c>
      <c r="X31" s="570">
        <f>'План производства'!X32</f>
        <v>54.798103580921065</v>
      </c>
      <c r="Y31" s="570">
        <f>'План производства'!Y32</f>
        <v>54.798103580921065</v>
      </c>
      <c r="Z31" s="570">
        <f>'План производства'!Z32</f>
        <v>50.187314858062933</v>
      </c>
      <c r="AA31" s="570">
        <f>'План производства'!AA32</f>
        <v>50.187314858062933</v>
      </c>
      <c r="AB31" s="570">
        <f>'План производства'!AB32</f>
        <v>57.072224879529294</v>
      </c>
      <c r="AC31" s="570">
        <f>'План производства'!AC32</f>
        <v>57.072224879529294</v>
      </c>
      <c r="AD31" s="570">
        <f>'План производства'!AD32</f>
        <v>51.692934303804826</v>
      </c>
      <c r="AE31" s="570">
        <f>'План производства'!AE32</f>
        <v>51.692934303804826</v>
      </c>
      <c r="AF31" s="570">
        <f>'План производства'!AF32</f>
        <v>58.784391625915177</v>
      </c>
      <c r="AG31" s="570">
        <f>'План производства'!AG32</f>
        <v>58.784391625915177</v>
      </c>
      <c r="AH31" s="570">
        <f>'План производства'!AH32</f>
        <v>53.243722332918971</v>
      </c>
      <c r="AI31" s="570">
        <f>'План производства'!AI32</f>
        <v>53.243722332918971</v>
      </c>
      <c r="AJ31" s="570">
        <f>'План производства'!AJ32</f>
        <v>60.547923374692637</v>
      </c>
      <c r="AK31" s="570">
        <f>'План производства'!AK32</f>
        <v>60.547923374692637</v>
      </c>
      <c r="AL31" s="570">
        <f>'План производства'!AL32</f>
        <v>54.84103400290654</v>
      </c>
      <c r="AM31" s="570">
        <f>'План производства'!AM32</f>
        <v>54.84103400290654</v>
      </c>
      <c r="AN31" s="570">
        <f>'План производства'!AN32</f>
        <v>62.364361075933417</v>
      </c>
      <c r="AO31" s="570">
        <f>'План производства'!AO32</f>
        <v>62.364361075933417</v>
      </c>
      <c r="AP31" s="570">
        <f>'План производства'!AP32</f>
        <v>56.486265022993734</v>
      </c>
      <c r="AQ31" s="570">
        <f>'План производства'!AQ32</f>
        <v>56.486265022993734</v>
      </c>
      <c r="AR31" s="570">
        <f>'План производства'!AR32</f>
        <v>64.235291908211423</v>
      </c>
      <c r="AS31" s="570">
        <f>'План производства'!AS32</f>
        <v>64.235291908211423</v>
      </c>
      <c r="AT31" s="570">
        <f>'План производства'!AT32</f>
        <v>58.18085297368355</v>
      </c>
      <c r="AU31" s="570">
        <f>'План производства'!AU32</f>
        <v>58.18085297368355</v>
      </c>
      <c r="AV31" s="570">
        <f>'План производства'!AV32</f>
        <v>66.162350665457765</v>
      </c>
      <c r="AW31" s="570">
        <f>'План производства'!AW32</f>
        <v>66.162350665457765</v>
      </c>
    </row>
    <row r="32" spans="2:49">
      <c r="B32" s="582" t="s">
        <v>1</v>
      </c>
      <c r="C32" s="599" t="s">
        <v>734</v>
      </c>
      <c r="D32" s="570">
        <f>'План производства'!D33</f>
        <v>3.7718340611353716</v>
      </c>
      <c r="E32" s="570">
        <f>'План производства'!E33</f>
        <v>6.029874628329706</v>
      </c>
      <c r="F32" s="570">
        <f>'План производства'!F33</f>
        <v>7.5243069551617587</v>
      </c>
      <c r="G32" s="570">
        <f>'План производства'!G33</f>
        <v>7.167728231866346</v>
      </c>
      <c r="H32" s="570">
        <f>'План производства'!H33</f>
        <v>4.6758321345304825</v>
      </c>
      <c r="I32" s="570">
        <f>'План производства'!I33</f>
        <v>5.318997498058839</v>
      </c>
      <c r="J32" s="570">
        <f>'План производства'!J33</f>
        <v>7.800048619793218</v>
      </c>
      <c r="K32" s="570">
        <f>'План производства'!K33</f>
        <v>8.2901230260209058</v>
      </c>
      <c r="L32" s="570">
        <f>'План производства'!L33</f>
        <v>11.821348314606741</v>
      </c>
      <c r="M32" s="570">
        <f>'План производства'!M33</f>
        <v>8.4339078897746322</v>
      </c>
      <c r="N32" s="570">
        <f>'План производства'!N33</f>
        <v>9.3507699501590462</v>
      </c>
      <c r="O32" s="570">
        <f>'План производства'!O33</f>
        <v>9.3507699501590462</v>
      </c>
      <c r="P32" s="570">
        <f>'План производства'!P33</f>
        <v>9.3507699501590462</v>
      </c>
      <c r="Q32" s="570">
        <f>'План производства'!Q33</f>
        <v>9.3507699501590462</v>
      </c>
      <c r="R32" s="570">
        <f>'План производства'!R33</f>
        <v>9.652799819549184</v>
      </c>
      <c r="S32" s="570">
        <f>'План производства'!S33</f>
        <v>9.652799819549184</v>
      </c>
      <c r="T32" s="570">
        <f>'План производства'!T33</f>
        <v>9.652799819549184</v>
      </c>
      <c r="U32" s="570">
        <f>'План производства'!U33</f>
        <v>9.652799819549184</v>
      </c>
      <c r="V32" s="570">
        <f>'План производства'!V33</f>
        <v>10.016710372746189</v>
      </c>
      <c r="W32" s="570">
        <f>'План производства'!W33</f>
        <v>10.016710372746189</v>
      </c>
      <c r="X32" s="570">
        <f>'План производства'!X33</f>
        <v>10.016710372746189</v>
      </c>
      <c r="Y32" s="570">
        <f>'План производства'!Y33</f>
        <v>10.016710372746189</v>
      </c>
      <c r="Z32" s="570">
        <f>'План производства'!Z33</f>
        <v>10.432403853215156</v>
      </c>
      <c r="AA32" s="570">
        <f>'План производства'!AA33</f>
        <v>10.432403853215156</v>
      </c>
      <c r="AB32" s="570">
        <f>'План производства'!AB33</f>
        <v>10.432403853215156</v>
      </c>
      <c r="AC32" s="570">
        <f>'План производства'!AC33</f>
        <v>10.432403853215156</v>
      </c>
      <c r="AD32" s="570">
        <f>'План производства'!AD33</f>
        <v>10.745375968811612</v>
      </c>
      <c r="AE32" s="570">
        <f>'План производства'!AE33</f>
        <v>10.745375968811612</v>
      </c>
      <c r="AF32" s="570">
        <f>'План производства'!AF33</f>
        <v>10.745375968811612</v>
      </c>
      <c r="AG32" s="570">
        <f>'План производства'!AG33</f>
        <v>10.745375968811612</v>
      </c>
      <c r="AH32" s="570">
        <f>'План производства'!AH33</f>
        <v>11.067737247875961</v>
      </c>
      <c r="AI32" s="570">
        <f>'План производства'!AI33</f>
        <v>11.067737247875961</v>
      </c>
      <c r="AJ32" s="570">
        <f>'План производства'!AJ33</f>
        <v>11.067737247875961</v>
      </c>
      <c r="AK32" s="570">
        <f>'План производства'!AK33</f>
        <v>11.067737247875961</v>
      </c>
      <c r="AL32" s="570">
        <f>'План производства'!AL33</f>
        <v>11.39976936531224</v>
      </c>
      <c r="AM32" s="570">
        <f>'План производства'!AM33</f>
        <v>11.39976936531224</v>
      </c>
      <c r="AN32" s="570">
        <f>'План производства'!AN33</f>
        <v>11.39976936531224</v>
      </c>
      <c r="AO32" s="570">
        <f>'План производства'!AO33</f>
        <v>11.39976936531224</v>
      </c>
      <c r="AP32" s="570">
        <f>'План производства'!AP33</f>
        <v>11.741762446271608</v>
      </c>
      <c r="AQ32" s="570">
        <f>'План производства'!AQ33</f>
        <v>11.741762446271608</v>
      </c>
      <c r="AR32" s="570">
        <f>'План производства'!AR33</f>
        <v>11.741762446271608</v>
      </c>
      <c r="AS32" s="570">
        <f>'План производства'!AS33</f>
        <v>11.741762446271608</v>
      </c>
      <c r="AT32" s="570">
        <f>'План производства'!AT33</f>
        <v>12.094015319659757</v>
      </c>
      <c r="AU32" s="570">
        <f>'План производства'!AU33</f>
        <v>12.094015319659757</v>
      </c>
      <c r="AV32" s="570">
        <f>'План производства'!AV33</f>
        <v>12.094015319659757</v>
      </c>
      <c r="AW32" s="570">
        <f>'План производства'!AW33</f>
        <v>12.094015319659757</v>
      </c>
    </row>
    <row r="33" spans="2:49">
      <c r="B33" s="583" t="s">
        <v>85</v>
      </c>
      <c r="C33" s="600" t="s">
        <v>734</v>
      </c>
      <c r="D33" s="567">
        <f>'План производства'!D34</f>
        <v>0</v>
      </c>
      <c r="E33" s="567">
        <f>'План производства'!E34</f>
        <v>20.83331655762456</v>
      </c>
      <c r="F33" s="567">
        <f>'План производства'!F34</f>
        <v>22.028606161261187</v>
      </c>
      <c r="G33" s="567">
        <f>'План производства'!G34</f>
        <v>8.9538432962882695</v>
      </c>
      <c r="H33" s="567">
        <f>'План производства'!H34</f>
        <v>0</v>
      </c>
      <c r="I33" s="567">
        <f>'План производства'!I34</f>
        <v>0</v>
      </c>
      <c r="J33" s="567">
        <f>'План производства'!J34</f>
        <v>25.487873299953833</v>
      </c>
      <c r="K33" s="567">
        <f>'План производства'!K34</f>
        <v>0</v>
      </c>
      <c r="L33" s="567">
        <f>'План производства'!L34</f>
        <v>0</v>
      </c>
      <c r="M33" s="567">
        <f>'План производства'!M34</f>
        <v>0</v>
      </c>
      <c r="N33" s="567">
        <f>'План производства'!N34</f>
        <v>26.311131607542343</v>
      </c>
      <c r="O33" s="567">
        <f>'План производства'!O34</f>
        <v>0</v>
      </c>
      <c r="P33" s="567">
        <f>'План производства'!P34</f>
        <v>0</v>
      </c>
      <c r="Q33" s="567">
        <f>'План производства'!Q34</f>
        <v>0</v>
      </c>
      <c r="R33" s="567">
        <f>'План производства'!R34</f>
        <v>27.303061269146692</v>
      </c>
      <c r="S33" s="567">
        <f>'План производства'!S34</f>
        <v>0</v>
      </c>
      <c r="T33" s="567">
        <f>'План производства'!T34</f>
        <v>0</v>
      </c>
      <c r="U33" s="567">
        <f>'План производства'!U34</f>
        <v>0</v>
      </c>
      <c r="V33" s="567">
        <f>'План производства'!V34</f>
        <v>28.436138311816283</v>
      </c>
      <c r="W33" s="567">
        <f>'План производства'!W34</f>
        <v>0</v>
      </c>
      <c r="X33" s="567">
        <f>'План производства'!X34</f>
        <v>0</v>
      </c>
      <c r="Y33" s="567">
        <f>'План производства'!Y34</f>
        <v>0</v>
      </c>
      <c r="Z33" s="567">
        <f>'План производства'!Z34</f>
        <v>29.289222461170773</v>
      </c>
      <c r="AA33" s="567">
        <f>'План производства'!AA34</f>
        <v>0</v>
      </c>
      <c r="AB33" s="567">
        <f>'План производства'!AB34</f>
        <v>0</v>
      </c>
      <c r="AC33" s="567">
        <f>'План производства'!AC34</f>
        <v>0</v>
      </c>
      <c r="AD33" s="567">
        <f>'План производства'!AD34</f>
        <v>30.167899135005896</v>
      </c>
      <c r="AE33" s="567">
        <f>'План производства'!AE34</f>
        <v>0</v>
      </c>
      <c r="AF33" s="567">
        <f>'План производства'!AF34</f>
        <v>0</v>
      </c>
      <c r="AG33" s="567">
        <f>'План производства'!AG34</f>
        <v>0</v>
      </c>
      <c r="AH33" s="567">
        <f>'План производства'!AH34</f>
        <v>31.072936109056073</v>
      </c>
      <c r="AI33" s="567">
        <f>'План производства'!AI34</f>
        <v>0</v>
      </c>
      <c r="AJ33" s="567">
        <f>'План производства'!AJ34</f>
        <v>0</v>
      </c>
      <c r="AK33" s="567">
        <f>'План производства'!AK34</f>
        <v>0</v>
      </c>
      <c r="AL33" s="567">
        <f>'План производства'!AL34</f>
        <v>32.005124192327756</v>
      </c>
      <c r="AM33" s="567">
        <f>'План производства'!AM34</f>
        <v>0</v>
      </c>
      <c r="AN33" s="567">
        <f>'План производства'!AN34</f>
        <v>0</v>
      </c>
      <c r="AO33" s="567">
        <f>'План производства'!AO34</f>
        <v>0</v>
      </c>
      <c r="AP33" s="567">
        <f>'План производства'!AP34</f>
        <v>32.965277918097591</v>
      </c>
      <c r="AQ33" s="567">
        <f>'План производства'!AQ34</f>
        <v>0</v>
      </c>
      <c r="AR33" s="567">
        <f>'План производства'!AR34</f>
        <v>0</v>
      </c>
      <c r="AS33" s="567">
        <f>'План производства'!AS34</f>
        <v>0</v>
      </c>
      <c r="AT33" s="567">
        <f>'План производства'!AT34</f>
        <v>33.954236255640517</v>
      </c>
      <c r="AU33" s="567">
        <f>'План производства'!AU34</f>
        <v>0</v>
      </c>
      <c r="AV33" s="567">
        <f>'План производства'!AV34</f>
        <v>0</v>
      </c>
      <c r="AW33" s="567">
        <f>'План производства'!AW34</f>
        <v>0</v>
      </c>
    </row>
    <row r="34" spans="2:49">
      <c r="B34" s="583" t="s">
        <v>84</v>
      </c>
      <c r="C34" s="600" t="s">
        <v>734</v>
      </c>
      <c r="D34" s="567">
        <f>'План производства'!D35</f>
        <v>0</v>
      </c>
      <c r="E34" s="567">
        <f>'План производства'!E35</f>
        <v>0</v>
      </c>
      <c r="F34" s="567">
        <f>'План производства'!F35</f>
        <v>41.557906487933785</v>
      </c>
      <c r="G34" s="567">
        <f>'План производства'!G35</f>
        <v>41.557906487933785</v>
      </c>
      <c r="H34" s="567">
        <f>'План производства'!H35</f>
        <v>0</v>
      </c>
      <c r="I34" s="567">
        <f>'План производства'!I35</f>
        <v>0</v>
      </c>
      <c r="J34" s="567">
        <f>'План производства'!J35</f>
        <v>52.227361776229863</v>
      </c>
      <c r="K34" s="567">
        <f>'План производства'!K35</f>
        <v>21.95686971987551</v>
      </c>
      <c r="L34" s="567">
        <f>'План производства'!L35</f>
        <v>0</v>
      </c>
      <c r="M34" s="567">
        <f>'План производства'!M35</f>
        <v>0</v>
      </c>
      <c r="N34" s="567">
        <f>'План производства'!N35</f>
        <v>53.914305561602085</v>
      </c>
      <c r="O34" s="567">
        <f>'План производства'!O35</f>
        <v>22.666076611827489</v>
      </c>
      <c r="P34" s="567">
        <f>'План производства'!P35</f>
        <v>0</v>
      </c>
      <c r="Q34" s="567">
        <f>'План производства'!Q35</f>
        <v>0</v>
      </c>
      <c r="R34" s="567">
        <f>'План производства'!R35</f>
        <v>55.946874881274489</v>
      </c>
      <c r="S34" s="567">
        <f>'План производства'!S35</f>
        <v>23.520587700093387</v>
      </c>
      <c r="T34" s="567">
        <f>'План производства'!T35</f>
        <v>0</v>
      </c>
      <c r="U34" s="567">
        <f>'План производства'!U35</f>
        <v>0</v>
      </c>
      <c r="V34" s="567">
        <f>'План производства'!V35</f>
        <v>58.268670188847388</v>
      </c>
      <c r="W34" s="567">
        <f>'План производства'!W35</f>
        <v>24.496692089647265</v>
      </c>
      <c r="X34" s="567">
        <f>'План производства'!X35</f>
        <v>0</v>
      </c>
      <c r="Y34" s="567">
        <f>'План производства'!Y35</f>
        <v>0</v>
      </c>
      <c r="Z34" s="567">
        <f>'План производства'!Z35</f>
        <v>60.016730294512811</v>
      </c>
      <c r="AA34" s="567">
        <f>'План производства'!AA35</f>
        <v>25.231592852336682</v>
      </c>
      <c r="AB34" s="567">
        <f>'План производства'!AB35</f>
        <v>0</v>
      </c>
      <c r="AC34" s="567">
        <f>'План производства'!AC35</f>
        <v>0</v>
      </c>
      <c r="AD34" s="567">
        <f>'План производства'!AD35</f>
        <v>61.817232203348198</v>
      </c>
      <c r="AE34" s="567">
        <f>'План производства'!AE35</f>
        <v>25.988540637906784</v>
      </c>
      <c r="AF34" s="567">
        <f>'План производства'!AF35</f>
        <v>0</v>
      </c>
      <c r="AG34" s="567">
        <f>'План производства'!AG35</f>
        <v>0</v>
      </c>
      <c r="AH34" s="567">
        <f>'План производства'!AH35</f>
        <v>63.671749169448645</v>
      </c>
      <c r="AI34" s="567">
        <f>'План производства'!AI35</f>
        <v>26.768196857043989</v>
      </c>
      <c r="AJ34" s="567">
        <f>'План производства'!AJ35</f>
        <v>0</v>
      </c>
      <c r="AK34" s="567">
        <f>'План производства'!AK35</f>
        <v>0</v>
      </c>
      <c r="AL34" s="567">
        <f>'План производства'!AL35</f>
        <v>65.58190164453211</v>
      </c>
      <c r="AM34" s="567">
        <f>'План производства'!AM35</f>
        <v>27.571242762755311</v>
      </c>
      <c r="AN34" s="567">
        <f>'План производства'!AN35</f>
        <v>0</v>
      </c>
      <c r="AO34" s="567">
        <f>'План производства'!AO35</f>
        <v>0</v>
      </c>
      <c r="AP34" s="567">
        <f>'План производства'!AP35</f>
        <v>67.549358693868072</v>
      </c>
      <c r="AQ34" s="567">
        <f>'План производства'!AQ35</f>
        <v>28.398380045637971</v>
      </c>
      <c r="AR34" s="567">
        <f>'План производства'!AR35</f>
        <v>0</v>
      </c>
      <c r="AS34" s="567">
        <f>'План производства'!AS35</f>
        <v>0</v>
      </c>
      <c r="AT34" s="567">
        <f>'План производства'!AT35</f>
        <v>69.575839454684115</v>
      </c>
      <c r="AU34" s="567">
        <f>'План производства'!AU35</f>
        <v>29.25033144700711</v>
      </c>
      <c r="AV34" s="567">
        <f>'План производства'!AV35</f>
        <v>0</v>
      </c>
      <c r="AW34" s="567">
        <f>'План производства'!AW35</f>
        <v>0</v>
      </c>
    </row>
    <row r="35" spans="2:49">
      <c r="B35" s="583" t="s">
        <v>86</v>
      </c>
      <c r="C35" s="600" t="s">
        <v>734</v>
      </c>
      <c r="D35" s="567">
        <f>'План производства'!D36</f>
        <v>0</v>
      </c>
      <c r="E35" s="567">
        <f>'План производства'!E36</f>
        <v>91.376948038940753</v>
      </c>
      <c r="F35" s="567">
        <f>'План производства'!F36</f>
        <v>0</v>
      </c>
      <c r="G35" s="567">
        <f>'План производства'!G36</f>
        <v>0</v>
      </c>
      <c r="H35" s="567">
        <f>'План производства'!H36</f>
        <v>0</v>
      </c>
      <c r="I35" s="567">
        <f>'План производства'!I36</f>
        <v>50.028634361233479</v>
      </c>
      <c r="J35" s="567">
        <f>'План производства'!J36</f>
        <v>0</v>
      </c>
      <c r="K35" s="567">
        <f>'План производства'!K36</f>
        <v>0</v>
      </c>
      <c r="L35" s="567">
        <f>'План производства'!L36</f>
        <v>0</v>
      </c>
      <c r="M35" s="567">
        <f>'План производства'!M36</f>
        <v>51.48446762114537</v>
      </c>
      <c r="N35" s="567">
        <f>'План производства'!N36</f>
        <v>0</v>
      </c>
      <c r="O35" s="567">
        <f>'План производства'!O36</f>
        <v>0</v>
      </c>
      <c r="P35" s="567">
        <f>'План производства'!P36</f>
        <v>0</v>
      </c>
      <c r="Q35" s="567">
        <f>'План производства'!Q36</f>
        <v>53.147415925308366</v>
      </c>
      <c r="R35" s="567">
        <f>'План производства'!R36</f>
        <v>0</v>
      </c>
      <c r="S35" s="567">
        <f>'План производства'!S36</f>
        <v>0</v>
      </c>
      <c r="T35" s="567">
        <f>'План производства'!T36</f>
        <v>0</v>
      </c>
      <c r="U35" s="567">
        <f>'План производства'!U36</f>
        <v>55.151073505692494</v>
      </c>
      <c r="V35" s="567">
        <f>'План производства'!V36</f>
        <v>0</v>
      </c>
      <c r="W35" s="567">
        <f>'План производства'!W36</f>
        <v>0</v>
      </c>
      <c r="X35" s="567">
        <f>'План производства'!X36</f>
        <v>0</v>
      </c>
      <c r="Y35" s="567">
        <f>'План производства'!Y36</f>
        <v>57.439843056178738</v>
      </c>
      <c r="Z35" s="567">
        <f>'План производства'!Z36</f>
        <v>0</v>
      </c>
      <c r="AA35" s="567">
        <f>'План производства'!AA36</f>
        <v>0</v>
      </c>
      <c r="AB35" s="567">
        <f>'План производства'!AB36</f>
        <v>0</v>
      </c>
      <c r="AC35" s="567">
        <f>'План производства'!AC36</f>
        <v>59.163038347864102</v>
      </c>
      <c r="AD35" s="567">
        <f>'План производства'!AD36</f>
        <v>0</v>
      </c>
      <c r="AE35" s="567">
        <f>'План производства'!AE36</f>
        <v>0</v>
      </c>
      <c r="AF35" s="567">
        <f>'План производства'!AF36</f>
        <v>0</v>
      </c>
      <c r="AG35" s="567">
        <f>'План производства'!AG36</f>
        <v>60.937929498300029</v>
      </c>
      <c r="AH35" s="567">
        <f>'План производства'!AH36</f>
        <v>0</v>
      </c>
      <c r="AI35" s="567">
        <f>'План производства'!AI36</f>
        <v>0</v>
      </c>
      <c r="AJ35" s="567">
        <f>'План производства'!AJ36</f>
        <v>0</v>
      </c>
      <c r="AK35" s="567">
        <f>'План производства'!AK36</f>
        <v>62.76606738324903</v>
      </c>
      <c r="AL35" s="567">
        <f>'План производства'!AL36</f>
        <v>0</v>
      </c>
      <c r="AM35" s="567">
        <f>'План производства'!AM36</f>
        <v>0</v>
      </c>
      <c r="AN35" s="567">
        <f>'План производства'!AN36</f>
        <v>0</v>
      </c>
      <c r="AO35" s="567">
        <f>'План производства'!AO36</f>
        <v>64.649049404746506</v>
      </c>
      <c r="AP35" s="567">
        <f>'План производства'!AP36</f>
        <v>0</v>
      </c>
      <c r="AQ35" s="567">
        <f>'План производства'!AQ36</f>
        <v>0</v>
      </c>
      <c r="AR35" s="567">
        <f>'План производства'!AR36</f>
        <v>0</v>
      </c>
      <c r="AS35" s="567">
        <f>'План производства'!AS36</f>
        <v>66.588520886888901</v>
      </c>
      <c r="AT35" s="567">
        <f>'План производства'!AT36</f>
        <v>0</v>
      </c>
      <c r="AU35" s="567">
        <f>'План производства'!AU36</f>
        <v>0</v>
      </c>
      <c r="AV35" s="567">
        <f>'План производства'!AV36</f>
        <v>0</v>
      </c>
      <c r="AW35" s="567">
        <f>'План производства'!AW36</f>
        <v>68.586176513495573</v>
      </c>
    </row>
    <row r="36" spans="2:49">
      <c r="B36" s="583" t="s">
        <v>87</v>
      </c>
      <c r="C36" s="600" t="s">
        <v>734</v>
      </c>
      <c r="D36" s="567">
        <f>'План производства'!D37</f>
        <v>0</v>
      </c>
      <c r="E36" s="567">
        <f>'План производства'!E37</f>
        <v>0</v>
      </c>
      <c r="F36" s="567">
        <f>'План производства'!F37</f>
        <v>9.4118836760901647</v>
      </c>
      <c r="G36" s="567">
        <f>'План производства'!G37</f>
        <v>9.6962446351931337</v>
      </c>
      <c r="H36" s="567">
        <f>'План производства'!H37</f>
        <v>9.0911764705882341</v>
      </c>
      <c r="I36" s="567">
        <f>'План производства'!I37</f>
        <v>0</v>
      </c>
      <c r="J36" s="567">
        <f>'План производства'!J37</f>
        <v>11.522083219188506</v>
      </c>
      <c r="K36" s="567">
        <f>'План производства'!K37</f>
        <v>11.548512104104869</v>
      </c>
      <c r="L36" s="567">
        <f>'План производства'!L37</f>
        <v>0</v>
      </c>
      <c r="M36" s="567">
        <f>'План производства'!M37</f>
        <v>0</v>
      </c>
      <c r="N36" s="567">
        <f>'План производства'!N37</f>
        <v>11.894246507168294</v>
      </c>
      <c r="O36" s="567">
        <f>'План производства'!O37</f>
        <v>11.921529045067457</v>
      </c>
      <c r="P36" s="567">
        <f>'План производства'!P37</f>
        <v>0</v>
      </c>
      <c r="Q36" s="567">
        <f>'План производства'!Q37</f>
        <v>0</v>
      </c>
      <c r="R36" s="567">
        <f>'План производства'!R37</f>
        <v>12.34265960048854</v>
      </c>
      <c r="S36" s="567">
        <f>'План производства'!S37</f>
        <v>12.370970690066502</v>
      </c>
      <c r="T36" s="567">
        <f>'План производства'!T37</f>
        <v>0</v>
      </c>
      <c r="U36" s="567">
        <f>'План производства'!U37</f>
        <v>0</v>
      </c>
      <c r="V36" s="567">
        <f>'План производства'!V37</f>
        <v>12.854879973908815</v>
      </c>
      <c r="W36" s="567">
        <f>'План производства'!W37</f>
        <v>12.884365973704263</v>
      </c>
      <c r="X36" s="567">
        <f>'План производства'!X37</f>
        <v>0</v>
      </c>
      <c r="Y36" s="567">
        <f>'План производства'!Y37</f>
        <v>0</v>
      </c>
      <c r="Z36" s="567">
        <f>'План производства'!Z37</f>
        <v>13.24052637312608</v>
      </c>
      <c r="AA36" s="567">
        <f>'План производства'!AA37</f>
        <v>13.270896952915392</v>
      </c>
      <c r="AB36" s="567">
        <f>'План производства'!AB37</f>
        <v>0</v>
      </c>
      <c r="AC36" s="567">
        <f>'План производства'!AC37</f>
        <v>0</v>
      </c>
      <c r="AD36" s="567">
        <f>'План производства'!AD37</f>
        <v>13.637742164319864</v>
      </c>
      <c r="AE36" s="567">
        <f>'План производства'!AE37</f>
        <v>13.669023861502854</v>
      </c>
      <c r="AF36" s="567">
        <f>'План производства'!AF37</f>
        <v>0</v>
      </c>
      <c r="AG36" s="567">
        <f>'План производства'!AG37</f>
        <v>0</v>
      </c>
      <c r="AH36" s="567">
        <f>'План производства'!AH37</f>
        <v>14.04687442924946</v>
      </c>
      <c r="AI36" s="567">
        <f>'План производства'!AI37</f>
        <v>14.07909457734794</v>
      </c>
      <c r="AJ36" s="567">
        <f>'План производства'!AJ37</f>
        <v>0</v>
      </c>
      <c r="AK36" s="567">
        <f>'План производства'!AK37</f>
        <v>0</v>
      </c>
      <c r="AL36" s="567">
        <f>'План производства'!AL37</f>
        <v>14.468280662126944</v>
      </c>
      <c r="AM36" s="567">
        <f>'План производства'!AM37</f>
        <v>14.501467414668378</v>
      </c>
      <c r="AN36" s="567">
        <f>'План производства'!AN37</f>
        <v>0</v>
      </c>
      <c r="AO36" s="567">
        <f>'План производства'!AO37</f>
        <v>0</v>
      </c>
      <c r="AP36" s="567">
        <f>'План производства'!AP37</f>
        <v>14.902329081990752</v>
      </c>
      <c r="AQ36" s="567">
        <f>'План производства'!AQ37</f>
        <v>14.936511437108429</v>
      </c>
      <c r="AR36" s="567">
        <f>'План производства'!AR37</f>
        <v>0</v>
      </c>
      <c r="AS36" s="567">
        <f>'План производства'!AS37</f>
        <v>0</v>
      </c>
      <c r="AT36" s="567">
        <f>'План производства'!AT37</f>
        <v>15.349398954450475</v>
      </c>
      <c r="AU36" s="567">
        <f>'План производства'!AU37</f>
        <v>15.384606780221683</v>
      </c>
      <c r="AV36" s="567">
        <f>'План производства'!AV37</f>
        <v>0</v>
      </c>
      <c r="AW36" s="567">
        <f>'План производства'!AW37</f>
        <v>0</v>
      </c>
    </row>
    <row r="37" spans="2:49">
      <c r="B37" s="583" t="s">
        <v>699</v>
      </c>
      <c r="C37" s="600" t="s">
        <v>734</v>
      </c>
      <c r="D37" s="567">
        <f>'План производства'!D38</f>
        <v>0</v>
      </c>
      <c r="E37" s="567">
        <f>'План производства'!E38</f>
        <v>7.916666666666667</v>
      </c>
      <c r="F37" s="567">
        <f>'План производства'!F38</f>
        <v>0</v>
      </c>
      <c r="G37" s="567">
        <f>'План производства'!G38</f>
        <v>14.090947017104714</v>
      </c>
      <c r="H37" s="567">
        <f>'План производства'!H38</f>
        <v>0</v>
      </c>
      <c r="I37" s="567">
        <f>'План производства'!I38</f>
        <v>0</v>
      </c>
      <c r="J37" s="567">
        <f>'План производства'!J38</f>
        <v>8.1818289645356419</v>
      </c>
      <c r="K37" s="567">
        <f>'План производства'!K38</f>
        <v>0</v>
      </c>
      <c r="L37" s="567">
        <f>'План производства'!L38</f>
        <v>0</v>
      </c>
      <c r="M37" s="567">
        <f>'План производства'!M38</f>
        <v>0</v>
      </c>
      <c r="N37" s="567">
        <f>'План производства'!N38</f>
        <v>8.4461020400901425</v>
      </c>
      <c r="O37" s="567">
        <f>'План производства'!O38</f>
        <v>0</v>
      </c>
      <c r="P37" s="567">
        <f>'План производства'!P38</f>
        <v>0</v>
      </c>
      <c r="Q37" s="567">
        <f>'План производства'!Q38</f>
        <v>0</v>
      </c>
      <c r="R37" s="567">
        <f>'План производства'!R38</f>
        <v>8.7645200870015412</v>
      </c>
      <c r="S37" s="567">
        <f>'План производства'!S38</f>
        <v>0</v>
      </c>
      <c r="T37" s="567">
        <f>'План производства'!T38</f>
        <v>0</v>
      </c>
      <c r="U37" s="567">
        <f>'План производства'!U38</f>
        <v>0</v>
      </c>
      <c r="V37" s="567">
        <f>'План производства'!V38</f>
        <v>9.1282476706121063</v>
      </c>
      <c r="W37" s="567">
        <f>'План производства'!W38</f>
        <v>0</v>
      </c>
      <c r="X37" s="567">
        <f>'План производства'!X38</f>
        <v>0</v>
      </c>
      <c r="Y37" s="567">
        <f>'План производства'!Y38</f>
        <v>0</v>
      </c>
      <c r="Z37" s="567">
        <f>'План производства'!Z38</f>
        <v>9.4020951007304703</v>
      </c>
      <c r="AA37" s="567">
        <f>'План производства'!AA38</f>
        <v>0</v>
      </c>
      <c r="AB37" s="567">
        <f>'План производства'!AB38</f>
        <v>0</v>
      </c>
      <c r="AC37" s="567">
        <f>'План производства'!AC38</f>
        <v>0</v>
      </c>
      <c r="AD37" s="567">
        <f>'План производства'!AD38</f>
        <v>9.6841579537523845</v>
      </c>
      <c r="AE37" s="567">
        <f>'План производства'!AE38</f>
        <v>0</v>
      </c>
      <c r="AF37" s="567">
        <f>'План производства'!AF38</f>
        <v>0</v>
      </c>
      <c r="AG37" s="567">
        <f>'План производства'!AG38</f>
        <v>0</v>
      </c>
      <c r="AH37" s="567">
        <f>'План производства'!AH38</f>
        <v>9.9746826923649561</v>
      </c>
      <c r="AI37" s="567">
        <f>'План производства'!AI38</f>
        <v>0</v>
      </c>
      <c r="AJ37" s="567">
        <f>'План производства'!AJ38</f>
        <v>0</v>
      </c>
      <c r="AK37" s="567">
        <f>'План производства'!AK38</f>
        <v>0</v>
      </c>
      <c r="AL37" s="567">
        <f>'План производства'!AL38</f>
        <v>10.273923173135906</v>
      </c>
      <c r="AM37" s="567">
        <f>'План производства'!AM38</f>
        <v>0</v>
      </c>
      <c r="AN37" s="567">
        <f>'План производства'!AN38</f>
        <v>0</v>
      </c>
      <c r="AO37" s="567">
        <f>'План производства'!AO38</f>
        <v>0</v>
      </c>
      <c r="AP37" s="567">
        <f>'План производства'!AP38</f>
        <v>10.582140868329983</v>
      </c>
      <c r="AQ37" s="567">
        <f>'План производства'!AQ38</f>
        <v>0</v>
      </c>
      <c r="AR37" s="567">
        <f>'План производства'!AR38</f>
        <v>0</v>
      </c>
      <c r="AS37" s="567">
        <f>'План производства'!AS38</f>
        <v>0</v>
      </c>
      <c r="AT37" s="567">
        <f>'План производства'!AT38</f>
        <v>10.899605094379883</v>
      </c>
      <c r="AU37" s="567">
        <f>'План производства'!AU38</f>
        <v>0</v>
      </c>
      <c r="AV37" s="567">
        <f>'План производства'!AV38</f>
        <v>0</v>
      </c>
      <c r="AW37" s="567">
        <f>'План производства'!AW38</f>
        <v>0</v>
      </c>
    </row>
    <row r="38" spans="2:49">
      <c r="B38" s="583" t="s">
        <v>151</v>
      </c>
      <c r="C38" s="600" t="s">
        <v>734</v>
      </c>
      <c r="D38" s="567">
        <f>'План производства'!D39</f>
        <v>0</v>
      </c>
      <c r="E38" s="567">
        <f>'План производства'!E39</f>
        <v>72.014123131770177</v>
      </c>
      <c r="F38" s="567">
        <f>'План производства'!F39</f>
        <v>0</v>
      </c>
      <c r="G38" s="567">
        <f>'План производства'!G39</f>
        <v>0</v>
      </c>
      <c r="H38" s="567">
        <f>'План производства'!H39</f>
        <v>0</v>
      </c>
      <c r="I38" s="567">
        <f>'План производства'!I39</f>
        <v>113.10005224660395</v>
      </c>
      <c r="J38" s="567">
        <f>'План производства'!J39</f>
        <v>0</v>
      </c>
      <c r="K38" s="567">
        <f>'План производства'!K39</f>
        <v>0</v>
      </c>
      <c r="L38" s="567">
        <f>'План производства'!L39</f>
        <v>0</v>
      </c>
      <c r="M38" s="567">
        <f>'План производства'!M39</f>
        <v>116.39126376698012</v>
      </c>
      <c r="N38" s="567">
        <f>'План производства'!N39</f>
        <v>0</v>
      </c>
      <c r="O38" s="567">
        <f>'План производства'!O39</f>
        <v>0</v>
      </c>
      <c r="P38" s="567">
        <f>'План производства'!P39</f>
        <v>0</v>
      </c>
      <c r="Q38" s="567">
        <f>'План производства'!Q39</f>
        <v>120.15070158665357</v>
      </c>
      <c r="R38" s="567">
        <f>'План производства'!R39</f>
        <v>0</v>
      </c>
      <c r="S38" s="567">
        <f>'План производства'!S39</f>
        <v>0</v>
      </c>
      <c r="T38" s="567">
        <f>'План производства'!T39</f>
        <v>0</v>
      </c>
      <c r="U38" s="567">
        <f>'План производства'!U39</f>
        <v>124.68038303647042</v>
      </c>
      <c r="V38" s="567">
        <f>'План производства'!V39</f>
        <v>0</v>
      </c>
      <c r="W38" s="567">
        <f>'План производства'!W39</f>
        <v>0</v>
      </c>
      <c r="X38" s="567">
        <f>'План производства'!X39</f>
        <v>0</v>
      </c>
      <c r="Y38" s="567">
        <f>'План производства'!Y39</f>
        <v>129.85461893248396</v>
      </c>
      <c r="Z38" s="567">
        <f>'План производства'!Z39</f>
        <v>0</v>
      </c>
      <c r="AA38" s="567">
        <f>'План производства'!AA39</f>
        <v>0</v>
      </c>
      <c r="AB38" s="567">
        <f>'План производства'!AB39</f>
        <v>0</v>
      </c>
      <c r="AC38" s="567">
        <f>'План производства'!AC39</f>
        <v>133.75025750045847</v>
      </c>
      <c r="AD38" s="567">
        <f>'План производства'!AD39</f>
        <v>0</v>
      </c>
      <c r="AE38" s="567">
        <f>'План производства'!AE39</f>
        <v>0</v>
      </c>
      <c r="AF38" s="567">
        <f>'План производства'!AF39</f>
        <v>0</v>
      </c>
      <c r="AG38" s="567">
        <f>'План производства'!AG39</f>
        <v>137.76276522547224</v>
      </c>
      <c r="AH38" s="567">
        <f>'План производства'!AH39</f>
        <v>0</v>
      </c>
      <c r="AI38" s="567">
        <f>'План производства'!AI39</f>
        <v>0</v>
      </c>
      <c r="AJ38" s="567">
        <f>'План производства'!AJ39</f>
        <v>0</v>
      </c>
      <c r="AK38" s="567">
        <f>'План производства'!AK39</f>
        <v>141.89564818223641</v>
      </c>
      <c r="AL38" s="567">
        <f>'План производства'!AL39</f>
        <v>0</v>
      </c>
      <c r="AM38" s="567">
        <f>'План производства'!AM39</f>
        <v>0</v>
      </c>
      <c r="AN38" s="567">
        <f>'План производства'!AN39</f>
        <v>0</v>
      </c>
      <c r="AO38" s="567">
        <f>'План производства'!AO39</f>
        <v>146.1525176277035</v>
      </c>
      <c r="AP38" s="567">
        <f>'План производства'!AP39</f>
        <v>0</v>
      </c>
      <c r="AQ38" s="567">
        <f>'План производства'!AQ39</f>
        <v>0</v>
      </c>
      <c r="AR38" s="567">
        <f>'План производства'!AR39</f>
        <v>0</v>
      </c>
      <c r="AS38" s="567">
        <f>'План производства'!AS39</f>
        <v>150.53709315653461</v>
      </c>
      <c r="AT38" s="567">
        <f>'План производства'!AT39</f>
        <v>0</v>
      </c>
      <c r="AU38" s="567">
        <f>'План производства'!AU39</f>
        <v>0</v>
      </c>
      <c r="AV38" s="567">
        <f>'План производства'!AV39</f>
        <v>0</v>
      </c>
      <c r="AW38" s="567">
        <f>'План производства'!AW39</f>
        <v>155.05320595123067</v>
      </c>
    </row>
    <row r="39" spans="2:49">
      <c r="B39" s="573"/>
      <c r="C39" s="598"/>
      <c r="D39" s="573"/>
      <c r="E39" s="573"/>
      <c r="F39" s="573"/>
      <c r="G39" s="573"/>
      <c r="H39" s="573"/>
      <c r="I39" s="573"/>
      <c r="J39" s="573"/>
      <c r="K39" s="573"/>
      <c r="M39" s="572"/>
    </row>
    <row r="40" spans="2:49">
      <c r="B40" s="593" t="s">
        <v>737</v>
      </c>
      <c r="C40" s="602"/>
      <c r="D40" s="592"/>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92"/>
      <c r="AS40" s="592"/>
      <c r="AT40" s="592"/>
      <c r="AU40" s="592"/>
      <c r="AV40" s="592"/>
      <c r="AW40" s="592"/>
    </row>
    <row r="41" spans="2:49">
      <c r="B41" s="582" t="s">
        <v>0</v>
      </c>
      <c r="C41" s="599" t="s">
        <v>736</v>
      </c>
      <c r="D41" s="570">
        <f t="shared" ref="D41:D48" si="12">D21*D31</f>
        <v>88825.291666666672</v>
      </c>
      <c r="E41" s="570">
        <f t="shared" ref="E41:AK48" si="13">E21*E31</f>
        <v>53597.893333333341</v>
      </c>
      <c r="F41" s="570">
        <f t="shared" si="13"/>
        <v>48933.4</v>
      </c>
      <c r="G41" s="570">
        <f t="shared" si="13"/>
        <v>210979.36900000001</v>
      </c>
      <c r="H41" s="570">
        <f t="shared" si="13"/>
        <v>217594.86599999998</v>
      </c>
      <c r="I41" s="570">
        <f t="shared" si="13"/>
        <v>78209.040000000023</v>
      </c>
      <c r="J41" s="570">
        <f t="shared" si="13"/>
        <v>9708.4700000000066</v>
      </c>
      <c r="K41" s="570">
        <f t="shared" si="13"/>
        <v>58116.241919999971</v>
      </c>
      <c r="L41" s="570">
        <f t="shared" si="13"/>
        <v>123473</v>
      </c>
      <c r="M41" s="570">
        <f t="shared" si="13"/>
        <v>169341.59774694353</v>
      </c>
      <c r="N41" s="570">
        <f t="shared" si="13"/>
        <v>12217.438298732588</v>
      </c>
      <c r="O41" s="570">
        <f t="shared" si="13"/>
        <v>56389.641082781338</v>
      </c>
      <c r="P41" s="570">
        <f t="shared" si="13"/>
        <v>428391.0702500245</v>
      </c>
      <c r="Q41" s="570">
        <f t="shared" si="13"/>
        <v>193197.42650515388</v>
      </c>
      <c r="R41" s="570">
        <f t="shared" si="13"/>
        <v>15179.463798125926</v>
      </c>
      <c r="S41" s="570">
        <f t="shared" si="13"/>
        <v>70060.883016220338</v>
      </c>
      <c r="T41" s="570">
        <f t="shared" si="13"/>
        <v>444008.1926579976</v>
      </c>
      <c r="U41" s="570">
        <f t="shared" si="13"/>
        <v>200240.495486203</v>
      </c>
      <c r="V41" s="570">
        <f t="shared" si="13"/>
        <v>37603.835284679699</v>
      </c>
      <c r="W41" s="570">
        <f t="shared" si="13"/>
        <v>173560.66985491468</v>
      </c>
      <c r="X41" s="570">
        <f t="shared" si="13"/>
        <v>460747.30152120418</v>
      </c>
      <c r="Y41" s="570">
        <f t="shared" si="13"/>
        <v>207789.56216603288</v>
      </c>
      <c r="Z41" s="570">
        <f t="shared" si="13"/>
        <v>23896.393741777825</v>
      </c>
      <c r="AA41" s="570">
        <f t="shared" si="13"/>
        <v>110293.91213798571</v>
      </c>
      <c r="AB41" s="570">
        <f t="shared" si="13"/>
        <v>479868.31453433417</v>
      </c>
      <c r="AC41" s="570">
        <f t="shared" si="13"/>
        <v>216412.82899592325</v>
      </c>
      <c r="AD41" s="570">
        <f t="shared" si="13"/>
        <v>55727.449514863169</v>
      </c>
      <c r="AE41" s="570">
        <f t="shared" si="13"/>
        <v>257210.29235137964</v>
      </c>
      <c r="AF41" s="570">
        <f t="shared" si="13"/>
        <v>494264.36397036421</v>
      </c>
      <c r="AG41" s="570">
        <f t="shared" si="13"/>
        <v>222905.21386580096</v>
      </c>
      <c r="AH41" s="570">
        <f t="shared" si="13"/>
        <v>23478.952271549482</v>
      </c>
      <c r="AI41" s="570">
        <f t="shared" si="13"/>
        <v>108367.20916607983</v>
      </c>
      <c r="AJ41" s="570">
        <f t="shared" si="13"/>
        <v>509092.29488947522</v>
      </c>
      <c r="AK41" s="570">
        <f t="shared" si="13"/>
        <v>229592.37028177502</v>
      </c>
      <c r="AL41" s="570">
        <f t="shared" ref="AL41:AW41" si="14">AL21*AL31</f>
        <v>52467.394042151638</v>
      </c>
      <c r="AM41" s="570">
        <f t="shared" si="14"/>
        <v>242163.49174382258</v>
      </c>
      <c r="AN41" s="570">
        <f t="shared" si="14"/>
        <v>524365.06373615947</v>
      </c>
      <c r="AO41" s="570">
        <f t="shared" si="14"/>
        <v>236480.14139022827</v>
      </c>
      <c r="AP41" s="570">
        <f t="shared" si="14"/>
        <v>25576.998969630644</v>
      </c>
      <c r="AQ41" s="570">
        <f t="shared" si="14"/>
        <v>118050.75307986284</v>
      </c>
      <c r="AR41" s="570">
        <f t="shared" si="14"/>
        <v>540096.0156482443</v>
      </c>
      <c r="AS41" s="570">
        <f t="shared" si="14"/>
        <v>243574.54563193512</v>
      </c>
      <c r="AT41" s="570">
        <f t="shared" si="14"/>
        <v>52860.997768083354</v>
      </c>
      <c r="AU41" s="570">
        <f t="shared" si="14"/>
        <v>243980.17150036679</v>
      </c>
      <c r="AV41" s="570">
        <f t="shared" si="14"/>
        <v>556298.89611769165</v>
      </c>
      <c r="AW41" s="570">
        <f t="shared" si="14"/>
        <v>250881.78200089317</v>
      </c>
    </row>
    <row r="42" spans="2:49">
      <c r="B42" s="582" t="s">
        <v>1</v>
      </c>
      <c r="C42" s="599" t="s">
        <v>736</v>
      </c>
      <c r="D42" s="570">
        <f t="shared" si="12"/>
        <v>34.550000000000004</v>
      </c>
      <c r="E42" s="570">
        <f t="shared" ref="E42:S42" si="15">E22*E32</f>
        <v>4917.8150000000005</v>
      </c>
      <c r="F42" s="570">
        <f t="shared" si="15"/>
        <v>27066.752999999997</v>
      </c>
      <c r="G42" s="570">
        <f t="shared" si="15"/>
        <v>48795.851000000017</v>
      </c>
      <c r="H42" s="570">
        <f t="shared" si="15"/>
        <v>3770.404</v>
      </c>
      <c r="I42" s="570">
        <f t="shared" si="15"/>
        <v>1233.0500000000002</v>
      </c>
      <c r="J42" s="570">
        <f t="shared" si="15"/>
        <v>15722.09</v>
      </c>
      <c r="K42" s="570">
        <f t="shared" si="15"/>
        <v>35714.786780000002</v>
      </c>
      <c r="L42" s="570">
        <f t="shared" si="15"/>
        <v>21042</v>
      </c>
      <c r="M42" s="570">
        <f t="shared" si="15"/>
        <v>15164.166385814789</v>
      </c>
      <c r="N42" s="570">
        <f t="shared" si="15"/>
        <v>31828.549715746591</v>
      </c>
      <c r="O42" s="570">
        <f t="shared" si="15"/>
        <v>43277.539597720432</v>
      </c>
      <c r="P42" s="570">
        <f t="shared" si="15"/>
        <v>0</v>
      </c>
      <c r="Q42" s="570">
        <f t="shared" si="15"/>
        <v>0</v>
      </c>
      <c r="R42" s="570">
        <f t="shared" si="15"/>
        <v>33720.011890810958</v>
      </c>
      <c r="S42" s="570">
        <f t="shared" si="15"/>
        <v>45849.376200707127</v>
      </c>
      <c r="T42" s="570">
        <f t="shared" si="13"/>
        <v>0</v>
      </c>
      <c r="U42" s="570">
        <f t="shared" si="13"/>
        <v>0</v>
      </c>
      <c r="V42" s="570">
        <f t="shared" si="13"/>
        <v>41339.818492053106</v>
      </c>
      <c r="W42" s="570">
        <f t="shared" si="13"/>
        <v>56210.089612323332</v>
      </c>
      <c r="X42" s="570">
        <f t="shared" si="13"/>
        <v>0</v>
      </c>
      <c r="Y42" s="570">
        <f t="shared" si="13"/>
        <v>0</v>
      </c>
      <c r="Z42" s="570">
        <f t="shared" si="13"/>
        <v>38619.699625985319</v>
      </c>
      <c r="AA42" s="570">
        <f t="shared" si="13"/>
        <v>52511.52172317708</v>
      </c>
      <c r="AB42" s="570">
        <f t="shared" si="13"/>
        <v>0</v>
      </c>
      <c r="AC42" s="570">
        <f t="shared" si="13"/>
        <v>0</v>
      </c>
      <c r="AD42" s="570">
        <f t="shared" si="13"/>
        <v>48817.703403727915</v>
      </c>
      <c r="AE42" s="570">
        <f t="shared" si="13"/>
        <v>66377.830940860673</v>
      </c>
      <c r="AF42" s="570">
        <f t="shared" si="13"/>
        <v>0</v>
      </c>
      <c r="AG42" s="570">
        <f t="shared" si="13"/>
        <v>0</v>
      </c>
      <c r="AH42" s="570">
        <f t="shared" si="13"/>
        <v>40427.565700106614</v>
      </c>
      <c r="AI42" s="570">
        <f t="shared" si="13"/>
        <v>54969.692023391923</v>
      </c>
      <c r="AJ42" s="570">
        <f t="shared" si="13"/>
        <v>0</v>
      </c>
      <c r="AK42" s="570">
        <f t="shared" si="13"/>
        <v>0</v>
      </c>
      <c r="AL42" s="570">
        <f t="shared" ref="AL42:AW42" si="16">AL22*AL32</f>
        <v>49857.596043570527</v>
      </c>
      <c r="AM42" s="570">
        <f t="shared" si="16"/>
        <v>67791.781475839103</v>
      </c>
      <c r="AN42" s="570">
        <f t="shared" si="16"/>
        <v>0</v>
      </c>
      <c r="AO42" s="570">
        <f t="shared" si="16"/>
        <v>0</v>
      </c>
      <c r="AP42" s="570">
        <f t="shared" si="16"/>
        <v>43083.72637361566</v>
      </c>
      <c r="AQ42" s="570">
        <f t="shared" si="16"/>
        <v>58581.295434552849</v>
      </c>
      <c r="AR42" s="570">
        <f t="shared" si="16"/>
        <v>0</v>
      </c>
      <c r="AS42" s="570">
        <f t="shared" si="16"/>
        <v>0</v>
      </c>
      <c r="AT42" s="570">
        <f t="shared" si="16"/>
        <v>52079.973879106699</v>
      </c>
      <c r="AU42" s="570">
        <f t="shared" si="16"/>
        <v>70813.566811252284</v>
      </c>
      <c r="AV42" s="570">
        <f t="shared" si="16"/>
        <v>0</v>
      </c>
      <c r="AW42" s="570">
        <f t="shared" si="16"/>
        <v>0</v>
      </c>
    </row>
    <row r="43" spans="2:49">
      <c r="B43" s="583" t="s">
        <v>85</v>
      </c>
      <c r="C43" s="600" t="s">
        <v>736</v>
      </c>
      <c r="D43" s="567">
        <f t="shared" si="12"/>
        <v>0</v>
      </c>
      <c r="E43" s="567">
        <f t="shared" si="13"/>
        <v>624.99949672873674</v>
      </c>
      <c r="F43" s="567">
        <f t="shared" si="13"/>
        <v>10292.689999999999</v>
      </c>
      <c r="G43" s="567">
        <f t="shared" si="13"/>
        <v>289.23599999999993</v>
      </c>
      <c r="H43" s="567">
        <f t="shared" si="13"/>
        <v>0</v>
      </c>
      <c r="I43" s="567">
        <f t="shared" si="13"/>
        <v>0</v>
      </c>
      <c r="J43" s="567">
        <f t="shared" si="13"/>
        <v>7177.6399999999994</v>
      </c>
      <c r="K43" s="567">
        <f t="shared" si="13"/>
        <v>0</v>
      </c>
      <c r="L43" s="567">
        <f t="shared" si="13"/>
        <v>0</v>
      </c>
      <c r="M43" s="567">
        <f t="shared" si="13"/>
        <v>0</v>
      </c>
      <c r="N43" s="567">
        <f t="shared" si="13"/>
        <v>6973.0862873462229</v>
      </c>
      <c r="O43" s="567">
        <f t="shared" si="13"/>
        <v>0</v>
      </c>
      <c r="P43" s="567">
        <f t="shared" si="13"/>
        <v>0</v>
      </c>
      <c r="Q43" s="567">
        <f t="shared" si="13"/>
        <v>0</v>
      </c>
      <c r="R43" s="567">
        <f t="shared" si="13"/>
        <v>305.97652357213923</v>
      </c>
      <c r="S43" s="567">
        <f t="shared" si="13"/>
        <v>0</v>
      </c>
      <c r="T43" s="567">
        <f t="shared" si="13"/>
        <v>0</v>
      </c>
      <c r="U43" s="567">
        <f t="shared" si="13"/>
        <v>0</v>
      </c>
      <c r="V43" s="567">
        <f t="shared" si="13"/>
        <v>419.71769907855332</v>
      </c>
      <c r="W43" s="567">
        <f t="shared" si="13"/>
        <v>0</v>
      </c>
      <c r="X43" s="567">
        <f t="shared" si="13"/>
        <v>0</v>
      </c>
      <c r="Y43" s="567">
        <f t="shared" si="13"/>
        <v>0</v>
      </c>
      <c r="Z43" s="567">
        <f t="shared" si="13"/>
        <v>500.35790515151609</v>
      </c>
      <c r="AA43" s="567">
        <f t="shared" si="13"/>
        <v>0</v>
      </c>
      <c r="AB43" s="567">
        <f t="shared" si="13"/>
        <v>0</v>
      </c>
      <c r="AC43" s="567">
        <f t="shared" si="13"/>
        <v>0</v>
      </c>
      <c r="AD43" s="567">
        <f t="shared" si="13"/>
        <v>288.60643969139448</v>
      </c>
      <c r="AE43" s="567">
        <f t="shared" si="13"/>
        <v>0</v>
      </c>
      <c r="AF43" s="567">
        <f t="shared" si="13"/>
        <v>0</v>
      </c>
      <c r="AG43" s="567">
        <f t="shared" si="13"/>
        <v>0</v>
      </c>
      <c r="AH43" s="567">
        <f t="shared" si="13"/>
        <v>522.33642635003957</v>
      </c>
      <c r="AI43" s="567">
        <f t="shared" si="13"/>
        <v>0</v>
      </c>
      <c r="AJ43" s="567">
        <f t="shared" si="13"/>
        <v>0</v>
      </c>
      <c r="AK43" s="567">
        <f t="shared" si="13"/>
        <v>0</v>
      </c>
      <c r="AL43" s="567">
        <f t="shared" ref="AL43:AW43" si="17">AL23*AL33</f>
        <v>393.66330668820058</v>
      </c>
      <c r="AM43" s="567">
        <f t="shared" si="17"/>
        <v>0</v>
      </c>
      <c r="AN43" s="567">
        <f t="shared" si="17"/>
        <v>0</v>
      </c>
      <c r="AO43" s="567">
        <f t="shared" si="17"/>
        <v>0</v>
      </c>
      <c r="AP43" s="567">
        <f t="shared" si="17"/>
        <v>310.86279118144904</v>
      </c>
      <c r="AQ43" s="567">
        <f t="shared" si="17"/>
        <v>0</v>
      </c>
      <c r="AR43" s="567">
        <f t="shared" si="17"/>
        <v>0</v>
      </c>
      <c r="AS43" s="567">
        <f t="shared" si="17"/>
        <v>0</v>
      </c>
      <c r="AT43" s="567">
        <f t="shared" si="17"/>
        <v>619.49547973050949</v>
      </c>
      <c r="AU43" s="567">
        <f t="shared" si="17"/>
        <v>0</v>
      </c>
      <c r="AV43" s="567">
        <f t="shared" si="17"/>
        <v>0</v>
      </c>
      <c r="AW43" s="567">
        <f t="shared" si="17"/>
        <v>0</v>
      </c>
    </row>
    <row r="44" spans="2:49">
      <c r="B44" s="583" t="s">
        <v>84</v>
      </c>
      <c r="C44" s="600" t="s">
        <v>736</v>
      </c>
      <c r="D44" s="567">
        <f t="shared" si="12"/>
        <v>0</v>
      </c>
      <c r="E44" s="567">
        <f t="shared" si="13"/>
        <v>0</v>
      </c>
      <c r="F44" s="567">
        <f t="shared" si="13"/>
        <v>4764.9880000000003</v>
      </c>
      <c r="G44" s="567">
        <f t="shared" si="13"/>
        <v>1136.4425108190369</v>
      </c>
      <c r="H44" s="567">
        <f t="shared" si="13"/>
        <v>0</v>
      </c>
      <c r="I44" s="567">
        <f t="shared" si="13"/>
        <v>0</v>
      </c>
      <c r="J44" s="567">
        <f t="shared" si="13"/>
        <v>4798.6499999999996</v>
      </c>
      <c r="K44" s="567">
        <f t="shared" si="13"/>
        <v>493.8100000000004</v>
      </c>
      <c r="L44" s="567">
        <f t="shared" si="13"/>
        <v>0</v>
      </c>
      <c r="M44" s="567">
        <f t="shared" si="13"/>
        <v>0</v>
      </c>
      <c r="N44" s="567">
        <f t="shared" si="13"/>
        <v>13799.641101087363</v>
      </c>
      <c r="O44" s="567">
        <f t="shared" si="13"/>
        <v>1383.6485358654263</v>
      </c>
      <c r="P44" s="567">
        <f t="shared" si="13"/>
        <v>0</v>
      </c>
      <c r="Q44" s="567">
        <f t="shared" si="13"/>
        <v>0</v>
      </c>
      <c r="R44" s="567">
        <f t="shared" si="13"/>
        <v>22570.311122314717</v>
      </c>
      <c r="S44" s="567">
        <f t="shared" si="13"/>
        <v>2263.0572570439631</v>
      </c>
      <c r="T44" s="567">
        <f t="shared" si="13"/>
        <v>0</v>
      </c>
      <c r="U44" s="567">
        <f t="shared" si="13"/>
        <v>0</v>
      </c>
      <c r="V44" s="567">
        <f t="shared" si="13"/>
        <v>29818.916243054951</v>
      </c>
      <c r="W44" s="567">
        <f t="shared" si="13"/>
        <v>2989.8531054945847</v>
      </c>
      <c r="X44" s="567">
        <f t="shared" si="13"/>
        <v>0</v>
      </c>
      <c r="Y44" s="567">
        <f t="shared" si="13"/>
        <v>0</v>
      </c>
      <c r="Z44" s="567">
        <f t="shared" si="13"/>
        <v>39571.837826129748</v>
      </c>
      <c r="AA44" s="567">
        <f t="shared" si="13"/>
        <v>3967.7492384431744</v>
      </c>
      <c r="AB44" s="567">
        <f t="shared" si="13"/>
        <v>0</v>
      </c>
      <c r="AC44" s="567">
        <f t="shared" si="13"/>
        <v>0</v>
      </c>
      <c r="AD44" s="567">
        <f t="shared" si="13"/>
        <v>41657.427780037382</v>
      </c>
      <c r="AE44" s="567">
        <f t="shared" si="13"/>
        <v>4176.8650745001396</v>
      </c>
      <c r="AF44" s="567">
        <f t="shared" si="13"/>
        <v>0</v>
      </c>
      <c r="AG44" s="567">
        <f t="shared" si="13"/>
        <v>0</v>
      </c>
      <c r="AH44" s="567">
        <f t="shared" si="13"/>
        <v>31334.661273533155</v>
      </c>
      <c r="AI44" s="567">
        <f t="shared" si="13"/>
        <v>3141.832303852229</v>
      </c>
      <c r="AJ44" s="567">
        <f t="shared" si="13"/>
        <v>0</v>
      </c>
      <c r="AK44" s="567">
        <f t="shared" si="13"/>
        <v>0</v>
      </c>
      <c r="AL44" s="567">
        <f t="shared" ref="AL44:AW44" si="18">AL24*AL34</f>
        <v>48700.64415499015</v>
      </c>
      <c r="AM44" s="567">
        <f t="shared" si="18"/>
        <v>4883.0672107440232</v>
      </c>
      <c r="AN44" s="567">
        <f t="shared" si="18"/>
        <v>0</v>
      </c>
      <c r="AO44" s="567">
        <f t="shared" si="18"/>
        <v>0</v>
      </c>
      <c r="AP44" s="567">
        <f t="shared" si="18"/>
        <v>40884.182825201729</v>
      </c>
      <c r="AQ44" s="567">
        <f t="shared" si="18"/>
        <v>4099.3341270076453</v>
      </c>
      <c r="AR44" s="567">
        <f t="shared" si="18"/>
        <v>0</v>
      </c>
      <c r="AS44" s="567">
        <f t="shared" si="18"/>
        <v>0</v>
      </c>
      <c r="AT44" s="567">
        <f t="shared" si="18"/>
        <v>42026.441951279914</v>
      </c>
      <c r="AU44" s="567">
        <f t="shared" si="18"/>
        <v>4213.8650163111688</v>
      </c>
      <c r="AV44" s="567">
        <f t="shared" si="18"/>
        <v>0</v>
      </c>
      <c r="AW44" s="567">
        <f t="shared" si="18"/>
        <v>0</v>
      </c>
    </row>
    <row r="45" spans="2:49">
      <c r="B45" s="583" t="s">
        <v>86</v>
      </c>
      <c r="C45" s="600" t="s">
        <v>736</v>
      </c>
      <c r="D45" s="567">
        <f t="shared" si="12"/>
        <v>0</v>
      </c>
      <c r="E45" s="567">
        <f t="shared" si="13"/>
        <v>2284.4237009735189</v>
      </c>
      <c r="F45" s="567">
        <f t="shared" si="13"/>
        <v>0</v>
      </c>
      <c r="G45" s="567">
        <f t="shared" si="13"/>
        <v>0</v>
      </c>
      <c r="H45" s="567">
        <f t="shared" si="13"/>
        <v>0</v>
      </c>
      <c r="I45" s="567">
        <f t="shared" si="13"/>
        <v>227.13</v>
      </c>
      <c r="J45" s="567">
        <f t="shared" si="13"/>
        <v>0</v>
      </c>
      <c r="K45" s="567">
        <f t="shared" si="13"/>
        <v>0</v>
      </c>
      <c r="L45" s="567">
        <f t="shared" si="13"/>
        <v>0</v>
      </c>
      <c r="M45" s="567">
        <f t="shared" si="13"/>
        <v>1096.6191603303962</v>
      </c>
      <c r="N45" s="567">
        <f t="shared" si="13"/>
        <v>0</v>
      </c>
      <c r="O45" s="567">
        <f t="shared" si="13"/>
        <v>0</v>
      </c>
      <c r="P45" s="567">
        <f t="shared" si="13"/>
        <v>0</v>
      </c>
      <c r="Q45" s="567">
        <f t="shared" si="13"/>
        <v>1132.039959209068</v>
      </c>
      <c r="R45" s="567">
        <f t="shared" si="13"/>
        <v>0</v>
      </c>
      <c r="S45" s="567">
        <f t="shared" si="13"/>
        <v>0</v>
      </c>
      <c r="T45" s="567">
        <f t="shared" si="13"/>
        <v>0</v>
      </c>
      <c r="U45" s="567">
        <f t="shared" si="13"/>
        <v>1433.9279111480046</v>
      </c>
      <c r="V45" s="567">
        <f t="shared" si="13"/>
        <v>0</v>
      </c>
      <c r="W45" s="567">
        <f t="shared" si="13"/>
        <v>0</v>
      </c>
      <c r="X45" s="567">
        <f t="shared" si="13"/>
        <v>0</v>
      </c>
      <c r="Y45" s="567">
        <f t="shared" si="13"/>
        <v>2573.3049689168074</v>
      </c>
      <c r="Z45" s="567">
        <f t="shared" si="13"/>
        <v>0</v>
      </c>
      <c r="AA45" s="567">
        <f t="shared" si="13"/>
        <v>0</v>
      </c>
      <c r="AB45" s="567">
        <f t="shared" si="13"/>
        <v>0</v>
      </c>
      <c r="AC45" s="567">
        <f t="shared" si="13"/>
        <v>4188.7431150287784</v>
      </c>
      <c r="AD45" s="567">
        <f t="shared" si="13"/>
        <v>0</v>
      </c>
      <c r="AE45" s="567">
        <f t="shared" si="13"/>
        <v>0</v>
      </c>
      <c r="AF45" s="567">
        <f t="shared" si="13"/>
        <v>0</v>
      </c>
      <c r="AG45" s="567">
        <f t="shared" si="13"/>
        <v>4948.159875261963</v>
      </c>
      <c r="AH45" s="567">
        <f t="shared" si="13"/>
        <v>0</v>
      </c>
      <c r="AI45" s="567">
        <f t="shared" si="13"/>
        <v>0</v>
      </c>
      <c r="AJ45" s="567">
        <f t="shared" si="13"/>
        <v>0</v>
      </c>
      <c r="AK45" s="567">
        <f t="shared" si="13"/>
        <v>4632.1357728837784</v>
      </c>
      <c r="AL45" s="567">
        <f t="shared" ref="AL45:AW45" si="19">AL25*AL35</f>
        <v>0</v>
      </c>
      <c r="AM45" s="567">
        <f t="shared" si="19"/>
        <v>0</v>
      </c>
      <c r="AN45" s="567">
        <f t="shared" si="19"/>
        <v>0</v>
      </c>
      <c r="AO45" s="567">
        <f t="shared" si="19"/>
        <v>6258.0279823794617</v>
      </c>
      <c r="AP45" s="567">
        <f t="shared" si="19"/>
        <v>0</v>
      </c>
      <c r="AQ45" s="567">
        <f t="shared" si="19"/>
        <v>0</v>
      </c>
      <c r="AR45" s="567">
        <f t="shared" si="19"/>
        <v>0</v>
      </c>
      <c r="AS45" s="567">
        <f t="shared" si="19"/>
        <v>4714.4672787917343</v>
      </c>
      <c r="AT45" s="567">
        <f t="shared" si="19"/>
        <v>0</v>
      </c>
      <c r="AU45" s="567">
        <f t="shared" si="19"/>
        <v>0</v>
      </c>
      <c r="AV45" s="567">
        <f t="shared" si="19"/>
        <v>0</v>
      </c>
      <c r="AW45" s="567">
        <f t="shared" si="19"/>
        <v>6639.1418865063715</v>
      </c>
    </row>
    <row r="46" spans="2:49">
      <c r="B46" s="583" t="s">
        <v>87</v>
      </c>
      <c r="C46" s="600" t="s">
        <v>736</v>
      </c>
      <c r="D46" s="567">
        <f t="shared" si="12"/>
        <v>0</v>
      </c>
      <c r="E46" s="567">
        <f t="shared" si="13"/>
        <v>0</v>
      </c>
      <c r="F46" s="567">
        <f t="shared" si="13"/>
        <v>20345.555999999997</v>
      </c>
      <c r="G46" s="567">
        <f t="shared" si="13"/>
        <v>1807.38</v>
      </c>
      <c r="H46" s="567">
        <f t="shared" si="13"/>
        <v>9.2729999999999997</v>
      </c>
      <c r="I46" s="567">
        <f t="shared" si="13"/>
        <v>0</v>
      </c>
      <c r="J46" s="567">
        <f t="shared" si="13"/>
        <v>15141.399999999998</v>
      </c>
      <c r="K46" s="567">
        <f t="shared" si="13"/>
        <v>2413.87</v>
      </c>
      <c r="L46" s="567">
        <f t="shared" si="13"/>
        <v>0</v>
      </c>
      <c r="M46" s="567">
        <f t="shared" si="13"/>
        <v>0</v>
      </c>
      <c r="N46" s="567">
        <f t="shared" si="13"/>
        <v>15630.467219999997</v>
      </c>
      <c r="O46" s="567">
        <f t="shared" si="13"/>
        <v>2491.8380010000001</v>
      </c>
      <c r="P46" s="567">
        <f t="shared" si="13"/>
        <v>0</v>
      </c>
      <c r="Q46" s="567">
        <f t="shared" si="13"/>
        <v>0</v>
      </c>
      <c r="R46" s="567">
        <f t="shared" si="13"/>
        <v>16219.735834193998</v>
      </c>
      <c r="S46" s="567">
        <f t="shared" si="13"/>
        <v>2585.7802936377002</v>
      </c>
      <c r="T46" s="567">
        <f t="shared" si="13"/>
        <v>0</v>
      </c>
      <c r="U46" s="567">
        <f t="shared" si="13"/>
        <v>0</v>
      </c>
      <c r="V46" s="567">
        <f t="shared" si="13"/>
        <v>16892.854871313051</v>
      </c>
      <c r="W46" s="567">
        <f t="shared" si="13"/>
        <v>2693.090175823665</v>
      </c>
      <c r="X46" s="567">
        <f t="shared" si="13"/>
        <v>0</v>
      </c>
      <c r="Y46" s="567">
        <f t="shared" si="13"/>
        <v>0</v>
      </c>
      <c r="Z46" s="567">
        <f t="shared" si="13"/>
        <v>17399.640517452444</v>
      </c>
      <c r="AA46" s="567">
        <f t="shared" si="13"/>
        <v>2773.8828810983755</v>
      </c>
      <c r="AB46" s="567">
        <f t="shared" si="13"/>
        <v>0</v>
      </c>
      <c r="AC46" s="567">
        <f t="shared" si="13"/>
        <v>0</v>
      </c>
      <c r="AD46" s="567">
        <f t="shared" si="13"/>
        <v>17921.629732976016</v>
      </c>
      <c r="AE46" s="567">
        <f t="shared" si="13"/>
        <v>2857.0993675313266</v>
      </c>
      <c r="AF46" s="567">
        <f t="shared" si="13"/>
        <v>0</v>
      </c>
      <c r="AG46" s="567">
        <f t="shared" si="13"/>
        <v>0</v>
      </c>
      <c r="AH46" s="567">
        <f t="shared" si="13"/>
        <v>18459.2786249653</v>
      </c>
      <c r="AI46" s="567">
        <f t="shared" si="13"/>
        <v>2942.8123485572664</v>
      </c>
      <c r="AJ46" s="567">
        <f t="shared" si="13"/>
        <v>0</v>
      </c>
      <c r="AK46" s="567">
        <f t="shared" si="13"/>
        <v>0</v>
      </c>
      <c r="AL46" s="567">
        <f t="shared" ref="AL46:AW46" si="20">AL26*AL36</f>
        <v>19013.056983714258</v>
      </c>
      <c r="AM46" s="567">
        <f t="shared" si="20"/>
        <v>3031.0967190139845</v>
      </c>
      <c r="AN46" s="567">
        <f t="shared" si="20"/>
        <v>0</v>
      </c>
      <c r="AO46" s="567">
        <f t="shared" si="20"/>
        <v>0</v>
      </c>
      <c r="AP46" s="567">
        <f t="shared" si="20"/>
        <v>19583.448693225684</v>
      </c>
      <c r="AQ46" s="567">
        <f t="shared" si="20"/>
        <v>3122.0296205844038</v>
      </c>
      <c r="AR46" s="567">
        <f t="shared" si="20"/>
        <v>0</v>
      </c>
      <c r="AS46" s="567">
        <f t="shared" si="20"/>
        <v>0</v>
      </c>
      <c r="AT46" s="567">
        <f t="shared" si="20"/>
        <v>20170.952154022456</v>
      </c>
      <c r="AU46" s="567">
        <f t="shared" si="20"/>
        <v>3215.690509201936</v>
      </c>
      <c r="AV46" s="567">
        <f t="shared" si="20"/>
        <v>0</v>
      </c>
      <c r="AW46" s="567">
        <f t="shared" si="20"/>
        <v>0</v>
      </c>
    </row>
    <row r="47" spans="2:49">
      <c r="B47" s="583" t="s">
        <v>699</v>
      </c>
      <c r="C47" s="600" t="s">
        <v>736</v>
      </c>
      <c r="D47" s="567">
        <f t="shared" si="12"/>
        <v>0</v>
      </c>
      <c r="E47" s="567">
        <f t="shared" si="13"/>
        <v>23.75</v>
      </c>
      <c r="F47" s="567">
        <f t="shared" si="13"/>
        <v>0</v>
      </c>
      <c r="G47" s="567">
        <f t="shared" si="13"/>
        <v>1351.04</v>
      </c>
      <c r="H47" s="567">
        <f t="shared" si="13"/>
        <v>0</v>
      </c>
      <c r="I47" s="567">
        <f t="shared" si="13"/>
        <v>0</v>
      </c>
      <c r="J47" s="567">
        <f t="shared" si="13"/>
        <v>1379.62</v>
      </c>
      <c r="K47" s="567">
        <f t="shared" si="13"/>
        <v>0</v>
      </c>
      <c r="L47" s="567">
        <f t="shared" si="13"/>
        <v>0</v>
      </c>
      <c r="M47" s="567">
        <f t="shared" si="13"/>
        <v>0</v>
      </c>
      <c r="N47" s="567">
        <f t="shared" si="13"/>
        <v>0</v>
      </c>
      <c r="O47" s="567">
        <f t="shared" si="13"/>
        <v>0</v>
      </c>
      <c r="P47" s="567">
        <f t="shared" si="13"/>
        <v>0</v>
      </c>
      <c r="Q47" s="567">
        <f t="shared" si="13"/>
        <v>0</v>
      </c>
      <c r="R47" s="567">
        <f t="shared" si="13"/>
        <v>0</v>
      </c>
      <c r="S47" s="567">
        <f t="shared" si="13"/>
        <v>0</v>
      </c>
      <c r="T47" s="567">
        <f t="shared" si="13"/>
        <v>0</v>
      </c>
      <c r="U47" s="567">
        <f t="shared" si="13"/>
        <v>0</v>
      </c>
      <c r="V47" s="567">
        <f t="shared" si="13"/>
        <v>0</v>
      </c>
      <c r="W47" s="567">
        <f t="shared" si="13"/>
        <v>0</v>
      </c>
      <c r="X47" s="567">
        <f t="shared" si="13"/>
        <v>0</v>
      </c>
      <c r="Y47" s="567">
        <f t="shared" si="13"/>
        <v>0</v>
      </c>
      <c r="Z47" s="567">
        <f t="shared" si="13"/>
        <v>0</v>
      </c>
      <c r="AA47" s="567">
        <f t="shared" si="13"/>
        <v>0</v>
      </c>
      <c r="AB47" s="567">
        <f t="shared" si="13"/>
        <v>0</v>
      </c>
      <c r="AC47" s="567">
        <f t="shared" si="13"/>
        <v>0</v>
      </c>
      <c r="AD47" s="567">
        <f t="shared" si="13"/>
        <v>0</v>
      </c>
      <c r="AE47" s="567">
        <f t="shared" si="13"/>
        <v>0</v>
      </c>
      <c r="AF47" s="567">
        <f t="shared" si="13"/>
        <v>0</v>
      </c>
      <c r="AG47" s="567">
        <f t="shared" si="13"/>
        <v>0</v>
      </c>
      <c r="AH47" s="567">
        <f t="shared" si="13"/>
        <v>0</v>
      </c>
      <c r="AI47" s="567">
        <f t="shared" si="13"/>
        <v>0</v>
      </c>
      <c r="AJ47" s="567">
        <f t="shared" si="13"/>
        <v>0</v>
      </c>
      <c r="AK47" s="567">
        <f t="shared" si="13"/>
        <v>0</v>
      </c>
      <c r="AL47" s="567">
        <f t="shared" ref="AL47:AW47" si="21">AL27*AL37</f>
        <v>0</v>
      </c>
      <c r="AM47" s="567">
        <f t="shared" si="21"/>
        <v>0</v>
      </c>
      <c r="AN47" s="567">
        <f t="shared" si="21"/>
        <v>0</v>
      </c>
      <c r="AO47" s="567">
        <f t="shared" si="21"/>
        <v>0</v>
      </c>
      <c r="AP47" s="567">
        <f t="shared" si="21"/>
        <v>0</v>
      </c>
      <c r="AQ47" s="567">
        <f t="shared" si="21"/>
        <v>0</v>
      </c>
      <c r="AR47" s="567">
        <f t="shared" si="21"/>
        <v>0</v>
      </c>
      <c r="AS47" s="567">
        <f t="shared" si="21"/>
        <v>0</v>
      </c>
      <c r="AT47" s="567">
        <f t="shared" si="21"/>
        <v>0</v>
      </c>
      <c r="AU47" s="567">
        <f t="shared" si="21"/>
        <v>0</v>
      </c>
      <c r="AV47" s="567">
        <f t="shared" si="21"/>
        <v>0</v>
      </c>
      <c r="AW47" s="567">
        <f t="shared" si="21"/>
        <v>0</v>
      </c>
    </row>
    <row r="48" spans="2:49">
      <c r="B48" s="583" t="s">
        <v>151</v>
      </c>
      <c r="C48" s="600" t="s">
        <v>736</v>
      </c>
      <c r="D48" s="567">
        <f t="shared" si="12"/>
        <v>0</v>
      </c>
      <c r="E48" s="567">
        <f t="shared" si="13"/>
        <v>5257.0309886192226</v>
      </c>
      <c r="F48" s="567">
        <f t="shared" si="13"/>
        <v>0</v>
      </c>
      <c r="G48" s="567">
        <f t="shared" si="13"/>
        <v>0</v>
      </c>
      <c r="H48" s="567">
        <f t="shared" si="13"/>
        <v>0</v>
      </c>
      <c r="I48" s="567">
        <f t="shared" si="13"/>
        <v>4329.4699999999993</v>
      </c>
      <c r="J48" s="567">
        <f t="shared" si="13"/>
        <v>0</v>
      </c>
      <c r="K48" s="567">
        <f t="shared" si="13"/>
        <v>0</v>
      </c>
      <c r="L48" s="567">
        <f t="shared" si="13"/>
        <v>0</v>
      </c>
      <c r="M48" s="567">
        <f t="shared" si="13"/>
        <v>0</v>
      </c>
      <c r="N48" s="567">
        <f t="shared" si="13"/>
        <v>0</v>
      </c>
      <c r="O48" s="567">
        <f t="shared" si="13"/>
        <v>0</v>
      </c>
      <c r="P48" s="567">
        <f t="shared" si="13"/>
        <v>0</v>
      </c>
      <c r="Q48" s="567">
        <f t="shared" si="13"/>
        <v>0</v>
      </c>
      <c r="R48" s="567">
        <f t="shared" si="13"/>
        <v>0</v>
      </c>
      <c r="S48" s="567">
        <f t="shared" si="13"/>
        <v>0</v>
      </c>
      <c r="T48" s="567">
        <f t="shared" si="13"/>
        <v>0</v>
      </c>
      <c r="U48" s="567">
        <f t="shared" si="13"/>
        <v>0</v>
      </c>
      <c r="V48" s="567">
        <f t="shared" si="13"/>
        <v>0</v>
      </c>
      <c r="W48" s="567">
        <f t="shared" si="13"/>
        <v>0</v>
      </c>
      <c r="X48" s="567">
        <f t="shared" si="13"/>
        <v>0</v>
      </c>
      <c r="Y48" s="567">
        <f t="shared" si="13"/>
        <v>0</v>
      </c>
      <c r="Z48" s="567">
        <f t="shared" si="13"/>
        <v>0</v>
      </c>
      <c r="AA48" s="567">
        <f t="shared" si="13"/>
        <v>0</v>
      </c>
      <c r="AB48" s="567">
        <f t="shared" si="13"/>
        <v>0</v>
      </c>
      <c r="AC48" s="567">
        <f t="shared" si="13"/>
        <v>0</v>
      </c>
      <c r="AD48" s="567">
        <f t="shared" si="13"/>
        <v>0</v>
      </c>
      <c r="AE48" s="567">
        <f t="shared" si="13"/>
        <v>0</v>
      </c>
      <c r="AF48" s="567">
        <f t="shared" si="13"/>
        <v>0</v>
      </c>
      <c r="AG48" s="567">
        <f t="shared" si="13"/>
        <v>0</v>
      </c>
      <c r="AH48" s="567">
        <f t="shared" si="13"/>
        <v>0</v>
      </c>
      <c r="AI48" s="567">
        <f t="shared" si="13"/>
        <v>0</v>
      </c>
      <c r="AJ48" s="567">
        <f t="shared" si="13"/>
        <v>0</v>
      </c>
      <c r="AK48" s="567">
        <f t="shared" si="13"/>
        <v>0</v>
      </c>
      <c r="AL48" s="567">
        <f t="shared" ref="AL48:AW48" si="22">AL28*AL38</f>
        <v>0</v>
      </c>
      <c r="AM48" s="567">
        <f t="shared" si="22"/>
        <v>0</v>
      </c>
      <c r="AN48" s="567">
        <f t="shared" si="22"/>
        <v>0</v>
      </c>
      <c r="AO48" s="567">
        <f t="shared" si="22"/>
        <v>0</v>
      </c>
      <c r="AP48" s="567">
        <f t="shared" si="22"/>
        <v>0</v>
      </c>
      <c r="AQ48" s="567">
        <f t="shared" si="22"/>
        <v>0</v>
      </c>
      <c r="AR48" s="567">
        <f t="shared" si="22"/>
        <v>0</v>
      </c>
      <c r="AS48" s="567">
        <f t="shared" si="22"/>
        <v>0</v>
      </c>
      <c r="AT48" s="567">
        <f t="shared" si="22"/>
        <v>0</v>
      </c>
      <c r="AU48" s="567">
        <f t="shared" si="22"/>
        <v>0</v>
      </c>
      <c r="AV48" s="567">
        <f t="shared" si="22"/>
        <v>0</v>
      </c>
      <c r="AW48" s="567">
        <f t="shared" si="22"/>
        <v>0</v>
      </c>
    </row>
    <row r="49" spans="1:49">
      <c r="B49" s="568" t="s">
        <v>106</v>
      </c>
      <c r="C49" s="600" t="s">
        <v>736</v>
      </c>
      <c r="D49" s="744">
        <v>130.15833333332557</v>
      </c>
      <c r="E49" s="744">
        <v>165.08748034517339</v>
      </c>
      <c r="F49" s="744">
        <v>117.61300000001211</v>
      </c>
      <c r="G49" s="744">
        <v>-37.31851081905188</v>
      </c>
      <c r="H49" s="744">
        <v>630.45700000002398</v>
      </c>
      <c r="I49" s="744">
        <v>338.30999999996857</v>
      </c>
      <c r="J49" s="567">
        <f>SUM(J41:J48)*0.2%</f>
        <v>107.85574000000001</v>
      </c>
      <c r="K49" s="567">
        <f t="shared" ref="K49:AW49" si="23">SUM(K41:K48)*0.2%</f>
        <v>193.47741739999992</v>
      </c>
      <c r="L49" s="567">
        <f t="shared" si="23"/>
        <v>289.03000000000003</v>
      </c>
      <c r="M49" s="567">
        <f t="shared" si="23"/>
        <v>371.20476658617741</v>
      </c>
      <c r="N49" s="567">
        <f t="shared" si="23"/>
        <v>160.89836524582552</v>
      </c>
      <c r="O49" s="567">
        <f t="shared" si="23"/>
        <v>207.08533443473439</v>
      </c>
      <c r="P49" s="567">
        <f t="shared" si="23"/>
        <v>856.78214050004897</v>
      </c>
      <c r="Q49" s="567">
        <f t="shared" si="23"/>
        <v>388.6589329287259</v>
      </c>
      <c r="R49" s="567">
        <f t="shared" si="23"/>
        <v>175.9909983380355</v>
      </c>
      <c r="S49" s="567">
        <f t="shared" si="23"/>
        <v>241.51819353521824</v>
      </c>
      <c r="T49" s="567">
        <f t="shared" si="23"/>
        <v>888.01638531599519</v>
      </c>
      <c r="U49" s="567">
        <f t="shared" si="23"/>
        <v>403.34884679470201</v>
      </c>
      <c r="V49" s="567">
        <f t="shared" si="23"/>
        <v>252.15028518035868</v>
      </c>
      <c r="W49" s="567">
        <f t="shared" si="23"/>
        <v>470.90740549711251</v>
      </c>
      <c r="X49" s="567">
        <f t="shared" si="23"/>
        <v>921.49460304240836</v>
      </c>
      <c r="Y49" s="567">
        <f t="shared" si="23"/>
        <v>420.72573426989936</v>
      </c>
      <c r="Z49" s="567">
        <f t="shared" si="23"/>
        <v>239.97585923299368</v>
      </c>
      <c r="AA49" s="567">
        <f t="shared" si="23"/>
        <v>339.09413196140872</v>
      </c>
      <c r="AB49" s="567">
        <f t="shared" si="23"/>
        <v>959.73662906866832</v>
      </c>
      <c r="AC49" s="567">
        <f t="shared" si="23"/>
        <v>441.20314422190404</v>
      </c>
      <c r="AD49" s="567">
        <f t="shared" si="23"/>
        <v>328.82563374259178</v>
      </c>
      <c r="AE49" s="567">
        <f t="shared" si="23"/>
        <v>661.24417546854352</v>
      </c>
      <c r="AF49" s="567">
        <f t="shared" si="23"/>
        <v>988.52872794072846</v>
      </c>
      <c r="AG49" s="567">
        <f t="shared" si="23"/>
        <v>455.70674748212588</v>
      </c>
      <c r="AH49" s="567">
        <f t="shared" si="23"/>
        <v>228.44558859300921</v>
      </c>
      <c r="AI49" s="567">
        <f t="shared" si="23"/>
        <v>338.84309168376251</v>
      </c>
      <c r="AJ49" s="567">
        <f t="shared" si="23"/>
        <v>1018.1845897789505</v>
      </c>
      <c r="AK49" s="567">
        <f t="shared" si="23"/>
        <v>468.44901210931761</v>
      </c>
      <c r="AL49" s="567">
        <f t="shared" si="23"/>
        <v>340.86470906222957</v>
      </c>
      <c r="AM49" s="567">
        <f t="shared" si="23"/>
        <v>635.73887429883939</v>
      </c>
      <c r="AN49" s="567">
        <f t="shared" si="23"/>
        <v>1048.7301274723191</v>
      </c>
      <c r="AO49" s="567">
        <f t="shared" si="23"/>
        <v>485.47633874521546</v>
      </c>
      <c r="AP49" s="567">
        <f t="shared" si="23"/>
        <v>258.87843930571034</v>
      </c>
      <c r="AQ49" s="567">
        <f t="shared" si="23"/>
        <v>367.70682452401542</v>
      </c>
      <c r="AR49" s="567">
        <f t="shared" si="23"/>
        <v>1080.1920312964887</v>
      </c>
      <c r="AS49" s="567">
        <f t="shared" si="23"/>
        <v>496.57802582145371</v>
      </c>
      <c r="AT49" s="567">
        <f t="shared" si="23"/>
        <v>335.51572246444584</v>
      </c>
      <c r="AU49" s="567">
        <f t="shared" si="23"/>
        <v>644.44658767426449</v>
      </c>
      <c r="AV49" s="567">
        <f t="shared" si="23"/>
        <v>1112.5977922353834</v>
      </c>
      <c r="AW49" s="567">
        <f t="shared" si="23"/>
        <v>515.04184777479907</v>
      </c>
    </row>
    <row r="50" spans="1:49">
      <c r="B50" s="573"/>
      <c r="C50" s="598"/>
      <c r="D50" s="576"/>
      <c r="E50" s="576"/>
      <c r="F50" s="576"/>
      <c r="G50" s="576"/>
      <c r="H50" s="576"/>
      <c r="I50" s="576"/>
      <c r="J50" s="573"/>
      <c r="K50" s="573"/>
      <c r="M50" s="572"/>
    </row>
    <row r="51" spans="1:49">
      <c r="B51" s="593" t="s">
        <v>739</v>
      </c>
      <c r="C51" s="602" t="s">
        <v>736</v>
      </c>
      <c r="D51" s="592">
        <f>SUM(D52:D54)</f>
        <v>88990</v>
      </c>
      <c r="E51" s="592">
        <f t="shared" ref="E51:AW51" si="24">SUM(E52:E54)</f>
        <v>66871</v>
      </c>
      <c r="F51" s="592">
        <f t="shared" si="24"/>
        <v>111521</v>
      </c>
      <c r="G51" s="592">
        <f t="shared" si="24"/>
        <v>264322</v>
      </c>
      <c r="H51" s="592">
        <f t="shared" si="24"/>
        <v>222005</v>
      </c>
      <c r="I51" s="592">
        <f t="shared" si="24"/>
        <v>84337</v>
      </c>
      <c r="J51" s="592">
        <f t="shared" si="24"/>
        <v>54035.725739999994</v>
      </c>
      <c r="K51" s="592">
        <f t="shared" si="24"/>
        <v>96932.186117399964</v>
      </c>
      <c r="L51" s="592">
        <f t="shared" si="24"/>
        <v>144804.03</v>
      </c>
      <c r="M51" s="592">
        <f t="shared" si="24"/>
        <v>185973.58805967489</v>
      </c>
      <c r="N51" s="592">
        <f t="shared" si="24"/>
        <v>80610.080988158603</v>
      </c>
      <c r="O51" s="592">
        <f t="shared" si="24"/>
        <v>103749.75255180194</v>
      </c>
      <c r="P51" s="592">
        <f t="shared" si="24"/>
        <v>429247.85239052452</v>
      </c>
      <c r="Q51" s="592">
        <f t="shared" si="24"/>
        <v>194718.12539729167</v>
      </c>
      <c r="R51" s="592">
        <f t="shared" si="24"/>
        <v>88171.490167355776</v>
      </c>
      <c r="S51" s="592">
        <f t="shared" si="24"/>
        <v>121000.61496114434</v>
      </c>
      <c r="T51" s="592">
        <f t="shared" si="24"/>
        <v>444896.20904331357</v>
      </c>
      <c r="U51" s="592">
        <f t="shared" si="24"/>
        <v>202077.77224414569</v>
      </c>
      <c r="V51" s="592">
        <f t="shared" si="24"/>
        <v>126327.29287535971</v>
      </c>
      <c r="W51" s="592">
        <f t="shared" si="24"/>
        <v>235924.61015405337</v>
      </c>
      <c r="X51" s="592">
        <f t="shared" si="24"/>
        <v>461668.79612424661</v>
      </c>
      <c r="Y51" s="592">
        <f t="shared" si="24"/>
        <v>210783.59286921957</v>
      </c>
      <c r="Z51" s="592">
        <f t="shared" si="24"/>
        <v>120227.90547572984</v>
      </c>
      <c r="AA51" s="592">
        <f t="shared" si="24"/>
        <v>169886.16011266576</v>
      </c>
      <c r="AB51" s="592">
        <f t="shared" si="24"/>
        <v>480828.05116340285</v>
      </c>
      <c r="AC51" s="592">
        <f t="shared" si="24"/>
        <v>221042.77525517394</v>
      </c>
      <c r="AD51" s="592">
        <f t="shared" si="24"/>
        <v>164741.64250503844</v>
      </c>
      <c r="AE51" s="592">
        <f t="shared" si="24"/>
        <v>331283.33190974034</v>
      </c>
      <c r="AF51" s="592">
        <f t="shared" si="24"/>
        <v>495252.89269830496</v>
      </c>
      <c r="AG51" s="592">
        <f t="shared" si="24"/>
        <v>228309.08048854506</v>
      </c>
      <c r="AH51" s="592">
        <f t="shared" si="24"/>
        <v>114451.2398850976</v>
      </c>
      <c r="AI51" s="592">
        <f t="shared" si="24"/>
        <v>169760.38893356503</v>
      </c>
      <c r="AJ51" s="592">
        <f t="shared" si="24"/>
        <v>510110.47947925417</v>
      </c>
      <c r="AK51" s="592">
        <f t="shared" si="24"/>
        <v>234692.9550667681</v>
      </c>
      <c r="AL51" s="592">
        <f t="shared" si="24"/>
        <v>170773.21924017702</v>
      </c>
      <c r="AM51" s="592">
        <f t="shared" si="24"/>
        <v>318505.17602371849</v>
      </c>
      <c r="AN51" s="592">
        <f t="shared" si="24"/>
        <v>525413.79386363178</v>
      </c>
      <c r="AO51" s="592">
        <f t="shared" si="24"/>
        <v>243223.64571135293</v>
      </c>
      <c r="AP51" s="592">
        <f t="shared" si="24"/>
        <v>129698.09809216087</v>
      </c>
      <c r="AQ51" s="592">
        <f t="shared" si="24"/>
        <v>184221.11908653175</v>
      </c>
      <c r="AR51" s="592">
        <f t="shared" si="24"/>
        <v>541176.20767954073</v>
      </c>
      <c r="AS51" s="592">
        <f t="shared" si="24"/>
        <v>248785.59093654831</v>
      </c>
      <c r="AT51" s="592">
        <f t="shared" si="24"/>
        <v>168093.37695468738</v>
      </c>
      <c r="AU51" s="592">
        <f t="shared" si="24"/>
        <v>322867.74042480648</v>
      </c>
      <c r="AV51" s="592">
        <f t="shared" si="24"/>
        <v>557411.49390992709</v>
      </c>
      <c r="AW51" s="592">
        <f t="shared" si="24"/>
        <v>258035.96573517434</v>
      </c>
    </row>
    <row r="52" spans="1:49">
      <c r="B52" s="561" t="s">
        <v>738</v>
      </c>
      <c r="C52" s="600" t="s">
        <v>736</v>
      </c>
      <c r="D52" s="567">
        <f>D41+D42</f>
        <v>88859.841666666674</v>
      </c>
      <c r="E52" s="567">
        <f t="shared" ref="E52:AW52" si="25">E41+E42</f>
        <v>58515.708333333343</v>
      </c>
      <c r="F52" s="694">
        <f t="shared" si="25"/>
        <v>76000.152999999991</v>
      </c>
      <c r="G52" s="694">
        <f t="shared" si="25"/>
        <v>259775.22000000003</v>
      </c>
      <c r="H52" s="694">
        <f t="shared" si="25"/>
        <v>221365.27</v>
      </c>
      <c r="I52" s="694">
        <f t="shared" si="25"/>
        <v>79442.090000000026</v>
      </c>
      <c r="J52" s="694">
        <f t="shared" si="25"/>
        <v>25430.560000000005</v>
      </c>
      <c r="K52" s="694">
        <f t="shared" si="25"/>
        <v>93831.028699999966</v>
      </c>
      <c r="L52" s="694">
        <f t="shared" si="25"/>
        <v>144515</v>
      </c>
      <c r="M52" s="694">
        <f t="shared" si="25"/>
        <v>184505.76413275831</v>
      </c>
      <c r="N52" s="694">
        <f>N41+N42</f>
        <v>44045.988014479182</v>
      </c>
      <c r="O52" s="694">
        <f t="shared" si="25"/>
        <v>99667.18068050177</v>
      </c>
      <c r="P52" s="694">
        <f t="shared" si="25"/>
        <v>428391.0702500245</v>
      </c>
      <c r="Q52" s="694">
        <f t="shared" si="25"/>
        <v>193197.42650515388</v>
      </c>
      <c r="R52" s="694">
        <f t="shared" si="25"/>
        <v>48899.475688936887</v>
      </c>
      <c r="S52" s="694">
        <f t="shared" si="25"/>
        <v>115910.25921692746</v>
      </c>
      <c r="T52" s="694">
        <f t="shared" si="25"/>
        <v>444008.1926579976</v>
      </c>
      <c r="U52" s="694">
        <f t="shared" si="25"/>
        <v>200240.495486203</v>
      </c>
      <c r="V52" s="694">
        <f t="shared" si="25"/>
        <v>78943.653776732797</v>
      </c>
      <c r="W52" s="694">
        <f t="shared" si="25"/>
        <v>229770.75946723801</v>
      </c>
      <c r="X52" s="694">
        <f t="shared" si="25"/>
        <v>460747.30152120418</v>
      </c>
      <c r="Y52" s="694">
        <f t="shared" si="25"/>
        <v>207789.56216603288</v>
      </c>
      <c r="Z52" s="694">
        <f t="shared" si="25"/>
        <v>62516.09336776314</v>
      </c>
      <c r="AA52" s="694">
        <f t="shared" si="25"/>
        <v>162805.4338611628</v>
      </c>
      <c r="AB52" s="694">
        <f t="shared" si="25"/>
        <v>479868.31453433417</v>
      </c>
      <c r="AC52" s="694">
        <f t="shared" si="25"/>
        <v>216412.82899592325</v>
      </c>
      <c r="AD52" s="694">
        <f t="shared" si="25"/>
        <v>104545.15291859108</v>
      </c>
      <c r="AE52" s="694">
        <f t="shared" si="25"/>
        <v>323588.12329224031</v>
      </c>
      <c r="AF52" s="694">
        <f t="shared" si="25"/>
        <v>494264.36397036421</v>
      </c>
      <c r="AG52" s="694">
        <f t="shared" si="25"/>
        <v>222905.21386580096</v>
      </c>
      <c r="AH52" s="694">
        <f t="shared" si="25"/>
        <v>63906.517971656096</v>
      </c>
      <c r="AI52" s="694">
        <f t="shared" si="25"/>
        <v>163336.90118947177</v>
      </c>
      <c r="AJ52" s="694">
        <f t="shared" si="25"/>
        <v>509092.29488947522</v>
      </c>
      <c r="AK52" s="694">
        <f t="shared" si="25"/>
        <v>229592.37028177502</v>
      </c>
      <c r="AL52" s="694">
        <f t="shared" si="25"/>
        <v>102324.99008572217</v>
      </c>
      <c r="AM52" s="694">
        <f t="shared" si="25"/>
        <v>309955.27321966167</v>
      </c>
      <c r="AN52" s="694">
        <f t="shared" si="25"/>
        <v>524365.06373615947</v>
      </c>
      <c r="AO52" s="694">
        <f t="shared" si="25"/>
        <v>236480.14139022827</v>
      </c>
      <c r="AP52" s="694">
        <f t="shared" si="25"/>
        <v>68660.725343246304</v>
      </c>
      <c r="AQ52" s="694">
        <f t="shared" si="25"/>
        <v>176632.04851441568</v>
      </c>
      <c r="AR52" s="694">
        <f t="shared" si="25"/>
        <v>540096.0156482443</v>
      </c>
      <c r="AS52" s="694">
        <f t="shared" si="25"/>
        <v>243574.54563193512</v>
      </c>
      <c r="AT52" s="694">
        <f t="shared" si="25"/>
        <v>104940.97164719005</v>
      </c>
      <c r="AU52" s="694">
        <f t="shared" si="25"/>
        <v>314793.73831161909</v>
      </c>
      <c r="AV52" s="694">
        <f t="shared" si="25"/>
        <v>556298.89611769165</v>
      </c>
      <c r="AW52" s="694">
        <f t="shared" si="25"/>
        <v>250881.78200089317</v>
      </c>
    </row>
    <row r="53" spans="1:49">
      <c r="B53" s="561" t="s">
        <v>757</v>
      </c>
      <c r="C53" s="600" t="s">
        <v>736</v>
      </c>
      <c r="D53" s="567">
        <f>SUM(D43:D48)</f>
        <v>0</v>
      </c>
      <c r="E53" s="567">
        <f t="shared" ref="E53:AW53" si="26">SUM(E43:E48)</f>
        <v>8190.2041863214781</v>
      </c>
      <c r="F53" s="694">
        <f t="shared" si="26"/>
        <v>35403.233999999997</v>
      </c>
      <c r="G53" s="694">
        <f t="shared" si="26"/>
        <v>4584.0985108190371</v>
      </c>
      <c r="H53" s="694">
        <f t="shared" si="26"/>
        <v>9.2729999999999997</v>
      </c>
      <c r="I53" s="694">
        <f t="shared" si="26"/>
        <v>4556.5999999999995</v>
      </c>
      <c r="J53" s="694">
        <f t="shared" si="26"/>
        <v>28497.309999999994</v>
      </c>
      <c r="K53" s="694">
        <f t="shared" si="26"/>
        <v>2907.6800000000003</v>
      </c>
      <c r="L53" s="694">
        <f t="shared" si="26"/>
        <v>0</v>
      </c>
      <c r="M53" s="694">
        <f t="shared" si="26"/>
        <v>1096.6191603303962</v>
      </c>
      <c r="N53" s="694">
        <f t="shared" si="26"/>
        <v>36403.194608433587</v>
      </c>
      <c r="O53" s="694">
        <f t="shared" si="26"/>
        <v>3875.4865368654264</v>
      </c>
      <c r="P53" s="694">
        <f t="shared" si="26"/>
        <v>0</v>
      </c>
      <c r="Q53" s="694">
        <f t="shared" si="26"/>
        <v>1132.039959209068</v>
      </c>
      <c r="R53" s="694">
        <f t="shared" si="26"/>
        <v>39096.023480080854</v>
      </c>
      <c r="S53" s="694">
        <f t="shared" si="26"/>
        <v>4848.8375506816628</v>
      </c>
      <c r="T53" s="694">
        <f t="shared" si="26"/>
        <v>0</v>
      </c>
      <c r="U53" s="694">
        <f t="shared" si="26"/>
        <v>1433.9279111480046</v>
      </c>
      <c r="V53" s="694">
        <f t="shared" si="26"/>
        <v>47131.488813446558</v>
      </c>
      <c r="W53" s="694">
        <f t="shared" si="26"/>
        <v>5682.9432813182502</v>
      </c>
      <c r="X53" s="694">
        <f t="shared" si="26"/>
        <v>0</v>
      </c>
      <c r="Y53" s="694">
        <f t="shared" si="26"/>
        <v>2573.3049689168074</v>
      </c>
      <c r="Z53" s="694">
        <f t="shared" si="26"/>
        <v>57471.836248733714</v>
      </c>
      <c r="AA53" s="694">
        <f t="shared" si="26"/>
        <v>6741.6321195415494</v>
      </c>
      <c r="AB53" s="694">
        <f t="shared" si="26"/>
        <v>0</v>
      </c>
      <c r="AC53" s="694">
        <f t="shared" si="26"/>
        <v>4188.7431150287784</v>
      </c>
      <c r="AD53" s="694">
        <f t="shared" si="26"/>
        <v>59867.663952704796</v>
      </c>
      <c r="AE53" s="694">
        <f t="shared" si="26"/>
        <v>7033.9644420314662</v>
      </c>
      <c r="AF53" s="694">
        <f t="shared" si="26"/>
        <v>0</v>
      </c>
      <c r="AG53" s="694">
        <f t="shared" si="26"/>
        <v>4948.159875261963</v>
      </c>
      <c r="AH53" s="694">
        <f t="shared" si="26"/>
        <v>50316.276324848499</v>
      </c>
      <c r="AI53" s="694">
        <f t="shared" si="26"/>
        <v>6084.6446524094954</v>
      </c>
      <c r="AJ53" s="694">
        <f t="shared" si="26"/>
        <v>0</v>
      </c>
      <c r="AK53" s="694">
        <f t="shared" si="26"/>
        <v>4632.1357728837784</v>
      </c>
      <c r="AL53" s="694">
        <f t="shared" si="26"/>
        <v>68107.36444539261</v>
      </c>
      <c r="AM53" s="694">
        <f t="shared" si="26"/>
        <v>7914.1639297580077</v>
      </c>
      <c r="AN53" s="694">
        <f t="shared" si="26"/>
        <v>0</v>
      </c>
      <c r="AO53" s="694">
        <f t="shared" si="26"/>
        <v>6258.0279823794617</v>
      </c>
      <c r="AP53" s="694">
        <f t="shared" si="26"/>
        <v>60778.494309608861</v>
      </c>
      <c r="AQ53" s="694">
        <f t="shared" si="26"/>
        <v>7221.3637475920495</v>
      </c>
      <c r="AR53" s="694">
        <f t="shared" si="26"/>
        <v>0</v>
      </c>
      <c r="AS53" s="694">
        <f t="shared" si="26"/>
        <v>4714.4672787917343</v>
      </c>
      <c r="AT53" s="694">
        <f t="shared" si="26"/>
        <v>62816.889585032884</v>
      </c>
      <c r="AU53" s="694">
        <f t="shared" si="26"/>
        <v>7429.5555255131048</v>
      </c>
      <c r="AV53" s="694">
        <f t="shared" si="26"/>
        <v>0</v>
      </c>
      <c r="AW53" s="694">
        <f t="shared" si="26"/>
        <v>6639.1418865063715</v>
      </c>
    </row>
    <row r="54" spans="1:49">
      <c r="B54" s="564" t="s">
        <v>701</v>
      </c>
      <c r="C54" s="600" t="s">
        <v>736</v>
      </c>
      <c r="D54" s="567">
        <f>D49</f>
        <v>130.15833333332557</v>
      </c>
      <c r="E54" s="567">
        <f t="shared" ref="E54:AW54" si="27">E49</f>
        <v>165.08748034517339</v>
      </c>
      <c r="F54" s="567">
        <f t="shared" si="27"/>
        <v>117.61300000001211</v>
      </c>
      <c r="G54" s="567">
        <f t="shared" si="27"/>
        <v>-37.31851081905188</v>
      </c>
      <c r="H54" s="567">
        <f t="shared" si="27"/>
        <v>630.45700000002398</v>
      </c>
      <c r="I54" s="567">
        <f t="shared" si="27"/>
        <v>338.30999999996857</v>
      </c>
      <c r="J54" s="567">
        <f t="shared" si="27"/>
        <v>107.85574000000001</v>
      </c>
      <c r="K54" s="567">
        <f t="shared" si="27"/>
        <v>193.47741739999992</v>
      </c>
      <c r="L54" s="567">
        <f t="shared" si="27"/>
        <v>289.03000000000003</v>
      </c>
      <c r="M54" s="567">
        <f t="shared" si="27"/>
        <v>371.20476658617741</v>
      </c>
      <c r="N54" s="567">
        <f t="shared" si="27"/>
        <v>160.89836524582552</v>
      </c>
      <c r="O54" s="567">
        <f t="shared" si="27"/>
        <v>207.08533443473439</v>
      </c>
      <c r="P54" s="567">
        <f t="shared" si="27"/>
        <v>856.78214050004897</v>
      </c>
      <c r="Q54" s="567">
        <f t="shared" si="27"/>
        <v>388.6589329287259</v>
      </c>
      <c r="R54" s="567">
        <f t="shared" si="27"/>
        <v>175.9909983380355</v>
      </c>
      <c r="S54" s="567">
        <f t="shared" si="27"/>
        <v>241.51819353521824</v>
      </c>
      <c r="T54" s="567">
        <f t="shared" si="27"/>
        <v>888.01638531599519</v>
      </c>
      <c r="U54" s="567">
        <f t="shared" si="27"/>
        <v>403.34884679470201</v>
      </c>
      <c r="V54" s="567">
        <f t="shared" si="27"/>
        <v>252.15028518035868</v>
      </c>
      <c r="W54" s="567">
        <f t="shared" si="27"/>
        <v>470.90740549711251</v>
      </c>
      <c r="X54" s="567">
        <f t="shared" si="27"/>
        <v>921.49460304240836</v>
      </c>
      <c r="Y54" s="567">
        <f t="shared" si="27"/>
        <v>420.72573426989936</v>
      </c>
      <c r="Z54" s="567">
        <f t="shared" si="27"/>
        <v>239.97585923299368</v>
      </c>
      <c r="AA54" s="567">
        <f t="shared" si="27"/>
        <v>339.09413196140872</v>
      </c>
      <c r="AB54" s="567">
        <f t="shared" si="27"/>
        <v>959.73662906866832</v>
      </c>
      <c r="AC54" s="567">
        <f t="shared" si="27"/>
        <v>441.20314422190404</v>
      </c>
      <c r="AD54" s="567">
        <f t="shared" si="27"/>
        <v>328.82563374259178</v>
      </c>
      <c r="AE54" s="567">
        <f t="shared" si="27"/>
        <v>661.24417546854352</v>
      </c>
      <c r="AF54" s="567">
        <f t="shared" si="27"/>
        <v>988.52872794072846</v>
      </c>
      <c r="AG54" s="567">
        <f t="shared" si="27"/>
        <v>455.70674748212588</v>
      </c>
      <c r="AH54" s="567">
        <f t="shared" si="27"/>
        <v>228.44558859300921</v>
      </c>
      <c r="AI54" s="567">
        <f t="shared" si="27"/>
        <v>338.84309168376251</v>
      </c>
      <c r="AJ54" s="567">
        <f t="shared" si="27"/>
        <v>1018.1845897789505</v>
      </c>
      <c r="AK54" s="567">
        <f t="shared" si="27"/>
        <v>468.44901210931761</v>
      </c>
      <c r="AL54" s="567">
        <f t="shared" si="27"/>
        <v>340.86470906222957</v>
      </c>
      <c r="AM54" s="567">
        <f t="shared" si="27"/>
        <v>635.73887429883939</v>
      </c>
      <c r="AN54" s="567">
        <f t="shared" si="27"/>
        <v>1048.7301274723191</v>
      </c>
      <c r="AO54" s="567">
        <f t="shared" si="27"/>
        <v>485.47633874521546</v>
      </c>
      <c r="AP54" s="567">
        <f t="shared" si="27"/>
        <v>258.87843930571034</v>
      </c>
      <c r="AQ54" s="567">
        <f t="shared" si="27"/>
        <v>367.70682452401542</v>
      </c>
      <c r="AR54" s="567">
        <f t="shared" si="27"/>
        <v>1080.1920312964887</v>
      </c>
      <c r="AS54" s="567">
        <f t="shared" si="27"/>
        <v>496.57802582145371</v>
      </c>
      <c r="AT54" s="567">
        <f t="shared" si="27"/>
        <v>335.51572246444584</v>
      </c>
      <c r="AU54" s="567">
        <f t="shared" si="27"/>
        <v>644.44658767426449</v>
      </c>
      <c r="AV54" s="567">
        <f t="shared" si="27"/>
        <v>1112.5977922353834</v>
      </c>
      <c r="AW54" s="567">
        <f t="shared" si="27"/>
        <v>515.04184777479907</v>
      </c>
    </row>
    <row r="55" spans="1:49">
      <c r="A55" s="573"/>
      <c r="B55" s="573"/>
      <c r="C55" s="598"/>
      <c r="D55" s="573"/>
      <c r="E55" s="573"/>
      <c r="F55" s="573"/>
      <c r="G55" s="573"/>
      <c r="H55" s="573"/>
      <c r="I55" s="573"/>
      <c r="J55" s="573"/>
      <c r="K55" s="573"/>
      <c r="M55" s="572"/>
    </row>
    <row r="56" spans="1:49">
      <c r="B56" s="612" t="s">
        <v>747</v>
      </c>
      <c r="C56" s="602" t="s">
        <v>736</v>
      </c>
      <c r="D56" s="746">
        <v>52490</v>
      </c>
      <c r="E56" s="746">
        <v>33316</v>
      </c>
      <c r="F56" s="746">
        <v>84945</v>
      </c>
      <c r="G56" s="746">
        <v>183740</v>
      </c>
      <c r="H56" s="746">
        <v>86427.01513</v>
      </c>
      <c r="I56" s="746">
        <v>11101.088709999996</v>
      </c>
      <c r="J56" s="592">
        <f>J58*(J21+J22)</f>
        <v>42399.881999999991</v>
      </c>
      <c r="K56" s="592">
        <f>K58*(K21+K22)</f>
        <v>105944.3469</v>
      </c>
      <c r="L56" s="592">
        <f t="shared" ref="L56:AW56" si="28">L58*(L21+L22)</f>
        <v>83759.12999999999</v>
      </c>
      <c r="M56" s="592">
        <f t="shared" si="28"/>
        <v>94537.799999999988</v>
      </c>
      <c r="N56" s="592">
        <f t="shared" si="28"/>
        <v>72258.313642988142</v>
      </c>
      <c r="O56" s="592">
        <f t="shared" si="28"/>
        <v>115634.59586597179</v>
      </c>
      <c r="P56" s="592">
        <f t="shared" si="28"/>
        <v>164638.45358044188</v>
      </c>
      <c r="Q56" s="592">
        <f t="shared" si="28"/>
        <v>74249.273022814115</v>
      </c>
      <c r="R56" s="592">
        <f t="shared" si="28"/>
        <v>78077.852131097476</v>
      </c>
      <c r="S56" s="592">
        <f t="shared" si="28"/>
        <v>127914.92010602816</v>
      </c>
      <c r="T56" s="592">
        <f t="shared" si="28"/>
        <v>171847.09534155886</v>
      </c>
      <c r="U56" s="592">
        <f t="shared" si="28"/>
        <v>77500.253572041154</v>
      </c>
      <c r="V56" s="592">
        <f t="shared" si="28"/>
        <v>104452.38453552448</v>
      </c>
      <c r="W56" s="592">
        <f t="shared" si="28"/>
        <v>196102.33333236587</v>
      </c>
      <c r="X56" s="592">
        <f t="shared" si="28"/>
        <v>178961.56508869943</v>
      </c>
      <c r="Y56" s="592">
        <f t="shared" si="28"/>
        <v>80708.764069923665</v>
      </c>
      <c r="Z56" s="592">
        <f t="shared" si="28"/>
        <v>92902.403646655948</v>
      </c>
      <c r="AA56" s="592">
        <f t="shared" si="28"/>
        <v>160790.82841511353</v>
      </c>
      <c r="AB56" s="592">
        <f t="shared" si="28"/>
        <v>186961.14704816428</v>
      </c>
      <c r="AC56" s="592">
        <f t="shared" si="28"/>
        <v>84316.445823849252</v>
      </c>
      <c r="AD56" s="592">
        <f t="shared" si="28"/>
        <v>130579.03631982768</v>
      </c>
      <c r="AE56" s="592">
        <f t="shared" si="28"/>
        <v>259083.78697752461</v>
      </c>
      <c r="AF56" s="592">
        <f t="shared" si="28"/>
        <v>195318.31032121723</v>
      </c>
      <c r="AG56" s="592">
        <f t="shared" si="28"/>
        <v>88085.390952175308</v>
      </c>
      <c r="AH56" s="592">
        <f t="shared" si="28"/>
        <v>99346.937302595587</v>
      </c>
      <c r="AI56" s="592">
        <f t="shared" si="28"/>
        <v>169924.98283773329</v>
      </c>
      <c r="AJ56" s="592">
        <f t="shared" si="28"/>
        <v>204049.03879257562</v>
      </c>
      <c r="AK56" s="592">
        <f t="shared" si="28"/>
        <v>92022.807927737536</v>
      </c>
      <c r="AL56" s="592">
        <f t="shared" si="28"/>
        <v>135138.43017625288</v>
      </c>
      <c r="AM56" s="592">
        <f t="shared" si="28"/>
        <v>262720.25195429748</v>
      </c>
      <c r="AN56" s="592">
        <f t="shared" si="28"/>
        <v>213170.03082660376</v>
      </c>
      <c r="AO56" s="592">
        <f t="shared" si="28"/>
        <v>96136.227442107411</v>
      </c>
      <c r="AP56" s="592">
        <f t="shared" si="28"/>
        <v>109178.25134026546</v>
      </c>
      <c r="AQ56" s="592">
        <f t="shared" si="28"/>
        <v>187497.26976360468</v>
      </c>
      <c r="AR56" s="592">
        <f t="shared" si="28"/>
        <v>222698.73120455293</v>
      </c>
      <c r="AS56" s="592">
        <f t="shared" si="28"/>
        <v>100433.51680876961</v>
      </c>
      <c r="AT56" s="592">
        <f t="shared" si="28"/>
        <v>144295.13005887021</v>
      </c>
      <c r="AU56" s="592">
        <f t="shared" si="28"/>
        <v>278050.37730850378</v>
      </c>
      <c r="AV56" s="592">
        <f t="shared" si="28"/>
        <v>232653.36448939642</v>
      </c>
      <c r="AW56" s="592">
        <f t="shared" si="28"/>
        <v>104922.89501012159</v>
      </c>
    </row>
    <row r="57" spans="1:49" ht="15" thickBot="1"/>
    <row r="58" spans="1:49" ht="15" thickBot="1">
      <c r="B58" s="568" t="s">
        <v>748</v>
      </c>
      <c r="C58" s="600" t="s">
        <v>734</v>
      </c>
      <c r="D58" s="573"/>
      <c r="E58" s="573"/>
      <c r="F58" s="713">
        <v>14.8</v>
      </c>
      <c r="G58" s="573">
        <f>F58</f>
        <v>14.8</v>
      </c>
      <c r="H58" s="573">
        <f>G58</f>
        <v>14.8</v>
      </c>
      <c r="I58" s="573">
        <f>H58</f>
        <v>14.8</v>
      </c>
      <c r="J58" s="712">
        <v>18.899999999999999</v>
      </c>
      <c r="K58" s="573">
        <f>J58</f>
        <v>18.899999999999999</v>
      </c>
      <c r="L58" s="573">
        <f>K58</f>
        <v>18.899999999999999</v>
      </c>
      <c r="M58" s="573">
        <f>L58</f>
        <v>18.899999999999999</v>
      </c>
      <c r="N58" s="573">
        <f>J58*J7</f>
        <v>19.659779999999998</v>
      </c>
      <c r="O58" s="573">
        <f t="shared" ref="O58:AW58" si="29">K58*K7</f>
        <v>19.659779999999998</v>
      </c>
      <c r="P58" s="573">
        <f t="shared" si="29"/>
        <v>19.659779999999998</v>
      </c>
      <c r="Q58" s="573">
        <f t="shared" si="29"/>
        <v>19.659779999999998</v>
      </c>
      <c r="R58" s="573">
        <f t="shared" si="29"/>
        <v>20.438307288000001</v>
      </c>
      <c r="S58" s="573">
        <f t="shared" si="29"/>
        <v>20.438307288000001</v>
      </c>
      <c r="T58" s="573">
        <f t="shared" si="29"/>
        <v>20.438307288000001</v>
      </c>
      <c r="U58" s="573">
        <f t="shared" si="29"/>
        <v>20.438307288000001</v>
      </c>
      <c r="V58" s="573">
        <f t="shared" si="29"/>
        <v>21.284453209723203</v>
      </c>
      <c r="W58" s="573">
        <f t="shared" si="29"/>
        <v>21.284453209723203</v>
      </c>
      <c r="X58" s="573">
        <f t="shared" si="29"/>
        <v>21.284453209723203</v>
      </c>
      <c r="Y58" s="573">
        <f t="shared" si="29"/>
        <v>21.284453209723203</v>
      </c>
      <c r="Z58" s="573">
        <f t="shared" si="29"/>
        <v>22.23586826819783</v>
      </c>
      <c r="AA58" s="573">
        <f t="shared" si="29"/>
        <v>22.23586826819783</v>
      </c>
      <c r="AB58" s="573">
        <f t="shared" si="29"/>
        <v>22.23586826819783</v>
      </c>
      <c r="AC58" s="573">
        <f t="shared" si="29"/>
        <v>22.23586826819783</v>
      </c>
      <c r="AD58" s="573">
        <f t="shared" si="29"/>
        <v>23.229811579786272</v>
      </c>
      <c r="AE58" s="573">
        <f t="shared" si="29"/>
        <v>23.229811579786272</v>
      </c>
      <c r="AF58" s="573">
        <f t="shared" si="29"/>
        <v>23.229811579786272</v>
      </c>
      <c r="AG58" s="573">
        <f t="shared" si="29"/>
        <v>23.229811579786272</v>
      </c>
      <c r="AH58" s="573">
        <f t="shared" si="29"/>
        <v>24.268184157402718</v>
      </c>
      <c r="AI58" s="573">
        <f t="shared" si="29"/>
        <v>24.268184157402718</v>
      </c>
      <c r="AJ58" s="573">
        <f t="shared" si="29"/>
        <v>24.268184157402718</v>
      </c>
      <c r="AK58" s="573">
        <f t="shared" si="29"/>
        <v>24.268184157402718</v>
      </c>
      <c r="AL58" s="573">
        <f t="shared" si="29"/>
        <v>25.352971989238618</v>
      </c>
      <c r="AM58" s="573">
        <f t="shared" si="29"/>
        <v>25.352971989238618</v>
      </c>
      <c r="AN58" s="573">
        <f t="shared" si="29"/>
        <v>25.352971989238618</v>
      </c>
      <c r="AO58" s="573">
        <f t="shared" si="29"/>
        <v>25.352971989238618</v>
      </c>
      <c r="AP58" s="573">
        <f t="shared" si="29"/>
        <v>26.486249837157583</v>
      </c>
      <c r="AQ58" s="573">
        <f t="shared" si="29"/>
        <v>26.486249837157583</v>
      </c>
      <c r="AR58" s="573">
        <f t="shared" si="29"/>
        <v>26.486249837157583</v>
      </c>
      <c r="AS58" s="573">
        <f t="shared" si="29"/>
        <v>26.486249837157583</v>
      </c>
      <c r="AT58" s="573">
        <f t="shared" si="29"/>
        <v>27.670185204878525</v>
      </c>
      <c r="AU58" s="573">
        <f t="shared" si="29"/>
        <v>27.670185204878525</v>
      </c>
      <c r="AV58" s="573">
        <f t="shared" si="29"/>
        <v>27.670185204878525</v>
      </c>
      <c r="AW58" s="573">
        <f t="shared" si="29"/>
        <v>27.670185204878525</v>
      </c>
    </row>
    <row r="59" spans="1:49">
      <c r="B59" s="568"/>
      <c r="D59" s="571"/>
      <c r="E59" s="571"/>
      <c r="F59" s="571"/>
      <c r="G59" s="571"/>
      <c r="H59" s="571"/>
      <c r="I59" s="571"/>
      <c r="J59" s="571"/>
      <c r="K59" s="571"/>
      <c r="L59" s="567"/>
      <c r="Q59" s="567"/>
      <c r="U59" s="567"/>
      <c r="Y59" s="567"/>
      <c r="AC59" s="567"/>
      <c r="AG59" s="567"/>
      <c r="AK59" s="567"/>
      <c r="AN59" s="567"/>
      <c r="AO59" s="567"/>
      <c r="AR59" s="567"/>
      <c r="AS59" s="567"/>
      <c r="AV59" s="567"/>
      <c r="AW59" s="567"/>
    </row>
    <row r="60" spans="1:49">
      <c r="B60" s="612" t="s">
        <v>749</v>
      </c>
      <c r="C60" s="602" t="s">
        <v>736</v>
      </c>
      <c r="D60" s="746">
        <v>22887</v>
      </c>
      <c r="E60" s="746">
        <v>22188</v>
      </c>
      <c r="F60" s="746">
        <v>20137</v>
      </c>
      <c r="G60" s="746">
        <v>22266</v>
      </c>
      <c r="H60" s="746">
        <v>22485.98487</v>
      </c>
      <c r="I60" s="746">
        <v>25499.911290000004</v>
      </c>
      <c r="J60" s="714">
        <v>31989</v>
      </c>
      <c r="K60" s="714">
        <v>29170</v>
      </c>
      <c r="L60" s="714">
        <v>28851</v>
      </c>
      <c r="M60" s="592">
        <f>L60</f>
        <v>28851</v>
      </c>
      <c r="N60" s="592">
        <f>N61*N62/4</f>
        <v>21708.659500000002</v>
      </c>
      <c r="O60" s="592">
        <f>N60</f>
        <v>21708.659500000002</v>
      </c>
      <c r="P60" s="592">
        <f>O60</f>
        <v>21708.659500000002</v>
      </c>
      <c r="Q60" s="592">
        <f>P60</f>
        <v>21708.659500000002</v>
      </c>
      <c r="R60" s="592">
        <f>R61*R62/4</f>
        <v>20144.805971000005</v>
      </c>
      <c r="S60" s="592">
        <f>R60</f>
        <v>20144.805971000005</v>
      </c>
      <c r="T60" s="592">
        <f>S60</f>
        <v>20144.805971000005</v>
      </c>
      <c r="U60" s="592">
        <f>T60</f>
        <v>20144.805971000005</v>
      </c>
      <c r="V60" s="592">
        <f>V61*V62/4</f>
        <v>18664.178733878005</v>
      </c>
      <c r="W60" s="592">
        <f>V60</f>
        <v>18664.178733878005</v>
      </c>
      <c r="X60" s="592">
        <f>W60</f>
        <v>18664.178733878005</v>
      </c>
      <c r="Y60" s="592">
        <f>X60</f>
        <v>18664.178733878005</v>
      </c>
      <c r="Z60" s="592">
        <f>Z61*Z62/4</f>
        <v>17213.449255831762</v>
      </c>
      <c r="AA60" s="592">
        <f>Z60</f>
        <v>17213.449255831762</v>
      </c>
      <c r="AB60" s="592">
        <f>AA60</f>
        <v>17213.449255831762</v>
      </c>
      <c r="AC60" s="592">
        <f>AB60</f>
        <v>17213.449255831762</v>
      </c>
      <c r="AD60" s="592">
        <f>AD61*AD62/4</f>
        <v>15885.243668047795</v>
      </c>
      <c r="AE60" s="592">
        <f>AD60</f>
        <v>15885.243668047795</v>
      </c>
      <c r="AF60" s="592">
        <f>AE60</f>
        <v>15885.243668047795</v>
      </c>
      <c r="AG60" s="592">
        <f>AF60</f>
        <v>15885.243668047795</v>
      </c>
      <c r="AH60" s="592">
        <f>AH61*AH62/4</f>
        <v>14669.674325590495</v>
      </c>
      <c r="AI60" s="592">
        <f>AH60</f>
        <v>14669.674325590495</v>
      </c>
      <c r="AJ60" s="592">
        <f>AI60</f>
        <v>14669.674325590495</v>
      </c>
      <c r="AK60" s="592">
        <f>AJ60</f>
        <v>14669.674325590495</v>
      </c>
      <c r="AL60" s="592">
        <f>AL61*AL62/4</f>
        <v>13557.671491747718</v>
      </c>
      <c r="AM60" s="592">
        <f>AL60</f>
        <v>13557.671491747718</v>
      </c>
      <c r="AN60" s="592">
        <f>AM60</f>
        <v>13557.671491747718</v>
      </c>
      <c r="AO60" s="592">
        <f>AN60</f>
        <v>13557.671491747718</v>
      </c>
      <c r="AP60" s="592">
        <f>AP61*AP62/4</f>
        <v>12540.916587880294</v>
      </c>
      <c r="AQ60" s="592">
        <f>AP60</f>
        <v>12540.916587880294</v>
      </c>
      <c r="AR60" s="592">
        <f>AQ60</f>
        <v>12540.916587880294</v>
      </c>
      <c r="AS60" s="592">
        <f>AR60</f>
        <v>12540.916587880294</v>
      </c>
      <c r="AT60" s="592">
        <f>AT61*AT62/4</f>
        <v>11611.780931012974</v>
      </c>
      <c r="AU60" s="592">
        <f>AT60</f>
        <v>11611.780931012974</v>
      </c>
      <c r="AV60" s="592">
        <f>AU60</f>
        <v>11611.780931012974</v>
      </c>
      <c r="AW60" s="592">
        <f>AV60</f>
        <v>11611.780931012974</v>
      </c>
    </row>
    <row r="61" spans="1:49" ht="15" thickBot="1">
      <c r="B61" s="568" t="s">
        <v>644</v>
      </c>
      <c r="C61" s="600" t="s">
        <v>736</v>
      </c>
      <c r="D61" s="745">
        <v>1133205</v>
      </c>
      <c r="E61" s="745">
        <v>1123356</v>
      </c>
      <c r="F61" s="745">
        <v>1100565</v>
      </c>
      <c r="G61" s="745">
        <v>1080950</v>
      </c>
      <c r="H61" s="745">
        <v>1193653</v>
      </c>
      <c r="I61" s="745">
        <v>1175914</v>
      </c>
      <c r="J61" s="745">
        <v>1161656</v>
      </c>
      <c r="K61" s="571">
        <f>J61-J60</f>
        <v>1129667</v>
      </c>
      <c r="L61" s="571">
        <f>K61-K60</f>
        <v>1100497</v>
      </c>
      <c r="M61" s="571">
        <f>L61-L60</f>
        <v>1071646</v>
      </c>
      <c r="N61" s="571">
        <f>M61-M60+SUM(J91:M91)</f>
        <v>1058959</v>
      </c>
      <c r="O61" s="571">
        <f>N61-N60</f>
        <v>1037250.3405</v>
      </c>
      <c r="P61" s="571">
        <f t="shared" ref="P61:AW61" si="30">O61-O60</f>
        <v>1015541.6810000001</v>
      </c>
      <c r="Q61" s="571">
        <f t="shared" si="30"/>
        <v>993833.02150000015</v>
      </c>
      <c r="R61" s="571">
        <f>Q61-Q60+SUM(N91:Q91)</f>
        <v>982673.46200000017</v>
      </c>
      <c r="S61" s="571">
        <f t="shared" si="30"/>
        <v>962528.65602900018</v>
      </c>
      <c r="T61" s="571">
        <f t="shared" si="30"/>
        <v>942383.85005800019</v>
      </c>
      <c r="U61" s="571">
        <f t="shared" si="30"/>
        <v>922239.04408700019</v>
      </c>
      <c r="V61" s="571">
        <f>U61-U60+SUM(R91:U91)</f>
        <v>910447.7431160002</v>
      </c>
      <c r="W61" s="571">
        <f t="shared" si="30"/>
        <v>891783.56438212225</v>
      </c>
      <c r="X61" s="571">
        <f t="shared" si="30"/>
        <v>873119.38564824429</v>
      </c>
      <c r="Y61" s="571">
        <f t="shared" si="30"/>
        <v>854455.20691436634</v>
      </c>
      <c r="Z61" s="571">
        <f>Y61-Y60+SUM(V91:Y91)</f>
        <v>839680.45150398836</v>
      </c>
      <c r="AA61" s="571">
        <f t="shared" si="30"/>
        <v>822467.00224815658</v>
      </c>
      <c r="AB61" s="571">
        <f t="shared" si="30"/>
        <v>805253.55299232481</v>
      </c>
      <c r="AC61" s="571">
        <f t="shared" si="30"/>
        <v>788040.10373649304</v>
      </c>
      <c r="AD61" s="571">
        <f>AC61-AC60+SUM(Z91:AC91)</f>
        <v>774889.93502672168</v>
      </c>
      <c r="AE61" s="571">
        <f t="shared" si="30"/>
        <v>759004.69135867385</v>
      </c>
      <c r="AF61" s="571">
        <f t="shared" si="30"/>
        <v>743119.44769062602</v>
      </c>
      <c r="AG61" s="571">
        <f t="shared" si="30"/>
        <v>727234.2040225782</v>
      </c>
      <c r="AH61" s="571">
        <f>AG61-AG60+SUM(AD91:AG91)</f>
        <v>715593.86954099976</v>
      </c>
      <c r="AI61" s="571">
        <f t="shared" si="30"/>
        <v>700924.19521540927</v>
      </c>
      <c r="AJ61" s="571">
        <f t="shared" si="30"/>
        <v>686254.52088981878</v>
      </c>
      <c r="AK61" s="571">
        <f t="shared" si="30"/>
        <v>671584.8465642283</v>
      </c>
      <c r="AL61" s="571">
        <f>AK61-AK60+SUM(AH91:AK91)</f>
        <v>661349.82886574231</v>
      </c>
      <c r="AM61" s="571">
        <f t="shared" si="30"/>
        <v>647792.15737399459</v>
      </c>
      <c r="AN61" s="571">
        <f t="shared" si="30"/>
        <v>634234.48588224687</v>
      </c>
      <c r="AO61" s="571">
        <f t="shared" si="30"/>
        <v>620676.81439049914</v>
      </c>
      <c r="AP61" s="571">
        <f>AO61-AO60+SUM(AL93:AO93)</f>
        <v>611752.02867708751</v>
      </c>
      <c r="AQ61" s="571">
        <f t="shared" si="30"/>
        <v>599211.11208920716</v>
      </c>
      <c r="AR61" s="571">
        <f t="shared" si="30"/>
        <v>586670.19550132682</v>
      </c>
      <c r="AS61" s="571">
        <f t="shared" si="30"/>
        <v>574129.27891344647</v>
      </c>
      <c r="AT61" s="571">
        <f>AS61-AS60+SUM(AP91:AS91)</f>
        <v>566428.33809819387</v>
      </c>
      <c r="AU61" s="571">
        <f t="shared" si="30"/>
        <v>554816.55716718093</v>
      </c>
      <c r="AV61" s="571">
        <f t="shared" si="30"/>
        <v>543204.77623616799</v>
      </c>
      <c r="AW61" s="571">
        <f t="shared" si="30"/>
        <v>531592.99530515505</v>
      </c>
    </row>
    <row r="62" spans="1:49" ht="15" thickBot="1">
      <c r="B62" s="568" t="s">
        <v>645</v>
      </c>
      <c r="C62" s="597" t="s">
        <v>698</v>
      </c>
      <c r="D62" s="575"/>
      <c r="E62" s="575"/>
      <c r="F62" s="575">
        <f>J62</f>
        <v>0</v>
      </c>
      <c r="G62" s="575"/>
      <c r="H62" s="575"/>
      <c r="I62" s="575"/>
      <c r="J62" s="575"/>
      <c r="K62" s="575"/>
      <c r="L62" s="575"/>
      <c r="M62" s="575"/>
      <c r="N62" s="618">
        <v>8.2000000000000003E-2</v>
      </c>
      <c r="O62" s="575"/>
      <c r="P62" s="575"/>
      <c r="Q62" s="575"/>
      <c r="R62" s="575">
        <f>N62</f>
        <v>8.2000000000000003E-2</v>
      </c>
      <c r="S62" s="575"/>
      <c r="T62" s="575"/>
      <c r="U62" s="575"/>
      <c r="V62" s="575">
        <f>R62</f>
        <v>8.2000000000000003E-2</v>
      </c>
      <c r="W62" s="575"/>
      <c r="X62" s="575"/>
      <c r="Y62" s="575"/>
      <c r="Z62" s="575">
        <f>V62</f>
        <v>8.2000000000000003E-2</v>
      </c>
      <c r="AA62" s="575"/>
      <c r="AB62" s="575"/>
      <c r="AC62" s="575"/>
      <c r="AD62" s="575">
        <f>Z62</f>
        <v>8.2000000000000003E-2</v>
      </c>
      <c r="AE62" s="575"/>
      <c r="AF62" s="575"/>
      <c r="AG62" s="575"/>
      <c r="AH62" s="575">
        <f>AD62</f>
        <v>8.2000000000000003E-2</v>
      </c>
      <c r="AI62" s="575"/>
      <c r="AJ62" s="575"/>
      <c r="AK62" s="575"/>
      <c r="AL62" s="575">
        <f>AH62</f>
        <v>8.2000000000000003E-2</v>
      </c>
      <c r="AM62" s="575"/>
      <c r="AN62" s="575"/>
      <c r="AO62" s="575"/>
      <c r="AP62" s="575">
        <f>AL62</f>
        <v>8.2000000000000003E-2</v>
      </c>
      <c r="AQ62" s="575"/>
      <c r="AR62" s="575"/>
      <c r="AS62" s="575"/>
      <c r="AT62" s="575">
        <f>AP62</f>
        <v>8.2000000000000003E-2</v>
      </c>
      <c r="AU62" s="575"/>
      <c r="AV62" s="575"/>
      <c r="AW62" s="575"/>
    </row>
    <row r="63" spans="1:49">
      <c r="B63" s="568"/>
      <c r="D63" s="571"/>
      <c r="E63" s="571"/>
      <c r="F63" s="571"/>
      <c r="G63" s="571"/>
      <c r="H63" s="571"/>
      <c r="I63" s="571"/>
      <c r="J63" s="571"/>
      <c r="K63" s="571"/>
      <c r="L63" s="571"/>
      <c r="M63" s="571"/>
    </row>
    <row r="64" spans="1:49">
      <c r="B64" s="612" t="s">
        <v>750</v>
      </c>
      <c r="C64" s="602" t="s">
        <v>736</v>
      </c>
      <c r="D64" s="592">
        <f>D51-D56-D60</f>
        <v>13613</v>
      </c>
      <c r="E64" s="592">
        <f t="shared" ref="E64:AW64" si="31">E51-E56-E60</f>
        <v>11367</v>
      </c>
      <c r="F64" s="592">
        <f t="shared" si="31"/>
        <v>6439</v>
      </c>
      <c r="G64" s="592">
        <f t="shared" si="31"/>
        <v>58316</v>
      </c>
      <c r="H64" s="592">
        <f t="shared" si="31"/>
        <v>113091.99999999999</v>
      </c>
      <c r="I64" s="592">
        <f t="shared" si="31"/>
        <v>47736</v>
      </c>
      <c r="J64" s="592">
        <f>J51-J56-J60</f>
        <v>-20353.156259999996</v>
      </c>
      <c r="K64" s="592">
        <f>K51-K56-K60</f>
        <v>-38182.16078260004</v>
      </c>
      <c r="L64" s="592">
        <f t="shared" si="31"/>
        <v>32193.900000000009</v>
      </c>
      <c r="M64" s="592">
        <f t="shared" si="31"/>
        <v>62584.788059674902</v>
      </c>
      <c r="N64" s="592">
        <f>N51-N56-N60</f>
        <v>-13356.89215482954</v>
      </c>
      <c r="O64" s="592">
        <f t="shared" si="31"/>
        <v>-33593.502814169849</v>
      </c>
      <c r="P64" s="592">
        <f t="shared" si="31"/>
        <v>242900.73931008263</v>
      </c>
      <c r="Q64" s="592">
        <f t="shared" si="31"/>
        <v>98760.192874477565</v>
      </c>
      <c r="R64" s="592">
        <f t="shared" si="31"/>
        <v>-10051.167934741705</v>
      </c>
      <c r="S64" s="592">
        <f t="shared" si="31"/>
        <v>-27059.111115883828</v>
      </c>
      <c r="T64" s="592">
        <f t="shared" si="31"/>
        <v>252904.30773075472</v>
      </c>
      <c r="U64" s="592">
        <f t="shared" si="31"/>
        <v>104432.71270110452</v>
      </c>
      <c r="V64" s="592">
        <f t="shared" si="31"/>
        <v>3210.7296059572182</v>
      </c>
      <c r="W64" s="592">
        <f t="shared" si="31"/>
        <v>21158.098087809492</v>
      </c>
      <c r="X64" s="592">
        <f t="shared" si="31"/>
        <v>264043.0523016692</v>
      </c>
      <c r="Y64" s="592">
        <f t="shared" si="31"/>
        <v>111410.6500654179</v>
      </c>
      <c r="Z64" s="592">
        <f t="shared" si="31"/>
        <v>10112.052573242134</v>
      </c>
      <c r="AA64" s="592">
        <f t="shared" si="31"/>
        <v>-8118.1175582795295</v>
      </c>
      <c r="AB64" s="592">
        <f t="shared" si="31"/>
        <v>276653.4548594068</v>
      </c>
      <c r="AC64" s="592">
        <f t="shared" si="31"/>
        <v>119512.88017549292</v>
      </c>
      <c r="AD64" s="592">
        <f t="shared" si="31"/>
        <v>18277.362517162972</v>
      </c>
      <c r="AE64" s="592">
        <f t="shared" si="31"/>
        <v>56314.301264167938</v>
      </c>
      <c r="AF64" s="592">
        <f t="shared" si="31"/>
        <v>284049.33870903996</v>
      </c>
      <c r="AG64" s="592">
        <f t="shared" si="31"/>
        <v>124338.44586832196</v>
      </c>
      <c r="AH64" s="592">
        <f t="shared" si="31"/>
        <v>434.62825691152102</v>
      </c>
      <c r="AI64" s="592">
        <f t="shared" si="31"/>
        <v>-14834.268229758753</v>
      </c>
      <c r="AJ64" s="592">
        <f t="shared" si="31"/>
        <v>291391.76636108803</v>
      </c>
      <c r="AK64" s="592">
        <f t="shared" si="31"/>
        <v>128000.47281344008</v>
      </c>
      <c r="AL64" s="592">
        <f t="shared" si="31"/>
        <v>22077.117572176419</v>
      </c>
      <c r="AM64" s="592">
        <f t="shared" si="31"/>
        <v>42227.252577673295</v>
      </c>
      <c r="AN64" s="592">
        <f t="shared" si="31"/>
        <v>298686.0915452803</v>
      </c>
      <c r="AO64" s="592">
        <f t="shared" si="31"/>
        <v>133529.74677749781</v>
      </c>
      <c r="AP64" s="592">
        <f t="shared" si="31"/>
        <v>7978.9301640151189</v>
      </c>
      <c r="AQ64" s="592">
        <f t="shared" si="31"/>
        <v>-15817.067264953226</v>
      </c>
      <c r="AR64" s="592">
        <f t="shared" si="31"/>
        <v>305936.55988710752</v>
      </c>
      <c r="AS64" s="592">
        <f t="shared" si="31"/>
        <v>135811.15753989841</v>
      </c>
      <c r="AT64" s="592">
        <f t="shared" si="31"/>
        <v>12186.465964804192</v>
      </c>
      <c r="AU64" s="592">
        <f t="shared" si="31"/>
        <v>33205.582185289728</v>
      </c>
      <c r="AV64" s="592">
        <f t="shared" si="31"/>
        <v>313146.34848951764</v>
      </c>
      <c r="AW64" s="592">
        <f t="shared" si="31"/>
        <v>141501.28979403977</v>
      </c>
    </row>
    <row r="65" spans="2:49">
      <c r="B65" s="562"/>
      <c r="C65" s="599"/>
      <c r="D65" s="570"/>
      <c r="E65" s="570"/>
      <c r="F65" s="570"/>
      <c r="G65" s="570"/>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row>
    <row r="66" spans="2:49">
      <c r="B66" s="564" t="s">
        <v>283</v>
      </c>
      <c r="C66" s="600" t="s">
        <v>736</v>
      </c>
      <c r="D66" s="744">
        <v>1280</v>
      </c>
      <c r="E66" s="744">
        <v>949</v>
      </c>
      <c r="F66" s="744">
        <v>447</v>
      </c>
      <c r="G66" s="744">
        <v>85738</v>
      </c>
      <c r="H66" s="744">
        <v>359</v>
      </c>
      <c r="I66" s="744">
        <v>2874</v>
      </c>
      <c r="J66" s="715">
        <v>4976</v>
      </c>
      <c r="K66" s="715">
        <v>3611</v>
      </c>
      <c r="L66" s="715">
        <v>83</v>
      </c>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row>
    <row r="67" spans="2:49">
      <c r="B67" s="568" t="s">
        <v>759</v>
      </c>
      <c r="C67" s="600" t="s">
        <v>736</v>
      </c>
      <c r="D67" s="744">
        <v>45</v>
      </c>
      <c r="E67" s="744">
        <v>8</v>
      </c>
      <c r="F67" s="744">
        <v>0</v>
      </c>
      <c r="G67" s="744">
        <v>14421</v>
      </c>
      <c r="H67" s="744">
        <v>198</v>
      </c>
      <c r="I67" s="744">
        <v>-116</v>
      </c>
      <c r="J67" s="715">
        <v>4545</v>
      </c>
      <c r="K67" s="715">
        <v>4082</v>
      </c>
      <c r="L67" s="715">
        <v>0</v>
      </c>
      <c r="M67" s="567">
        <f t="shared" ref="M67:AW67" si="32">M74</f>
        <v>0</v>
      </c>
      <c r="N67" s="567">
        <f t="shared" si="32"/>
        <v>1394.8200000000002</v>
      </c>
      <c r="O67" s="567">
        <f t="shared" si="32"/>
        <v>1394.8200000000002</v>
      </c>
      <c r="P67" s="567">
        <f t="shared" si="32"/>
        <v>1394.8200000000002</v>
      </c>
      <c r="Q67" s="567">
        <f t="shared" si="32"/>
        <v>1394.8200000000002</v>
      </c>
      <c r="R67" s="567">
        <f t="shared" si="32"/>
        <v>926.1</v>
      </c>
      <c r="S67" s="567">
        <f t="shared" si="32"/>
        <v>926.1</v>
      </c>
      <c r="T67" s="567">
        <f t="shared" si="32"/>
        <v>926.1</v>
      </c>
      <c r="U67" s="567">
        <f t="shared" si="32"/>
        <v>926.1</v>
      </c>
      <c r="V67" s="567">
        <f t="shared" si="32"/>
        <v>0</v>
      </c>
      <c r="W67" s="567">
        <f t="shared" si="32"/>
        <v>0</v>
      </c>
      <c r="X67" s="567">
        <f t="shared" si="32"/>
        <v>0</v>
      </c>
      <c r="Y67" s="567">
        <f t="shared" si="32"/>
        <v>0</v>
      </c>
      <c r="Z67" s="567">
        <f t="shared" si="32"/>
        <v>0</v>
      </c>
      <c r="AA67" s="567">
        <f t="shared" si="32"/>
        <v>0</v>
      </c>
      <c r="AB67" s="567">
        <f t="shared" si="32"/>
        <v>0</v>
      </c>
      <c r="AC67" s="567">
        <f t="shared" si="32"/>
        <v>0</v>
      </c>
      <c r="AD67" s="567">
        <f t="shared" si="32"/>
        <v>0</v>
      </c>
      <c r="AE67" s="567">
        <f t="shared" si="32"/>
        <v>0</v>
      </c>
      <c r="AF67" s="567">
        <f t="shared" si="32"/>
        <v>0</v>
      </c>
      <c r="AG67" s="567">
        <f t="shared" si="32"/>
        <v>0</v>
      </c>
      <c r="AH67" s="567">
        <f t="shared" si="32"/>
        <v>0</v>
      </c>
      <c r="AI67" s="567">
        <f t="shared" si="32"/>
        <v>0</v>
      </c>
      <c r="AJ67" s="567">
        <f t="shared" si="32"/>
        <v>0</v>
      </c>
      <c r="AK67" s="567">
        <f t="shared" si="32"/>
        <v>0</v>
      </c>
      <c r="AL67" s="567">
        <f t="shared" si="32"/>
        <v>0</v>
      </c>
      <c r="AM67" s="567">
        <f t="shared" si="32"/>
        <v>0</v>
      </c>
      <c r="AN67" s="567">
        <f t="shared" si="32"/>
        <v>0</v>
      </c>
      <c r="AO67" s="567">
        <f t="shared" si="32"/>
        <v>0</v>
      </c>
      <c r="AP67" s="567">
        <f t="shared" si="32"/>
        <v>0</v>
      </c>
      <c r="AQ67" s="567">
        <f t="shared" si="32"/>
        <v>0</v>
      </c>
      <c r="AR67" s="567">
        <f t="shared" si="32"/>
        <v>0</v>
      </c>
      <c r="AS67" s="567">
        <f t="shared" si="32"/>
        <v>0</v>
      </c>
      <c r="AT67" s="567">
        <f t="shared" si="32"/>
        <v>0</v>
      </c>
      <c r="AU67" s="567">
        <f t="shared" si="32"/>
        <v>0</v>
      </c>
      <c r="AV67" s="567">
        <f t="shared" si="32"/>
        <v>0</v>
      </c>
      <c r="AW67" s="567">
        <f t="shared" si="32"/>
        <v>0</v>
      </c>
    </row>
    <row r="68" spans="2:49">
      <c r="B68" s="564" t="s">
        <v>282</v>
      </c>
      <c r="C68" s="600" t="s">
        <v>736</v>
      </c>
      <c r="D68" s="744">
        <v>3108</v>
      </c>
      <c r="E68" s="744">
        <v>-655</v>
      </c>
      <c r="F68" s="744">
        <v>688</v>
      </c>
      <c r="G68" s="744">
        <v>41119</v>
      </c>
      <c r="H68" s="744">
        <v>1672</v>
      </c>
      <c r="I68" s="744">
        <v>4481</v>
      </c>
      <c r="J68" s="715">
        <v>5638</v>
      </c>
      <c r="K68" s="715">
        <v>2875</v>
      </c>
      <c r="L68" s="715">
        <v>1483</v>
      </c>
      <c r="M68" s="567"/>
      <c r="N68" s="567"/>
      <c r="O68" s="567"/>
      <c r="P68" s="567"/>
      <c r="Q68" s="567"/>
      <c r="R68" s="567"/>
      <c r="S68" s="567"/>
      <c r="T68" s="567"/>
      <c r="U68" s="567"/>
      <c r="V68" s="567"/>
      <c r="W68" s="567"/>
      <c r="X68" s="567"/>
      <c r="Y68" s="567"/>
      <c r="Z68" s="567"/>
      <c r="AA68" s="567"/>
      <c r="AB68" s="567"/>
      <c r="AC68" s="567"/>
      <c r="AD68" s="567"/>
      <c r="AE68" s="567"/>
      <c r="AF68" s="567"/>
      <c r="AG68" s="567"/>
      <c r="AH68" s="567"/>
      <c r="AI68" s="567"/>
      <c r="AJ68" s="567"/>
      <c r="AK68" s="567"/>
      <c r="AL68" s="567"/>
      <c r="AM68" s="567"/>
      <c r="AN68" s="567"/>
      <c r="AO68" s="567"/>
      <c r="AP68" s="567"/>
      <c r="AQ68" s="567"/>
      <c r="AR68" s="567"/>
      <c r="AS68" s="567"/>
      <c r="AT68" s="567"/>
      <c r="AU68" s="567"/>
      <c r="AV68" s="567"/>
      <c r="AW68" s="567"/>
    </row>
    <row r="69" spans="2:49">
      <c r="B69" s="568" t="s">
        <v>760</v>
      </c>
      <c r="C69" s="600" t="s">
        <v>736</v>
      </c>
      <c r="D69" s="744">
        <v>891</v>
      </c>
      <c r="E69" s="744">
        <v>285</v>
      </c>
      <c r="F69" s="744">
        <v>333</v>
      </c>
      <c r="G69" s="744">
        <v>1506</v>
      </c>
      <c r="H69" s="744">
        <v>556.44000000000005</v>
      </c>
      <c r="I69" s="744">
        <v>1370.62</v>
      </c>
      <c r="J69" s="715">
        <v>635</v>
      </c>
      <c r="K69" s="715">
        <v>434</v>
      </c>
      <c r="L69" s="715">
        <v>835</v>
      </c>
      <c r="M69" s="567">
        <f t="shared" ref="M69:AW69" si="33">I69*I7</f>
        <v>1427.0895439999997</v>
      </c>
      <c r="N69" s="567">
        <f t="shared" si="33"/>
        <v>660.52700000000004</v>
      </c>
      <c r="O69" s="567">
        <f t="shared" si="33"/>
        <v>451.4468</v>
      </c>
      <c r="P69" s="567">
        <f t="shared" si="33"/>
        <v>868.56700000000001</v>
      </c>
      <c r="Q69" s="567">
        <f t="shared" si="33"/>
        <v>1484.4585436687996</v>
      </c>
      <c r="R69" s="567">
        <f t="shared" si="33"/>
        <v>686.68386920000012</v>
      </c>
      <c r="S69" s="567">
        <f t="shared" si="33"/>
        <v>469.32409328000006</v>
      </c>
      <c r="T69" s="567">
        <f t="shared" si="33"/>
        <v>902.96225320000008</v>
      </c>
      <c r="U69" s="567">
        <f t="shared" si="33"/>
        <v>1543.2431019980843</v>
      </c>
      <c r="V69" s="567">
        <f t="shared" si="33"/>
        <v>715.11258138488017</v>
      </c>
      <c r="W69" s="567">
        <f t="shared" si="33"/>
        <v>488.75411074179209</v>
      </c>
      <c r="X69" s="567">
        <f t="shared" si="33"/>
        <v>940.3448904824802</v>
      </c>
      <c r="Y69" s="567">
        <f t="shared" si="33"/>
        <v>1607.133366420805</v>
      </c>
      <c r="Z69" s="567">
        <f t="shared" si="33"/>
        <v>747.07811377278426</v>
      </c>
      <c r="AA69" s="567">
        <f t="shared" si="33"/>
        <v>510.6014194919502</v>
      </c>
      <c r="AB69" s="567">
        <f t="shared" si="33"/>
        <v>982.37830708704701</v>
      </c>
      <c r="AC69" s="567">
        <f t="shared" si="33"/>
        <v>1678.9722278998149</v>
      </c>
      <c r="AD69" s="567">
        <f t="shared" si="33"/>
        <v>780.47250545842769</v>
      </c>
      <c r="AE69" s="567">
        <f t="shared" si="33"/>
        <v>533.42530294324035</v>
      </c>
      <c r="AF69" s="567">
        <f t="shared" si="33"/>
        <v>1026.2906174138379</v>
      </c>
      <c r="AG69" s="567">
        <f t="shared" si="33"/>
        <v>1754.0222864869365</v>
      </c>
      <c r="AH69" s="567">
        <f t="shared" si="33"/>
        <v>815.35962645241943</v>
      </c>
      <c r="AI69" s="567">
        <f t="shared" si="33"/>
        <v>557.26941398480312</v>
      </c>
      <c r="AJ69" s="567">
        <f t="shared" si="33"/>
        <v>1072.1658080122365</v>
      </c>
      <c r="AK69" s="567">
        <f t="shared" si="33"/>
        <v>1832.4270826929026</v>
      </c>
      <c r="AL69" s="567">
        <f t="shared" si="33"/>
        <v>851.8062017548425</v>
      </c>
      <c r="AM69" s="567">
        <f t="shared" si="33"/>
        <v>582.17935678992376</v>
      </c>
      <c r="AN69" s="567">
        <f t="shared" si="33"/>
        <v>1120.0916196303835</v>
      </c>
      <c r="AO69" s="567">
        <f t="shared" si="33"/>
        <v>1914.3365732892753</v>
      </c>
      <c r="AP69" s="567">
        <f t="shared" si="33"/>
        <v>889.88193897328392</v>
      </c>
      <c r="AQ69" s="567">
        <f t="shared" si="33"/>
        <v>608.20277403843329</v>
      </c>
      <c r="AR69" s="567">
        <f t="shared" si="33"/>
        <v>1170.1597150278617</v>
      </c>
      <c r="AS69" s="567">
        <f t="shared" si="33"/>
        <v>1999.9074181153057</v>
      </c>
      <c r="AT69" s="567">
        <f t="shared" si="33"/>
        <v>929.65966164538963</v>
      </c>
      <c r="AU69" s="567">
        <f t="shared" si="33"/>
        <v>635.38943803795121</v>
      </c>
      <c r="AV69" s="567">
        <f t="shared" si="33"/>
        <v>1222.465854289607</v>
      </c>
      <c r="AW69" s="567">
        <f t="shared" si="33"/>
        <v>2089.30327970506</v>
      </c>
    </row>
    <row r="70" spans="2:49">
      <c r="B70" s="568"/>
      <c r="D70" s="571"/>
      <c r="E70" s="571"/>
      <c r="F70" s="571"/>
      <c r="G70" s="571"/>
      <c r="H70" s="571"/>
      <c r="I70" s="571"/>
      <c r="J70" s="571"/>
      <c r="K70" s="571"/>
      <c r="L70" s="567"/>
    </row>
    <row r="71" spans="2:49">
      <c r="B71" s="612" t="s">
        <v>751</v>
      </c>
      <c r="C71" s="602" t="s">
        <v>736</v>
      </c>
      <c r="D71" s="592">
        <f>D64+D60+D67-D69</f>
        <v>35654</v>
      </c>
      <c r="E71" s="592">
        <f t="shared" ref="E71:AW71" si="34">E64+E60+E67-E69</f>
        <v>33278</v>
      </c>
      <c r="F71" s="592">
        <f t="shared" si="34"/>
        <v>26243</v>
      </c>
      <c r="G71" s="592">
        <f t="shared" si="34"/>
        <v>93497</v>
      </c>
      <c r="H71" s="592">
        <f t="shared" si="34"/>
        <v>135219.54486999998</v>
      </c>
      <c r="I71" s="592">
        <f t="shared" si="34"/>
        <v>71749.291290000008</v>
      </c>
      <c r="J71" s="592">
        <f>J64+J60+J67-J69</f>
        <v>15545.843740000004</v>
      </c>
      <c r="K71" s="592">
        <f t="shared" si="34"/>
        <v>-5364.16078260004</v>
      </c>
      <c r="L71" s="592">
        <f t="shared" si="34"/>
        <v>60209.900000000009</v>
      </c>
      <c r="M71" s="592">
        <f t="shared" si="34"/>
        <v>90008.6985156749</v>
      </c>
      <c r="N71" s="592">
        <f t="shared" si="34"/>
        <v>9086.060345170461</v>
      </c>
      <c r="O71" s="592">
        <f t="shared" si="34"/>
        <v>-10941.470114169848</v>
      </c>
      <c r="P71" s="592">
        <f t="shared" si="34"/>
        <v>265135.65181008267</v>
      </c>
      <c r="Q71" s="592">
        <f t="shared" si="34"/>
        <v>120379.21383080877</v>
      </c>
      <c r="R71" s="592">
        <f t="shared" si="34"/>
        <v>10333.054167058301</v>
      </c>
      <c r="S71" s="592">
        <f t="shared" si="34"/>
        <v>-6457.5292381638228</v>
      </c>
      <c r="T71" s="592">
        <f t="shared" si="34"/>
        <v>273072.25144855469</v>
      </c>
      <c r="U71" s="592">
        <f t="shared" si="34"/>
        <v>123960.37557010645</v>
      </c>
      <c r="V71" s="592">
        <f t="shared" si="34"/>
        <v>21159.795758450342</v>
      </c>
      <c r="W71" s="592">
        <f t="shared" si="34"/>
        <v>39333.522710945705</v>
      </c>
      <c r="X71" s="592">
        <f t="shared" si="34"/>
        <v>281766.88614506472</v>
      </c>
      <c r="Y71" s="592">
        <f t="shared" si="34"/>
        <v>128467.6954328751</v>
      </c>
      <c r="Z71" s="592">
        <f t="shared" si="34"/>
        <v>26578.423715301113</v>
      </c>
      <c r="AA71" s="592">
        <f t="shared" si="34"/>
        <v>8584.7302780602822</v>
      </c>
      <c r="AB71" s="592">
        <f t="shared" si="34"/>
        <v>292884.52580815152</v>
      </c>
      <c r="AC71" s="592">
        <f t="shared" si="34"/>
        <v>135047.35720342485</v>
      </c>
      <c r="AD71" s="592">
        <f t="shared" si="34"/>
        <v>33382.13367975234</v>
      </c>
      <c r="AE71" s="592">
        <f t="shared" si="34"/>
        <v>71666.119629272493</v>
      </c>
      <c r="AF71" s="592">
        <f t="shared" si="34"/>
        <v>298908.29175967391</v>
      </c>
      <c r="AG71" s="592">
        <f t="shared" si="34"/>
        <v>138469.66724988283</v>
      </c>
      <c r="AH71" s="592">
        <f t="shared" si="34"/>
        <v>14288.942956049596</v>
      </c>
      <c r="AI71" s="592">
        <f t="shared" si="34"/>
        <v>-721.86331815306085</v>
      </c>
      <c r="AJ71" s="592">
        <f t="shared" si="34"/>
        <v>304989.27487866627</v>
      </c>
      <c r="AK71" s="592">
        <f t="shared" si="34"/>
        <v>140837.72005633765</v>
      </c>
      <c r="AL71" s="592">
        <f t="shared" si="34"/>
        <v>34782.982862169294</v>
      </c>
      <c r="AM71" s="592">
        <f t="shared" si="34"/>
        <v>55202.744712631094</v>
      </c>
      <c r="AN71" s="592">
        <f t="shared" si="34"/>
        <v>311123.67141739762</v>
      </c>
      <c r="AO71" s="592">
        <f t="shared" si="34"/>
        <v>145173.08169595627</v>
      </c>
      <c r="AP71" s="592">
        <f t="shared" si="34"/>
        <v>19629.964812922128</v>
      </c>
      <c r="AQ71" s="592">
        <f t="shared" si="34"/>
        <v>-3884.3534511113653</v>
      </c>
      <c r="AR71" s="592">
        <f t="shared" si="34"/>
        <v>317307.31675995997</v>
      </c>
      <c r="AS71" s="592">
        <f t="shared" si="34"/>
        <v>146352.1667096634</v>
      </c>
      <c r="AT71" s="592">
        <f t="shared" si="34"/>
        <v>22868.587234171777</v>
      </c>
      <c r="AU71" s="592">
        <f t="shared" si="34"/>
        <v>44181.973678264752</v>
      </c>
      <c r="AV71" s="592">
        <f t="shared" si="34"/>
        <v>323535.66356624104</v>
      </c>
      <c r="AW71" s="592">
        <f t="shared" si="34"/>
        <v>151023.76744534768</v>
      </c>
    </row>
    <row r="72" spans="2:49">
      <c r="B72" s="568" t="s">
        <v>646</v>
      </c>
      <c r="C72" s="597" t="s">
        <v>698</v>
      </c>
      <c r="D72" s="574">
        <f>D71/D51</f>
        <v>0.40065175862456454</v>
      </c>
      <c r="E72" s="574">
        <f t="shared" ref="E72:AW72" si="35">E71/E51</f>
        <v>0.49764471893645973</v>
      </c>
      <c r="F72" s="574">
        <f t="shared" si="35"/>
        <v>0.23531890854637244</v>
      </c>
      <c r="G72" s="574">
        <f t="shared" si="35"/>
        <v>0.35372386710148984</v>
      </c>
      <c r="H72" s="574">
        <f t="shared" si="35"/>
        <v>0.60908333087092625</v>
      </c>
      <c r="I72" s="574">
        <f t="shared" si="35"/>
        <v>0.85074512123978807</v>
      </c>
      <c r="J72" s="574">
        <f>J71/J51</f>
        <v>0.28769565925330359</v>
      </c>
      <c r="K72" s="574">
        <f t="shared" si="35"/>
        <v>-5.5339315014552609E-2</v>
      </c>
      <c r="L72" s="574">
        <f t="shared" si="35"/>
        <v>0.41580265411121509</v>
      </c>
      <c r="M72" s="574">
        <f t="shared" si="35"/>
        <v>0.48398645987726524</v>
      </c>
      <c r="N72" s="574">
        <f t="shared" si="35"/>
        <v>0.11271617933872537</v>
      </c>
      <c r="O72" s="574">
        <f t="shared" si="35"/>
        <v>-0.10546020443477014</v>
      </c>
      <c r="P72" s="574">
        <f t="shared" si="35"/>
        <v>0.61767496408780032</v>
      </c>
      <c r="Q72" s="574">
        <f t="shared" si="35"/>
        <v>0.61822294963652691</v>
      </c>
      <c r="R72" s="574">
        <f t="shared" si="35"/>
        <v>0.11719269060152468</v>
      </c>
      <c r="S72" s="574">
        <f t="shared" si="35"/>
        <v>-5.3367739000644433E-2</v>
      </c>
      <c r="T72" s="574">
        <f t="shared" si="35"/>
        <v>0.61378866777884655</v>
      </c>
      <c r="U72" s="574">
        <f t="shared" si="35"/>
        <v>0.61342904859590586</v>
      </c>
      <c r="V72" s="574">
        <f t="shared" si="35"/>
        <v>0.16749979578306617</v>
      </c>
      <c r="W72" s="574">
        <f t="shared" si="35"/>
        <v>0.1667207278005538</v>
      </c>
      <c r="X72" s="574">
        <f t="shared" si="35"/>
        <v>0.6103225700123649</v>
      </c>
      <c r="Y72" s="574">
        <f t="shared" si="35"/>
        <v>0.60947673243516032</v>
      </c>
      <c r="Z72" s="574">
        <f t="shared" si="35"/>
        <v>0.22106701110805299</v>
      </c>
      <c r="AA72" s="574">
        <f t="shared" si="35"/>
        <v>5.0532252140886739E-2</v>
      </c>
      <c r="AB72" s="574">
        <f t="shared" si="35"/>
        <v>0.60912528938254207</v>
      </c>
      <c r="AC72" s="574">
        <f t="shared" si="35"/>
        <v>0.61095576205793134</v>
      </c>
      <c r="AD72" s="574">
        <f t="shared" si="35"/>
        <v>0.20263324543902969</v>
      </c>
      <c r="AE72" s="574">
        <f t="shared" si="35"/>
        <v>0.21632878181990228</v>
      </c>
      <c r="AF72" s="574">
        <f t="shared" si="35"/>
        <v>0.60354678623101143</v>
      </c>
      <c r="AG72" s="574">
        <f t="shared" si="35"/>
        <v>0.60650091951480767</v>
      </c>
      <c r="AH72" s="574">
        <f t="shared" si="35"/>
        <v>0.1248474282182951</v>
      </c>
      <c r="AI72" s="574">
        <f t="shared" si="35"/>
        <v>-4.2522482581938406E-3</v>
      </c>
      <c r="AJ72" s="574">
        <f t="shared" si="35"/>
        <v>0.59788866754906567</v>
      </c>
      <c r="AK72" s="574">
        <f t="shared" si="35"/>
        <v>0.60009351374126485</v>
      </c>
      <c r="AL72" s="574">
        <f t="shared" si="35"/>
        <v>0.20367937676018269</v>
      </c>
      <c r="AM72" s="574">
        <f t="shared" si="35"/>
        <v>0.17331820286813879</v>
      </c>
      <c r="AN72" s="574">
        <f t="shared" si="35"/>
        <v>0.59214979707622228</v>
      </c>
      <c r="AO72" s="574">
        <f t="shared" si="35"/>
        <v>0.59687075765750697</v>
      </c>
      <c r="AP72" s="574">
        <f t="shared" si="35"/>
        <v>0.15135121564368251</v>
      </c>
      <c r="AQ72" s="574">
        <f t="shared" si="35"/>
        <v>-2.1085277683536487E-2</v>
      </c>
      <c r="AR72" s="574">
        <f t="shared" si="35"/>
        <v>0.58632902233546558</v>
      </c>
      <c r="AS72" s="574">
        <f t="shared" si="35"/>
        <v>0.58826625030301649</v>
      </c>
      <c r="AT72" s="574">
        <f t="shared" si="35"/>
        <v>0.1360469261102204</v>
      </c>
      <c r="AU72" s="574">
        <f t="shared" si="35"/>
        <v>0.13684232937032745</v>
      </c>
      <c r="AV72" s="574">
        <f t="shared" si="35"/>
        <v>0.58042517440180674</v>
      </c>
      <c r="AW72" s="574">
        <f t="shared" si="35"/>
        <v>0.58528185020666978</v>
      </c>
    </row>
    <row r="74" spans="2:49" ht="15" thickBot="1">
      <c r="B74" s="612" t="s">
        <v>752</v>
      </c>
      <c r="C74" s="602" t="s">
        <v>736</v>
      </c>
      <c r="D74" s="592">
        <f t="shared" ref="D74:AW74" si="36">D75</f>
        <v>0</v>
      </c>
      <c r="E74" s="592">
        <f t="shared" si="36"/>
        <v>0</v>
      </c>
      <c r="F74" s="592">
        <f t="shared" si="36"/>
        <v>3571</v>
      </c>
      <c r="G74" s="592">
        <f t="shared" si="36"/>
        <v>3571</v>
      </c>
      <c r="H74" s="592">
        <f t="shared" si="36"/>
        <v>3571</v>
      </c>
      <c r="I74" s="592">
        <f t="shared" si="36"/>
        <v>3571</v>
      </c>
      <c r="J74" s="592">
        <f t="shared" si="36"/>
        <v>0</v>
      </c>
      <c r="K74" s="592">
        <f t="shared" si="36"/>
        <v>0</v>
      </c>
      <c r="L74" s="592">
        <f t="shared" si="36"/>
        <v>0</v>
      </c>
      <c r="M74" s="592">
        <f t="shared" si="36"/>
        <v>0</v>
      </c>
      <c r="N74" s="592">
        <f t="shared" si="36"/>
        <v>1394.8200000000002</v>
      </c>
      <c r="O74" s="592">
        <f t="shared" si="36"/>
        <v>1394.8200000000002</v>
      </c>
      <c r="P74" s="592">
        <f t="shared" si="36"/>
        <v>1394.8200000000002</v>
      </c>
      <c r="Q74" s="592">
        <f t="shared" si="36"/>
        <v>1394.8200000000002</v>
      </c>
      <c r="R74" s="592">
        <f t="shared" si="36"/>
        <v>926.1</v>
      </c>
      <c r="S74" s="592">
        <f t="shared" si="36"/>
        <v>926.1</v>
      </c>
      <c r="T74" s="592">
        <f t="shared" si="36"/>
        <v>926.1</v>
      </c>
      <c r="U74" s="592">
        <f t="shared" si="36"/>
        <v>926.1</v>
      </c>
      <c r="V74" s="592">
        <f t="shared" si="36"/>
        <v>0</v>
      </c>
      <c r="W74" s="592">
        <f t="shared" si="36"/>
        <v>0</v>
      </c>
      <c r="X74" s="592">
        <f t="shared" si="36"/>
        <v>0</v>
      </c>
      <c r="Y74" s="592">
        <f t="shared" si="36"/>
        <v>0</v>
      </c>
      <c r="Z74" s="592">
        <f t="shared" si="36"/>
        <v>0</v>
      </c>
      <c r="AA74" s="592">
        <f t="shared" si="36"/>
        <v>0</v>
      </c>
      <c r="AB74" s="592">
        <f t="shared" si="36"/>
        <v>0</v>
      </c>
      <c r="AC74" s="592">
        <f t="shared" si="36"/>
        <v>0</v>
      </c>
      <c r="AD74" s="592">
        <f t="shared" si="36"/>
        <v>0</v>
      </c>
      <c r="AE74" s="592">
        <f t="shared" si="36"/>
        <v>0</v>
      </c>
      <c r="AF74" s="592">
        <f t="shared" si="36"/>
        <v>0</v>
      </c>
      <c r="AG74" s="592">
        <f t="shared" si="36"/>
        <v>0</v>
      </c>
      <c r="AH74" s="592">
        <f t="shared" si="36"/>
        <v>0</v>
      </c>
      <c r="AI74" s="592">
        <f t="shared" si="36"/>
        <v>0</v>
      </c>
      <c r="AJ74" s="592">
        <f t="shared" si="36"/>
        <v>0</v>
      </c>
      <c r="AK74" s="592">
        <f t="shared" si="36"/>
        <v>0</v>
      </c>
      <c r="AL74" s="592">
        <f t="shared" si="36"/>
        <v>0</v>
      </c>
      <c r="AM74" s="592">
        <f t="shared" si="36"/>
        <v>0</v>
      </c>
      <c r="AN74" s="592">
        <f t="shared" si="36"/>
        <v>0</v>
      </c>
      <c r="AO74" s="592">
        <f t="shared" si="36"/>
        <v>0</v>
      </c>
      <c r="AP74" s="592">
        <f t="shared" si="36"/>
        <v>0</v>
      </c>
      <c r="AQ74" s="592">
        <f t="shared" si="36"/>
        <v>0</v>
      </c>
      <c r="AR74" s="592">
        <f t="shared" si="36"/>
        <v>0</v>
      </c>
      <c r="AS74" s="592">
        <f t="shared" si="36"/>
        <v>0</v>
      </c>
      <c r="AT74" s="592">
        <f t="shared" si="36"/>
        <v>0</v>
      </c>
      <c r="AU74" s="592">
        <f t="shared" si="36"/>
        <v>0</v>
      </c>
      <c r="AV74" s="592">
        <f t="shared" si="36"/>
        <v>0</v>
      </c>
      <c r="AW74" s="592">
        <f t="shared" si="36"/>
        <v>0</v>
      </c>
    </row>
    <row r="75" spans="2:49" ht="15" thickBot="1">
      <c r="B75" s="561" t="s">
        <v>758</v>
      </c>
      <c r="C75" s="600" t="s">
        <v>736</v>
      </c>
      <c r="D75" s="562"/>
      <c r="E75" s="562"/>
      <c r="F75" s="620">
        <f>14284/4</f>
        <v>3571</v>
      </c>
      <c r="G75" s="567">
        <f>F75</f>
        <v>3571</v>
      </c>
      <c r="H75" s="567">
        <f>F75</f>
        <v>3571</v>
      </c>
      <c r="I75" s="567">
        <f>F75</f>
        <v>3571</v>
      </c>
      <c r="J75" s="567">
        <v>0</v>
      </c>
      <c r="K75" s="567">
        <v>0</v>
      </c>
      <c r="L75" s="567">
        <v>0</v>
      </c>
      <c r="M75" s="567">
        <v>0</v>
      </c>
      <c r="N75" s="567">
        <f>CapEx_Группа!K41/4</f>
        <v>1394.8200000000002</v>
      </c>
      <c r="O75" s="567">
        <f>N75</f>
        <v>1394.8200000000002</v>
      </c>
      <c r="P75" s="567">
        <f>O75</f>
        <v>1394.8200000000002</v>
      </c>
      <c r="Q75" s="567">
        <f>P75</f>
        <v>1394.8200000000002</v>
      </c>
      <c r="R75" s="567">
        <f>CapEx_Группа!L41/4</f>
        <v>926.1</v>
      </c>
      <c r="S75" s="567">
        <f>R75</f>
        <v>926.1</v>
      </c>
      <c r="T75" s="567">
        <f>S75</f>
        <v>926.1</v>
      </c>
      <c r="U75" s="567">
        <f>T75</f>
        <v>926.1</v>
      </c>
      <c r="V75" s="567">
        <v>0</v>
      </c>
      <c r="W75" s="567">
        <v>0</v>
      </c>
      <c r="X75" s="567">
        <v>0</v>
      </c>
      <c r="Y75" s="567">
        <v>0</v>
      </c>
      <c r="Z75" s="567">
        <v>0</v>
      </c>
      <c r="AA75" s="567">
        <v>0</v>
      </c>
      <c r="AB75" s="567">
        <v>0</v>
      </c>
      <c r="AC75" s="567">
        <v>0</v>
      </c>
      <c r="AD75" s="567">
        <v>0</v>
      </c>
      <c r="AE75" s="567">
        <v>0</v>
      </c>
      <c r="AF75" s="567">
        <v>0</v>
      </c>
      <c r="AG75" s="567">
        <v>0</v>
      </c>
      <c r="AH75" s="567">
        <v>0</v>
      </c>
      <c r="AI75" s="567">
        <v>0</v>
      </c>
      <c r="AJ75" s="567">
        <v>0</v>
      </c>
      <c r="AK75" s="567">
        <v>0</v>
      </c>
      <c r="AL75" s="567">
        <v>0</v>
      </c>
      <c r="AM75" s="567">
        <v>0</v>
      </c>
      <c r="AN75" s="567">
        <v>0</v>
      </c>
      <c r="AO75" s="567">
        <v>0</v>
      </c>
      <c r="AP75" s="567">
        <v>0</v>
      </c>
      <c r="AQ75" s="567">
        <v>0</v>
      </c>
      <c r="AR75" s="567">
        <v>0</v>
      </c>
      <c r="AS75" s="567">
        <v>0</v>
      </c>
      <c r="AT75" s="567">
        <v>0</v>
      </c>
      <c r="AU75" s="567">
        <v>0</v>
      </c>
      <c r="AV75" s="567">
        <v>0</v>
      </c>
      <c r="AW75" s="567">
        <v>0</v>
      </c>
    </row>
    <row r="76" spans="2:49">
      <c r="B76" s="562"/>
      <c r="C76" s="595"/>
      <c r="D76" s="562"/>
      <c r="E76" s="562"/>
      <c r="F76" s="562"/>
      <c r="G76" s="562"/>
      <c r="H76" s="562"/>
      <c r="I76" s="562"/>
      <c r="J76" s="562"/>
      <c r="K76" s="562"/>
    </row>
    <row r="77" spans="2:49">
      <c r="B77" s="612" t="s">
        <v>753</v>
      </c>
      <c r="C77" s="613"/>
      <c r="D77" s="612"/>
      <c r="E77" s="612"/>
      <c r="F77" s="612"/>
      <c r="G77" s="612"/>
      <c r="H77" s="612"/>
      <c r="I77" s="612"/>
      <c r="J77" s="612"/>
      <c r="K77" s="612"/>
      <c r="L77" s="591"/>
      <c r="M77" s="591"/>
      <c r="N77" s="591"/>
      <c r="O77" s="591"/>
      <c r="P77" s="591"/>
      <c r="Q77" s="591"/>
      <c r="R77" s="591"/>
      <c r="S77" s="591"/>
      <c r="T77" s="591"/>
      <c r="U77" s="591"/>
      <c r="V77" s="591"/>
      <c r="W77" s="591"/>
      <c r="X77" s="591"/>
      <c r="Y77" s="591"/>
      <c r="Z77" s="591"/>
      <c r="AA77" s="591"/>
      <c r="AB77" s="591"/>
      <c r="AC77" s="591"/>
      <c r="AD77" s="591"/>
      <c r="AE77" s="591"/>
      <c r="AF77" s="591"/>
      <c r="AG77" s="591"/>
      <c r="AH77" s="591"/>
      <c r="AI77" s="591"/>
      <c r="AJ77" s="591"/>
      <c r="AK77" s="591"/>
      <c r="AL77" s="591"/>
      <c r="AM77" s="591"/>
      <c r="AN77" s="591"/>
      <c r="AO77" s="591"/>
      <c r="AP77" s="591"/>
      <c r="AQ77" s="591"/>
      <c r="AR77" s="591"/>
      <c r="AS77" s="591"/>
      <c r="AT77" s="591"/>
      <c r="AU77" s="591"/>
      <c r="AV77" s="591"/>
      <c r="AW77" s="591"/>
    </row>
    <row r="78" spans="2:49">
      <c r="B78" s="568" t="s">
        <v>274</v>
      </c>
      <c r="C78" s="600" t="s">
        <v>736</v>
      </c>
      <c r="D78" s="571"/>
      <c r="E78" s="571"/>
      <c r="F78" s="571"/>
      <c r="G78" s="571"/>
      <c r="H78" s="571"/>
      <c r="I78" s="571">
        <f>'График погашения_СВОД'!G90</f>
        <v>296679.13078999997</v>
      </c>
      <c r="J78" s="571">
        <f>'График погашения_СВОД'!H90</f>
        <v>312108.07678999996</v>
      </c>
      <c r="K78" s="571">
        <f>'График погашения_СВОД'!I90</f>
        <v>283508.07678999996</v>
      </c>
      <c r="L78" s="571">
        <f>'График погашения_СВОД'!J90</f>
        <v>162000</v>
      </c>
      <c r="M78" s="571">
        <f>'График погашения_СВОД'!K90</f>
        <v>239679.13079</v>
      </c>
      <c r="N78" s="571">
        <f>'График погашения_СВОД'!L90</f>
        <v>239679.13079</v>
      </c>
      <c r="O78" s="571">
        <f>'График погашения_СВОД'!M90</f>
        <v>204384.3480925</v>
      </c>
      <c r="P78" s="571">
        <f>'График погашения_СВОД'!N90</f>
        <v>105000</v>
      </c>
      <c r="Q78" s="571">
        <f>'График погашения_СВОД'!O90</f>
        <v>182679.13079</v>
      </c>
      <c r="R78" s="571">
        <f>'График погашения_СВОД'!P90</f>
        <v>182679.13079</v>
      </c>
      <c r="S78" s="571">
        <f>'График погашения_СВОД'!Q90</f>
        <v>152684.3480925</v>
      </c>
      <c r="T78" s="571">
        <f>'График погашения_СВОД'!R90</f>
        <v>67100</v>
      </c>
      <c r="U78" s="571">
        <f>'График погашения_СВОД'!S90</f>
        <v>158579.13079</v>
      </c>
      <c r="V78" s="571">
        <f>'График погашения_СВОД'!T90</f>
        <v>158579.13079</v>
      </c>
      <c r="W78" s="571">
        <f>'График погашения_СВОД'!U90</f>
        <v>128584.3480925</v>
      </c>
      <c r="X78" s="571">
        <f>'График погашения_СВОД'!V90</f>
        <v>43000</v>
      </c>
      <c r="Y78" s="571">
        <f>'График погашения_СВОД'!W90</f>
        <v>134479.13079</v>
      </c>
      <c r="Z78" s="571">
        <f>'График погашения_СВОД'!X90</f>
        <v>134479.13079</v>
      </c>
      <c r="AA78" s="571">
        <f>'График погашения_СВОД'!Y90</f>
        <v>104484.3480925</v>
      </c>
      <c r="AB78" s="571">
        <f>'График погашения_СВОД'!Z90</f>
        <v>23900</v>
      </c>
      <c r="AC78" s="571">
        <f>'График погашения_СВОД'!AA90</f>
        <v>120379.13079</v>
      </c>
      <c r="AD78" s="571">
        <f>'График погашения_СВОД'!AB90</f>
        <v>120379.13079</v>
      </c>
      <c r="AE78" s="571">
        <f>'График погашения_СВОД'!AC90</f>
        <v>85384.348092500004</v>
      </c>
      <c r="AF78" s="571">
        <f>'График погашения_СВОД'!AD90</f>
        <v>0</v>
      </c>
      <c r="AG78" s="571">
        <f>'График погашения_СВОД'!AE90</f>
        <v>0</v>
      </c>
      <c r="AH78" s="571">
        <f>'График погашения_СВОД'!AF90</f>
        <v>0</v>
      </c>
      <c r="AI78" s="571">
        <f>'График погашения_СВОД'!AG90</f>
        <v>0</v>
      </c>
      <c r="AJ78" s="571">
        <f>'График погашения_СВОД'!AH90</f>
        <v>0</v>
      </c>
      <c r="AK78" s="571">
        <f>'График погашения_СВОД'!AI90</f>
        <v>0</v>
      </c>
      <c r="AL78" s="571">
        <f>'График погашения_СВОД'!AJ90</f>
        <v>0</v>
      </c>
      <c r="AM78" s="571">
        <f>'График погашения_СВОД'!AK90</f>
        <v>0</v>
      </c>
      <c r="AN78" s="571">
        <f>'График погашения_СВОД'!AL90</f>
        <v>0</v>
      </c>
      <c r="AO78" s="571">
        <f>'График погашения_СВОД'!AM90</f>
        <v>0</v>
      </c>
      <c r="AP78" s="571">
        <f>'График погашения_СВОД'!AN90</f>
        <v>0</v>
      </c>
      <c r="AQ78" s="571">
        <f>'График погашения_СВОД'!AO90</f>
        <v>0</v>
      </c>
      <c r="AR78" s="571">
        <f>'График погашения_СВОД'!AP90</f>
        <v>0</v>
      </c>
      <c r="AS78" s="571">
        <f>'График погашения_СВОД'!AQ90</f>
        <v>0</v>
      </c>
      <c r="AT78" s="571">
        <f>'График погашения_СВОД'!AR90</f>
        <v>0</v>
      </c>
      <c r="AU78" s="571">
        <f>'График погашения_СВОД'!AS90</f>
        <v>0</v>
      </c>
      <c r="AV78" s="571">
        <f>'График погашения_СВОД'!AT90</f>
        <v>0</v>
      </c>
      <c r="AW78" s="571">
        <f>'График погашения_СВОД'!AU90</f>
        <v>0</v>
      </c>
    </row>
    <row r="79" spans="2:49">
      <c r="B79" s="568" t="s">
        <v>275</v>
      </c>
      <c r="C79" s="600" t="s">
        <v>736</v>
      </c>
      <c r="D79" s="745">
        <v>4743</v>
      </c>
      <c r="E79" s="745">
        <v>4793</v>
      </c>
      <c r="F79" s="745">
        <v>5067</v>
      </c>
      <c r="G79" s="745">
        <v>7378</v>
      </c>
      <c r="H79" s="745">
        <v>3375</v>
      </c>
      <c r="I79" s="745">
        <v>2500</v>
      </c>
      <c r="J79" s="716">
        <v>3242</v>
      </c>
      <c r="K79" s="716">
        <v>3695</v>
      </c>
      <c r="L79" s="716">
        <v>4123</v>
      </c>
      <c r="M79" s="571">
        <f>'График погашения_СВОД'!K91</f>
        <v>1906.112218630125</v>
      </c>
      <c r="N79" s="571">
        <f>'График погашения_СВОД'!L91</f>
        <v>2101.1619372602499</v>
      </c>
      <c r="O79" s="571">
        <f>'График погашения_СВОД'!M91</f>
        <v>1942.3526326027188</v>
      </c>
      <c r="P79" s="571">
        <f>'График погашения_СВОД'!N91</f>
        <v>1361.0841639725938</v>
      </c>
      <c r="Q79" s="571">
        <f>'График погашения_СВОД'!O91</f>
        <v>1133.674718630125</v>
      </c>
      <c r="R79" s="571">
        <f>'График погашения_СВОД'!P91</f>
        <v>1328.7244372602499</v>
      </c>
      <c r="S79" s="571">
        <f>'График погашения_СВОД'!Q91</f>
        <v>1224.0588826027188</v>
      </c>
      <c r="T79" s="571">
        <f>'График погашения_СВОД'!R91</f>
        <v>816.42166397259393</v>
      </c>
      <c r="U79" s="571">
        <f>'График погашения_СВОД'!S91</f>
        <v>827.98721863012497</v>
      </c>
      <c r="V79" s="571">
        <f>'График погашения_СВОД'!T91</f>
        <v>1142.5244372602501</v>
      </c>
      <c r="W79" s="571">
        <f>'График погашения_СВОД'!U91</f>
        <v>1037.8588826027189</v>
      </c>
      <c r="X79" s="571">
        <f>'График погашения_СВОД'!V91</f>
        <v>630.22166397259389</v>
      </c>
      <c r="Y79" s="571">
        <f>'График погашения_СВОД'!W91</f>
        <v>641.78721863012504</v>
      </c>
      <c r="Z79" s="571">
        <f>'График погашения_СВОД'!X91</f>
        <v>956.32443726025008</v>
      </c>
      <c r="AA79" s="571">
        <f>'График погашения_СВОД'!Y91</f>
        <v>851.6588826027189</v>
      </c>
      <c r="AB79" s="571">
        <f>'График погашения_СВОД'!Z91</f>
        <v>465.89666397259379</v>
      </c>
      <c r="AC79" s="571">
        <f>'График погашения_СВОД'!AA91</f>
        <v>521.21221863012511</v>
      </c>
      <c r="AD79" s="571">
        <f>'График погашения_СВОД'!AB91</f>
        <v>857.62443726025003</v>
      </c>
      <c r="AE79" s="571">
        <f>'График погашения_СВОД'!AC91</f>
        <v>731.08388260271886</v>
      </c>
      <c r="AF79" s="571">
        <f>'График погашения_СВОД'!AD91</f>
        <v>302.27166397259379</v>
      </c>
      <c r="AG79" s="571">
        <f>'График погашения_СВОД'!AE91</f>
        <v>0</v>
      </c>
      <c r="AH79" s="571">
        <f>'График погашения_СВОД'!AF91</f>
        <v>0</v>
      </c>
      <c r="AI79" s="571">
        <f>'График погашения_СВОД'!AG91</f>
        <v>0</v>
      </c>
      <c r="AJ79" s="571">
        <f>'График погашения_СВОД'!AH91</f>
        <v>0</v>
      </c>
      <c r="AK79" s="571">
        <f>'График погашения_СВОД'!AI91</f>
        <v>0</v>
      </c>
      <c r="AL79" s="571">
        <f>'График погашения_СВОД'!AJ91</f>
        <v>0</v>
      </c>
      <c r="AM79" s="571">
        <f>'График погашения_СВОД'!AK91</f>
        <v>0</v>
      </c>
      <c r="AN79" s="571">
        <f>'График погашения_СВОД'!AL91</f>
        <v>0</v>
      </c>
      <c r="AO79" s="571">
        <f>'График погашения_СВОД'!AM91</f>
        <v>0</v>
      </c>
      <c r="AP79" s="571">
        <f>'График погашения_СВОД'!AN91</f>
        <v>0</v>
      </c>
      <c r="AQ79" s="571">
        <f>'График погашения_СВОД'!AO91</f>
        <v>0</v>
      </c>
      <c r="AR79" s="571">
        <f>'График погашения_СВОД'!AP91</f>
        <v>0</v>
      </c>
      <c r="AS79" s="571">
        <f>'График погашения_СВОД'!AQ91</f>
        <v>0</v>
      </c>
      <c r="AT79" s="571">
        <f>'График погашения_СВОД'!AR91</f>
        <v>0</v>
      </c>
      <c r="AU79" s="571">
        <f>'График погашения_СВОД'!AS91</f>
        <v>0</v>
      </c>
      <c r="AV79" s="571">
        <f>'График погашения_СВОД'!AT91</f>
        <v>0</v>
      </c>
      <c r="AW79" s="571">
        <f>'График погашения_СВОД'!AU91</f>
        <v>0</v>
      </c>
    </row>
    <row r="80" spans="2:49">
      <c r="B80" s="568" t="s">
        <v>276</v>
      </c>
      <c r="C80" s="600" t="s">
        <v>736</v>
      </c>
      <c r="D80" s="571"/>
      <c r="E80" s="569"/>
      <c r="F80" s="569"/>
      <c r="G80" s="569"/>
      <c r="H80" s="569"/>
      <c r="I80" s="571"/>
      <c r="J80" s="571">
        <f>'График погашения_СВОД'!H92</f>
        <v>-15428.945999999996</v>
      </c>
      <c r="K80" s="571">
        <f>'График погашения_СВОД'!I92</f>
        <v>28600</v>
      </c>
      <c r="L80" s="571">
        <f>'График погашения_СВОД'!J92</f>
        <v>121508.07678999999</v>
      </c>
      <c r="M80" s="571">
        <f>'График погашения_СВОД'!K92</f>
        <v>-77679.130789999996</v>
      </c>
      <c r="N80" s="571">
        <f>'График погашения_СВОД'!L92</f>
        <v>0</v>
      </c>
      <c r="O80" s="571">
        <f>'График погашения_СВОД'!M92</f>
        <v>35294.782697499992</v>
      </c>
      <c r="P80" s="571">
        <f>'График погашения_СВОД'!N92</f>
        <v>99384.348092500004</v>
      </c>
      <c r="Q80" s="571">
        <f>'График погашения_СВОД'!O92</f>
        <v>-77679.130789999996</v>
      </c>
      <c r="R80" s="571">
        <f>'График погашения_СВОД'!P92</f>
        <v>0</v>
      </c>
      <c r="S80" s="571">
        <f>'График погашения_СВОД'!Q92</f>
        <v>29994.782697499992</v>
      </c>
      <c r="T80" s="571">
        <f>'График погашения_СВОД'!R92</f>
        <v>85584.348092500004</v>
      </c>
      <c r="U80" s="571">
        <f>'График погашения_СВОД'!S92</f>
        <v>-91479.130789999996</v>
      </c>
      <c r="V80" s="571">
        <f>'График погашения_СВОД'!T92</f>
        <v>0</v>
      </c>
      <c r="W80" s="571">
        <f>'График погашения_СВОД'!U92</f>
        <v>29994.782697499992</v>
      </c>
      <c r="X80" s="571">
        <f>'График погашения_СВОД'!V92</f>
        <v>85584.348092500004</v>
      </c>
      <c r="Y80" s="571">
        <f>'График погашения_СВОД'!W92</f>
        <v>-91479.130789999996</v>
      </c>
      <c r="Z80" s="571">
        <f>'График погашения_СВОД'!X92</f>
        <v>0</v>
      </c>
      <c r="AA80" s="571">
        <f>'График погашения_СВОД'!Y92</f>
        <v>29994.782697499992</v>
      </c>
      <c r="AB80" s="571">
        <f>'График погашения_СВОД'!Z92</f>
        <v>80584.348092500004</v>
      </c>
      <c r="AC80" s="571">
        <f>'График погашения_СВОД'!AA92</f>
        <v>-96479.130789999996</v>
      </c>
      <c r="AD80" s="571">
        <f>'График погашения_СВОД'!AB92</f>
        <v>0</v>
      </c>
      <c r="AE80" s="571">
        <f>'График погашения_СВОД'!AC92</f>
        <v>34994.782697499992</v>
      </c>
      <c r="AF80" s="571">
        <f>'График погашения_СВОД'!AD92</f>
        <v>85384.348092500004</v>
      </c>
      <c r="AG80" s="571">
        <f>'График погашения_СВОД'!AE92</f>
        <v>0</v>
      </c>
      <c r="AH80" s="571">
        <f>'График погашения_СВОД'!AF92</f>
        <v>0</v>
      </c>
      <c r="AI80" s="571">
        <f>'График погашения_СВОД'!AG92</f>
        <v>0</v>
      </c>
      <c r="AJ80" s="571">
        <f>'График погашения_СВОД'!AH92</f>
        <v>0</v>
      </c>
      <c r="AK80" s="571">
        <f>'График погашения_СВОД'!AI92</f>
        <v>0</v>
      </c>
      <c r="AL80" s="571">
        <f>'График погашения_СВОД'!AJ92</f>
        <v>0</v>
      </c>
      <c r="AM80" s="571">
        <f>'График погашения_СВОД'!AK92</f>
        <v>0</v>
      </c>
      <c r="AN80" s="571">
        <f>'График погашения_СВОД'!AL92</f>
        <v>0</v>
      </c>
      <c r="AO80" s="571">
        <f>'График погашения_СВОД'!AM92</f>
        <v>0</v>
      </c>
      <c r="AP80" s="571">
        <f>'График погашения_СВОД'!AN92</f>
        <v>0</v>
      </c>
      <c r="AQ80" s="571">
        <f>'График погашения_СВОД'!AO92</f>
        <v>0</v>
      </c>
      <c r="AR80" s="571">
        <f>'График погашения_СВОД'!AP92</f>
        <v>0</v>
      </c>
      <c r="AS80" s="571">
        <f>'График погашения_СВОД'!AQ92</f>
        <v>0</v>
      </c>
      <c r="AT80" s="571">
        <f>'График погашения_СВОД'!AR92</f>
        <v>0</v>
      </c>
      <c r="AU80" s="571">
        <f>'График погашения_СВОД'!AS92</f>
        <v>0</v>
      </c>
      <c r="AV80" s="571">
        <f>'График погашения_СВОД'!AT92</f>
        <v>0</v>
      </c>
      <c r="AW80" s="571">
        <f>'График погашения_СВОД'!AU92</f>
        <v>0</v>
      </c>
    </row>
    <row r="81" spans="2:49">
      <c r="B81" s="622" t="s">
        <v>277</v>
      </c>
      <c r="C81" s="599" t="s">
        <v>736</v>
      </c>
      <c r="D81" s="623"/>
      <c r="E81" s="623"/>
      <c r="F81" s="623"/>
      <c r="G81" s="623"/>
      <c r="H81" s="623"/>
      <c r="I81" s="623"/>
      <c r="J81" s="623">
        <f t="shared" ref="J81:AW81" si="37">J80+J79</f>
        <v>-12186.945999999996</v>
      </c>
      <c r="K81" s="623">
        <f t="shared" si="37"/>
        <v>32295</v>
      </c>
      <c r="L81" s="623">
        <f t="shared" si="37"/>
        <v>125631.07678999999</v>
      </c>
      <c r="M81" s="623">
        <f t="shared" si="37"/>
        <v>-75773.018571369874</v>
      </c>
      <c r="N81" s="623">
        <f t="shared" si="37"/>
        <v>2101.1619372602499</v>
      </c>
      <c r="O81" s="623">
        <f t="shared" si="37"/>
        <v>37237.135330102712</v>
      </c>
      <c r="P81" s="623">
        <f t="shared" si="37"/>
        <v>100745.4322564726</v>
      </c>
      <c r="Q81" s="623">
        <f t="shared" si="37"/>
        <v>-76545.456071369874</v>
      </c>
      <c r="R81" s="623">
        <f t="shared" si="37"/>
        <v>1328.7244372602499</v>
      </c>
      <c r="S81" s="623">
        <f t="shared" si="37"/>
        <v>31218.841580102711</v>
      </c>
      <c r="T81" s="623">
        <f t="shared" si="37"/>
        <v>86400.769756472597</v>
      </c>
      <c r="U81" s="623">
        <f t="shared" si="37"/>
        <v>-90651.143571369874</v>
      </c>
      <c r="V81" s="623">
        <f t="shared" si="37"/>
        <v>1142.5244372602501</v>
      </c>
      <c r="W81" s="623">
        <f t="shared" si="37"/>
        <v>31032.641580102711</v>
      </c>
      <c r="X81" s="623">
        <f t="shared" si="37"/>
        <v>86214.5697564726</v>
      </c>
      <c r="Y81" s="623">
        <f t="shared" si="37"/>
        <v>-90837.343571369871</v>
      </c>
      <c r="Z81" s="623">
        <f t="shared" si="37"/>
        <v>956.32443726025008</v>
      </c>
      <c r="AA81" s="623">
        <f t="shared" si="37"/>
        <v>30846.44158010271</v>
      </c>
      <c r="AB81" s="623">
        <f t="shared" si="37"/>
        <v>81050.244756472603</v>
      </c>
      <c r="AC81" s="623">
        <f t="shared" si="37"/>
        <v>-95957.918571369868</v>
      </c>
      <c r="AD81" s="623">
        <f t="shared" si="37"/>
        <v>857.62443726025003</v>
      </c>
      <c r="AE81" s="623">
        <f t="shared" si="37"/>
        <v>35725.866580102709</v>
      </c>
      <c r="AF81" s="623">
        <f t="shared" si="37"/>
        <v>85686.619756472603</v>
      </c>
      <c r="AG81" s="623">
        <f t="shared" si="37"/>
        <v>0</v>
      </c>
      <c r="AH81" s="623">
        <f t="shared" si="37"/>
        <v>0</v>
      </c>
      <c r="AI81" s="623">
        <f t="shared" si="37"/>
        <v>0</v>
      </c>
      <c r="AJ81" s="623">
        <f t="shared" si="37"/>
        <v>0</v>
      </c>
      <c r="AK81" s="623">
        <f t="shared" si="37"/>
        <v>0</v>
      </c>
      <c r="AL81" s="623">
        <f t="shared" si="37"/>
        <v>0</v>
      </c>
      <c r="AM81" s="623">
        <f t="shared" si="37"/>
        <v>0</v>
      </c>
      <c r="AN81" s="623">
        <f t="shared" si="37"/>
        <v>0</v>
      </c>
      <c r="AO81" s="623">
        <f t="shared" si="37"/>
        <v>0</v>
      </c>
      <c r="AP81" s="623">
        <f t="shared" si="37"/>
        <v>0</v>
      </c>
      <c r="AQ81" s="623">
        <f t="shared" si="37"/>
        <v>0</v>
      </c>
      <c r="AR81" s="623">
        <f t="shared" si="37"/>
        <v>0</v>
      </c>
      <c r="AS81" s="623">
        <f t="shared" si="37"/>
        <v>0</v>
      </c>
      <c r="AT81" s="623">
        <f t="shared" si="37"/>
        <v>0</v>
      </c>
      <c r="AU81" s="623">
        <f t="shared" si="37"/>
        <v>0</v>
      </c>
      <c r="AV81" s="623">
        <f t="shared" si="37"/>
        <v>0</v>
      </c>
      <c r="AW81" s="623">
        <f t="shared" si="37"/>
        <v>0</v>
      </c>
    </row>
    <row r="82" spans="2:49">
      <c r="B82" s="568"/>
      <c r="D82" s="571"/>
      <c r="E82" s="571"/>
      <c r="F82" s="571"/>
      <c r="G82" s="571"/>
      <c r="H82" s="571"/>
      <c r="I82" s="571"/>
      <c r="J82" s="571"/>
      <c r="K82" s="571"/>
    </row>
    <row r="83" spans="2:49">
      <c r="B83" s="612" t="s">
        <v>754</v>
      </c>
      <c r="C83" s="602" t="s">
        <v>736</v>
      </c>
      <c r="D83" s="746">
        <v>0</v>
      </c>
      <c r="E83" s="746">
        <v>0</v>
      </c>
      <c r="F83" s="746">
        <v>0</v>
      </c>
      <c r="G83" s="746">
        <v>1634</v>
      </c>
      <c r="H83" s="746">
        <v>0</v>
      </c>
      <c r="I83" s="746">
        <v>0</v>
      </c>
      <c r="J83" s="746">
        <v>0</v>
      </c>
      <c r="K83" s="746">
        <v>2172</v>
      </c>
      <c r="L83" s="592">
        <f t="shared" ref="L83:AW83" si="38">IF(L84&gt;0,(L84-L85)*L86,0)</f>
        <v>0</v>
      </c>
      <c r="M83" s="592">
        <f t="shared" si="38"/>
        <v>0</v>
      </c>
      <c r="N83" s="592">
        <v>0</v>
      </c>
      <c r="O83" s="592">
        <f t="shared" si="38"/>
        <v>0</v>
      </c>
      <c r="P83" s="592">
        <f t="shared" si="38"/>
        <v>13979.922038766601</v>
      </c>
      <c r="Q83" s="592">
        <f t="shared" si="38"/>
        <v>5308.1803267307178</v>
      </c>
      <c r="R83" s="592">
        <f t="shared" si="38"/>
        <v>0</v>
      </c>
      <c r="S83" s="592">
        <f t="shared" si="38"/>
        <v>0</v>
      </c>
      <c r="T83" s="592">
        <f t="shared" si="38"/>
        <v>14928.000603814926</v>
      </c>
      <c r="U83" s="592">
        <f t="shared" si="38"/>
        <v>5980.5941178285784</v>
      </c>
      <c r="V83" s="592">
        <f t="shared" si="38"/>
        <v>21.259130238725259</v>
      </c>
      <c r="W83" s="592">
        <f t="shared" si="38"/>
        <v>1117.9626806678987</v>
      </c>
      <c r="X83" s="592">
        <f t="shared" si="38"/>
        <v>15688.422719832846</v>
      </c>
      <c r="Y83" s="592">
        <f t="shared" si="38"/>
        <v>6489.7773438220183</v>
      </c>
      <c r="Z83" s="592">
        <f t="shared" si="38"/>
        <v>485.66625133254598</v>
      </c>
      <c r="AA83" s="592">
        <f t="shared" si="38"/>
        <v>0</v>
      </c>
      <c r="AB83" s="592">
        <f t="shared" si="38"/>
        <v>16493.458043300827</v>
      </c>
      <c r="AC83" s="592">
        <f t="shared" si="38"/>
        <v>7019.9089937377785</v>
      </c>
      <c r="AD83" s="592">
        <f t="shared" si="38"/>
        <v>998.3559344666578</v>
      </c>
      <c r="AE83" s="592">
        <f t="shared" si="38"/>
        <v>3302.9875247173186</v>
      </c>
      <c r="AF83" s="592">
        <f t="shared" si="38"/>
        <v>16963.246585659213</v>
      </c>
      <c r="AG83" s="592">
        <f t="shared" si="38"/>
        <v>7355.0654149101001</v>
      </c>
      <c r="AH83" s="592">
        <f t="shared" si="38"/>
        <v>0</v>
      </c>
      <c r="AI83" s="592">
        <f t="shared" si="38"/>
        <v>0</v>
      </c>
      <c r="AJ83" s="592">
        <f t="shared" si="38"/>
        <v>17419.176033184547</v>
      </c>
      <c r="AK83" s="592">
        <f t="shared" si="38"/>
        <v>7570.0827438448305</v>
      </c>
      <c r="AL83" s="592">
        <f t="shared" si="38"/>
        <v>1273.5186822252945</v>
      </c>
      <c r="AM83" s="592">
        <f t="shared" si="38"/>
        <v>2498.7043932530023</v>
      </c>
      <c r="AN83" s="592">
        <f t="shared" si="38"/>
        <v>17853.959995538993</v>
      </c>
      <c r="AO83" s="592">
        <f t="shared" si="38"/>
        <v>7896.9246122525119</v>
      </c>
      <c r="AP83" s="592">
        <f t="shared" si="38"/>
        <v>425.34289350251009</v>
      </c>
      <c r="AQ83" s="592">
        <f t="shared" si="38"/>
        <v>0</v>
      </c>
      <c r="AR83" s="592">
        <f t="shared" si="38"/>
        <v>18285.984010324781</v>
      </c>
      <c r="AS83" s="592">
        <f t="shared" si="38"/>
        <v>8028.675007306987</v>
      </c>
      <c r="AT83" s="592">
        <f t="shared" si="38"/>
        <v>675.40837818952809</v>
      </c>
      <c r="AU83" s="592">
        <f t="shared" si="38"/>
        <v>1954.2115648351066</v>
      </c>
      <c r="AV83" s="592">
        <f t="shared" si="38"/>
        <v>18715.432958113681</v>
      </c>
      <c r="AW83" s="592">
        <f t="shared" si="38"/>
        <v>8364.7191908600817</v>
      </c>
    </row>
    <row r="84" spans="2:49">
      <c r="B84" s="561" t="s">
        <v>635</v>
      </c>
      <c r="C84" s="600" t="s">
        <v>736</v>
      </c>
      <c r="D84" s="567"/>
      <c r="E84" s="567"/>
      <c r="F84" s="567"/>
      <c r="G84" s="567"/>
      <c r="H84" s="567"/>
      <c r="I84" s="567"/>
      <c r="J84" s="567"/>
      <c r="K84" s="567"/>
      <c r="L84" s="567"/>
      <c r="M84" s="567"/>
      <c r="N84" s="567">
        <f t="shared" ref="N84:AW84" si="39">N64-N69-N79</f>
        <v>-16118.581092089789</v>
      </c>
      <c r="O84" s="567">
        <f t="shared" si="39"/>
        <v>-35987.302246772568</v>
      </c>
      <c r="P84" s="567">
        <f t="shared" si="39"/>
        <v>240671.08814611004</v>
      </c>
      <c r="Q84" s="567">
        <f t="shared" si="39"/>
        <v>96142.059612178637</v>
      </c>
      <c r="R84" s="567">
        <f t="shared" si="39"/>
        <v>-12066.576241201954</v>
      </c>
      <c r="S84" s="567">
        <f t="shared" si="39"/>
        <v>-28752.494091766548</v>
      </c>
      <c r="T84" s="567">
        <f t="shared" si="39"/>
        <v>251184.92381358211</v>
      </c>
      <c r="U84" s="567">
        <f t="shared" si="39"/>
        <v>102061.48238047631</v>
      </c>
      <c r="V84" s="567">
        <f t="shared" si="39"/>
        <v>1353.0925873120877</v>
      </c>
      <c r="W84" s="567">
        <f t="shared" si="39"/>
        <v>19631.485094464981</v>
      </c>
      <c r="X84" s="567">
        <f t="shared" si="39"/>
        <v>262472.48574721412</v>
      </c>
      <c r="Y84" s="567">
        <f t="shared" si="39"/>
        <v>109161.72948036696</v>
      </c>
      <c r="Z84" s="567">
        <f t="shared" si="39"/>
        <v>8408.6500222090999</v>
      </c>
      <c r="AA84" s="567">
        <f t="shared" si="39"/>
        <v>-9480.3778603741976</v>
      </c>
      <c r="AB84" s="567">
        <f t="shared" si="39"/>
        <v>275205.17988834716</v>
      </c>
      <c r="AC84" s="567">
        <f t="shared" si="39"/>
        <v>117312.69572896298</v>
      </c>
      <c r="AD84" s="567">
        <f t="shared" si="39"/>
        <v>16639.265574444296</v>
      </c>
      <c r="AE84" s="567">
        <f t="shared" si="39"/>
        <v>55049.792078621977</v>
      </c>
      <c r="AF84" s="567">
        <f t="shared" si="39"/>
        <v>282720.77642765356</v>
      </c>
      <c r="AG84" s="567">
        <f t="shared" si="39"/>
        <v>122584.42358183501</v>
      </c>
      <c r="AH84" s="567">
        <f t="shared" si="39"/>
        <v>-380.73136954089841</v>
      </c>
      <c r="AI84" s="567">
        <f t="shared" si="39"/>
        <v>-15391.537643743555</v>
      </c>
      <c r="AJ84" s="567">
        <f t="shared" si="39"/>
        <v>290319.60055307578</v>
      </c>
      <c r="AK84" s="567">
        <f t="shared" si="39"/>
        <v>126168.04573074718</v>
      </c>
      <c r="AL84" s="567">
        <f t="shared" si="39"/>
        <v>21225.311370421576</v>
      </c>
      <c r="AM84" s="567">
        <f t="shared" si="39"/>
        <v>41645.073220883372</v>
      </c>
      <c r="AN84" s="567">
        <f t="shared" si="39"/>
        <v>297565.9999256499</v>
      </c>
      <c r="AO84" s="567">
        <f t="shared" si="39"/>
        <v>131615.41020420854</v>
      </c>
      <c r="AP84" s="567">
        <f t="shared" si="39"/>
        <v>7089.0482250418354</v>
      </c>
      <c r="AQ84" s="567">
        <f t="shared" si="39"/>
        <v>-16425.270038991661</v>
      </c>
      <c r="AR84" s="567">
        <f t="shared" si="39"/>
        <v>304766.40017207968</v>
      </c>
      <c r="AS84" s="567">
        <f t="shared" si="39"/>
        <v>133811.25012178312</v>
      </c>
      <c r="AT84" s="567">
        <f t="shared" si="39"/>
        <v>11256.806303158803</v>
      </c>
      <c r="AU84" s="567">
        <f t="shared" si="39"/>
        <v>32570.192747251778</v>
      </c>
      <c r="AV84" s="567">
        <f t="shared" si="39"/>
        <v>311923.88263522804</v>
      </c>
      <c r="AW84" s="567">
        <f t="shared" si="39"/>
        <v>139411.98651433471</v>
      </c>
    </row>
    <row r="85" spans="2:49" ht="15" thickBot="1">
      <c r="B85" s="561" t="s">
        <v>756</v>
      </c>
      <c r="C85" s="600" t="s">
        <v>736</v>
      </c>
      <c r="D85" s="567"/>
      <c r="E85" s="567"/>
      <c r="F85" s="567"/>
      <c r="G85" s="567"/>
      <c r="H85" s="567"/>
      <c r="I85" s="567"/>
      <c r="J85" s="567"/>
      <c r="K85" s="567"/>
      <c r="L85" s="567"/>
      <c r="M85" s="567"/>
      <c r="N85" s="567">
        <f>CapEx_Группа!K35/4</f>
        <v>7672.3874999999998</v>
      </c>
      <c r="O85" s="567">
        <f t="shared" ref="O85:Q86" si="40">N85</f>
        <v>7672.3874999999998</v>
      </c>
      <c r="P85" s="567">
        <f t="shared" si="40"/>
        <v>7672.3874999999998</v>
      </c>
      <c r="Q85" s="567">
        <f t="shared" si="40"/>
        <v>7672.3874999999998</v>
      </c>
      <c r="R85" s="567">
        <f>CapEx_Группа!L35/4</f>
        <v>2384.9137500000002</v>
      </c>
      <c r="S85" s="567">
        <f t="shared" ref="S85:U86" si="41">R85</f>
        <v>2384.9137500000002</v>
      </c>
      <c r="T85" s="567">
        <f t="shared" si="41"/>
        <v>2384.9137500000002</v>
      </c>
      <c r="U85" s="567">
        <f t="shared" si="41"/>
        <v>2384.9137500000002</v>
      </c>
      <c r="V85" s="567">
        <f>CapEx_Группа!M35/4</f>
        <v>998.77375000000006</v>
      </c>
      <c r="W85" s="567">
        <f t="shared" ref="W85:Y86" si="42">V85</f>
        <v>998.77375000000006</v>
      </c>
      <c r="X85" s="567">
        <f t="shared" si="42"/>
        <v>998.77375000000006</v>
      </c>
      <c r="Y85" s="567">
        <f t="shared" si="42"/>
        <v>998.77375000000006</v>
      </c>
      <c r="Z85" s="567">
        <f>CapEx_Группа!N35/4</f>
        <v>314.21250000000003</v>
      </c>
      <c r="AA85" s="567">
        <f t="shared" ref="AA85:AC86" si="43">Z85</f>
        <v>314.21250000000003</v>
      </c>
      <c r="AB85" s="567">
        <f t="shared" si="43"/>
        <v>314.21250000000003</v>
      </c>
      <c r="AC85" s="567">
        <f t="shared" si="43"/>
        <v>314.21250000000003</v>
      </c>
      <c r="AD85" s="567">
        <v>0</v>
      </c>
      <c r="AE85" s="567">
        <v>0</v>
      </c>
      <c r="AF85" s="567">
        <v>0</v>
      </c>
      <c r="AG85" s="567">
        <v>0</v>
      </c>
      <c r="AH85" s="567">
        <v>0</v>
      </c>
      <c r="AI85" s="567">
        <v>0</v>
      </c>
      <c r="AJ85" s="567">
        <v>0</v>
      </c>
      <c r="AK85" s="567">
        <v>0</v>
      </c>
      <c r="AL85" s="567">
        <v>0</v>
      </c>
      <c r="AM85" s="567">
        <v>0</v>
      </c>
      <c r="AN85" s="567">
        <v>0</v>
      </c>
      <c r="AO85" s="567">
        <v>0</v>
      </c>
      <c r="AP85" s="567">
        <v>0</v>
      </c>
      <c r="AQ85" s="567">
        <v>0</v>
      </c>
      <c r="AR85" s="567">
        <v>0</v>
      </c>
      <c r="AS85" s="567">
        <v>0</v>
      </c>
      <c r="AT85" s="567">
        <v>0</v>
      </c>
      <c r="AU85" s="567">
        <v>0</v>
      </c>
      <c r="AV85" s="567">
        <v>0</v>
      </c>
      <c r="AW85" s="567">
        <v>0</v>
      </c>
    </row>
    <row r="86" spans="2:49" ht="15" thickBot="1">
      <c r="B86" s="561" t="s">
        <v>39</v>
      </c>
      <c r="C86" s="597" t="s">
        <v>698</v>
      </c>
      <c r="D86" s="605">
        <v>0.06</v>
      </c>
      <c r="E86" s="576">
        <f>D86</f>
        <v>0.06</v>
      </c>
      <c r="F86" s="576">
        <f>E86</f>
        <v>0.06</v>
      </c>
      <c r="G86" s="576">
        <f>F86</f>
        <v>0.06</v>
      </c>
      <c r="H86" s="576">
        <f>G86</f>
        <v>0.06</v>
      </c>
      <c r="I86" s="576">
        <f>H86</f>
        <v>0.06</v>
      </c>
      <c r="J86" s="576"/>
      <c r="K86" s="576"/>
      <c r="L86" s="576"/>
      <c r="M86" s="576"/>
      <c r="N86" s="618">
        <v>0.06</v>
      </c>
      <c r="O86" s="576">
        <f t="shared" si="40"/>
        <v>0.06</v>
      </c>
      <c r="P86" s="576">
        <f t="shared" si="40"/>
        <v>0.06</v>
      </c>
      <c r="Q86" s="576">
        <f t="shared" si="40"/>
        <v>0.06</v>
      </c>
      <c r="R86" s="576">
        <f>Q86</f>
        <v>0.06</v>
      </c>
      <c r="S86" s="576">
        <f t="shared" si="41"/>
        <v>0.06</v>
      </c>
      <c r="T86" s="576">
        <f t="shared" si="41"/>
        <v>0.06</v>
      </c>
      <c r="U86" s="576">
        <f t="shared" si="41"/>
        <v>0.06</v>
      </c>
      <c r="V86" s="576">
        <f>U86</f>
        <v>0.06</v>
      </c>
      <c r="W86" s="576">
        <f t="shared" si="42"/>
        <v>0.06</v>
      </c>
      <c r="X86" s="576">
        <f t="shared" si="42"/>
        <v>0.06</v>
      </c>
      <c r="Y86" s="576">
        <f t="shared" si="42"/>
        <v>0.06</v>
      </c>
      <c r="Z86" s="576">
        <f>Y86</f>
        <v>0.06</v>
      </c>
      <c r="AA86" s="576">
        <f t="shared" si="43"/>
        <v>0.06</v>
      </c>
      <c r="AB86" s="576">
        <f t="shared" si="43"/>
        <v>0.06</v>
      </c>
      <c r="AC86" s="576">
        <f t="shared" si="43"/>
        <v>0.06</v>
      </c>
      <c r="AD86" s="576">
        <f t="shared" ref="AD86:AW86" si="44">AC86</f>
        <v>0.06</v>
      </c>
      <c r="AE86" s="576">
        <f t="shared" si="44"/>
        <v>0.06</v>
      </c>
      <c r="AF86" s="576">
        <f t="shared" si="44"/>
        <v>0.06</v>
      </c>
      <c r="AG86" s="576">
        <f t="shared" si="44"/>
        <v>0.06</v>
      </c>
      <c r="AH86" s="576">
        <f t="shared" si="44"/>
        <v>0.06</v>
      </c>
      <c r="AI86" s="576">
        <f t="shared" si="44"/>
        <v>0.06</v>
      </c>
      <c r="AJ86" s="576">
        <f t="shared" si="44"/>
        <v>0.06</v>
      </c>
      <c r="AK86" s="576">
        <f t="shared" si="44"/>
        <v>0.06</v>
      </c>
      <c r="AL86" s="576">
        <f t="shared" si="44"/>
        <v>0.06</v>
      </c>
      <c r="AM86" s="576">
        <f t="shared" si="44"/>
        <v>0.06</v>
      </c>
      <c r="AN86" s="576">
        <f t="shared" si="44"/>
        <v>0.06</v>
      </c>
      <c r="AO86" s="576">
        <f t="shared" si="44"/>
        <v>0.06</v>
      </c>
      <c r="AP86" s="576">
        <f t="shared" si="44"/>
        <v>0.06</v>
      </c>
      <c r="AQ86" s="576">
        <f t="shared" si="44"/>
        <v>0.06</v>
      </c>
      <c r="AR86" s="576">
        <f t="shared" si="44"/>
        <v>0.06</v>
      </c>
      <c r="AS86" s="576">
        <f t="shared" si="44"/>
        <v>0.06</v>
      </c>
      <c r="AT86" s="576">
        <f t="shared" si="44"/>
        <v>0.06</v>
      </c>
      <c r="AU86" s="576">
        <f t="shared" si="44"/>
        <v>0.06</v>
      </c>
      <c r="AV86" s="576">
        <f t="shared" si="44"/>
        <v>0.06</v>
      </c>
      <c r="AW86" s="576">
        <f t="shared" si="44"/>
        <v>0.06</v>
      </c>
    </row>
    <row r="87" spans="2:49" ht="15" thickBot="1"/>
    <row r="88" spans="2:49" ht="15" thickBot="1">
      <c r="B88" s="615" t="s">
        <v>755</v>
      </c>
      <c r="C88" s="614" t="s">
        <v>736</v>
      </c>
      <c r="D88" s="616">
        <f t="shared" ref="D88:I88" si="45">D64+D66-D68-D79-D83</f>
        <v>7042</v>
      </c>
      <c r="E88" s="616">
        <f t="shared" si="45"/>
        <v>8178</v>
      </c>
      <c r="F88" s="616">
        <f t="shared" si="45"/>
        <v>1131</v>
      </c>
      <c r="G88" s="616">
        <f t="shared" si="45"/>
        <v>93923</v>
      </c>
      <c r="H88" s="616">
        <f t="shared" si="45"/>
        <v>108403.99999999999</v>
      </c>
      <c r="I88" s="616">
        <f t="shared" si="45"/>
        <v>43629</v>
      </c>
      <c r="J88" s="616">
        <f>J64+J66-J68+J74-J79</f>
        <v>-24257.156259999996</v>
      </c>
      <c r="K88" s="616">
        <f>K64+K66-K68+K74-K79</f>
        <v>-41141.16078260004</v>
      </c>
      <c r="L88" s="616">
        <f>L64+L66-L68+L74-L79</f>
        <v>26670.900000000009</v>
      </c>
      <c r="M88" s="616">
        <f>M64+M66-M68+M74-M79</f>
        <v>60678.67584104478</v>
      </c>
      <c r="N88" s="616">
        <f t="shared" ref="N88:AW88" si="46">N64+N74-N79-N83</f>
        <v>-14063.234092089791</v>
      </c>
      <c r="O88" s="616">
        <f t="shared" si="46"/>
        <v>-34141.03544677257</v>
      </c>
      <c r="P88" s="616">
        <f t="shared" si="46"/>
        <v>228954.55310734344</v>
      </c>
      <c r="Q88" s="616">
        <f t="shared" si="46"/>
        <v>93713.157829116739</v>
      </c>
      <c r="R88" s="616">
        <f t="shared" si="46"/>
        <v>-10453.792372001953</v>
      </c>
      <c r="S88" s="616">
        <f t="shared" si="46"/>
        <v>-27357.06999848655</v>
      </c>
      <c r="T88" s="616">
        <f t="shared" si="46"/>
        <v>238085.98546296719</v>
      </c>
      <c r="U88" s="616">
        <f t="shared" si="46"/>
        <v>98550.231364645835</v>
      </c>
      <c r="V88" s="616">
        <f t="shared" si="46"/>
        <v>2046.9460384582428</v>
      </c>
      <c r="W88" s="616">
        <f t="shared" si="46"/>
        <v>19002.276524538876</v>
      </c>
      <c r="X88" s="616">
        <f t="shared" si="46"/>
        <v>247724.40791786375</v>
      </c>
      <c r="Y88" s="616">
        <f t="shared" si="46"/>
        <v>104279.08550296575</v>
      </c>
      <c r="Z88" s="616">
        <f t="shared" si="46"/>
        <v>8670.061884649338</v>
      </c>
      <c r="AA88" s="616">
        <f t="shared" si="46"/>
        <v>-8969.7764408822477</v>
      </c>
      <c r="AB88" s="616">
        <f t="shared" si="46"/>
        <v>259694.10015213338</v>
      </c>
      <c r="AC88" s="616">
        <f t="shared" si="46"/>
        <v>111971.75896312502</v>
      </c>
      <c r="AD88" s="616">
        <f t="shared" si="46"/>
        <v>16421.382145436066</v>
      </c>
      <c r="AE88" s="616">
        <f t="shared" si="46"/>
        <v>52280.229856847902</v>
      </c>
      <c r="AF88" s="616">
        <f t="shared" si="46"/>
        <v>266783.82045940816</v>
      </c>
      <c r="AG88" s="616">
        <f t="shared" si="46"/>
        <v>116983.38045341185</v>
      </c>
      <c r="AH88" s="616">
        <f t="shared" si="46"/>
        <v>434.62825691152102</v>
      </c>
      <c r="AI88" s="616">
        <f t="shared" si="46"/>
        <v>-14834.268229758753</v>
      </c>
      <c r="AJ88" s="616">
        <f t="shared" si="46"/>
        <v>273972.59032790345</v>
      </c>
      <c r="AK88" s="616">
        <f t="shared" si="46"/>
        <v>120430.39006959525</v>
      </c>
      <c r="AL88" s="616">
        <f t="shared" si="46"/>
        <v>20803.598889951125</v>
      </c>
      <c r="AM88" s="616">
        <f t="shared" si="46"/>
        <v>39728.548184420295</v>
      </c>
      <c r="AN88" s="616">
        <f t="shared" si="46"/>
        <v>280832.13154974132</v>
      </c>
      <c r="AO88" s="616">
        <f t="shared" si="46"/>
        <v>125632.82216524531</v>
      </c>
      <c r="AP88" s="616">
        <f t="shared" si="46"/>
        <v>7553.5872705126085</v>
      </c>
      <c r="AQ88" s="616">
        <f t="shared" si="46"/>
        <v>-15817.067264953226</v>
      </c>
      <c r="AR88" s="616">
        <f t="shared" si="46"/>
        <v>287650.57587678276</v>
      </c>
      <c r="AS88" s="616">
        <f t="shared" si="46"/>
        <v>127782.48253259143</v>
      </c>
      <c r="AT88" s="616">
        <f t="shared" si="46"/>
        <v>11511.057586614665</v>
      </c>
      <c r="AU88" s="616">
        <f t="shared" si="46"/>
        <v>31251.370620454622</v>
      </c>
      <c r="AV88" s="616">
        <f t="shared" si="46"/>
        <v>294430.91553140397</v>
      </c>
      <c r="AW88" s="617">
        <f t="shared" si="46"/>
        <v>133136.57060317969</v>
      </c>
    </row>
    <row r="89" spans="2:49">
      <c r="D89" s="621"/>
      <c r="E89" s="621"/>
      <c r="F89" s="621"/>
      <c r="G89" s="621"/>
      <c r="H89" s="621"/>
      <c r="I89" s="621"/>
    </row>
    <row r="90" spans="2:49" ht="17">
      <c r="B90" s="4"/>
      <c r="C90" s="104"/>
      <c r="D90" s="104"/>
      <c r="E90" s="571"/>
      <c r="F90" s="571"/>
      <c r="G90" s="571"/>
      <c r="H90" s="571"/>
      <c r="I90" s="571"/>
      <c r="J90" s="571"/>
      <c r="K90" s="571"/>
    </row>
    <row r="91" spans="2:49" ht="17">
      <c r="B91" s="612" t="s">
        <v>844</v>
      </c>
      <c r="C91" s="602" t="s">
        <v>736</v>
      </c>
      <c r="D91" s="619">
        <f>D92+D93</f>
        <v>0</v>
      </c>
      <c r="E91" s="619">
        <f t="shared" ref="E91:AW91" si="47">E92+E93</f>
        <v>0</v>
      </c>
      <c r="F91" s="619">
        <f t="shared" si="47"/>
        <v>0</v>
      </c>
      <c r="G91" s="619">
        <f t="shared" si="47"/>
        <v>0</v>
      </c>
      <c r="H91" s="619">
        <f t="shared" si="47"/>
        <v>0</v>
      </c>
      <c r="I91" s="619">
        <f t="shared" si="47"/>
        <v>0</v>
      </c>
      <c r="J91" s="619">
        <f t="shared" si="47"/>
        <v>4041</v>
      </c>
      <c r="K91" s="619">
        <f t="shared" si="47"/>
        <v>4041</v>
      </c>
      <c r="L91" s="619">
        <f t="shared" si="47"/>
        <v>4041</v>
      </c>
      <c r="M91" s="619">
        <f t="shared" si="47"/>
        <v>4041</v>
      </c>
      <c r="N91" s="619">
        <f t="shared" si="47"/>
        <v>2637.2750000000001</v>
      </c>
      <c r="O91" s="619">
        <f t="shared" si="47"/>
        <v>2637.2750000000001</v>
      </c>
      <c r="P91" s="619">
        <f t="shared" si="47"/>
        <v>2637.2750000000001</v>
      </c>
      <c r="Q91" s="619">
        <f t="shared" si="47"/>
        <v>2637.2750000000001</v>
      </c>
      <c r="R91" s="619">
        <f t="shared" si="47"/>
        <v>2088.3762500000003</v>
      </c>
      <c r="S91" s="619">
        <f t="shared" si="47"/>
        <v>2088.3762500000003</v>
      </c>
      <c r="T91" s="619">
        <f t="shared" si="47"/>
        <v>2088.3762500000003</v>
      </c>
      <c r="U91" s="619">
        <f t="shared" si="47"/>
        <v>2088.3762500000003</v>
      </c>
      <c r="V91" s="619">
        <f t="shared" si="47"/>
        <v>972.35583087500015</v>
      </c>
      <c r="W91" s="619">
        <f t="shared" si="47"/>
        <v>972.35583087500015</v>
      </c>
      <c r="X91" s="619">
        <f t="shared" si="47"/>
        <v>972.35583087500015</v>
      </c>
      <c r="Y91" s="619">
        <f t="shared" si="47"/>
        <v>972.35583087500015</v>
      </c>
      <c r="Z91" s="619">
        <f t="shared" si="47"/>
        <v>1015.8201365151126</v>
      </c>
      <c r="AA91" s="619">
        <f t="shared" si="47"/>
        <v>1015.8201365151126</v>
      </c>
      <c r="AB91" s="619">
        <f t="shared" si="47"/>
        <v>1015.8201365151126</v>
      </c>
      <c r="AC91" s="619">
        <f t="shared" si="47"/>
        <v>1015.8201365151126</v>
      </c>
      <c r="AD91" s="619">
        <f t="shared" si="47"/>
        <v>1061.2272966173382</v>
      </c>
      <c r="AE91" s="619">
        <f t="shared" si="47"/>
        <v>1061.2272966173382</v>
      </c>
      <c r="AF91" s="619">
        <f t="shared" si="47"/>
        <v>1061.2272966173382</v>
      </c>
      <c r="AG91" s="619">
        <f t="shared" si="47"/>
        <v>1061.2272966173382</v>
      </c>
      <c r="AH91" s="619">
        <f t="shared" si="47"/>
        <v>1108.6641567761333</v>
      </c>
      <c r="AI91" s="619">
        <f t="shared" si="47"/>
        <v>1108.6641567761333</v>
      </c>
      <c r="AJ91" s="619">
        <f t="shared" si="47"/>
        <v>1108.6641567761333</v>
      </c>
      <c r="AK91" s="619">
        <f t="shared" si="47"/>
        <v>1108.6641567761333</v>
      </c>
      <c r="AL91" s="619">
        <f t="shared" si="47"/>
        <v>1158.2214445840264</v>
      </c>
      <c r="AM91" s="619">
        <f t="shared" si="47"/>
        <v>1158.2214445840264</v>
      </c>
      <c r="AN91" s="619">
        <f t="shared" si="47"/>
        <v>1158.2214445840264</v>
      </c>
      <c r="AO91" s="619">
        <f t="shared" si="47"/>
        <v>1158.2214445840264</v>
      </c>
      <c r="AP91" s="619">
        <f t="shared" si="47"/>
        <v>1209.9939431569323</v>
      </c>
      <c r="AQ91" s="619">
        <f t="shared" si="47"/>
        <v>1209.9939431569323</v>
      </c>
      <c r="AR91" s="619">
        <f t="shared" si="47"/>
        <v>1209.9939431569323</v>
      </c>
      <c r="AS91" s="619">
        <f t="shared" si="47"/>
        <v>1209.9939431569323</v>
      </c>
      <c r="AT91" s="619">
        <f t="shared" si="47"/>
        <v>1264.0806724160473</v>
      </c>
      <c r="AU91" s="619">
        <f t="shared" si="47"/>
        <v>1264.0806724160473</v>
      </c>
      <c r="AV91" s="619">
        <f t="shared" si="47"/>
        <v>1264.0806724160473</v>
      </c>
      <c r="AW91" s="619">
        <f t="shared" si="47"/>
        <v>1264.0806724160473</v>
      </c>
    </row>
    <row r="92" spans="2:49" ht="17">
      <c r="B92" s="568" t="s">
        <v>634</v>
      </c>
      <c r="C92" s="600" t="s">
        <v>736</v>
      </c>
      <c r="D92" s="104"/>
      <c r="E92" s="567"/>
      <c r="F92" s="567"/>
      <c r="G92" s="567"/>
      <c r="H92" s="567"/>
      <c r="I92" s="567"/>
      <c r="J92" s="567">
        <f>CapEx_Группа!$J$40/4</f>
        <v>3350</v>
      </c>
      <c r="K92" s="567">
        <f>CapEx_Группа!$J$40/4</f>
        <v>3350</v>
      </c>
      <c r="L92" s="567">
        <f>CapEx_Группа!$J$40/4</f>
        <v>3350</v>
      </c>
      <c r="M92" s="567">
        <f>CapEx_Группа!$J$40/4</f>
        <v>3350</v>
      </c>
      <c r="N92" s="567">
        <f>CapEx_Группа!$K$40/4</f>
        <v>1743.5250000000001</v>
      </c>
      <c r="O92" s="567">
        <f>CapEx_Группа!$K$40/4</f>
        <v>1743.5250000000001</v>
      </c>
      <c r="P92" s="567">
        <f>CapEx_Группа!$K$40/4</f>
        <v>1743.5250000000001</v>
      </c>
      <c r="Q92" s="567">
        <f>CapEx_Группа!$K$40/4</f>
        <v>1743.5250000000001</v>
      </c>
      <c r="R92" s="567">
        <f>CapEx_Группа!$L$40/4</f>
        <v>1157.625</v>
      </c>
      <c r="S92" s="567">
        <f>CapEx_Группа!$L$40/4</f>
        <v>1157.625</v>
      </c>
      <c r="T92" s="567">
        <f>CapEx_Группа!$L$40/4</f>
        <v>1157.625</v>
      </c>
      <c r="U92" s="567">
        <f>CapEx_Группа!$L$40/4</f>
        <v>1157.625</v>
      </c>
      <c r="V92" s="567">
        <f>CapEx_Группа!$M$40/4</f>
        <v>0</v>
      </c>
      <c r="W92" s="567">
        <f>CapEx_Группа!$M$40/4</f>
        <v>0</v>
      </c>
      <c r="X92" s="567">
        <f>CapEx_Группа!$M$40/4</f>
        <v>0</v>
      </c>
      <c r="Y92" s="567">
        <f>CapEx_Группа!$M$40/4</f>
        <v>0</v>
      </c>
      <c r="Z92" s="567">
        <f>CapEx_Группа!$N$40/4</f>
        <v>0</v>
      </c>
      <c r="AA92" s="567">
        <f>CapEx_Группа!$N$40/4</f>
        <v>0</v>
      </c>
      <c r="AB92" s="567">
        <f>CapEx_Группа!$N$40/4</f>
        <v>0</v>
      </c>
      <c r="AC92" s="567">
        <f>CapEx_Группа!$N$40/4</f>
        <v>0</v>
      </c>
      <c r="AD92" s="567">
        <f>CapEx_Группа!$O$40/4</f>
        <v>0</v>
      </c>
      <c r="AE92" s="567">
        <f>CapEx_Группа!$O$40/4</f>
        <v>0</v>
      </c>
      <c r="AF92" s="567">
        <f>CapEx_Группа!$O$40/4</f>
        <v>0</v>
      </c>
      <c r="AG92" s="567">
        <f>CapEx_Группа!$O$40/4</f>
        <v>0</v>
      </c>
      <c r="AH92" s="567">
        <f>CapEx_Группа!$P$40/4</f>
        <v>0</v>
      </c>
      <c r="AI92" s="567">
        <f>CapEx_Группа!$P$40/4</f>
        <v>0</v>
      </c>
      <c r="AJ92" s="567">
        <f>CapEx_Группа!$P$40/4</f>
        <v>0</v>
      </c>
      <c r="AK92" s="567">
        <f>CapEx_Группа!$P$40/4</f>
        <v>0</v>
      </c>
      <c r="AL92" s="567">
        <f>CapEx_Группа!$Q$40/4</f>
        <v>0</v>
      </c>
      <c r="AM92" s="567">
        <f>CapEx_Группа!$Q$40/4</f>
        <v>0</v>
      </c>
      <c r="AN92" s="567">
        <f>CapEx_Группа!$Q$40/4</f>
        <v>0</v>
      </c>
      <c r="AO92" s="567">
        <f>CapEx_Группа!$Q$40/4</f>
        <v>0</v>
      </c>
      <c r="AP92" s="567">
        <f>CapEx_Группа!$R$40/4</f>
        <v>0</v>
      </c>
      <c r="AQ92" s="567">
        <f>CapEx_Группа!$R$40/4</f>
        <v>0</v>
      </c>
      <c r="AR92" s="567">
        <f>CapEx_Группа!$R$40/4</f>
        <v>0</v>
      </c>
      <c r="AS92" s="567">
        <f>CapEx_Группа!$R$40/4</f>
        <v>0</v>
      </c>
      <c r="AT92" s="567">
        <f>CapEx_Группа!$S$40/4</f>
        <v>0</v>
      </c>
      <c r="AU92" s="567">
        <f>CapEx_Группа!$S$40/4</f>
        <v>0</v>
      </c>
      <c r="AV92" s="567">
        <f>CapEx_Группа!$S$40/4</f>
        <v>0</v>
      </c>
      <c r="AW92" s="567">
        <f>CapEx_Группа!$S$40/4</f>
        <v>0</v>
      </c>
    </row>
    <row r="93" spans="2:49" ht="17">
      <c r="B93" s="568" t="s">
        <v>255</v>
      </c>
      <c r="C93" s="600" t="s">
        <v>736</v>
      </c>
      <c r="D93" s="104"/>
      <c r="E93" s="567"/>
      <c r="F93" s="567"/>
      <c r="G93" s="567"/>
      <c r="H93" s="567"/>
      <c r="I93" s="567"/>
      <c r="J93" s="567">
        <f>(CapEx_Группа!$J$22-CapEx_Группа!$J$40)/4</f>
        <v>691</v>
      </c>
      <c r="K93" s="567">
        <f>(CapEx_Группа!$J$22-CapEx_Группа!$J$40)/4</f>
        <v>691</v>
      </c>
      <c r="L93" s="567">
        <f>(CapEx_Группа!$J$22-CapEx_Группа!$J$40)/4</f>
        <v>691</v>
      </c>
      <c r="M93" s="567">
        <f>(CapEx_Группа!$J$22-CapEx_Группа!$J$40)/4</f>
        <v>691</v>
      </c>
      <c r="N93" s="567">
        <f>(CapEx_Группа!$K$22-CapEx_Группа!$K$40)/4</f>
        <v>893.75</v>
      </c>
      <c r="O93" s="567">
        <f>(CapEx_Группа!$K$22-CapEx_Группа!$K$40)/4</f>
        <v>893.75</v>
      </c>
      <c r="P93" s="567">
        <f>(CapEx_Группа!$K$22-CapEx_Группа!$K$40)/4</f>
        <v>893.75</v>
      </c>
      <c r="Q93" s="567">
        <f>(CapEx_Группа!$K$22-CapEx_Группа!$K$40)/4</f>
        <v>893.75</v>
      </c>
      <c r="R93" s="567">
        <f t="shared" ref="R93:AW93" si="48">N93*R7</f>
        <v>930.75125000000014</v>
      </c>
      <c r="S93" s="567">
        <f t="shared" si="48"/>
        <v>930.75125000000014</v>
      </c>
      <c r="T93" s="567">
        <f t="shared" si="48"/>
        <v>930.75125000000014</v>
      </c>
      <c r="U93" s="567">
        <f t="shared" si="48"/>
        <v>930.75125000000014</v>
      </c>
      <c r="V93" s="567">
        <f t="shared" si="48"/>
        <v>972.35583087500015</v>
      </c>
      <c r="W93" s="567">
        <f t="shared" si="48"/>
        <v>972.35583087500015</v>
      </c>
      <c r="X93" s="567">
        <f t="shared" si="48"/>
        <v>972.35583087500015</v>
      </c>
      <c r="Y93" s="567">
        <f t="shared" si="48"/>
        <v>972.35583087500015</v>
      </c>
      <c r="Z93" s="567">
        <f t="shared" si="48"/>
        <v>1015.8201365151126</v>
      </c>
      <c r="AA93" s="567">
        <f t="shared" si="48"/>
        <v>1015.8201365151126</v>
      </c>
      <c r="AB93" s="567">
        <f t="shared" si="48"/>
        <v>1015.8201365151126</v>
      </c>
      <c r="AC93" s="567">
        <f t="shared" si="48"/>
        <v>1015.8201365151126</v>
      </c>
      <c r="AD93" s="567">
        <f t="shared" si="48"/>
        <v>1061.2272966173382</v>
      </c>
      <c r="AE93" s="567">
        <f t="shared" si="48"/>
        <v>1061.2272966173382</v>
      </c>
      <c r="AF93" s="567">
        <f t="shared" si="48"/>
        <v>1061.2272966173382</v>
      </c>
      <c r="AG93" s="567">
        <f t="shared" si="48"/>
        <v>1061.2272966173382</v>
      </c>
      <c r="AH93" s="567">
        <f t="shared" si="48"/>
        <v>1108.6641567761333</v>
      </c>
      <c r="AI93" s="567">
        <f t="shared" si="48"/>
        <v>1108.6641567761333</v>
      </c>
      <c r="AJ93" s="567">
        <f t="shared" si="48"/>
        <v>1108.6641567761333</v>
      </c>
      <c r="AK93" s="567">
        <f t="shared" si="48"/>
        <v>1108.6641567761333</v>
      </c>
      <c r="AL93" s="567">
        <f t="shared" si="48"/>
        <v>1158.2214445840264</v>
      </c>
      <c r="AM93" s="567">
        <f t="shared" si="48"/>
        <v>1158.2214445840264</v>
      </c>
      <c r="AN93" s="567">
        <f t="shared" si="48"/>
        <v>1158.2214445840264</v>
      </c>
      <c r="AO93" s="567">
        <f t="shared" si="48"/>
        <v>1158.2214445840264</v>
      </c>
      <c r="AP93" s="567">
        <f t="shared" si="48"/>
        <v>1209.9939431569323</v>
      </c>
      <c r="AQ93" s="567">
        <f t="shared" si="48"/>
        <v>1209.9939431569323</v>
      </c>
      <c r="AR93" s="567">
        <f t="shared" si="48"/>
        <v>1209.9939431569323</v>
      </c>
      <c r="AS93" s="567">
        <f t="shared" si="48"/>
        <v>1209.9939431569323</v>
      </c>
      <c r="AT93" s="567">
        <f t="shared" si="48"/>
        <v>1264.0806724160473</v>
      </c>
      <c r="AU93" s="567">
        <f t="shared" si="48"/>
        <v>1264.0806724160473</v>
      </c>
      <c r="AV93" s="567">
        <f t="shared" si="48"/>
        <v>1264.0806724160473</v>
      </c>
      <c r="AW93" s="567">
        <f t="shared" si="48"/>
        <v>1264.0806724160473</v>
      </c>
    </row>
    <row r="97" spans="2:49">
      <c r="B97" s="624" t="s">
        <v>765</v>
      </c>
      <c r="C97" s="625"/>
      <c r="D97" s="626"/>
      <c r="E97" s="626"/>
      <c r="F97" s="626"/>
      <c r="G97" s="626"/>
      <c r="H97" s="626"/>
      <c r="I97" s="626"/>
      <c r="J97" s="626"/>
      <c r="K97" s="626"/>
      <c r="L97" s="626"/>
      <c r="M97" s="626"/>
      <c r="N97" s="626"/>
      <c r="O97" s="626"/>
      <c r="P97" s="626"/>
      <c r="Q97" s="626"/>
      <c r="R97" s="626"/>
      <c r="S97" s="626"/>
      <c r="T97" s="626"/>
      <c r="U97" s="626"/>
      <c r="V97" s="626"/>
      <c r="W97" s="626"/>
      <c r="X97" s="626"/>
      <c r="Y97" s="626"/>
      <c r="Z97" s="626"/>
      <c r="AA97" s="626"/>
      <c r="AB97" s="626"/>
      <c r="AC97" s="626"/>
      <c r="AD97" s="626"/>
      <c r="AE97" s="626"/>
      <c r="AF97" s="626"/>
      <c r="AG97" s="626"/>
      <c r="AH97" s="626"/>
      <c r="AI97" s="626"/>
      <c r="AJ97" s="626"/>
      <c r="AK97" s="626"/>
      <c r="AL97" s="626"/>
      <c r="AM97" s="626"/>
      <c r="AN97" s="626"/>
      <c r="AO97" s="626"/>
      <c r="AP97" s="626"/>
      <c r="AQ97" s="626"/>
      <c r="AR97" s="626"/>
      <c r="AS97" s="626"/>
      <c r="AT97" s="626"/>
      <c r="AU97" s="626"/>
      <c r="AV97" s="626"/>
      <c r="AW97" s="626"/>
    </row>
    <row r="99" spans="2:49">
      <c r="B99" s="627" t="s">
        <v>18</v>
      </c>
      <c r="C99" s="599" t="s">
        <v>736</v>
      </c>
      <c r="D99" s="570">
        <f t="shared" ref="D99:AW99" si="49">D51</f>
        <v>88990</v>
      </c>
      <c r="E99" s="570">
        <f t="shared" si="49"/>
        <v>66871</v>
      </c>
      <c r="F99" s="570">
        <f t="shared" si="49"/>
        <v>111521</v>
      </c>
      <c r="G99" s="570">
        <f t="shared" si="49"/>
        <v>264322</v>
      </c>
      <c r="H99" s="570">
        <f t="shared" si="49"/>
        <v>222005</v>
      </c>
      <c r="I99" s="570">
        <f t="shared" si="49"/>
        <v>84337</v>
      </c>
      <c r="J99" s="570">
        <f t="shared" si="49"/>
        <v>54035.725739999994</v>
      </c>
      <c r="K99" s="570">
        <f t="shared" si="49"/>
        <v>96932.186117399964</v>
      </c>
      <c r="L99" s="570">
        <f t="shared" si="49"/>
        <v>144804.03</v>
      </c>
      <c r="M99" s="570">
        <f t="shared" si="49"/>
        <v>185973.58805967489</v>
      </c>
      <c r="N99" s="570">
        <f t="shared" si="49"/>
        <v>80610.080988158603</v>
      </c>
      <c r="O99" s="570">
        <f t="shared" si="49"/>
        <v>103749.75255180194</v>
      </c>
      <c r="P99" s="570">
        <f t="shared" si="49"/>
        <v>429247.85239052452</v>
      </c>
      <c r="Q99" s="570">
        <f t="shared" si="49"/>
        <v>194718.12539729167</v>
      </c>
      <c r="R99" s="570">
        <f t="shared" si="49"/>
        <v>88171.490167355776</v>
      </c>
      <c r="S99" s="570">
        <f t="shared" si="49"/>
        <v>121000.61496114434</v>
      </c>
      <c r="T99" s="570">
        <f t="shared" si="49"/>
        <v>444896.20904331357</v>
      </c>
      <c r="U99" s="570">
        <f t="shared" si="49"/>
        <v>202077.77224414569</v>
      </c>
      <c r="V99" s="570">
        <f t="shared" si="49"/>
        <v>126327.29287535971</v>
      </c>
      <c r="W99" s="570">
        <f t="shared" si="49"/>
        <v>235924.61015405337</v>
      </c>
      <c r="X99" s="570">
        <f t="shared" si="49"/>
        <v>461668.79612424661</v>
      </c>
      <c r="Y99" s="570">
        <f t="shared" si="49"/>
        <v>210783.59286921957</v>
      </c>
      <c r="Z99" s="570">
        <f t="shared" si="49"/>
        <v>120227.90547572984</v>
      </c>
      <c r="AA99" s="570">
        <f t="shared" si="49"/>
        <v>169886.16011266576</v>
      </c>
      <c r="AB99" s="570">
        <f t="shared" si="49"/>
        <v>480828.05116340285</v>
      </c>
      <c r="AC99" s="570">
        <f t="shared" si="49"/>
        <v>221042.77525517394</v>
      </c>
      <c r="AD99" s="570">
        <f t="shared" si="49"/>
        <v>164741.64250503844</v>
      </c>
      <c r="AE99" s="570">
        <f t="shared" si="49"/>
        <v>331283.33190974034</v>
      </c>
      <c r="AF99" s="570">
        <f t="shared" si="49"/>
        <v>495252.89269830496</v>
      </c>
      <c r="AG99" s="570">
        <f t="shared" si="49"/>
        <v>228309.08048854506</v>
      </c>
      <c r="AH99" s="570">
        <f t="shared" si="49"/>
        <v>114451.2398850976</v>
      </c>
      <c r="AI99" s="570">
        <f t="shared" si="49"/>
        <v>169760.38893356503</v>
      </c>
      <c r="AJ99" s="570">
        <f t="shared" si="49"/>
        <v>510110.47947925417</v>
      </c>
      <c r="AK99" s="570">
        <f t="shared" si="49"/>
        <v>234692.9550667681</v>
      </c>
      <c r="AL99" s="570">
        <f t="shared" si="49"/>
        <v>170773.21924017702</v>
      </c>
      <c r="AM99" s="570">
        <f t="shared" si="49"/>
        <v>318505.17602371849</v>
      </c>
      <c r="AN99" s="570">
        <f t="shared" si="49"/>
        <v>525413.79386363178</v>
      </c>
      <c r="AO99" s="570">
        <f t="shared" si="49"/>
        <v>243223.64571135293</v>
      </c>
      <c r="AP99" s="570">
        <f t="shared" si="49"/>
        <v>129698.09809216087</v>
      </c>
      <c r="AQ99" s="570">
        <f t="shared" si="49"/>
        <v>184221.11908653175</v>
      </c>
      <c r="AR99" s="570">
        <f t="shared" si="49"/>
        <v>541176.20767954073</v>
      </c>
      <c r="AS99" s="570">
        <f t="shared" si="49"/>
        <v>248785.59093654831</v>
      </c>
      <c r="AT99" s="570">
        <f t="shared" si="49"/>
        <v>168093.37695468738</v>
      </c>
      <c r="AU99" s="570">
        <f t="shared" si="49"/>
        <v>322867.74042480648</v>
      </c>
      <c r="AV99" s="570">
        <f t="shared" si="49"/>
        <v>557411.49390992709</v>
      </c>
      <c r="AW99" s="570">
        <f t="shared" si="49"/>
        <v>258035.96573517434</v>
      </c>
    </row>
    <row r="100" spans="2:49">
      <c r="B100" s="628" t="s">
        <v>762</v>
      </c>
      <c r="C100" s="600" t="s">
        <v>736</v>
      </c>
      <c r="D100" s="567">
        <f t="shared" ref="D100:AW100" si="50">-D56</f>
        <v>-52490</v>
      </c>
      <c r="E100" s="567">
        <f t="shared" si="50"/>
        <v>-33316</v>
      </c>
      <c r="F100" s="567">
        <f t="shared" si="50"/>
        <v>-84945</v>
      </c>
      <c r="G100" s="567">
        <f t="shared" si="50"/>
        <v>-183740</v>
      </c>
      <c r="H100" s="567">
        <f t="shared" si="50"/>
        <v>-86427.01513</v>
      </c>
      <c r="I100" s="567">
        <f t="shared" si="50"/>
        <v>-11101.088709999996</v>
      </c>
      <c r="J100" s="567">
        <f t="shared" si="50"/>
        <v>-42399.881999999991</v>
      </c>
      <c r="K100" s="567">
        <f t="shared" si="50"/>
        <v>-105944.3469</v>
      </c>
      <c r="L100" s="567">
        <f t="shared" si="50"/>
        <v>-83759.12999999999</v>
      </c>
      <c r="M100" s="567">
        <f t="shared" si="50"/>
        <v>-94537.799999999988</v>
      </c>
      <c r="N100" s="567">
        <f t="shared" si="50"/>
        <v>-72258.313642988142</v>
      </c>
      <c r="O100" s="567">
        <f t="shared" si="50"/>
        <v>-115634.59586597179</v>
      </c>
      <c r="P100" s="567">
        <f t="shared" si="50"/>
        <v>-164638.45358044188</v>
      </c>
      <c r="Q100" s="567">
        <f t="shared" si="50"/>
        <v>-74249.273022814115</v>
      </c>
      <c r="R100" s="567">
        <f t="shared" si="50"/>
        <v>-78077.852131097476</v>
      </c>
      <c r="S100" s="567">
        <f t="shared" si="50"/>
        <v>-127914.92010602816</v>
      </c>
      <c r="T100" s="567">
        <f t="shared" si="50"/>
        <v>-171847.09534155886</v>
      </c>
      <c r="U100" s="567">
        <f t="shared" si="50"/>
        <v>-77500.253572041154</v>
      </c>
      <c r="V100" s="567">
        <f t="shared" si="50"/>
        <v>-104452.38453552448</v>
      </c>
      <c r="W100" s="567">
        <f t="shared" si="50"/>
        <v>-196102.33333236587</v>
      </c>
      <c r="X100" s="567">
        <f t="shared" si="50"/>
        <v>-178961.56508869943</v>
      </c>
      <c r="Y100" s="567">
        <f t="shared" si="50"/>
        <v>-80708.764069923665</v>
      </c>
      <c r="Z100" s="567">
        <f t="shared" si="50"/>
        <v>-92902.403646655948</v>
      </c>
      <c r="AA100" s="567">
        <f t="shared" si="50"/>
        <v>-160790.82841511353</v>
      </c>
      <c r="AB100" s="567">
        <f t="shared" si="50"/>
        <v>-186961.14704816428</v>
      </c>
      <c r="AC100" s="567">
        <f t="shared" si="50"/>
        <v>-84316.445823849252</v>
      </c>
      <c r="AD100" s="567">
        <f t="shared" si="50"/>
        <v>-130579.03631982768</v>
      </c>
      <c r="AE100" s="567">
        <f t="shared" si="50"/>
        <v>-259083.78697752461</v>
      </c>
      <c r="AF100" s="567">
        <f t="shared" si="50"/>
        <v>-195318.31032121723</v>
      </c>
      <c r="AG100" s="567">
        <f t="shared" si="50"/>
        <v>-88085.390952175308</v>
      </c>
      <c r="AH100" s="567">
        <f t="shared" si="50"/>
        <v>-99346.937302595587</v>
      </c>
      <c r="AI100" s="567">
        <f t="shared" si="50"/>
        <v>-169924.98283773329</v>
      </c>
      <c r="AJ100" s="567">
        <f t="shared" si="50"/>
        <v>-204049.03879257562</v>
      </c>
      <c r="AK100" s="567">
        <f t="shared" si="50"/>
        <v>-92022.807927737536</v>
      </c>
      <c r="AL100" s="567">
        <f t="shared" si="50"/>
        <v>-135138.43017625288</v>
      </c>
      <c r="AM100" s="567">
        <f t="shared" si="50"/>
        <v>-262720.25195429748</v>
      </c>
      <c r="AN100" s="567">
        <f t="shared" si="50"/>
        <v>-213170.03082660376</v>
      </c>
      <c r="AO100" s="567">
        <f t="shared" si="50"/>
        <v>-96136.227442107411</v>
      </c>
      <c r="AP100" s="567">
        <f t="shared" si="50"/>
        <v>-109178.25134026546</v>
      </c>
      <c r="AQ100" s="567">
        <f t="shared" si="50"/>
        <v>-187497.26976360468</v>
      </c>
      <c r="AR100" s="567">
        <f t="shared" si="50"/>
        <v>-222698.73120455293</v>
      </c>
      <c r="AS100" s="567">
        <f t="shared" si="50"/>
        <v>-100433.51680876961</v>
      </c>
      <c r="AT100" s="567">
        <f t="shared" si="50"/>
        <v>-144295.13005887021</v>
      </c>
      <c r="AU100" s="567">
        <f t="shared" si="50"/>
        <v>-278050.37730850378</v>
      </c>
      <c r="AV100" s="567">
        <f t="shared" si="50"/>
        <v>-232653.36448939642</v>
      </c>
      <c r="AW100" s="567">
        <f t="shared" si="50"/>
        <v>-104922.89501012159</v>
      </c>
    </row>
    <row r="101" spans="2:49">
      <c r="B101" s="628" t="s">
        <v>763</v>
      </c>
      <c r="C101" s="600" t="s">
        <v>736</v>
      </c>
      <c r="D101" s="567">
        <f t="shared" ref="D101:AW101" si="51">-D69</f>
        <v>-891</v>
      </c>
      <c r="E101" s="567">
        <f t="shared" si="51"/>
        <v>-285</v>
      </c>
      <c r="F101" s="567">
        <f t="shared" si="51"/>
        <v>-333</v>
      </c>
      <c r="G101" s="567">
        <f t="shared" si="51"/>
        <v>-1506</v>
      </c>
      <c r="H101" s="567">
        <f t="shared" si="51"/>
        <v>-556.44000000000005</v>
      </c>
      <c r="I101" s="567">
        <f t="shared" si="51"/>
        <v>-1370.62</v>
      </c>
      <c r="J101" s="567">
        <f t="shared" si="51"/>
        <v>-635</v>
      </c>
      <c r="K101" s="567">
        <f t="shared" si="51"/>
        <v>-434</v>
      </c>
      <c r="L101" s="567">
        <f t="shared" si="51"/>
        <v>-835</v>
      </c>
      <c r="M101" s="567">
        <f t="shared" si="51"/>
        <v>-1427.0895439999997</v>
      </c>
      <c r="N101" s="567">
        <f t="shared" si="51"/>
        <v>-660.52700000000004</v>
      </c>
      <c r="O101" s="567">
        <f t="shared" si="51"/>
        <v>-451.4468</v>
      </c>
      <c r="P101" s="567">
        <f t="shared" si="51"/>
        <v>-868.56700000000001</v>
      </c>
      <c r="Q101" s="567">
        <f t="shared" si="51"/>
        <v>-1484.4585436687996</v>
      </c>
      <c r="R101" s="567">
        <f t="shared" si="51"/>
        <v>-686.68386920000012</v>
      </c>
      <c r="S101" s="567">
        <f t="shared" si="51"/>
        <v>-469.32409328000006</v>
      </c>
      <c r="T101" s="567">
        <f t="shared" si="51"/>
        <v>-902.96225320000008</v>
      </c>
      <c r="U101" s="567">
        <f t="shared" si="51"/>
        <v>-1543.2431019980843</v>
      </c>
      <c r="V101" s="567">
        <f t="shared" si="51"/>
        <v>-715.11258138488017</v>
      </c>
      <c r="W101" s="567">
        <f t="shared" si="51"/>
        <v>-488.75411074179209</v>
      </c>
      <c r="X101" s="567">
        <f t="shared" si="51"/>
        <v>-940.3448904824802</v>
      </c>
      <c r="Y101" s="567">
        <f t="shared" si="51"/>
        <v>-1607.133366420805</v>
      </c>
      <c r="Z101" s="567">
        <f t="shared" si="51"/>
        <v>-747.07811377278426</v>
      </c>
      <c r="AA101" s="567">
        <f t="shared" si="51"/>
        <v>-510.6014194919502</v>
      </c>
      <c r="AB101" s="567">
        <f t="shared" si="51"/>
        <v>-982.37830708704701</v>
      </c>
      <c r="AC101" s="567">
        <f t="shared" si="51"/>
        <v>-1678.9722278998149</v>
      </c>
      <c r="AD101" s="567">
        <f t="shared" si="51"/>
        <v>-780.47250545842769</v>
      </c>
      <c r="AE101" s="567">
        <f t="shared" si="51"/>
        <v>-533.42530294324035</v>
      </c>
      <c r="AF101" s="567">
        <f t="shared" si="51"/>
        <v>-1026.2906174138379</v>
      </c>
      <c r="AG101" s="567">
        <f t="shared" si="51"/>
        <v>-1754.0222864869365</v>
      </c>
      <c r="AH101" s="567">
        <f t="shared" si="51"/>
        <v>-815.35962645241943</v>
      </c>
      <c r="AI101" s="567">
        <f t="shared" si="51"/>
        <v>-557.26941398480312</v>
      </c>
      <c r="AJ101" s="567">
        <f t="shared" si="51"/>
        <v>-1072.1658080122365</v>
      </c>
      <c r="AK101" s="567">
        <f t="shared" si="51"/>
        <v>-1832.4270826929026</v>
      </c>
      <c r="AL101" s="567">
        <f t="shared" si="51"/>
        <v>-851.8062017548425</v>
      </c>
      <c r="AM101" s="567">
        <f t="shared" si="51"/>
        <v>-582.17935678992376</v>
      </c>
      <c r="AN101" s="567">
        <f t="shared" si="51"/>
        <v>-1120.0916196303835</v>
      </c>
      <c r="AO101" s="567">
        <f t="shared" si="51"/>
        <v>-1914.3365732892753</v>
      </c>
      <c r="AP101" s="567">
        <f t="shared" si="51"/>
        <v>-889.88193897328392</v>
      </c>
      <c r="AQ101" s="567">
        <f t="shared" si="51"/>
        <v>-608.20277403843329</v>
      </c>
      <c r="AR101" s="567">
        <f t="shared" si="51"/>
        <v>-1170.1597150278617</v>
      </c>
      <c r="AS101" s="567">
        <f t="shared" si="51"/>
        <v>-1999.9074181153057</v>
      </c>
      <c r="AT101" s="567">
        <f t="shared" si="51"/>
        <v>-929.65966164538963</v>
      </c>
      <c r="AU101" s="567">
        <f t="shared" si="51"/>
        <v>-635.38943803795121</v>
      </c>
      <c r="AV101" s="567">
        <f t="shared" si="51"/>
        <v>-1222.465854289607</v>
      </c>
      <c r="AW101" s="567">
        <f t="shared" si="51"/>
        <v>-2089.30327970506</v>
      </c>
    </row>
    <row r="102" spans="2:49">
      <c r="B102" s="628" t="s">
        <v>637</v>
      </c>
      <c r="C102" s="600" t="s">
        <v>736</v>
      </c>
      <c r="D102" s="567">
        <f t="shared" ref="D102:AW102" si="52">D75</f>
        <v>0</v>
      </c>
      <c r="E102" s="567">
        <f t="shared" si="52"/>
        <v>0</v>
      </c>
      <c r="F102" s="567">
        <f t="shared" si="52"/>
        <v>3571</v>
      </c>
      <c r="G102" s="567">
        <f t="shared" si="52"/>
        <v>3571</v>
      </c>
      <c r="H102" s="567">
        <f t="shared" si="52"/>
        <v>3571</v>
      </c>
      <c r="I102" s="567">
        <f t="shared" si="52"/>
        <v>3571</v>
      </c>
      <c r="J102" s="567">
        <f t="shared" si="52"/>
        <v>0</v>
      </c>
      <c r="K102" s="567">
        <f t="shared" si="52"/>
        <v>0</v>
      </c>
      <c r="L102" s="567">
        <f t="shared" si="52"/>
        <v>0</v>
      </c>
      <c r="M102" s="567">
        <f t="shared" si="52"/>
        <v>0</v>
      </c>
      <c r="N102" s="567">
        <f t="shared" si="52"/>
        <v>1394.8200000000002</v>
      </c>
      <c r="O102" s="567">
        <f t="shared" si="52"/>
        <v>1394.8200000000002</v>
      </c>
      <c r="P102" s="567">
        <f t="shared" si="52"/>
        <v>1394.8200000000002</v>
      </c>
      <c r="Q102" s="567">
        <f t="shared" si="52"/>
        <v>1394.8200000000002</v>
      </c>
      <c r="R102" s="567">
        <f t="shared" si="52"/>
        <v>926.1</v>
      </c>
      <c r="S102" s="567">
        <f t="shared" si="52"/>
        <v>926.1</v>
      </c>
      <c r="T102" s="567">
        <f t="shared" si="52"/>
        <v>926.1</v>
      </c>
      <c r="U102" s="567">
        <f t="shared" si="52"/>
        <v>926.1</v>
      </c>
      <c r="V102" s="567">
        <f t="shared" si="52"/>
        <v>0</v>
      </c>
      <c r="W102" s="567">
        <f t="shared" si="52"/>
        <v>0</v>
      </c>
      <c r="X102" s="567">
        <f t="shared" si="52"/>
        <v>0</v>
      </c>
      <c r="Y102" s="567">
        <f t="shared" si="52"/>
        <v>0</v>
      </c>
      <c r="Z102" s="567">
        <f t="shared" si="52"/>
        <v>0</v>
      </c>
      <c r="AA102" s="567">
        <f t="shared" si="52"/>
        <v>0</v>
      </c>
      <c r="AB102" s="567">
        <f t="shared" si="52"/>
        <v>0</v>
      </c>
      <c r="AC102" s="567">
        <f t="shared" si="52"/>
        <v>0</v>
      </c>
      <c r="AD102" s="567">
        <f t="shared" si="52"/>
        <v>0</v>
      </c>
      <c r="AE102" s="567">
        <f t="shared" si="52"/>
        <v>0</v>
      </c>
      <c r="AF102" s="567">
        <f t="shared" si="52"/>
        <v>0</v>
      </c>
      <c r="AG102" s="567">
        <f t="shared" si="52"/>
        <v>0</v>
      </c>
      <c r="AH102" s="567">
        <f t="shared" si="52"/>
        <v>0</v>
      </c>
      <c r="AI102" s="567">
        <f t="shared" si="52"/>
        <v>0</v>
      </c>
      <c r="AJ102" s="567">
        <f t="shared" si="52"/>
        <v>0</v>
      </c>
      <c r="AK102" s="567">
        <f t="shared" si="52"/>
        <v>0</v>
      </c>
      <c r="AL102" s="567">
        <f t="shared" si="52"/>
        <v>0</v>
      </c>
      <c r="AM102" s="567">
        <f t="shared" si="52"/>
        <v>0</v>
      </c>
      <c r="AN102" s="567">
        <f t="shared" si="52"/>
        <v>0</v>
      </c>
      <c r="AO102" s="567">
        <f t="shared" si="52"/>
        <v>0</v>
      </c>
      <c r="AP102" s="567">
        <f t="shared" si="52"/>
        <v>0</v>
      </c>
      <c r="AQ102" s="567">
        <f t="shared" si="52"/>
        <v>0</v>
      </c>
      <c r="AR102" s="567">
        <f t="shared" si="52"/>
        <v>0</v>
      </c>
      <c r="AS102" s="567">
        <f t="shared" si="52"/>
        <v>0</v>
      </c>
      <c r="AT102" s="567">
        <f t="shared" si="52"/>
        <v>0</v>
      </c>
      <c r="AU102" s="567">
        <f t="shared" si="52"/>
        <v>0</v>
      </c>
      <c r="AV102" s="567">
        <f t="shared" si="52"/>
        <v>0</v>
      </c>
      <c r="AW102" s="567">
        <f t="shared" si="52"/>
        <v>0</v>
      </c>
    </row>
    <row r="103" spans="2:49">
      <c r="B103" s="628" t="s">
        <v>761</v>
      </c>
      <c r="C103" s="600" t="s">
        <v>736</v>
      </c>
      <c r="D103" s="567">
        <f t="shared" ref="D103:AW103" si="53">-D83</f>
        <v>0</v>
      </c>
      <c r="E103" s="567">
        <f t="shared" si="53"/>
        <v>0</v>
      </c>
      <c r="F103" s="567">
        <f t="shared" si="53"/>
        <v>0</v>
      </c>
      <c r="G103" s="567">
        <f t="shared" si="53"/>
        <v>-1634</v>
      </c>
      <c r="H103" s="567">
        <f t="shared" si="53"/>
        <v>0</v>
      </c>
      <c r="I103" s="567">
        <f t="shared" si="53"/>
        <v>0</v>
      </c>
      <c r="J103" s="567">
        <f t="shared" si="53"/>
        <v>0</v>
      </c>
      <c r="K103" s="567">
        <f t="shared" si="53"/>
        <v>-2172</v>
      </c>
      <c r="L103" s="567">
        <f t="shared" si="53"/>
        <v>0</v>
      </c>
      <c r="M103" s="567">
        <f t="shared" si="53"/>
        <v>0</v>
      </c>
      <c r="N103" s="567">
        <f t="shared" si="53"/>
        <v>0</v>
      </c>
      <c r="O103" s="567">
        <f t="shared" si="53"/>
        <v>0</v>
      </c>
      <c r="P103" s="567">
        <f t="shared" si="53"/>
        <v>-13979.922038766601</v>
      </c>
      <c r="Q103" s="567">
        <f t="shared" si="53"/>
        <v>-5308.1803267307178</v>
      </c>
      <c r="R103" s="567">
        <f t="shared" si="53"/>
        <v>0</v>
      </c>
      <c r="S103" s="567">
        <f t="shared" si="53"/>
        <v>0</v>
      </c>
      <c r="T103" s="567">
        <f t="shared" si="53"/>
        <v>-14928.000603814926</v>
      </c>
      <c r="U103" s="567">
        <f t="shared" si="53"/>
        <v>-5980.5941178285784</v>
      </c>
      <c r="V103" s="567">
        <f t="shared" si="53"/>
        <v>-21.259130238725259</v>
      </c>
      <c r="W103" s="567">
        <f t="shared" si="53"/>
        <v>-1117.9626806678987</v>
      </c>
      <c r="X103" s="567">
        <f t="shared" si="53"/>
        <v>-15688.422719832846</v>
      </c>
      <c r="Y103" s="567">
        <f t="shared" si="53"/>
        <v>-6489.7773438220183</v>
      </c>
      <c r="Z103" s="567">
        <f t="shared" si="53"/>
        <v>-485.66625133254598</v>
      </c>
      <c r="AA103" s="567">
        <f t="shared" si="53"/>
        <v>0</v>
      </c>
      <c r="AB103" s="567">
        <f t="shared" si="53"/>
        <v>-16493.458043300827</v>
      </c>
      <c r="AC103" s="567">
        <f t="shared" si="53"/>
        <v>-7019.9089937377785</v>
      </c>
      <c r="AD103" s="567">
        <f t="shared" si="53"/>
        <v>-998.3559344666578</v>
      </c>
      <c r="AE103" s="567">
        <f t="shared" si="53"/>
        <v>-3302.9875247173186</v>
      </c>
      <c r="AF103" s="567">
        <f t="shared" si="53"/>
        <v>-16963.246585659213</v>
      </c>
      <c r="AG103" s="567">
        <f t="shared" si="53"/>
        <v>-7355.0654149101001</v>
      </c>
      <c r="AH103" s="567">
        <f t="shared" si="53"/>
        <v>0</v>
      </c>
      <c r="AI103" s="567">
        <f t="shared" si="53"/>
        <v>0</v>
      </c>
      <c r="AJ103" s="567">
        <f t="shared" si="53"/>
        <v>-17419.176033184547</v>
      </c>
      <c r="AK103" s="567">
        <f t="shared" si="53"/>
        <v>-7570.0827438448305</v>
      </c>
      <c r="AL103" s="567">
        <f t="shared" si="53"/>
        <v>-1273.5186822252945</v>
      </c>
      <c r="AM103" s="567">
        <f t="shared" si="53"/>
        <v>-2498.7043932530023</v>
      </c>
      <c r="AN103" s="567">
        <f t="shared" si="53"/>
        <v>-17853.959995538993</v>
      </c>
      <c r="AO103" s="567">
        <f t="shared" si="53"/>
        <v>-7896.9246122525119</v>
      </c>
      <c r="AP103" s="567">
        <f t="shared" si="53"/>
        <v>-425.34289350251009</v>
      </c>
      <c r="AQ103" s="567">
        <f t="shared" si="53"/>
        <v>0</v>
      </c>
      <c r="AR103" s="567">
        <f t="shared" si="53"/>
        <v>-18285.984010324781</v>
      </c>
      <c r="AS103" s="567">
        <f t="shared" si="53"/>
        <v>-8028.675007306987</v>
      </c>
      <c r="AT103" s="567">
        <f t="shared" si="53"/>
        <v>-675.40837818952809</v>
      </c>
      <c r="AU103" s="567">
        <f t="shared" si="53"/>
        <v>-1954.2115648351066</v>
      </c>
      <c r="AV103" s="567">
        <f t="shared" si="53"/>
        <v>-18715.432958113681</v>
      </c>
      <c r="AW103" s="567">
        <f t="shared" si="53"/>
        <v>-8364.7191908600817</v>
      </c>
    </row>
    <row r="104" spans="2:49">
      <c r="B104" s="627" t="s">
        <v>636</v>
      </c>
      <c r="C104" s="599" t="s">
        <v>736</v>
      </c>
      <c r="D104" s="570">
        <f>SUM(D99:D103)</f>
        <v>35609</v>
      </c>
      <c r="E104" s="570">
        <f t="shared" ref="E104:AW104" si="54">SUM(E99:E103)</f>
        <v>33270</v>
      </c>
      <c r="F104" s="570">
        <f t="shared" si="54"/>
        <v>29814</v>
      </c>
      <c r="G104" s="570">
        <f t="shared" si="54"/>
        <v>81013</v>
      </c>
      <c r="H104" s="570">
        <f t="shared" si="54"/>
        <v>138592.54486999998</v>
      </c>
      <c r="I104" s="570">
        <f t="shared" si="54"/>
        <v>75436.291290000008</v>
      </c>
      <c r="J104" s="570">
        <f t="shared" si="54"/>
        <v>11000.843740000004</v>
      </c>
      <c r="K104" s="570">
        <f t="shared" si="54"/>
        <v>-11618.16078260004</v>
      </c>
      <c r="L104" s="570">
        <f t="shared" si="54"/>
        <v>60209.900000000009</v>
      </c>
      <c r="M104" s="570">
        <f t="shared" si="54"/>
        <v>90008.6985156749</v>
      </c>
      <c r="N104" s="570">
        <f t="shared" si="54"/>
        <v>9086.060345170461</v>
      </c>
      <c r="O104" s="570">
        <f t="shared" si="54"/>
        <v>-10941.470114169848</v>
      </c>
      <c r="P104" s="570">
        <f t="shared" si="54"/>
        <v>251155.72977131605</v>
      </c>
      <c r="Q104" s="570">
        <f t="shared" si="54"/>
        <v>115071.03350407805</v>
      </c>
      <c r="R104" s="570">
        <f t="shared" si="54"/>
        <v>10333.054167058301</v>
      </c>
      <c r="S104" s="570">
        <f t="shared" si="54"/>
        <v>-6457.5292381638228</v>
      </c>
      <c r="T104" s="570">
        <f t="shared" si="54"/>
        <v>258144.25084473976</v>
      </c>
      <c r="U104" s="570">
        <f t="shared" si="54"/>
        <v>117979.78145227788</v>
      </c>
      <c r="V104" s="570">
        <f t="shared" si="54"/>
        <v>21138.536628211616</v>
      </c>
      <c r="W104" s="570">
        <f t="shared" si="54"/>
        <v>38215.560030277804</v>
      </c>
      <c r="X104" s="570">
        <f t="shared" si="54"/>
        <v>266078.46342523186</v>
      </c>
      <c r="Y104" s="570">
        <f t="shared" si="54"/>
        <v>121977.91808905308</v>
      </c>
      <c r="Z104" s="570">
        <f t="shared" si="54"/>
        <v>26092.757463968566</v>
      </c>
      <c r="AA104" s="570">
        <f t="shared" si="54"/>
        <v>8584.7302780602822</v>
      </c>
      <c r="AB104" s="570">
        <f t="shared" si="54"/>
        <v>276391.06776485068</v>
      </c>
      <c r="AC104" s="570">
        <f t="shared" si="54"/>
        <v>128027.44820968708</v>
      </c>
      <c r="AD104" s="570">
        <f t="shared" si="54"/>
        <v>32383.777745285683</v>
      </c>
      <c r="AE104" s="570">
        <f t="shared" si="54"/>
        <v>68363.132104555174</v>
      </c>
      <c r="AF104" s="570">
        <f t="shared" si="54"/>
        <v>281945.0451740147</v>
      </c>
      <c r="AG104" s="570">
        <f t="shared" si="54"/>
        <v>131114.60183497274</v>
      </c>
      <c r="AH104" s="570">
        <f t="shared" si="54"/>
        <v>14288.942956049596</v>
      </c>
      <c r="AI104" s="570">
        <f t="shared" si="54"/>
        <v>-721.86331815306085</v>
      </c>
      <c r="AJ104" s="570">
        <f t="shared" si="54"/>
        <v>287570.0988454817</v>
      </c>
      <c r="AK104" s="570">
        <f t="shared" si="54"/>
        <v>133267.63731249282</v>
      </c>
      <c r="AL104" s="570">
        <f t="shared" si="54"/>
        <v>33509.464179944</v>
      </c>
      <c r="AM104" s="570">
        <f t="shared" si="54"/>
        <v>52704.040319378095</v>
      </c>
      <c r="AN104" s="570">
        <f t="shared" si="54"/>
        <v>293269.71142185864</v>
      </c>
      <c r="AO104" s="570">
        <f t="shared" si="54"/>
        <v>137276.15708370376</v>
      </c>
      <c r="AP104" s="570">
        <f t="shared" si="54"/>
        <v>19204.621919419616</v>
      </c>
      <c r="AQ104" s="570">
        <f t="shared" si="54"/>
        <v>-3884.3534511113653</v>
      </c>
      <c r="AR104" s="570">
        <f t="shared" si="54"/>
        <v>299021.33274963521</v>
      </c>
      <c r="AS104" s="570">
        <f t="shared" si="54"/>
        <v>138323.4917023564</v>
      </c>
      <c r="AT104" s="570">
        <f t="shared" si="54"/>
        <v>22193.178855982249</v>
      </c>
      <c r="AU104" s="570">
        <f t="shared" si="54"/>
        <v>42227.762113429642</v>
      </c>
      <c r="AV104" s="570">
        <f t="shared" si="54"/>
        <v>304820.23060812737</v>
      </c>
      <c r="AW104" s="570">
        <f t="shared" si="54"/>
        <v>142659.0482544876</v>
      </c>
    </row>
    <row r="105" spans="2:49">
      <c r="B105" s="628"/>
      <c r="C105" s="600"/>
      <c r="D105" s="567"/>
      <c r="E105" s="567"/>
      <c r="F105" s="567"/>
      <c r="G105" s="567"/>
      <c r="H105" s="567"/>
      <c r="I105" s="567"/>
      <c r="J105" s="567"/>
      <c r="K105" s="567"/>
      <c r="L105" s="567"/>
      <c r="M105" s="567"/>
      <c r="N105" s="567"/>
      <c r="O105" s="567"/>
      <c r="P105" s="567"/>
      <c r="Q105" s="567"/>
      <c r="R105" s="567"/>
      <c r="S105" s="567"/>
      <c r="T105" s="567"/>
      <c r="U105" s="567"/>
      <c r="V105" s="567"/>
      <c r="W105" s="567"/>
      <c r="X105" s="567"/>
      <c r="Y105" s="567"/>
      <c r="Z105" s="567"/>
      <c r="AA105" s="567"/>
      <c r="AB105" s="567"/>
      <c r="AC105" s="567"/>
      <c r="AD105" s="567"/>
      <c r="AE105" s="567"/>
      <c r="AF105" s="567"/>
      <c r="AG105" s="567"/>
      <c r="AH105" s="567"/>
      <c r="AI105" s="567"/>
      <c r="AJ105" s="567"/>
      <c r="AK105" s="567"/>
      <c r="AL105" s="567"/>
      <c r="AM105" s="567"/>
      <c r="AN105" s="567"/>
      <c r="AO105" s="567"/>
      <c r="AP105" s="567"/>
      <c r="AQ105" s="567"/>
      <c r="AR105" s="567"/>
      <c r="AS105" s="567"/>
      <c r="AT105" s="567"/>
      <c r="AU105" s="567"/>
      <c r="AV105" s="567"/>
      <c r="AW105" s="567"/>
    </row>
    <row r="106" spans="2:49">
      <c r="D106" s="567"/>
      <c r="E106" s="567"/>
      <c r="F106" s="567"/>
      <c r="G106" s="567"/>
      <c r="H106" s="567"/>
      <c r="I106" s="567"/>
      <c r="J106" s="567"/>
      <c r="K106" s="567"/>
      <c r="L106" s="567"/>
      <c r="M106" s="567"/>
      <c r="N106" s="567"/>
      <c r="O106" s="567"/>
      <c r="P106" s="567"/>
      <c r="Q106" s="567"/>
      <c r="R106" s="567"/>
      <c r="S106" s="567"/>
      <c r="T106" s="567"/>
      <c r="U106" s="567"/>
      <c r="V106" s="567"/>
      <c r="W106" s="567"/>
      <c r="X106" s="567"/>
      <c r="Y106" s="567"/>
      <c r="Z106" s="567"/>
      <c r="AA106" s="567"/>
      <c r="AB106" s="567"/>
      <c r="AC106" s="567"/>
      <c r="AD106" s="567"/>
      <c r="AE106" s="567"/>
      <c r="AF106" s="567"/>
      <c r="AG106" s="567"/>
      <c r="AH106" s="567"/>
      <c r="AI106" s="567"/>
      <c r="AJ106" s="567"/>
      <c r="AK106" s="567"/>
      <c r="AL106" s="567"/>
      <c r="AM106" s="567"/>
      <c r="AN106" s="567"/>
      <c r="AO106" s="567"/>
      <c r="AP106" s="567"/>
      <c r="AQ106" s="567"/>
      <c r="AR106" s="567"/>
      <c r="AS106" s="567"/>
      <c r="AT106" s="567"/>
      <c r="AU106" s="567"/>
      <c r="AV106" s="567"/>
      <c r="AW106" s="567"/>
    </row>
    <row r="107" spans="2:49">
      <c r="D107" s="567"/>
      <c r="E107" s="567"/>
      <c r="F107" s="567"/>
      <c r="G107" s="567"/>
      <c r="H107" s="567"/>
      <c r="I107" s="567"/>
      <c r="J107" s="567"/>
      <c r="K107" s="567"/>
      <c r="L107" s="567"/>
      <c r="M107" s="567"/>
      <c r="N107" s="567"/>
      <c r="O107" s="567"/>
      <c r="P107" s="567"/>
      <c r="Q107" s="567"/>
      <c r="R107" s="567"/>
      <c r="S107" s="567"/>
      <c r="T107" s="567"/>
      <c r="U107" s="567"/>
      <c r="V107" s="567"/>
      <c r="W107" s="567"/>
      <c r="X107" s="567"/>
      <c r="Y107" s="567"/>
      <c r="Z107" s="567"/>
      <c r="AA107" s="567"/>
      <c r="AB107" s="567"/>
      <c r="AC107" s="567"/>
      <c r="AD107" s="567"/>
      <c r="AE107" s="567"/>
      <c r="AF107" s="567"/>
      <c r="AG107" s="567"/>
      <c r="AH107" s="567"/>
      <c r="AI107" s="567"/>
      <c r="AJ107" s="567"/>
      <c r="AK107" s="567"/>
      <c r="AL107" s="567"/>
      <c r="AM107" s="567"/>
      <c r="AN107" s="567"/>
      <c r="AO107" s="567"/>
      <c r="AP107" s="567"/>
      <c r="AQ107" s="567"/>
      <c r="AR107" s="567"/>
      <c r="AS107" s="567"/>
      <c r="AT107" s="567"/>
      <c r="AU107" s="567"/>
      <c r="AV107" s="567"/>
      <c r="AW107" s="567"/>
    </row>
    <row r="108" spans="2:49">
      <c r="D108" s="567"/>
      <c r="E108" s="567"/>
      <c r="F108" s="567"/>
      <c r="G108" s="567"/>
      <c r="H108" s="567"/>
      <c r="I108" s="567"/>
      <c r="J108" s="567"/>
      <c r="K108" s="567"/>
      <c r="L108" s="567"/>
      <c r="M108" s="567"/>
      <c r="N108" s="567"/>
      <c r="O108" s="567"/>
      <c r="P108" s="567"/>
      <c r="Q108" s="567"/>
      <c r="R108" s="567"/>
      <c r="S108" s="567"/>
      <c r="T108" s="567"/>
      <c r="U108" s="567"/>
      <c r="V108" s="567"/>
      <c r="W108" s="567"/>
      <c r="X108" s="567"/>
      <c r="Y108" s="567"/>
      <c r="Z108" s="567"/>
      <c r="AA108" s="567"/>
      <c r="AB108" s="567"/>
      <c r="AC108" s="567"/>
      <c r="AD108" s="567"/>
      <c r="AE108" s="567"/>
      <c r="AF108" s="567"/>
      <c r="AG108" s="567"/>
      <c r="AH108" s="567"/>
      <c r="AI108" s="567"/>
      <c r="AJ108" s="567"/>
      <c r="AK108" s="567"/>
      <c r="AL108" s="567"/>
      <c r="AM108" s="567"/>
      <c r="AN108" s="567"/>
      <c r="AO108" s="567"/>
      <c r="AP108" s="567"/>
      <c r="AQ108" s="567"/>
      <c r="AR108" s="567"/>
      <c r="AS108" s="567"/>
      <c r="AT108" s="567"/>
      <c r="AU108" s="567"/>
      <c r="AV108" s="567"/>
      <c r="AW108" s="567"/>
    </row>
    <row r="109" spans="2:49">
      <c r="D109" s="567"/>
      <c r="E109" s="567"/>
      <c r="F109" s="567"/>
      <c r="G109" s="567"/>
      <c r="H109" s="567"/>
      <c r="I109" s="567"/>
      <c r="J109" s="567"/>
      <c r="K109" s="567"/>
      <c r="L109" s="567"/>
      <c r="M109" s="567"/>
      <c r="N109" s="567"/>
      <c r="O109" s="567"/>
      <c r="P109" s="567"/>
      <c r="Q109" s="567"/>
      <c r="R109" s="567"/>
      <c r="S109" s="567"/>
      <c r="T109" s="567"/>
      <c r="U109" s="567"/>
      <c r="V109" s="567"/>
      <c r="W109" s="567"/>
      <c r="X109" s="567"/>
      <c r="Y109" s="567"/>
      <c r="Z109" s="567"/>
      <c r="AA109" s="567"/>
      <c r="AB109" s="567"/>
      <c r="AC109" s="567"/>
      <c r="AD109" s="567"/>
      <c r="AE109" s="567"/>
      <c r="AF109" s="567"/>
      <c r="AG109" s="567"/>
      <c r="AH109" s="567"/>
      <c r="AI109" s="567"/>
      <c r="AJ109" s="567"/>
      <c r="AK109" s="567"/>
      <c r="AL109" s="567"/>
      <c r="AM109" s="567"/>
      <c r="AN109" s="567"/>
      <c r="AO109" s="567"/>
      <c r="AP109" s="567"/>
      <c r="AQ109" s="567"/>
      <c r="AR109" s="567"/>
      <c r="AS109" s="567"/>
      <c r="AT109" s="567"/>
      <c r="AU109" s="567"/>
      <c r="AV109" s="567"/>
      <c r="AW109" s="567"/>
    </row>
    <row r="110" spans="2:49">
      <c r="D110" s="567"/>
      <c r="E110" s="567"/>
      <c r="F110" s="567"/>
      <c r="G110" s="567"/>
      <c r="H110" s="567"/>
      <c r="I110" s="567"/>
      <c r="J110" s="567"/>
      <c r="K110" s="567"/>
      <c r="L110" s="567"/>
      <c r="M110" s="567"/>
      <c r="N110" s="567"/>
      <c r="O110" s="567"/>
      <c r="P110" s="567"/>
      <c r="Q110" s="567"/>
      <c r="R110" s="567"/>
      <c r="S110" s="567"/>
      <c r="T110" s="567"/>
      <c r="U110" s="567"/>
      <c r="V110" s="567"/>
      <c r="W110" s="567"/>
      <c r="X110" s="567"/>
      <c r="Y110" s="567"/>
      <c r="Z110" s="567"/>
      <c r="AA110" s="567"/>
      <c r="AB110" s="567"/>
      <c r="AC110" s="567"/>
      <c r="AD110" s="567"/>
      <c r="AE110" s="567"/>
      <c r="AF110" s="567"/>
      <c r="AG110" s="567"/>
      <c r="AH110" s="567"/>
      <c r="AI110" s="567"/>
      <c r="AJ110" s="567"/>
      <c r="AK110" s="567"/>
      <c r="AL110" s="567"/>
      <c r="AM110" s="567"/>
      <c r="AN110" s="567"/>
      <c r="AO110" s="567"/>
      <c r="AP110" s="567"/>
      <c r="AQ110" s="567"/>
      <c r="AR110" s="567"/>
      <c r="AS110" s="567"/>
      <c r="AT110" s="567"/>
      <c r="AU110" s="567"/>
      <c r="AV110" s="567"/>
      <c r="AW110" s="567"/>
    </row>
    <row r="111" spans="2:49">
      <c r="D111" s="567"/>
      <c r="E111" s="567"/>
      <c r="F111" s="567"/>
      <c r="G111" s="567"/>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row>
    <row r="112" spans="2:49">
      <c r="D112" s="567"/>
      <c r="E112" s="567"/>
      <c r="F112" s="567"/>
      <c r="G112" s="567"/>
      <c r="H112" s="567"/>
      <c r="I112" s="567"/>
      <c r="J112" s="567"/>
      <c r="K112" s="567"/>
      <c r="L112" s="567"/>
      <c r="M112" s="567"/>
      <c r="N112" s="567"/>
      <c r="O112" s="567"/>
      <c r="P112" s="567"/>
      <c r="Q112" s="567"/>
      <c r="R112" s="567"/>
      <c r="S112" s="567"/>
      <c r="T112" s="567"/>
      <c r="U112" s="567"/>
      <c r="V112" s="567"/>
      <c r="W112" s="567"/>
      <c r="X112" s="567"/>
      <c r="Y112" s="567"/>
      <c r="Z112" s="567"/>
      <c r="AA112" s="567"/>
      <c r="AB112" s="567"/>
      <c r="AC112" s="567"/>
      <c r="AD112" s="567"/>
      <c r="AE112" s="567"/>
      <c r="AF112" s="567"/>
      <c r="AG112" s="567"/>
      <c r="AH112" s="567"/>
      <c r="AI112" s="567"/>
      <c r="AJ112" s="567"/>
      <c r="AK112" s="567"/>
      <c r="AL112" s="567"/>
      <c r="AM112" s="567"/>
      <c r="AN112" s="567"/>
      <c r="AO112" s="567"/>
      <c r="AP112" s="567"/>
      <c r="AQ112" s="567"/>
      <c r="AR112" s="567"/>
      <c r="AS112" s="567"/>
      <c r="AT112" s="567"/>
      <c r="AU112" s="567"/>
      <c r="AV112" s="567"/>
      <c r="AW112" s="567"/>
    </row>
    <row r="113" spans="4:49">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row>
    <row r="114" spans="4:49">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row>
    <row r="115" spans="4:49">
      <c r="D115" s="567"/>
      <c r="E115" s="567"/>
      <c r="F115" s="567"/>
      <c r="G115" s="567"/>
      <c r="H115" s="567"/>
      <c r="I115" s="567"/>
      <c r="J115" s="567"/>
      <c r="K115" s="567"/>
      <c r="L115" s="567"/>
      <c r="M115" s="567"/>
      <c r="N115" s="567"/>
      <c r="O115" s="567"/>
      <c r="P115" s="567"/>
      <c r="Q115" s="567"/>
      <c r="R115" s="567"/>
      <c r="S115" s="567"/>
      <c r="T115" s="567"/>
      <c r="U115" s="567"/>
      <c r="V115" s="567"/>
      <c r="W115" s="567"/>
      <c r="X115" s="567"/>
      <c r="Y115" s="567"/>
      <c r="Z115" s="567"/>
      <c r="AA115" s="567"/>
      <c r="AB115" s="567"/>
      <c r="AC115" s="567"/>
      <c r="AD115" s="567"/>
      <c r="AE115" s="567"/>
      <c r="AF115" s="567"/>
      <c r="AG115" s="567"/>
      <c r="AH115" s="567"/>
      <c r="AI115" s="567"/>
      <c r="AJ115" s="567"/>
      <c r="AK115" s="567"/>
      <c r="AL115" s="567"/>
      <c r="AM115" s="567"/>
      <c r="AN115" s="567"/>
      <c r="AO115" s="567"/>
      <c r="AP115" s="567"/>
      <c r="AQ115" s="567"/>
      <c r="AR115" s="567"/>
      <c r="AS115" s="567"/>
      <c r="AT115" s="567"/>
      <c r="AU115" s="567"/>
      <c r="AV115" s="567"/>
      <c r="AW115" s="567"/>
    </row>
    <row r="116" spans="4:49">
      <c r="D116" s="567"/>
      <c r="E116" s="567"/>
      <c r="F116" s="567"/>
      <c r="G116" s="567"/>
      <c r="H116" s="567"/>
      <c r="I116" s="567"/>
      <c r="J116" s="567"/>
      <c r="K116" s="567"/>
      <c r="L116" s="567"/>
      <c r="M116" s="567"/>
      <c r="N116" s="567"/>
      <c r="O116" s="567"/>
      <c r="P116" s="567"/>
      <c r="Q116" s="567"/>
      <c r="R116" s="567"/>
      <c r="S116" s="567"/>
      <c r="T116" s="567"/>
      <c r="U116" s="567"/>
      <c r="V116" s="567"/>
      <c r="W116" s="567"/>
      <c r="X116" s="567"/>
      <c r="Y116" s="567"/>
      <c r="Z116" s="567"/>
      <c r="AA116" s="567"/>
      <c r="AB116" s="567"/>
      <c r="AC116" s="567"/>
      <c r="AD116" s="567"/>
      <c r="AE116" s="567"/>
      <c r="AF116" s="567"/>
      <c r="AG116" s="567"/>
      <c r="AH116" s="567"/>
      <c r="AI116" s="567"/>
      <c r="AJ116" s="567"/>
      <c r="AK116" s="567"/>
      <c r="AL116" s="567"/>
      <c r="AM116" s="567"/>
      <c r="AN116" s="567"/>
      <c r="AO116" s="567"/>
      <c r="AP116" s="567"/>
      <c r="AQ116" s="567"/>
      <c r="AR116" s="567"/>
      <c r="AS116" s="567"/>
      <c r="AT116" s="567"/>
      <c r="AU116" s="567"/>
      <c r="AV116" s="567"/>
      <c r="AW116" s="567"/>
    </row>
    <row r="117" spans="4:49">
      <c r="D117" s="567"/>
      <c r="E117" s="567"/>
      <c r="F117" s="567"/>
      <c r="G117" s="567"/>
      <c r="H117" s="567"/>
      <c r="I117" s="567"/>
      <c r="J117" s="567"/>
      <c r="K117" s="567"/>
      <c r="L117" s="567"/>
      <c r="M117" s="567"/>
      <c r="N117" s="567"/>
      <c r="O117" s="567"/>
      <c r="P117" s="567"/>
      <c r="Q117" s="567"/>
      <c r="R117" s="567"/>
      <c r="S117" s="567"/>
      <c r="T117" s="567"/>
      <c r="U117" s="567"/>
      <c r="V117" s="567"/>
      <c r="W117" s="567"/>
      <c r="X117" s="567"/>
      <c r="Y117" s="567"/>
      <c r="Z117" s="567"/>
      <c r="AA117" s="567"/>
      <c r="AB117" s="567"/>
      <c r="AC117" s="567"/>
      <c r="AD117" s="567"/>
      <c r="AE117" s="567"/>
      <c r="AF117" s="567"/>
      <c r="AG117" s="567"/>
      <c r="AH117" s="567"/>
      <c r="AI117" s="567"/>
      <c r="AJ117" s="567"/>
      <c r="AK117" s="567"/>
      <c r="AL117" s="567"/>
      <c r="AM117" s="567"/>
      <c r="AN117" s="567"/>
      <c r="AO117" s="567"/>
      <c r="AP117" s="567"/>
      <c r="AQ117" s="567"/>
      <c r="AR117" s="567"/>
      <c r="AS117" s="567"/>
      <c r="AT117" s="567"/>
      <c r="AU117" s="567"/>
      <c r="AV117" s="567"/>
      <c r="AW117" s="567"/>
    </row>
    <row r="118" spans="4:49">
      <c r="D118" s="567"/>
      <c r="E118" s="567"/>
      <c r="F118" s="567"/>
      <c r="G118" s="567"/>
      <c r="H118" s="567"/>
      <c r="I118" s="567"/>
      <c r="J118" s="567"/>
      <c r="K118" s="567"/>
      <c r="L118" s="567"/>
      <c r="M118" s="567"/>
      <c r="N118" s="567"/>
      <c r="O118" s="567"/>
      <c r="P118" s="567"/>
      <c r="Q118" s="567"/>
      <c r="R118" s="567"/>
      <c r="S118" s="567"/>
      <c r="T118" s="567"/>
      <c r="U118" s="567"/>
      <c r="V118" s="567"/>
      <c r="W118" s="567"/>
      <c r="X118" s="567"/>
      <c r="Y118" s="567"/>
      <c r="Z118" s="567"/>
      <c r="AA118" s="567"/>
      <c r="AB118" s="567"/>
      <c r="AC118" s="567"/>
      <c r="AD118" s="567"/>
      <c r="AE118" s="567"/>
      <c r="AF118" s="567"/>
      <c r="AG118" s="567"/>
      <c r="AH118" s="567"/>
      <c r="AI118" s="567"/>
      <c r="AJ118" s="567"/>
      <c r="AK118" s="567"/>
      <c r="AL118" s="567"/>
      <c r="AM118" s="567"/>
      <c r="AN118" s="567"/>
      <c r="AO118" s="567"/>
      <c r="AP118" s="567"/>
      <c r="AQ118" s="567"/>
      <c r="AR118" s="567"/>
      <c r="AS118" s="567"/>
      <c r="AT118" s="567"/>
      <c r="AU118" s="567"/>
      <c r="AV118" s="567"/>
      <c r="AW118" s="567"/>
    </row>
    <row r="119" spans="4:49">
      <c r="D119" s="567"/>
      <c r="E119" s="567"/>
      <c r="F119" s="567"/>
      <c r="G119" s="567"/>
      <c r="H119" s="567"/>
      <c r="I119" s="567"/>
      <c r="J119" s="567"/>
      <c r="K119" s="567"/>
      <c r="L119" s="567"/>
      <c r="M119" s="567"/>
      <c r="N119" s="567"/>
      <c r="O119" s="567"/>
      <c r="P119" s="567"/>
      <c r="Q119" s="567"/>
      <c r="R119" s="567"/>
      <c r="S119" s="567"/>
      <c r="T119" s="567"/>
      <c r="U119" s="567"/>
      <c r="V119" s="567"/>
      <c r="W119" s="567"/>
      <c r="X119" s="567"/>
      <c r="Y119" s="567"/>
      <c r="Z119" s="567"/>
      <c r="AA119" s="567"/>
      <c r="AB119" s="567"/>
      <c r="AC119" s="567"/>
      <c r="AD119" s="567"/>
      <c r="AE119" s="567"/>
      <c r="AF119" s="567"/>
      <c r="AG119" s="567"/>
      <c r="AH119" s="567"/>
      <c r="AI119" s="567"/>
      <c r="AJ119" s="567"/>
      <c r="AK119" s="567"/>
      <c r="AL119" s="567"/>
      <c r="AM119" s="567"/>
      <c r="AN119" s="567"/>
      <c r="AO119" s="567"/>
      <c r="AP119" s="567"/>
      <c r="AQ119" s="567"/>
      <c r="AR119" s="567"/>
      <c r="AS119" s="567"/>
      <c r="AT119" s="567"/>
      <c r="AU119" s="567"/>
      <c r="AV119" s="567"/>
      <c r="AW119" s="567"/>
    </row>
    <row r="120" spans="4:49">
      <c r="D120" s="567"/>
      <c r="E120" s="567"/>
      <c r="F120" s="567"/>
      <c r="G120" s="567"/>
      <c r="H120" s="567"/>
      <c r="I120" s="567"/>
      <c r="J120" s="567"/>
      <c r="K120" s="567"/>
      <c r="L120" s="567"/>
      <c r="M120" s="567"/>
      <c r="N120" s="567"/>
      <c r="O120" s="567"/>
      <c r="P120" s="567"/>
      <c r="Q120" s="567"/>
      <c r="R120" s="567"/>
      <c r="S120" s="567"/>
      <c r="T120" s="567"/>
      <c r="U120" s="567"/>
      <c r="V120" s="567"/>
      <c r="W120" s="567"/>
      <c r="X120" s="567"/>
      <c r="Y120" s="567"/>
      <c r="Z120" s="567"/>
      <c r="AA120" s="567"/>
      <c r="AB120" s="567"/>
      <c r="AC120" s="567"/>
      <c r="AD120" s="567"/>
      <c r="AE120" s="567"/>
      <c r="AF120" s="567"/>
      <c r="AG120" s="567"/>
      <c r="AH120" s="567"/>
      <c r="AI120" s="567"/>
      <c r="AJ120" s="567"/>
      <c r="AK120" s="567"/>
      <c r="AL120" s="567"/>
      <c r="AM120" s="567"/>
      <c r="AN120" s="567"/>
      <c r="AO120" s="567"/>
      <c r="AP120" s="567"/>
      <c r="AQ120" s="567"/>
      <c r="AR120" s="567"/>
      <c r="AS120" s="567"/>
      <c r="AT120" s="567"/>
      <c r="AU120" s="567"/>
      <c r="AV120" s="567"/>
      <c r="AW120" s="567"/>
    </row>
  </sheetData>
  <pageMargins left="0.7" right="0.7" top="0.75" bottom="0.75" header="0.3" footer="0.3"/>
  <pageSetup paperSize="9" scale="32" fitToHeight="0" orientation="landscape" r:id="rId1"/>
  <rowBreaks count="3" manualBreakCount="3">
    <brk id="12" min="1" max="35" man="1"/>
    <brk id="28" min="1" max="35" man="1"/>
    <brk id="76" min="1" max="35" man="1"/>
  </rowBreaks>
  <ignoredErrors>
    <ignoredError sqref="F6:AK6 F8:AK8 AL5:AW5 AL7:AW7 AL6:AX6 AX7 N60:AW61 O85:AF85 N75:W75"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pageSetUpPr fitToPage="1"/>
  </sheetPr>
  <dimension ref="A1:M255"/>
  <sheetViews>
    <sheetView showGridLines="0" topLeftCell="A51" zoomScale="80" zoomScaleNormal="80" zoomScaleSheetLayoutView="80" workbookViewId="0">
      <selection activeCell="C46" sqref="C46"/>
    </sheetView>
  </sheetViews>
  <sheetFormatPr baseColWidth="10" defaultColWidth="8.83203125" defaultRowHeight="17" outlineLevelRow="1"/>
  <cols>
    <col min="1" max="1" width="3.5" style="2" customWidth="1"/>
    <col min="2" max="2" width="58.1640625" style="2" customWidth="1"/>
    <col min="3" max="13" width="12.1640625" style="2" customWidth="1"/>
    <col min="14" max="16384" width="8.83203125" style="2"/>
  </cols>
  <sheetData>
    <row r="1" spans="2:13">
      <c r="F1" s="2" t="s">
        <v>260</v>
      </c>
    </row>
    <row r="2" spans="2:13">
      <c r="B2" s="97"/>
      <c r="C2" s="98" t="s">
        <v>23</v>
      </c>
      <c r="D2" s="98" t="s">
        <v>24</v>
      </c>
      <c r="E2" s="98" t="s">
        <v>25</v>
      </c>
      <c r="F2" s="98" t="s">
        <v>26</v>
      </c>
      <c r="G2" s="98" t="s">
        <v>27</v>
      </c>
      <c r="H2" s="98" t="s">
        <v>67</v>
      </c>
      <c r="I2" s="98" t="s">
        <v>68</v>
      </c>
      <c r="J2" s="98" t="s">
        <v>69</v>
      </c>
      <c r="K2" s="98" t="s">
        <v>557</v>
      </c>
      <c r="L2" s="98" t="s">
        <v>742</v>
      </c>
      <c r="M2" s="98" t="s">
        <v>743</v>
      </c>
    </row>
    <row r="3" spans="2:13" outlineLevel="1">
      <c r="B3" s="699" t="s">
        <v>832</v>
      </c>
      <c r="C3" s="701"/>
      <c r="D3" s="701"/>
      <c r="E3" s="701"/>
      <c r="F3" s="701"/>
      <c r="G3" s="701"/>
      <c r="H3" s="701"/>
      <c r="I3" s="701"/>
      <c r="J3" s="701"/>
      <c r="K3" s="702"/>
      <c r="L3" s="702"/>
      <c r="M3" s="702"/>
    </row>
    <row r="4" spans="2:13" outlineLevel="1">
      <c r="B4" s="99" t="s">
        <v>262</v>
      </c>
      <c r="C4" s="695">
        <v>3.3099999999999997E-2</v>
      </c>
      <c r="D4" s="695">
        <v>2.9100000000000001E-2</v>
      </c>
      <c r="E4" s="695">
        <v>3.2300000000000002E-2</v>
      </c>
      <c r="F4" s="695">
        <v>3.7699999999999997E-2</v>
      </c>
      <c r="G4" s="695">
        <v>4.1500000000000002E-2</v>
      </c>
      <c r="H4" s="695">
        <v>0.03</v>
      </c>
      <c r="I4" s="695">
        <v>0.03</v>
      </c>
      <c r="J4" s="695">
        <v>0.03</v>
      </c>
      <c r="K4" s="695">
        <f>J4</f>
        <v>0.03</v>
      </c>
      <c r="L4" s="695">
        <f>K4</f>
        <v>0.03</v>
      </c>
      <c r="M4" s="695">
        <f>L4</f>
        <v>0.03</v>
      </c>
    </row>
    <row r="5" spans="2:13" outlineLevel="1">
      <c r="B5" s="99" t="s">
        <v>263</v>
      </c>
      <c r="C5" s="100">
        <f>1*(1+C4)</f>
        <v>1.0330999999999999</v>
      </c>
      <c r="D5" s="100">
        <f t="shared" ref="D5:J5" si="0">C5*(1+D4)</f>
        <v>1.0631632099999999</v>
      </c>
      <c r="E5" s="100">
        <f t="shared" si="0"/>
        <v>1.097503381683</v>
      </c>
      <c r="F5" s="100">
        <f t="shared" si="0"/>
        <v>1.1388792591724493</v>
      </c>
      <c r="G5" s="100">
        <f t="shared" si="0"/>
        <v>1.186142748428106</v>
      </c>
      <c r="H5" s="100">
        <f t="shared" si="0"/>
        <v>1.2217270308809491</v>
      </c>
      <c r="I5" s="100">
        <f t="shared" si="0"/>
        <v>1.2583788418073776</v>
      </c>
      <c r="J5" s="100">
        <f t="shared" si="0"/>
        <v>1.296130207061599</v>
      </c>
      <c r="K5" s="100">
        <f>J5*(1+K4)</f>
        <v>1.335014113273447</v>
      </c>
      <c r="L5" s="100">
        <f>K5*(1+L4)</f>
        <v>1.3750645366716505</v>
      </c>
      <c r="M5" s="100">
        <f>L5*(1+M4)</f>
        <v>1.4163164727718001</v>
      </c>
    </row>
    <row r="6" spans="2:13" ht="16.5" customHeight="1" outlineLevel="1">
      <c r="B6" s="99" t="s">
        <v>264</v>
      </c>
      <c r="C6" s="696">
        <v>4.1200000000000001E-2</v>
      </c>
      <c r="D6" s="696">
        <v>4.02E-2</v>
      </c>
      <c r="E6" s="696">
        <v>3.9600000000000003E-2</v>
      </c>
      <c r="F6" s="696">
        <v>4.1399999999999999E-2</v>
      </c>
      <c r="G6" s="696">
        <v>4.4699999999999997E-2</v>
      </c>
      <c r="H6" s="696">
        <v>4.4699999999999997E-2</v>
      </c>
      <c r="I6" s="696">
        <v>4.4699999999999997E-2</v>
      </c>
      <c r="J6" s="696">
        <v>4.4699999999999997E-2</v>
      </c>
      <c r="K6" s="696">
        <f>J6</f>
        <v>4.4699999999999997E-2</v>
      </c>
      <c r="L6" s="696">
        <f>K6</f>
        <v>4.4699999999999997E-2</v>
      </c>
      <c r="M6" s="696">
        <f>L6</f>
        <v>4.4699999999999997E-2</v>
      </c>
    </row>
    <row r="7" spans="2:13" ht="16.5" customHeight="1" outlineLevel="1">
      <c r="B7" s="99" t="s">
        <v>263</v>
      </c>
      <c r="C7" s="100">
        <f>1*(1+C6)</f>
        <v>1.0411999999999999</v>
      </c>
      <c r="D7" s="100">
        <f t="shared" ref="D7:I7" si="1">C7*(1+D6)</f>
        <v>1.0830562399999999</v>
      </c>
      <c r="E7" s="100">
        <f t="shared" si="1"/>
        <v>1.125945267104</v>
      </c>
      <c r="F7" s="100">
        <f t="shared" si="1"/>
        <v>1.1725594011621057</v>
      </c>
      <c r="G7" s="100">
        <f t="shared" si="1"/>
        <v>1.2249728063940517</v>
      </c>
      <c r="H7" s="100">
        <f t="shared" si="1"/>
        <v>1.2797290908398657</v>
      </c>
      <c r="I7" s="100">
        <f t="shared" si="1"/>
        <v>1.3369329812004076</v>
      </c>
      <c r="J7" s="100">
        <f>I7*(1+J6)</f>
        <v>1.3966938854600657</v>
      </c>
      <c r="K7" s="100">
        <f>J7*(1+K6)</f>
        <v>1.4591261021401305</v>
      </c>
      <c r="L7" s="100">
        <f>K7*(1+L6)</f>
        <v>1.5243490389057943</v>
      </c>
      <c r="M7" s="100">
        <f>L7*(1+M6)</f>
        <v>1.5924874409448833</v>
      </c>
    </row>
    <row r="8" spans="2:13" s="698" customFormat="1" outlineLevel="1">
      <c r="B8" s="699" t="s">
        <v>833</v>
      </c>
      <c r="C8" s="700">
        <f t="shared" ref="C8:M8" si="2">SUM(C9:C12)</f>
        <v>1586.44</v>
      </c>
      <c r="D8" s="700">
        <f t="shared" si="2"/>
        <v>1586.44</v>
      </c>
      <c r="E8" s="700">
        <f t="shared" si="2"/>
        <v>1586.44</v>
      </c>
      <c r="F8" s="700">
        <f t="shared" si="2"/>
        <v>1586.44</v>
      </c>
      <c r="G8" s="700">
        <f t="shared" si="2"/>
        <v>1586.44</v>
      </c>
      <c r="H8" s="700">
        <f t="shared" si="2"/>
        <v>1586.44</v>
      </c>
      <c r="I8" s="700">
        <f t="shared" si="2"/>
        <v>1586.44</v>
      </c>
      <c r="J8" s="700">
        <f t="shared" si="2"/>
        <v>1586.44</v>
      </c>
      <c r="K8" s="700">
        <f t="shared" si="2"/>
        <v>1586.44</v>
      </c>
      <c r="L8" s="700">
        <f t="shared" si="2"/>
        <v>1586.44</v>
      </c>
      <c r="M8" s="700">
        <f t="shared" si="2"/>
        <v>1586.44</v>
      </c>
    </row>
    <row r="9" spans="2:13" outlineLevel="1">
      <c r="B9" s="4" t="s">
        <v>256</v>
      </c>
      <c r="C9" s="747">
        <v>532.80000000000007</v>
      </c>
      <c r="D9" s="11">
        <f t="shared" ref="D9:J12" si="3">C9</f>
        <v>532.80000000000007</v>
      </c>
      <c r="E9" s="11">
        <f t="shared" si="3"/>
        <v>532.80000000000007</v>
      </c>
      <c r="F9" s="11">
        <f t="shared" si="3"/>
        <v>532.80000000000007</v>
      </c>
      <c r="G9" s="11">
        <f t="shared" si="3"/>
        <v>532.80000000000007</v>
      </c>
      <c r="H9" s="11">
        <f t="shared" si="3"/>
        <v>532.80000000000007</v>
      </c>
      <c r="I9" s="11">
        <f t="shared" si="3"/>
        <v>532.80000000000007</v>
      </c>
      <c r="J9" s="11">
        <f t="shared" si="3"/>
        <v>532.80000000000007</v>
      </c>
      <c r="K9" s="11">
        <f t="shared" ref="K9:M12" si="4">J9</f>
        <v>532.80000000000007</v>
      </c>
      <c r="L9" s="11">
        <f t="shared" si="4"/>
        <v>532.80000000000007</v>
      </c>
      <c r="M9" s="11">
        <f t="shared" si="4"/>
        <v>532.80000000000007</v>
      </c>
    </row>
    <row r="10" spans="2:13" outlineLevel="1">
      <c r="B10" s="4" t="s">
        <v>257</v>
      </c>
      <c r="C10" s="747">
        <v>287.04000000000002</v>
      </c>
      <c r="D10" s="11">
        <f t="shared" si="3"/>
        <v>287.04000000000002</v>
      </c>
      <c r="E10" s="11">
        <f t="shared" si="3"/>
        <v>287.04000000000002</v>
      </c>
      <c r="F10" s="11">
        <f t="shared" si="3"/>
        <v>287.04000000000002</v>
      </c>
      <c r="G10" s="11">
        <f t="shared" si="3"/>
        <v>287.04000000000002</v>
      </c>
      <c r="H10" s="11">
        <f t="shared" si="3"/>
        <v>287.04000000000002</v>
      </c>
      <c r="I10" s="11">
        <f t="shared" si="3"/>
        <v>287.04000000000002</v>
      </c>
      <c r="J10" s="11">
        <f t="shared" si="3"/>
        <v>287.04000000000002</v>
      </c>
      <c r="K10" s="11">
        <f t="shared" si="4"/>
        <v>287.04000000000002</v>
      </c>
      <c r="L10" s="11">
        <f t="shared" si="4"/>
        <v>287.04000000000002</v>
      </c>
      <c r="M10" s="11">
        <f t="shared" si="4"/>
        <v>287.04000000000002</v>
      </c>
    </row>
    <row r="11" spans="2:13" outlineLevel="1">
      <c r="B11" s="4" t="s">
        <v>258</v>
      </c>
      <c r="C11" s="747">
        <v>449.6</v>
      </c>
      <c r="D11" s="11">
        <f t="shared" si="3"/>
        <v>449.6</v>
      </c>
      <c r="E11" s="11">
        <f t="shared" si="3"/>
        <v>449.6</v>
      </c>
      <c r="F11" s="11">
        <f t="shared" si="3"/>
        <v>449.6</v>
      </c>
      <c r="G11" s="11">
        <f t="shared" si="3"/>
        <v>449.6</v>
      </c>
      <c r="H11" s="11">
        <f t="shared" si="3"/>
        <v>449.6</v>
      </c>
      <c r="I11" s="11">
        <f t="shared" si="3"/>
        <v>449.6</v>
      </c>
      <c r="J11" s="11">
        <f t="shared" si="3"/>
        <v>449.6</v>
      </c>
      <c r="K11" s="11">
        <f t="shared" si="4"/>
        <v>449.6</v>
      </c>
      <c r="L11" s="11">
        <f t="shared" si="4"/>
        <v>449.6</v>
      </c>
      <c r="M11" s="11">
        <f t="shared" si="4"/>
        <v>449.6</v>
      </c>
    </row>
    <row r="12" spans="2:13" outlineLevel="1">
      <c r="B12" s="4" t="s">
        <v>259</v>
      </c>
      <c r="C12" s="747">
        <v>317</v>
      </c>
      <c r="D12" s="11">
        <f t="shared" si="3"/>
        <v>317</v>
      </c>
      <c r="E12" s="11">
        <f t="shared" si="3"/>
        <v>317</v>
      </c>
      <c r="F12" s="11">
        <f t="shared" si="3"/>
        <v>317</v>
      </c>
      <c r="G12" s="11">
        <f t="shared" si="3"/>
        <v>317</v>
      </c>
      <c r="H12" s="11">
        <f t="shared" si="3"/>
        <v>317</v>
      </c>
      <c r="I12" s="11">
        <f t="shared" si="3"/>
        <v>317</v>
      </c>
      <c r="J12" s="11">
        <f t="shared" si="3"/>
        <v>317</v>
      </c>
      <c r="K12" s="11">
        <f t="shared" si="4"/>
        <v>317</v>
      </c>
      <c r="L12" s="11">
        <f t="shared" si="4"/>
        <v>317</v>
      </c>
      <c r="M12" s="11">
        <f t="shared" si="4"/>
        <v>317</v>
      </c>
    </row>
    <row r="13" spans="2:13" outlineLevel="1">
      <c r="B13" s="4"/>
      <c r="C13" s="417"/>
      <c r="D13" s="11"/>
      <c r="E13" s="11"/>
      <c r="F13" s="11"/>
      <c r="G13" s="11"/>
      <c r="H13" s="11"/>
      <c r="I13" s="11"/>
      <c r="J13" s="11"/>
    </row>
    <row r="14" spans="2:13" outlineLevel="1">
      <c r="B14" s="699" t="s">
        <v>834</v>
      </c>
      <c r="C14" s="619">
        <f>C15</f>
        <v>24879</v>
      </c>
      <c r="D14" s="619">
        <f>D15</f>
        <v>17396</v>
      </c>
      <c r="E14" s="619">
        <f>E15</f>
        <v>21850.75</v>
      </c>
      <c r="F14" s="619">
        <f>F15</f>
        <v>22424.940000000002</v>
      </c>
      <c r="G14" s="619">
        <f>G15</f>
        <v>26493.560000000005</v>
      </c>
      <c r="H14" s="619">
        <f t="shared" ref="H14:M14" si="5">H15</f>
        <v>23764.1</v>
      </c>
      <c r="I14" s="619">
        <f t="shared" si="5"/>
        <v>29164.370000000003</v>
      </c>
      <c r="J14" s="619">
        <f t="shared" si="5"/>
        <v>23448.53</v>
      </c>
      <c r="K14" s="619">
        <f t="shared" si="5"/>
        <v>28075.8</v>
      </c>
      <c r="L14" s="619">
        <f t="shared" si="5"/>
        <v>23554.659999999996</v>
      </c>
      <c r="M14" s="619">
        <f t="shared" si="5"/>
        <v>27643.760000000002</v>
      </c>
    </row>
    <row r="15" spans="2:13" ht="17" customHeight="1" outlineLevel="1">
      <c r="B15" s="14" t="s">
        <v>831</v>
      </c>
      <c r="C15" s="709">
        <v>24879</v>
      </c>
      <c r="D15" s="709">
        <f>'План производства'!J6+'План производства'!K6</f>
        <v>17396</v>
      </c>
      <c r="E15" s="709">
        <f>Интеринвест!S22+Новозаведенское!Q96</f>
        <v>21850.75</v>
      </c>
      <c r="F15" s="709">
        <f>Интеринвест!U22+Новозаведенское!S96</f>
        <v>22424.940000000002</v>
      </c>
      <c r="G15" s="709">
        <f>Интеринвест!W22+Новозаведенское!U96</f>
        <v>26493.560000000005</v>
      </c>
      <c r="H15" s="709">
        <f>Интеринвест!Y22+Новозаведенское!W96</f>
        <v>23764.1</v>
      </c>
      <c r="I15" s="709">
        <f>Интеринвест!AA22+Новозаведенское!Y96</f>
        <v>29164.370000000003</v>
      </c>
      <c r="J15" s="709">
        <f>Интеринвест!AC22+Новозаведенское!AA96</f>
        <v>23448.53</v>
      </c>
      <c r="K15" s="709">
        <f>Интеринвест!AE22+Новозаведенское!AC96</f>
        <v>28075.8</v>
      </c>
      <c r="L15" s="709">
        <f>Интеринвест!AG22+Новозаведенское!AE96</f>
        <v>23554.659999999996</v>
      </c>
      <c r="M15" s="709">
        <f>Интеринвест!AI22+Новозаведенское!AG96</f>
        <v>27643.760000000002</v>
      </c>
    </row>
    <row r="16" spans="2:13" outlineLevel="1">
      <c r="B16" s="4"/>
      <c r="C16" s="417"/>
      <c r="D16" s="11"/>
      <c r="E16" s="11"/>
      <c r="F16" s="11"/>
      <c r="G16" s="11"/>
      <c r="H16" s="11"/>
      <c r="I16" s="11"/>
      <c r="J16" s="11"/>
    </row>
    <row r="17" spans="2:13" outlineLevel="1">
      <c r="B17" s="699" t="s">
        <v>835</v>
      </c>
      <c r="C17" s="619"/>
      <c r="D17" s="619"/>
      <c r="E17" s="619"/>
      <c r="F17" s="619"/>
      <c r="G17" s="619"/>
      <c r="H17" s="619"/>
      <c r="I17" s="619"/>
      <c r="J17" s="619"/>
      <c r="K17" s="619"/>
      <c r="L17" s="619"/>
      <c r="M17" s="619"/>
    </row>
    <row r="18" spans="2:13" outlineLevel="1">
      <c r="B18" s="4" t="s">
        <v>641</v>
      </c>
      <c r="C18" s="102">
        <f>C21+C23</f>
        <v>24503.271000000001</v>
      </c>
      <c r="D18" s="102">
        <f>D21+D23</f>
        <v>17282.601000000002</v>
      </c>
      <c r="E18" s="102">
        <f t="shared" ref="E18:M18" si="6">E14*(1-E19)</f>
        <v>21708.311899330307</v>
      </c>
      <c r="F18" s="102">
        <f t="shared" si="6"/>
        <v>22278.75893705105</v>
      </c>
      <c r="G18" s="102">
        <f t="shared" si="6"/>
        <v>26320.856895237994</v>
      </c>
      <c r="H18" s="102">
        <f t="shared" si="6"/>
        <v>23609.189378253624</v>
      </c>
      <c r="I18" s="102">
        <f t="shared" si="6"/>
        <v>28974.256732948386</v>
      </c>
      <c r="J18" s="102">
        <f t="shared" si="6"/>
        <v>23295.676478876179</v>
      </c>
      <c r="K18" s="102">
        <f t="shared" si="6"/>
        <v>27892.782775109223</v>
      </c>
      <c r="L18" s="102">
        <f t="shared" si="6"/>
        <v>23401.114651107149</v>
      </c>
      <c r="M18" s="102">
        <f t="shared" si="6"/>
        <v>27463.559106677403</v>
      </c>
    </row>
    <row r="19" spans="2:13" outlineLevel="1">
      <c r="B19" s="4" t="s">
        <v>642</v>
      </c>
      <c r="C19" s="3">
        <f>1-C18/C14</f>
        <v>1.5102254913782698E-2</v>
      </c>
      <c r="D19" s="3">
        <f>1-D18/D14</f>
        <v>6.518682455736835E-3</v>
      </c>
      <c r="E19" s="3">
        <f t="shared" ref="E19:M19" si="7">D19</f>
        <v>6.518682455736835E-3</v>
      </c>
      <c r="F19" s="3">
        <f t="shared" si="7"/>
        <v>6.518682455736835E-3</v>
      </c>
      <c r="G19" s="3">
        <f t="shared" si="7"/>
        <v>6.518682455736835E-3</v>
      </c>
      <c r="H19" s="3">
        <f t="shared" si="7"/>
        <v>6.518682455736835E-3</v>
      </c>
      <c r="I19" s="3">
        <f t="shared" si="7"/>
        <v>6.518682455736835E-3</v>
      </c>
      <c r="J19" s="3">
        <f t="shared" si="7"/>
        <v>6.518682455736835E-3</v>
      </c>
      <c r="K19" s="3">
        <f t="shared" si="7"/>
        <v>6.518682455736835E-3</v>
      </c>
      <c r="L19" s="3">
        <f t="shared" si="7"/>
        <v>6.518682455736835E-3</v>
      </c>
      <c r="M19" s="3">
        <f t="shared" si="7"/>
        <v>6.518682455736835E-3</v>
      </c>
    </row>
    <row r="20" spans="2:13" outlineLevel="1">
      <c r="B20" s="4"/>
      <c r="C20" s="11"/>
      <c r="D20" s="11"/>
      <c r="E20" s="11"/>
      <c r="F20" s="11"/>
      <c r="G20" s="11"/>
      <c r="H20" s="11"/>
      <c r="I20" s="11"/>
      <c r="J20" s="11"/>
    </row>
    <row r="21" spans="2:13" outlineLevel="1">
      <c r="B21" s="4" t="s">
        <v>266</v>
      </c>
      <c r="C21" s="11">
        <f>SUM('Financial Model_Quarter'!F21:I21)</f>
        <v>13273.579</v>
      </c>
      <c r="D21" s="11">
        <f>SUM('Financial Model_Quarter'!J21:M21)</f>
        <v>7380.848</v>
      </c>
      <c r="E21" s="11">
        <f t="shared" ref="E21:M21" si="8">E18*E22</f>
        <v>13676.236496578093</v>
      </c>
      <c r="F21" s="11">
        <f t="shared" si="8"/>
        <v>14035.618130342162</v>
      </c>
      <c r="G21" s="11">
        <f t="shared" si="8"/>
        <v>16582.139843999936</v>
      </c>
      <c r="H21" s="11">
        <f t="shared" si="8"/>
        <v>14873.789308299783</v>
      </c>
      <c r="I21" s="11">
        <f t="shared" si="8"/>
        <v>18253.781741757484</v>
      </c>
      <c r="J21" s="11">
        <f t="shared" si="8"/>
        <v>14676.276181691994</v>
      </c>
      <c r="K21" s="11">
        <f t="shared" si="8"/>
        <v>17572.453148318811</v>
      </c>
      <c r="L21" s="11">
        <f t="shared" si="8"/>
        <v>14742.702230197505</v>
      </c>
      <c r="M21" s="11">
        <f t="shared" si="8"/>
        <v>17302.042237206762</v>
      </c>
    </row>
    <row r="22" spans="2:13" outlineLevel="1">
      <c r="B22" s="4" t="s">
        <v>265</v>
      </c>
      <c r="C22" s="7">
        <f>C21/C18</f>
        <v>0.54170641136034448</v>
      </c>
      <c r="D22" s="7">
        <f>D21/D18</f>
        <v>0.42706812475737876</v>
      </c>
      <c r="E22" s="739">
        <v>0.63</v>
      </c>
      <c r="F22" s="739">
        <v>0.63</v>
      </c>
      <c r="G22" s="739">
        <v>0.63</v>
      </c>
      <c r="H22" s="739">
        <v>0.63</v>
      </c>
      <c r="I22" s="739">
        <v>0.63</v>
      </c>
      <c r="J22" s="739">
        <v>0.63</v>
      </c>
      <c r="K22" s="739">
        <v>0.63</v>
      </c>
      <c r="L22" s="739">
        <v>0.63</v>
      </c>
      <c r="M22" s="739">
        <v>0.63</v>
      </c>
    </row>
    <row r="23" spans="2:13" outlineLevel="1">
      <c r="B23" s="4" t="s">
        <v>267</v>
      </c>
      <c r="C23" s="11">
        <f>'План производства'!D20+'План производства'!E20+'План производства'!F20+'План производства'!G20</f>
        <v>11229.692000000003</v>
      </c>
      <c r="D23" s="11">
        <f>SUM('Financial Model_Quarter'!J22:M22)</f>
        <v>9901.7530000000006</v>
      </c>
      <c r="E23" s="11">
        <f t="shared" ref="E23:M23" si="9">E18-E21</f>
        <v>8032.0754027522144</v>
      </c>
      <c r="F23" s="11">
        <f t="shared" si="9"/>
        <v>8243.1408067088887</v>
      </c>
      <c r="G23" s="11">
        <f t="shared" si="9"/>
        <v>9738.717051238058</v>
      </c>
      <c r="H23" s="11">
        <f t="shared" si="9"/>
        <v>8735.400069953841</v>
      </c>
      <c r="I23" s="11">
        <f t="shared" si="9"/>
        <v>10720.474991190902</v>
      </c>
      <c r="J23" s="11">
        <f t="shared" si="9"/>
        <v>8619.4002971841855</v>
      </c>
      <c r="K23" s="11">
        <f t="shared" si="9"/>
        <v>10320.329626790412</v>
      </c>
      <c r="L23" s="11">
        <f t="shared" si="9"/>
        <v>8658.4124209096444</v>
      </c>
      <c r="M23" s="11">
        <f t="shared" si="9"/>
        <v>10161.516869470641</v>
      </c>
    </row>
    <row r="24" spans="2:13" outlineLevel="1">
      <c r="B24" s="12"/>
      <c r="C24" s="12"/>
      <c r="D24" s="12"/>
      <c r="E24" s="12"/>
      <c r="F24" s="12"/>
      <c r="G24" s="12"/>
      <c r="H24" s="12"/>
      <c r="I24" s="12"/>
      <c r="J24" s="12"/>
      <c r="L24" s="16"/>
    </row>
    <row r="25" spans="2:13" outlineLevel="1">
      <c r="B25" s="699" t="s">
        <v>836</v>
      </c>
      <c r="C25" s="619"/>
      <c r="D25" s="619"/>
      <c r="E25" s="619"/>
      <c r="F25" s="619"/>
      <c r="G25" s="619"/>
      <c r="H25" s="619"/>
      <c r="I25" s="619"/>
      <c r="J25" s="619"/>
      <c r="K25" s="619"/>
      <c r="L25" s="619"/>
      <c r="M25" s="619"/>
    </row>
    <row r="26" spans="2:13" outlineLevel="1">
      <c r="B26" s="4" t="s">
        <v>268</v>
      </c>
      <c r="C26" s="708">
        <v>12200</v>
      </c>
      <c r="D26" s="11">
        <f t="shared" ref="D26:J26" si="10">C26</f>
        <v>12200</v>
      </c>
      <c r="E26" s="11">
        <f t="shared" si="10"/>
        <v>12200</v>
      </c>
      <c r="F26" s="11">
        <f t="shared" si="10"/>
        <v>12200</v>
      </c>
      <c r="G26" s="11">
        <f t="shared" si="10"/>
        <v>12200</v>
      </c>
      <c r="H26" s="11">
        <f t="shared" si="10"/>
        <v>12200</v>
      </c>
      <c r="I26" s="11">
        <f t="shared" si="10"/>
        <v>12200</v>
      </c>
      <c r="J26" s="11">
        <f t="shared" si="10"/>
        <v>12200</v>
      </c>
      <c r="K26" s="11">
        <f>J26</f>
        <v>12200</v>
      </c>
      <c r="L26" s="11">
        <f>K26</f>
        <v>12200</v>
      </c>
      <c r="M26" s="11">
        <f>L26</f>
        <v>12200</v>
      </c>
    </row>
    <row r="27" spans="2:13" outlineLevel="1">
      <c r="B27" s="12"/>
      <c r="C27" s="3"/>
      <c r="D27" s="12"/>
      <c r="E27" s="12"/>
      <c r="F27" s="12"/>
      <c r="G27" s="12"/>
      <c r="H27" s="12"/>
      <c r="I27" s="12"/>
      <c r="J27" s="12"/>
      <c r="L27" s="16"/>
    </row>
    <row r="28" spans="2:13" outlineLevel="1">
      <c r="B28" s="703" t="s">
        <v>837</v>
      </c>
      <c r="C28" s="700">
        <f>C29+C33</f>
        <v>24716.716</v>
      </c>
      <c r="D28" s="700">
        <f>D29+D33</f>
        <v>17282.601000000002</v>
      </c>
      <c r="E28" s="700">
        <f t="shared" ref="E28:J28" si="11">E29+E33</f>
        <v>21708.311899330307</v>
      </c>
      <c r="F28" s="700">
        <f t="shared" si="11"/>
        <v>22278.75893705105</v>
      </c>
      <c r="G28" s="700">
        <f t="shared" si="11"/>
        <v>26320.856895237994</v>
      </c>
      <c r="H28" s="700">
        <f t="shared" si="11"/>
        <v>23609.189378253624</v>
      </c>
      <c r="I28" s="700">
        <f t="shared" si="11"/>
        <v>28974.256732948386</v>
      </c>
      <c r="J28" s="700">
        <f t="shared" si="11"/>
        <v>23295.676478876179</v>
      </c>
      <c r="K28" s="700">
        <f>K29+K33</f>
        <v>27892.782775109223</v>
      </c>
      <c r="L28" s="700">
        <f>L29+L33</f>
        <v>23401.114651107149</v>
      </c>
      <c r="M28" s="700">
        <f>M29+M33</f>
        <v>27463.559106677403</v>
      </c>
    </row>
    <row r="29" spans="2:13" outlineLevel="1">
      <c r="B29" s="101" t="s">
        <v>269</v>
      </c>
      <c r="C29" s="102">
        <f t="shared" ref="C29:M29" si="12">C21</f>
        <v>13273.579</v>
      </c>
      <c r="D29" s="102">
        <f>D21</f>
        <v>7380.848</v>
      </c>
      <c r="E29" s="102">
        <f t="shared" si="12"/>
        <v>13676.236496578093</v>
      </c>
      <c r="F29" s="102">
        <f t="shared" si="12"/>
        <v>14035.618130342162</v>
      </c>
      <c r="G29" s="102">
        <f t="shared" si="12"/>
        <v>16582.139843999936</v>
      </c>
      <c r="H29" s="102">
        <f t="shared" si="12"/>
        <v>14873.789308299783</v>
      </c>
      <c r="I29" s="102">
        <f t="shared" si="12"/>
        <v>18253.781741757484</v>
      </c>
      <c r="J29" s="102">
        <f t="shared" si="12"/>
        <v>14676.276181691994</v>
      </c>
      <c r="K29" s="102">
        <f t="shared" si="12"/>
        <v>17572.453148318811</v>
      </c>
      <c r="L29" s="102">
        <f t="shared" si="12"/>
        <v>14742.702230197505</v>
      </c>
      <c r="M29" s="102">
        <f t="shared" si="12"/>
        <v>17302.042237206762</v>
      </c>
    </row>
    <row r="30" spans="2:13" outlineLevel="1">
      <c r="B30" s="103" t="s">
        <v>270</v>
      </c>
      <c r="C30" s="11">
        <f>'Financial Model_Quarter'!F21+'Financial Model_Quarter'!G21</f>
        <v>7100.49</v>
      </c>
      <c r="D30" s="11">
        <f>'Financial Model_Quarter'!J21+'Financial Model_Quarter'!K21</f>
        <v>1525.1480000000006</v>
      </c>
      <c r="E30" s="11">
        <f t="shared" ref="E30:M30" si="13">MAX($D$30,E29-E26)</f>
        <v>1525.1480000000006</v>
      </c>
      <c r="F30" s="11">
        <f t="shared" si="13"/>
        <v>1835.6181303421617</v>
      </c>
      <c r="G30" s="11">
        <f t="shared" si="13"/>
        <v>4382.1398439999357</v>
      </c>
      <c r="H30" s="11">
        <f t="shared" si="13"/>
        <v>2673.7893082997834</v>
      </c>
      <c r="I30" s="11">
        <f t="shared" si="13"/>
        <v>6053.7817417574843</v>
      </c>
      <c r="J30" s="11">
        <f t="shared" si="13"/>
        <v>2476.2761816919938</v>
      </c>
      <c r="K30" s="11">
        <f t="shared" si="13"/>
        <v>5372.4531483188111</v>
      </c>
      <c r="L30" s="11">
        <f t="shared" si="13"/>
        <v>2542.7022301975048</v>
      </c>
      <c r="M30" s="11">
        <f t="shared" si="13"/>
        <v>5102.0422372067624</v>
      </c>
    </row>
    <row r="31" spans="2:13" outlineLevel="1">
      <c r="B31" s="103" t="s">
        <v>271</v>
      </c>
      <c r="C31" s="11">
        <f>'Financial Model_Quarter'!H21+'Financial Model_Quarter'!I21</f>
        <v>6173.0889999999999</v>
      </c>
      <c r="D31" s="11">
        <f>'Financial Model_Quarter'!L21+'Financial Model_Quarter'!M21</f>
        <v>5855.7</v>
      </c>
      <c r="E31" s="11">
        <f t="shared" ref="E31:M31" si="14">E29-E30</f>
        <v>12151.088496578092</v>
      </c>
      <c r="F31" s="11">
        <f t="shared" si="14"/>
        <v>12200</v>
      </c>
      <c r="G31" s="11">
        <f t="shared" si="14"/>
        <v>12200</v>
      </c>
      <c r="H31" s="11">
        <f t="shared" si="14"/>
        <v>12200</v>
      </c>
      <c r="I31" s="11">
        <f t="shared" si="14"/>
        <v>12200</v>
      </c>
      <c r="J31" s="11">
        <f t="shared" si="14"/>
        <v>12200</v>
      </c>
      <c r="K31" s="11">
        <f t="shared" si="14"/>
        <v>12200</v>
      </c>
      <c r="L31" s="11">
        <f t="shared" si="14"/>
        <v>12200</v>
      </c>
      <c r="M31" s="11">
        <f t="shared" si="14"/>
        <v>12200</v>
      </c>
    </row>
    <row r="32" spans="2:13" outlineLevel="1">
      <c r="B32" s="103" t="s">
        <v>643</v>
      </c>
      <c r="C32" s="7">
        <f>C31/C29</f>
        <v>0.46506590272299581</v>
      </c>
      <c r="D32" s="7">
        <f>D31/D29</f>
        <v>0.7933641229300481</v>
      </c>
      <c r="E32" s="7">
        <f t="shared" ref="E32:J32" si="15">E31/E29</f>
        <v>0.8884818933643327</v>
      </c>
      <c r="F32" s="7">
        <f t="shared" si="15"/>
        <v>0.86921715073068795</v>
      </c>
      <c r="G32" s="7">
        <f t="shared" si="15"/>
        <v>0.73573134196033418</v>
      </c>
      <c r="H32" s="7">
        <f>H31/H29</f>
        <v>0.82023482699141292</v>
      </c>
      <c r="I32" s="7">
        <f t="shared" si="15"/>
        <v>0.66835465508449632</v>
      </c>
      <c r="J32" s="7">
        <f t="shared" si="15"/>
        <v>0.83127353621342726</v>
      </c>
      <c r="K32" s="7">
        <f>K31/K29</f>
        <v>0.69426846081346338</v>
      </c>
      <c r="L32" s="7">
        <f>L31/L29</f>
        <v>0.82752807521342442</v>
      </c>
      <c r="M32" s="7">
        <f>M31/M29</f>
        <v>0.70511907396485263</v>
      </c>
    </row>
    <row r="33" spans="1:13" outlineLevel="1">
      <c r="B33" s="101" t="s">
        <v>267</v>
      </c>
      <c r="C33" s="102">
        <f>'Financial Model_Quarter'!F22+'Financial Model_Quarter'!G22+'Financial Model_Quarter'!H22+'Financial Model_Quarter'!I22</f>
        <v>11443.137000000002</v>
      </c>
      <c r="D33" s="543">
        <f>'Financial Model_Quarter'!J22+'Financial Model_Quarter'!K22+'Financial Model_Quarter'!L22+'Financial Model_Quarter'!M22</f>
        <v>9901.7530000000006</v>
      </c>
      <c r="E33" s="543">
        <f t="shared" ref="E33:M33" si="16">E23</f>
        <v>8032.0754027522144</v>
      </c>
      <c r="F33" s="543">
        <f t="shared" si="16"/>
        <v>8243.1408067088887</v>
      </c>
      <c r="G33" s="543">
        <f t="shared" si="16"/>
        <v>9738.717051238058</v>
      </c>
      <c r="H33" s="102">
        <f t="shared" si="16"/>
        <v>8735.400069953841</v>
      </c>
      <c r="I33" s="102">
        <f t="shared" si="16"/>
        <v>10720.474991190902</v>
      </c>
      <c r="J33" s="102">
        <f t="shared" si="16"/>
        <v>8619.4002971841855</v>
      </c>
      <c r="K33" s="102">
        <f t="shared" si="16"/>
        <v>10320.329626790412</v>
      </c>
      <c r="L33" s="102">
        <f t="shared" si="16"/>
        <v>8658.4124209096444</v>
      </c>
      <c r="M33" s="102">
        <f t="shared" si="16"/>
        <v>10161.516869470641</v>
      </c>
    </row>
    <row r="34" spans="1:13" ht="16.5" customHeight="1" outlineLevel="1">
      <c r="B34" s="12"/>
      <c r="C34" s="12"/>
      <c r="D34" s="12"/>
      <c r="E34" s="12"/>
      <c r="F34" s="12"/>
      <c r="G34" s="12"/>
      <c r="H34" s="12"/>
      <c r="I34" s="12"/>
      <c r="J34" s="12"/>
      <c r="L34" s="16"/>
    </row>
    <row r="35" spans="1:13">
      <c r="B35" s="699" t="s">
        <v>838</v>
      </c>
      <c r="C35" s="619"/>
      <c r="D35" s="619"/>
      <c r="E35" s="619"/>
      <c r="F35" s="619"/>
      <c r="G35" s="619"/>
      <c r="H35" s="619"/>
      <c r="I35" s="619"/>
      <c r="J35" s="619"/>
      <c r="K35" s="619"/>
      <c r="L35" s="619"/>
      <c r="M35" s="619"/>
    </row>
    <row r="36" spans="1:13">
      <c r="B36" s="4" t="s">
        <v>269</v>
      </c>
      <c r="C36" s="11"/>
      <c r="D36" s="11"/>
      <c r="E36" s="11"/>
      <c r="F36" s="11"/>
      <c r="G36" s="11"/>
      <c r="H36" s="11"/>
      <c r="I36" s="11"/>
      <c r="J36" s="11"/>
    </row>
    <row r="37" spans="1:13">
      <c r="B37" s="103" t="s">
        <v>270</v>
      </c>
      <c r="C37" s="102">
        <f>AVERAGE('План производства'!F32:G32)</f>
        <v>36.29321427586622</v>
      </c>
      <c r="D37" s="102">
        <f>AVERAGE('План производства'!J32:K32)</f>
        <v>43.711867773567093</v>
      </c>
      <c r="E37" s="102">
        <f>D37*(1+D4)</f>
        <v>44.983883125777893</v>
      </c>
      <c r="F37" s="102">
        <f>E37*(1+E4)</f>
        <v>46.436862550740521</v>
      </c>
      <c r="G37" s="102">
        <f t="shared" ref="G37:M37" si="17">F37*(1+F4)</f>
        <v>48.187532268903439</v>
      </c>
      <c r="H37" s="102">
        <f t="shared" si="17"/>
        <v>50.187314858062933</v>
      </c>
      <c r="I37" s="102">
        <f t="shared" si="17"/>
        <v>51.692934303804826</v>
      </c>
      <c r="J37" s="102">
        <f t="shared" si="17"/>
        <v>53.243722332918971</v>
      </c>
      <c r="K37" s="102">
        <f t="shared" si="17"/>
        <v>54.84103400290654</v>
      </c>
      <c r="L37" s="102">
        <f t="shared" si="17"/>
        <v>56.486265022993734</v>
      </c>
      <c r="M37" s="102">
        <f t="shared" si="17"/>
        <v>58.18085297368355</v>
      </c>
    </row>
    <row r="38" spans="1:13">
      <c r="B38" s="103" t="s">
        <v>272</v>
      </c>
      <c r="C38" s="102">
        <f>AVERAGE('План производства'!H32:I32)</f>
        <v>50.074344691710273</v>
      </c>
      <c r="D38" s="102">
        <f>AVERAGE('План производства'!L32:M32)</f>
        <v>49.708448330673633</v>
      </c>
      <c r="E38" s="102">
        <f>D38*(1+D4)</f>
        <v>51.154964177096232</v>
      </c>
      <c r="F38" s="102">
        <f t="shared" ref="F38:M38" si="18">E38*(1+E4)</f>
        <v>52.80726952001644</v>
      </c>
      <c r="G38" s="102">
        <f t="shared" si="18"/>
        <v>54.798103580921065</v>
      </c>
      <c r="H38" s="102">
        <f t="shared" si="18"/>
        <v>57.072224879529294</v>
      </c>
      <c r="I38" s="102">
        <f t="shared" si="18"/>
        <v>58.784391625915177</v>
      </c>
      <c r="J38" s="102">
        <f t="shared" si="18"/>
        <v>60.547923374692637</v>
      </c>
      <c r="K38" s="102">
        <f t="shared" si="18"/>
        <v>62.364361075933417</v>
      </c>
      <c r="L38" s="102">
        <f t="shared" si="18"/>
        <v>64.235291908211423</v>
      </c>
      <c r="M38" s="102">
        <f t="shared" si="18"/>
        <v>66.162350665457765</v>
      </c>
    </row>
    <row r="39" spans="1:13">
      <c r="B39" s="4" t="s">
        <v>267</v>
      </c>
      <c r="C39" s="11"/>
      <c r="D39" s="7"/>
      <c r="E39" s="11"/>
      <c r="F39" s="11"/>
      <c r="G39" s="11"/>
      <c r="H39" s="11"/>
      <c r="I39" s="11"/>
      <c r="J39" s="11"/>
      <c r="K39" s="11"/>
      <c r="L39" s="11"/>
      <c r="M39" s="11"/>
    </row>
    <row r="40" spans="1:13">
      <c r="B40" s="103" t="s">
        <v>273</v>
      </c>
      <c r="C40" s="102">
        <f>AVERAGE('План производства'!F33:I33)</f>
        <v>6.1717162049043557</v>
      </c>
      <c r="D40" s="102">
        <f>AVERAGE('План производства'!J33:M33)</f>
        <v>9.0863569625488747</v>
      </c>
      <c r="E40" s="102">
        <f>D40*(1+D4)</f>
        <v>9.3507699501590462</v>
      </c>
      <c r="F40" s="102">
        <f t="shared" ref="F40:M40" si="19">E40*(1+E4)</f>
        <v>9.652799819549184</v>
      </c>
      <c r="G40" s="102">
        <f t="shared" si="19"/>
        <v>10.016710372746189</v>
      </c>
      <c r="H40" s="102">
        <f t="shared" si="19"/>
        <v>10.432403853215156</v>
      </c>
      <c r="I40" s="102">
        <f t="shared" si="19"/>
        <v>10.745375968811612</v>
      </c>
      <c r="J40" s="102">
        <f t="shared" si="19"/>
        <v>11.067737247875961</v>
      </c>
      <c r="K40" s="102">
        <f t="shared" si="19"/>
        <v>11.39976936531224</v>
      </c>
      <c r="L40" s="102">
        <f t="shared" si="19"/>
        <v>11.741762446271608</v>
      </c>
      <c r="M40" s="102">
        <f t="shared" si="19"/>
        <v>12.094015319659757</v>
      </c>
    </row>
    <row r="41" spans="1:13">
      <c r="B41" s="12"/>
      <c r="C41" s="12"/>
      <c r="D41" s="12"/>
      <c r="E41" s="12"/>
      <c r="F41" s="12"/>
      <c r="G41" s="12"/>
      <c r="H41" s="12"/>
      <c r="I41" s="12"/>
      <c r="J41" s="12"/>
      <c r="L41" s="16"/>
    </row>
    <row r="42" spans="1:13">
      <c r="B42" s="699" t="s">
        <v>839</v>
      </c>
      <c r="C42" s="704">
        <f>SUM('Financial Model_Quarter'!F52:I52)/1000</f>
        <v>636.58273299999996</v>
      </c>
      <c r="D42" s="704">
        <f>SUM('Financial Model_Quarter'!J52:M52)/1000</f>
        <v>448.28235283275825</v>
      </c>
      <c r="E42" s="704">
        <f>SUM('Financial Model_Quarter'!N52:Q52)/1000</f>
        <v>765.30166545015936</v>
      </c>
      <c r="F42" s="704">
        <f>SUM('Financial Model_Quarter'!R52:U52)/1000</f>
        <v>809.0584230500649</v>
      </c>
      <c r="G42" s="704">
        <f>SUM('Financial Model_Quarter'!V52:Y52)/1000</f>
        <v>977.25127693120783</v>
      </c>
      <c r="H42" s="704">
        <f>SUM('Financial Model_Quarter'!Z52:AC52)/1000</f>
        <v>921.60267075918341</v>
      </c>
      <c r="I42" s="704">
        <f>SUM('Financial Model_Quarter'!AD52:AG52)/1000</f>
        <v>1145.3028540469963</v>
      </c>
      <c r="J42" s="704">
        <f>SUM('Financial Model_Quarter'!AH52:AK52)/1000</f>
        <v>965.92808433237815</v>
      </c>
      <c r="K42" s="704">
        <f>SUM('Financial Model_Quarter'!AL52:AO52)/1000</f>
        <v>1173.1254684317714</v>
      </c>
      <c r="L42" s="704">
        <f>SUM('Financial Model_Quarter'!AP52:AS52)/1000</f>
        <v>1028.9633351378413</v>
      </c>
      <c r="M42" s="704">
        <f>SUM('Financial Model_Quarter'!AT52:AW52)/1000</f>
        <v>1226.915388077394</v>
      </c>
    </row>
    <row r="43" spans="1:13">
      <c r="B43" s="12"/>
      <c r="C43" s="12"/>
      <c r="D43" s="12"/>
      <c r="E43" s="12"/>
      <c r="F43" s="12"/>
      <c r="G43" s="12"/>
      <c r="H43" s="12"/>
      <c r="I43" s="12"/>
      <c r="J43" s="12"/>
      <c r="L43" s="16"/>
    </row>
    <row r="44" spans="1:13">
      <c r="B44" s="699" t="s">
        <v>840</v>
      </c>
      <c r="C44" s="704">
        <f>SUM('Financial Model_Quarter'!F51:I51)/1000</f>
        <v>682.18499999999995</v>
      </c>
      <c r="D44" s="704">
        <f>SUM('Financial Model_Quarter'!J51:M51)/1000</f>
        <v>481.74552991707492</v>
      </c>
      <c r="E44" s="704">
        <f>SUM('Financial Model_Quarter'!N51:Q51)/1000</f>
        <v>808.32581132777682</v>
      </c>
      <c r="F44" s="704">
        <f>SUM('Financial Model_Quarter'!R51:U51)/1000</f>
        <v>856.1460864159593</v>
      </c>
      <c r="G44" s="704">
        <f>SUM('Financial Model_Quarter'!V51:Y51)/1000</f>
        <v>1034.7042920228791</v>
      </c>
      <c r="H44" s="704">
        <f>SUM('Financial Model_Quarter'!Z51:AC51)/1000</f>
        <v>991.98489200697236</v>
      </c>
      <c r="I44" s="704">
        <f>SUM('Financial Model_Quarter'!AD51:AG51)/1000</f>
        <v>1219.5869476016287</v>
      </c>
      <c r="J44" s="704">
        <f>SUM('Financial Model_Quarter'!AH51:AK51)/1000</f>
        <v>1029.0150633646849</v>
      </c>
      <c r="K44" s="704">
        <f>SUM('Financial Model_Quarter'!AL51:AO51)/1000</f>
        <v>1257.9158348388803</v>
      </c>
      <c r="L44" s="704">
        <f>SUM('Financial Model_Quarter'!AP51:AS51)/1000</f>
        <v>1103.8810157947817</v>
      </c>
      <c r="M44" s="704">
        <f>SUM('Financial Model_Quarter'!AT51:AW51)/1000</f>
        <v>1306.4085770245954</v>
      </c>
    </row>
    <row r="45" spans="1:13">
      <c r="A45" s="12"/>
      <c r="B45" s="12"/>
      <c r="C45" s="12"/>
      <c r="D45" s="12"/>
      <c r="E45" s="12"/>
      <c r="F45" s="12"/>
      <c r="G45" s="12"/>
      <c r="H45" s="12"/>
      <c r="I45" s="12"/>
      <c r="J45" s="12"/>
      <c r="L45" s="16"/>
    </row>
    <row r="46" spans="1:13">
      <c r="B46" s="697" t="s">
        <v>841</v>
      </c>
      <c r="C46" s="705">
        <f>SUM('Financial Model_Quarter'!F56:I56)/1000</f>
        <v>366.21310383999997</v>
      </c>
      <c r="D46" s="705">
        <f>SUM('Financial Model_Quarter'!J56:M56)/1000</f>
        <v>326.64115889999999</v>
      </c>
      <c r="E46" s="705">
        <f>SUM('Financial Model_Quarter'!N56:Q56)/1000</f>
        <v>426.78063611221592</v>
      </c>
      <c r="F46" s="705">
        <f>SUM('Financial Model_Quarter'!R56:U56)/1000</f>
        <v>455.34012115072562</v>
      </c>
      <c r="G46" s="705">
        <f>SUM('Financial Model_Quarter'!V56:Y56)/1000</f>
        <v>560.22504702651349</v>
      </c>
      <c r="H46" s="705">
        <f>SUM('Financial Model_Quarter'!Z56:AC56)/1000</f>
        <v>524.97082493378298</v>
      </c>
      <c r="I46" s="705">
        <f>SUM('Financial Model_Quarter'!AD56:AG56)/1000</f>
        <v>673.06652457074472</v>
      </c>
      <c r="J46" s="705">
        <f>SUM('Financial Model_Quarter'!AH56:AK56)/1000</f>
        <v>565.34376686064195</v>
      </c>
      <c r="K46" s="705">
        <f>SUM('Financial Model_Quarter'!AL56:AO56)/1000</f>
        <v>707.16494039926158</v>
      </c>
      <c r="L46" s="705">
        <f>SUM('Financial Model_Quarter'!AP56:AS56)/1000</f>
        <v>619.80776911719261</v>
      </c>
      <c r="M46" s="705">
        <f>SUM('Financial Model_Quarter'!AT56:AW56)/1000</f>
        <v>759.92176686689209</v>
      </c>
    </row>
    <row r="47" spans="1:13">
      <c r="B47" s="706"/>
      <c r="C47" s="707"/>
      <c r="D47" s="707"/>
      <c r="E47" s="707"/>
      <c r="F47" s="707"/>
      <c r="G47" s="707"/>
      <c r="H47" s="707"/>
      <c r="I47" s="707"/>
      <c r="J47" s="707"/>
      <c r="K47" s="707"/>
      <c r="L47" s="707"/>
      <c r="M47" s="707"/>
    </row>
    <row r="48" spans="1:13">
      <c r="B48" s="697" t="s">
        <v>842</v>
      </c>
      <c r="C48" s="705">
        <f>SUM('Financial Model_Quarter'!F64:I64)/1000</f>
        <v>225.583</v>
      </c>
      <c r="D48" s="705">
        <f>SUM('Financial Model_Quarter'!J64:M64)/1000</f>
        <v>36.243371017074871</v>
      </c>
      <c r="E48" s="705">
        <f>SUM('Financial Model_Quarter'!N64:Q64)/1000</f>
        <v>294.71053721556081</v>
      </c>
      <c r="F48" s="705">
        <f>SUM('Financial Model_Quarter'!R64:U64)/1000</f>
        <v>320.22674138123369</v>
      </c>
      <c r="G48" s="705">
        <f>SUM('Financial Model_Quarter'!V64:Y64)/1000</f>
        <v>399.82253006085381</v>
      </c>
      <c r="H48" s="705">
        <f>SUM('Financial Model_Quarter'!Z64:AC64)/1000</f>
        <v>398.16027004986233</v>
      </c>
      <c r="I48" s="705">
        <f>SUM('Financial Model_Quarter'!AD64:AG64)/1000</f>
        <v>482.97944835869282</v>
      </c>
      <c r="J48" s="705">
        <f>SUM('Financial Model_Quarter'!AH64:AK64)/1000</f>
        <v>404.99259920168083</v>
      </c>
      <c r="K48" s="705">
        <f>SUM('Financial Model_Quarter'!AL64:AO64)/1000</f>
        <v>496.52020847262781</v>
      </c>
      <c r="L48" s="705">
        <f>SUM('Financial Model_Quarter'!AP64:AS64)/1000</f>
        <v>433.90958032606778</v>
      </c>
      <c r="M48" s="705">
        <f>SUM('Financial Model_Quarter'!AT64:AW64)/1000</f>
        <v>500.03968643365135</v>
      </c>
    </row>
    <row r="49" spans="2:13">
      <c r="B49" s="4"/>
      <c r="C49" s="104"/>
      <c r="D49" s="104"/>
      <c r="E49" s="104"/>
      <c r="F49" s="104"/>
      <c r="G49" s="104"/>
      <c r="H49" s="104"/>
      <c r="I49" s="104"/>
      <c r="J49" s="104"/>
      <c r="K49" s="104"/>
      <c r="L49" s="104"/>
      <c r="M49" s="104"/>
    </row>
    <row r="50" spans="2:13">
      <c r="B50" s="699" t="s">
        <v>19</v>
      </c>
      <c r="C50" s="704">
        <f>SUM('Financial Model_Quarter'!F71:I71)/1000</f>
        <v>326.70883616000003</v>
      </c>
      <c r="D50" s="704">
        <f>SUM('Financial Model_Quarter'!J71:M71)/1000</f>
        <v>160.40028147307487</v>
      </c>
      <c r="E50" s="704">
        <f>SUM('Financial Model_Quarter'!N71:Q71)/1000</f>
        <v>383.65945587189202</v>
      </c>
      <c r="F50" s="704">
        <f>SUM('Financial Model_Quarter'!R71:U71)/1000</f>
        <v>400.90815194755561</v>
      </c>
      <c r="G50" s="704">
        <f>SUM('Financial Model_Quarter'!V71:Y71)/1000</f>
        <v>470.72790004733588</v>
      </c>
      <c r="H50" s="704">
        <f>SUM('Financial Model_Quarter'!Z71:AC71)/1000</f>
        <v>463.09503700493775</v>
      </c>
      <c r="I50" s="704">
        <f>SUM('Financial Model_Quarter'!AD71:AG71)/1000</f>
        <v>542.42621231858152</v>
      </c>
      <c r="J50" s="704">
        <f>SUM('Financial Model_Quarter'!AH71:AK71)/1000</f>
        <v>459.39407457290048</v>
      </c>
      <c r="K50" s="704">
        <f>SUM('Financial Model_Quarter'!AL71:AO71)/1000</f>
        <v>546.28248068815424</v>
      </c>
      <c r="L50" s="704">
        <f>SUM('Financial Model_Quarter'!AP71:AS71)/1000</f>
        <v>479.40509483143416</v>
      </c>
      <c r="M50" s="704">
        <f>SUM('Financial Model_Quarter'!AT71:AW71)/1000</f>
        <v>541.60999192402528</v>
      </c>
    </row>
    <row r="51" spans="2:13">
      <c r="B51" s="4" t="s">
        <v>646</v>
      </c>
      <c r="C51" s="3">
        <f t="shared" ref="C51:M51" si="20">C50/C44</f>
        <v>0.47891530326817516</v>
      </c>
      <c r="D51" s="3">
        <f t="shared" si="20"/>
        <v>0.33295645005919478</v>
      </c>
      <c r="E51" s="3">
        <f t="shared" si="20"/>
        <v>0.47463467143487986</v>
      </c>
      <c r="F51" s="3">
        <f t="shared" si="20"/>
        <v>0.46827072891947324</v>
      </c>
      <c r="G51" s="3">
        <f t="shared" si="20"/>
        <v>0.45493954521735691</v>
      </c>
      <c r="H51" s="3">
        <f t="shared" si="20"/>
        <v>0.46683678424578545</v>
      </c>
      <c r="I51" s="3">
        <f t="shared" si="20"/>
        <v>0.44476223149590643</v>
      </c>
      <c r="J51" s="3">
        <f t="shared" si="20"/>
        <v>0.44644057305708296</v>
      </c>
      <c r="K51" s="3">
        <f t="shared" si="20"/>
        <v>0.43427585976618588</v>
      </c>
      <c r="L51" s="3">
        <f t="shared" si="20"/>
        <v>0.43429055122056609</v>
      </c>
      <c r="M51" s="3">
        <f t="shared" si="20"/>
        <v>0.41457932950621507</v>
      </c>
    </row>
    <row r="52" spans="2:13" ht="18" thickBot="1"/>
    <row r="53" spans="2:13" ht="18" thickBot="1">
      <c r="B53" s="105" t="s">
        <v>843</v>
      </c>
      <c r="C53" s="692">
        <f>SUM('Financial Model_Quarter'!F88:I88)/1000</f>
        <v>247.08699999999999</v>
      </c>
      <c r="D53" s="692">
        <f>SUM('Financial Model_Quarter'!J88:M88)/1000</f>
        <v>21.951258798444751</v>
      </c>
      <c r="E53" s="692">
        <f>SUM('Financial Model_Quarter'!N88:Q88)/1000</f>
        <v>274.46344139759776</v>
      </c>
      <c r="F53" s="692">
        <f>SUM('Financial Model_Quarter'!R88:U88)/1000</f>
        <v>298.82535445712455</v>
      </c>
      <c r="G53" s="692">
        <f>SUM('Financial Model_Quarter'!V88:Y88)/1000</f>
        <v>373.05271598382666</v>
      </c>
      <c r="H53" s="692">
        <f>SUM('Financial Model_Quarter'!Z88:AC88)/1000</f>
        <v>371.36614455902549</v>
      </c>
      <c r="I53" s="692">
        <f>SUM('Financial Model_Quarter'!AD88:AG88)/1000</f>
        <v>452.46881291510397</v>
      </c>
      <c r="J53" s="692">
        <f>SUM('Financial Model_Quarter'!AH88:AK88)/1000</f>
        <v>380.00334042465147</v>
      </c>
      <c r="K53" s="692">
        <f>SUM('Financial Model_Quarter'!AL88:AO88)/1000</f>
        <v>466.997100789358</v>
      </c>
      <c r="L53" s="692">
        <f>SUM('Financial Model_Quarter'!AP88:AS88)/1000</f>
        <v>407.1695784149336</v>
      </c>
      <c r="M53" s="693">
        <f>SUM('Financial Model_Quarter'!AT88:AW88)/1000</f>
        <v>470.32991434165297</v>
      </c>
    </row>
    <row r="56" spans="2:13" s="14" customFormat="1"/>
    <row r="57" spans="2:13" s="14" customFormat="1"/>
    <row r="58" spans="2:13" s="14" customFormat="1"/>
    <row r="59" spans="2:13" s="14" customFormat="1"/>
    <row r="60" spans="2:13" s="14" customFormat="1"/>
    <row r="61" spans="2:13" s="14" customFormat="1"/>
    <row r="62" spans="2:13" s="14" customFormat="1"/>
    <row r="63" spans="2:13" s="14" customFormat="1"/>
    <row r="64" spans="2:13"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row r="91" s="14" customFormat="1"/>
    <row r="92" s="14" customFormat="1"/>
    <row r="93" s="14" customFormat="1"/>
    <row r="94" s="14" customFormat="1"/>
    <row r="95" s="14" customFormat="1"/>
    <row r="96" s="14" customFormat="1"/>
    <row r="97" s="14" customFormat="1"/>
    <row r="98" s="14" customFormat="1"/>
    <row r="99" s="14" customFormat="1"/>
    <row r="100" s="14" customFormat="1"/>
    <row r="101" s="14" customFormat="1"/>
    <row r="102" s="14" customFormat="1"/>
    <row r="103" s="14" customFormat="1"/>
    <row r="104" s="14" customFormat="1"/>
    <row r="105" s="14" customFormat="1"/>
    <row r="106" s="14" customFormat="1"/>
    <row r="107" s="14" customFormat="1"/>
    <row r="108" s="14" customFormat="1"/>
    <row r="109" s="14" customFormat="1"/>
    <row r="110" s="14" customFormat="1"/>
    <row r="111" s="14" customFormat="1"/>
    <row r="112" s="14" customFormat="1"/>
    <row r="113" s="14" customFormat="1"/>
    <row r="114" s="14" customFormat="1"/>
    <row r="115" s="14" customFormat="1"/>
    <row r="116" s="14" customFormat="1"/>
    <row r="117" s="14" customFormat="1"/>
    <row r="118" s="14" customFormat="1"/>
    <row r="119" s="14" customFormat="1"/>
    <row r="120" s="14" customFormat="1"/>
    <row r="121" s="14" customFormat="1"/>
    <row r="122" s="14" customFormat="1"/>
    <row r="123" s="14" customFormat="1"/>
    <row r="124" s="14" customFormat="1"/>
    <row r="125" s="14" customFormat="1"/>
    <row r="126" s="14" customFormat="1"/>
    <row r="127" s="14" customFormat="1"/>
    <row r="128" s="14" customFormat="1"/>
    <row r="129" s="14" customFormat="1"/>
    <row r="130" s="14" customFormat="1"/>
    <row r="131" s="14" customFormat="1"/>
    <row r="132" s="14" customFormat="1"/>
    <row r="133" s="14" customFormat="1"/>
    <row r="134" s="14" customFormat="1"/>
    <row r="135" s="14" customFormat="1"/>
    <row r="136" s="14" customFormat="1"/>
    <row r="137" s="14" customFormat="1"/>
    <row r="138" s="14" customFormat="1"/>
    <row r="139" s="14" customFormat="1"/>
    <row r="140" s="14" customFormat="1"/>
    <row r="141" s="14" customFormat="1"/>
    <row r="142" s="14" customFormat="1"/>
    <row r="143" s="14" customFormat="1"/>
    <row r="144" s="14" customFormat="1"/>
    <row r="145" s="14" customFormat="1"/>
    <row r="146" s="14" customFormat="1"/>
    <row r="147" s="14" customFormat="1"/>
    <row r="148" s="14" customFormat="1"/>
    <row r="149" s="14" customFormat="1"/>
    <row r="150" s="14" customFormat="1"/>
    <row r="151" s="14" customFormat="1"/>
    <row r="152" s="14" customFormat="1"/>
    <row r="153" s="14" customFormat="1"/>
    <row r="154" s="14" customFormat="1"/>
    <row r="155" s="14" customFormat="1"/>
    <row r="156" s="14" customFormat="1"/>
    <row r="157" s="14" customFormat="1"/>
    <row r="158" s="14" customFormat="1"/>
    <row r="159" s="14" customFormat="1"/>
    <row r="160" s="14" customFormat="1"/>
    <row r="161" s="14" customFormat="1"/>
    <row r="162" s="14" customFormat="1"/>
    <row r="163" s="14" customFormat="1"/>
    <row r="164" s="14" customFormat="1"/>
    <row r="165" s="14" customFormat="1"/>
    <row r="166" s="14" customFormat="1"/>
    <row r="167" s="14" customFormat="1"/>
    <row r="168" s="14" customFormat="1"/>
    <row r="169" s="14" customFormat="1"/>
    <row r="170" s="14" customFormat="1"/>
    <row r="171" s="14" customFormat="1"/>
    <row r="172" s="14" customFormat="1"/>
    <row r="173" s="14" customFormat="1"/>
    <row r="174" s="14" customFormat="1"/>
    <row r="175" s="14" customFormat="1"/>
    <row r="176" s="14" customFormat="1"/>
    <row r="177" s="14" customFormat="1"/>
    <row r="178" s="14" customFormat="1"/>
    <row r="179" s="14" customFormat="1"/>
    <row r="180" s="14" customFormat="1"/>
    <row r="181" s="14" customFormat="1"/>
    <row r="182" s="14" customFormat="1"/>
    <row r="183" s="14" customFormat="1"/>
    <row r="184" s="14" customFormat="1"/>
    <row r="185" s="14" customFormat="1"/>
    <row r="186" s="14" customFormat="1"/>
    <row r="187" s="14" customFormat="1"/>
    <row r="188" s="14" customFormat="1"/>
    <row r="189" s="14" customFormat="1"/>
    <row r="190" s="14" customFormat="1"/>
    <row r="191" s="14" customFormat="1"/>
    <row r="192" s="14" customFormat="1"/>
    <row r="193" s="14" customFormat="1"/>
    <row r="194" s="14" customFormat="1"/>
    <row r="195" s="14" customFormat="1"/>
    <row r="196" s="14" customFormat="1"/>
    <row r="197" s="14" customFormat="1"/>
    <row r="198" s="14" customFormat="1"/>
    <row r="199" s="14" customFormat="1"/>
    <row r="200" s="14" customFormat="1"/>
    <row r="201" s="14" customFormat="1"/>
    <row r="202" s="14" customFormat="1"/>
    <row r="203" s="14" customFormat="1"/>
    <row r="204" s="14" customFormat="1"/>
    <row r="205" s="14" customFormat="1"/>
    <row r="206" s="14" customFormat="1"/>
    <row r="207" s="14" customFormat="1"/>
    <row r="208" s="14" customFormat="1"/>
    <row r="209" s="14" customFormat="1"/>
    <row r="210" s="14" customFormat="1"/>
    <row r="211" s="14" customFormat="1"/>
    <row r="212" s="14" customFormat="1"/>
    <row r="213" s="14" customFormat="1"/>
    <row r="214" s="14" customFormat="1"/>
    <row r="215" s="14" customFormat="1"/>
    <row r="216" s="14" customFormat="1"/>
    <row r="217" s="14" customFormat="1"/>
    <row r="218" s="14" customFormat="1"/>
    <row r="219" s="14" customFormat="1"/>
    <row r="220" s="14" customFormat="1"/>
    <row r="221" s="14" customFormat="1"/>
    <row r="222" s="14" customFormat="1"/>
    <row r="223" s="14" customFormat="1"/>
    <row r="224" s="14" customFormat="1"/>
    <row r="225" s="14" customFormat="1"/>
    <row r="226" s="14" customFormat="1"/>
    <row r="227" s="14" customFormat="1"/>
    <row r="228" s="14" customFormat="1"/>
    <row r="229" s="14" customFormat="1"/>
    <row r="230" s="14" customFormat="1"/>
    <row r="231" s="14" customFormat="1"/>
    <row r="232" s="14" customFormat="1"/>
    <row r="233" s="14" customFormat="1"/>
    <row r="234" s="14" customFormat="1"/>
    <row r="235" s="14" customFormat="1"/>
    <row r="236" s="14" customFormat="1"/>
    <row r="237" s="14" customFormat="1"/>
    <row r="238" s="14" customFormat="1"/>
    <row r="239" s="14" customFormat="1"/>
    <row r="240" s="14" customFormat="1"/>
    <row r="241" s="14" customFormat="1"/>
    <row r="242" s="14" customFormat="1"/>
    <row r="243" s="14" customFormat="1"/>
    <row r="244" s="14" customFormat="1"/>
    <row r="245" s="14" customFormat="1"/>
    <row r="246" s="14" customFormat="1"/>
    <row r="247" s="14" customFormat="1"/>
    <row r="248" s="14" customFormat="1"/>
    <row r="249" s="14" customFormat="1"/>
    <row r="250" s="14" customFormat="1"/>
    <row r="251" s="14" customFormat="1"/>
    <row r="252" s="14" customFormat="1"/>
    <row r="253" s="14" customFormat="1"/>
    <row r="254" s="14" customFormat="1"/>
    <row r="255" s="14" customFormat="1"/>
  </sheetData>
  <pageMargins left="0.7" right="0.7" top="0.75" bottom="0.75" header="0.3" footer="0.3"/>
  <pageSetup paperSize="9" scale="68" fitToHeight="0" orientation="landscape" r:id="rId1"/>
  <rowBreaks count="2" manualBreakCount="2">
    <brk id="16" min="1" max="13" man="1"/>
    <brk id="33" min="1" max="13" man="1"/>
  </rowBreaks>
  <ignoredErrors>
    <ignoredError sqref="K5:M6" formula="1"/>
    <ignoredError sqref="C39:E39 C37:D37 C38:D38 C41:E41 C40:D40 C46"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6D4-69B2-441A-B7C9-9442178005EA}">
  <sheetPr>
    <pageSetUpPr fitToPage="1"/>
  </sheetPr>
  <dimension ref="A1:AM23"/>
  <sheetViews>
    <sheetView zoomScale="50" zoomScaleNormal="50" zoomScaleSheetLayoutView="50" workbookViewId="0">
      <selection activeCell="A13" sqref="A13:AM13"/>
    </sheetView>
  </sheetViews>
  <sheetFormatPr baseColWidth="10" defaultColWidth="8.83203125" defaultRowHeight="15"/>
  <cols>
    <col min="1" max="1" width="6.33203125" style="629" customWidth="1"/>
    <col min="2" max="2" width="7.83203125" style="629" customWidth="1"/>
    <col min="3" max="3" width="19.83203125" style="629" customWidth="1"/>
    <col min="4" max="4" width="13.1640625" style="629" customWidth="1"/>
    <col min="5" max="5" width="12.83203125" style="629" customWidth="1"/>
    <col min="6" max="7" width="9.33203125" style="629" bestFit="1" customWidth="1"/>
    <col min="8" max="8" width="13.5" style="629" customWidth="1"/>
    <col min="9" max="9" width="11.5" style="629" customWidth="1"/>
    <col min="10" max="10" width="14.83203125" style="629" customWidth="1"/>
    <col min="11" max="11" width="12.6640625" style="629" customWidth="1"/>
    <col min="12" max="12" width="15.83203125" style="629" customWidth="1"/>
    <col min="13" max="13" width="12.6640625" style="629" customWidth="1"/>
    <col min="14" max="14" width="15.1640625" style="629" customWidth="1"/>
    <col min="15" max="18" width="12.6640625" style="629" customWidth="1"/>
    <col min="19" max="19" width="15.83203125" style="629" customWidth="1"/>
    <col min="20" max="20" width="12.6640625" style="629" customWidth="1"/>
    <col min="21" max="21" width="15.5" style="629" customWidth="1"/>
    <col min="22" max="22" width="12.6640625" style="629" customWidth="1"/>
    <col min="23" max="23" width="14.6640625" style="629" customWidth="1"/>
    <col min="24" max="24" width="12.6640625" style="629" customWidth="1"/>
    <col min="25" max="25" width="14.83203125" style="629" customWidth="1"/>
    <col min="26" max="26" width="12.6640625" style="629" customWidth="1"/>
    <col min="27" max="27" width="14.83203125" style="629" customWidth="1"/>
    <col min="28" max="28" width="12.6640625" style="629" customWidth="1"/>
    <col min="29" max="29" width="14.83203125" style="629" customWidth="1"/>
    <col min="30" max="30" width="12.6640625" style="629" customWidth="1"/>
    <col min="31" max="31" width="16" style="629" customWidth="1"/>
    <col min="32" max="32" width="12.6640625" style="629" customWidth="1"/>
    <col min="33" max="33" width="14.6640625" style="629" customWidth="1"/>
    <col min="34" max="34" width="12.6640625" style="629" customWidth="1"/>
    <col min="35" max="35" width="15.5" style="629" customWidth="1"/>
    <col min="36" max="36" width="12.6640625" style="629" customWidth="1"/>
    <col min="37" max="37" width="15.1640625" style="629" customWidth="1"/>
    <col min="38" max="39" width="12.6640625" style="629" customWidth="1"/>
    <col min="40" max="16384" width="8.83203125" style="629"/>
  </cols>
  <sheetData>
    <row r="1" spans="1:39" ht="42.75" customHeight="1" thickBot="1">
      <c r="A1" s="776" t="s">
        <v>766</v>
      </c>
      <c r="B1" s="776"/>
      <c r="C1" s="776"/>
      <c r="D1" s="776"/>
      <c r="E1" s="776"/>
      <c r="F1" s="776"/>
      <c r="G1" s="776"/>
      <c r="H1" s="776"/>
      <c r="I1" s="776"/>
      <c r="J1" s="776"/>
      <c r="K1" s="776"/>
      <c r="L1" s="776"/>
      <c r="M1" s="776"/>
      <c r="N1" s="776"/>
      <c r="O1" s="776"/>
      <c r="P1" s="776"/>
      <c r="Q1" s="776"/>
      <c r="R1" s="776"/>
      <c r="S1" s="776"/>
      <c r="T1" s="776"/>
      <c r="U1" s="776"/>
      <c r="V1" s="776"/>
      <c r="W1" s="776"/>
      <c r="X1" s="776"/>
      <c r="Y1" s="776"/>
      <c r="Z1" s="776"/>
      <c r="AA1" s="776"/>
      <c r="AB1" s="776"/>
      <c r="AC1" s="776"/>
      <c r="AD1" s="776"/>
      <c r="AE1" s="776"/>
      <c r="AF1" s="776"/>
      <c r="AG1" s="776"/>
      <c r="AH1" s="776"/>
      <c r="AI1" s="776"/>
      <c r="AJ1" s="776"/>
      <c r="AK1" s="776"/>
      <c r="AL1" s="776"/>
      <c r="AM1" s="776"/>
    </row>
    <row r="2" spans="1:39" ht="36" customHeight="1" thickTop="1" thickBot="1">
      <c r="A2" s="777" t="s">
        <v>767</v>
      </c>
      <c r="B2" s="778"/>
      <c r="C2" s="778"/>
      <c r="D2" s="778"/>
      <c r="E2" s="778"/>
      <c r="F2" s="778"/>
      <c r="G2" s="778"/>
      <c r="H2" s="778"/>
      <c r="I2" s="778"/>
      <c r="J2" s="778"/>
      <c r="K2" s="778"/>
      <c r="L2" s="778"/>
      <c r="M2" s="778"/>
      <c r="N2" s="778"/>
      <c r="O2" s="778"/>
      <c r="P2" s="778"/>
      <c r="Q2" s="778"/>
      <c r="R2" s="778"/>
      <c r="S2" s="778"/>
      <c r="T2" s="778"/>
      <c r="U2" s="778"/>
      <c r="V2" s="778"/>
      <c r="W2" s="778"/>
      <c r="X2" s="778"/>
      <c r="Y2" s="778"/>
      <c r="Z2" s="778"/>
      <c r="AA2" s="778"/>
      <c r="AB2" s="778"/>
      <c r="AC2" s="778"/>
      <c r="AD2" s="778"/>
      <c r="AE2" s="778"/>
      <c r="AF2" s="778"/>
      <c r="AG2" s="778"/>
      <c r="AH2" s="778"/>
      <c r="AI2" s="778"/>
      <c r="AJ2" s="778"/>
      <c r="AK2" s="778"/>
      <c r="AL2" s="778"/>
      <c r="AM2" s="779"/>
    </row>
    <row r="3" spans="1:39" ht="27" thickTop="1" thickBot="1">
      <c r="A3" s="630"/>
      <c r="B3" s="631"/>
      <c r="C3" s="631"/>
      <c r="D3" s="631"/>
      <c r="E3" s="631"/>
      <c r="F3" s="631"/>
      <c r="G3" s="631"/>
      <c r="H3" s="780" t="s">
        <v>768</v>
      </c>
      <c r="I3" s="631"/>
      <c r="J3" s="767" t="s">
        <v>189</v>
      </c>
      <c r="K3" s="769" t="s">
        <v>190</v>
      </c>
      <c r="L3" s="767" t="s">
        <v>191</v>
      </c>
      <c r="M3" s="769" t="s">
        <v>192</v>
      </c>
      <c r="N3" s="767" t="s">
        <v>193</v>
      </c>
      <c r="O3" s="769" t="s">
        <v>194</v>
      </c>
      <c r="P3" s="767" t="s">
        <v>769</v>
      </c>
      <c r="Q3" s="769" t="s">
        <v>770</v>
      </c>
      <c r="R3" s="769" t="s">
        <v>771</v>
      </c>
      <c r="S3" s="771" t="s">
        <v>772</v>
      </c>
      <c r="T3" s="771"/>
      <c r="U3" s="771"/>
      <c r="V3" s="771"/>
      <c r="W3" s="771"/>
      <c r="X3" s="771"/>
      <c r="Y3" s="771"/>
      <c r="Z3" s="771"/>
      <c r="AA3" s="771"/>
      <c r="AB3" s="771"/>
      <c r="AC3" s="771"/>
      <c r="AD3" s="771"/>
      <c r="AE3" s="771"/>
      <c r="AF3" s="771"/>
      <c r="AG3" s="771"/>
      <c r="AH3" s="771"/>
      <c r="AI3" s="771"/>
      <c r="AJ3" s="771"/>
      <c r="AK3" s="771"/>
      <c r="AL3" s="771"/>
      <c r="AM3" s="772"/>
    </row>
    <row r="4" spans="1:39" ht="53" thickTop="1" thickBot="1">
      <c r="A4" s="630"/>
      <c r="B4" s="631"/>
      <c r="C4" s="631"/>
      <c r="D4" s="631"/>
      <c r="E4" s="631"/>
      <c r="F4" s="631"/>
      <c r="G4" s="631"/>
      <c r="H4" s="781"/>
      <c r="I4" s="631"/>
      <c r="J4" s="768"/>
      <c r="K4" s="770"/>
      <c r="L4" s="768"/>
      <c r="M4" s="770"/>
      <c r="N4" s="768"/>
      <c r="O4" s="770"/>
      <c r="P4" s="768"/>
      <c r="Q4" s="770"/>
      <c r="R4" s="770"/>
      <c r="S4" s="632" t="s">
        <v>773</v>
      </c>
      <c r="T4" s="633" t="s">
        <v>774</v>
      </c>
      <c r="U4" s="634" t="s">
        <v>775</v>
      </c>
      <c r="V4" s="633" t="s">
        <v>776</v>
      </c>
      <c r="W4" s="634" t="s">
        <v>777</v>
      </c>
      <c r="X4" s="633" t="s">
        <v>778</v>
      </c>
      <c r="Y4" s="634" t="s">
        <v>779</v>
      </c>
      <c r="Z4" s="633" t="s">
        <v>780</v>
      </c>
      <c r="AA4" s="634" t="s">
        <v>781</v>
      </c>
      <c r="AB4" s="633" t="s">
        <v>782</v>
      </c>
      <c r="AC4" s="634" t="s">
        <v>783</v>
      </c>
      <c r="AD4" s="633" t="s">
        <v>784</v>
      </c>
      <c r="AE4" s="634" t="s">
        <v>785</v>
      </c>
      <c r="AF4" s="633" t="s">
        <v>786</v>
      </c>
      <c r="AG4" s="634" t="s">
        <v>787</v>
      </c>
      <c r="AH4" s="633" t="s">
        <v>788</v>
      </c>
      <c r="AI4" s="634" t="s">
        <v>789</v>
      </c>
      <c r="AJ4" s="633" t="s">
        <v>790</v>
      </c>
      <c r="AK4" s="634" t="s">
        <v>791</v>
      </c>
      <c r="AL4" s="635" t="s">
        <v>792</v>
      </c>
      <c r="AM4" s="636" t="s">
        <v>793</v>
      </c>
    </row>
    <row r="5" spans="1:39" ht="54.75" customHeight="1" thickTop="1" thickBot="1">
      <c r="A5" s="764" t="s">
        <v>794</v>
      </c>
      <c r="B5" s="765"/>
      <c r="C5" s="766"/>
      <c r="D5" s="637"/>
      <c r="E5" s="637"/>
      <c r="F5" s="637"/>
      <c r="G5" s="637"/>
      <c r="H5" s="638">
        <v>5.6000000000000005</v>
      </c>
      <c r="I5" s="639"/>
      <c r="J5" s="640">
        <v>16.242000000000001</v>
      </c>
      <c r="K5" s="641">
        <v>2.90035714285714</v>
      </c>
      <c r="L5" s="640">
        <v>17.963000000000001</v>
      </c>
      <c r="M5" s="641">
        <v>3.2076785714285712</v>
      </c>
      <c r="N5" s="640">
        <v>25.052999999999997</v>
      </c>
      <c r="O5" s="641">
        <v>4.473749999999999</v>
      </c>
      <c r="P5" s="640">
        <v>4.5410000000000004</v>
      </c>
      <c r="Q5" s="641">
        <v>0.81089285714285708</v>
      </c>
      <c r="R5" s="642">
        <v>2.8481696428571417</v>
      </c>
      <c r="S5" s="643">
        <v>21.299999999999997</v>
      </c>
      <c r="T5" s="644">
        <v>3.8035714285714275</v>
      </c>
      <c r="U5" s="643">
        <v>21.299999999999997</v>
      </c>
      <c r="V5" s="644">
        <v>3.8035714285714275</v>
      </c>
      <c r="W5" s="643">
        <v>20.799999999999997</v>
      </c>
      <c r="X5" s="644">
        <v>3.7142857142857135</v>
      </c>
      <c r="Y5" s="643">
        <v>18.8</v>
      </c>
      <c r="Z5" s="644">
        <v>3.3571428571428568</v>
      </c>
      <c r="AA5" s="643">
        <v>18.8</v>
      </c>
      <c r="AB5" s="644">
        <v>3.3571428571428568</v>
      </c>
      <c r="AC5" s="643">
        <v>18.8</v>
      </c>
      <c r="AD5" s="644">
        <v>3.3571428571428568</v>
      </c>
      <c r="AE5" s="643">
        <v>21.8</v>
      </c>
      <c r="AF5" s="644">
        <v>3.8928571428571428</v>
      </c>
      <c r="AG5" s="643">
        <v>18.8</v>
      </c>
      <c r="AH5" s="644">
        <v>3.3571428571428568</v>
      </c>
      <c r="AI5" s="643">
        <v>18.8</v>
      </c>
      <c r="AJ5" s="644">
        <v>3.3571428571428568</v>
      </c>
      <c r="AK5" s="643">
        <v>18.8</v>
      </c>
      <c r="AL5" s="644">
        <v>3.3571428571428568</v>
      </c>
      <c r="AM5" s="645">
        <v>3.5357142857142856</v>
      </c>
    </row>
    <row r="6" spans="1:39" ht="51" customHeight="1" thickTop="1" thickBot="1">
      <c r="A6" s="764" t="s">
        <v>795</v>
      </c>
      <c r="B6" s="765"/>
      <c r="C6" s="766"/>
      <c r="D6" s="646"/>
      <c r="E6" s="646"/>
      <c r="F6" s="646"/>
      <c r="G6" s="646"/>
      <c r="H6" s="642">
        <v>5.6000000000000005</v>
      </c>
      <c r="I6" s="642"/>
      <c r="J6" s="647">
        <v>0</v>
      </c>
      <c r="K6" s="642">
        <v>0</v>
      </c>
      <c r="L6" s="647">
        <v>59.64</v>
      </c>
      <c r="M6" s="642">
        <v>10.649999999999999</v>
      </c>
      <c r="N6" s="647">
        <v>165.32400000000001</v>
      </c>
      <c r="O6" s="642">
        <v>29.522142857142857</v>
      </c>
      <c r="P6" s="647">
        <v>64.884999999999991</v>
      </c>
      <c r="Q6" s="642">
        <v>11.58660714285714</v>
      </c>
      <c r="R6" s="642">
        <v>12.9396875</v>
      </c>
      <c r="S6" s="647">
        <v>130</v>
      </c>
      <c r="T6" s="642">
        <v>23.214285714285712</v>
      </c>
      <c r="U6" s="647">
        <v>157</v>
      </c>
      <c r="V6" s="642">
        <v>28.035714285714285</v>
      </c>
      <c r="W6" s="647">
        <v>131</v>
      </c>
      <c r="X6" s="642">
        <v>23.392857142857142</v>
      </c>
      <c r="Y6" s="647">
        <v>154.5</v>
      </c>
      <c r="Z6" s="642">
        <v>27.589285714285712</v>
      </c>
      <c r="AA6" s="647">
        <v>131</v>
      </c>
      <c r="AB6" s="642">
        <v>23.392857142857142</v>
      </c>
      <c r="AC6" s="647">
        <v>154.5</v>
      </c>
      <c r="AD6" s="642">
        <v>27.589285714285712</v>
      </c>
      <c r="AE6" s="647">
        <v>131</v>
      </c>
      <c r="AF6" s="642">
        <v>23.392857142857142</v>
      </c>
      <c r="AG6" s="647">
        <v>100</v>
      </c>
      <c r="AH6" s="642">
        <v>17.857142857142854</v>
      </c>
      <c r="AI6" s="647">
        <v>128.5</v>
      </c>
      <c r="AJ6" s="642">
        <v>22.946428571428569</v>
      </c>
      <c r="AK6" s="647">
        <v>57</v>
      </c>
      <c r="AL6" s="642">
        <v>10.178571428571427</v>
      </c>
      <c r="AM6" s="645">
        <v>22.758928571428569</v>
      </c>
    </row>
    <row r="7" spans="1:39" ht="48" customHeight="1" thickTop="1" thickBot="1">
      <c r="A7" s="764" t="s">
        <v>796</v>
      </c>
      <c r="B7" s="765"/>
      <c r="C7" s="766"/>
      <c r="D7" s="646"/>
      <c r="E7" s="646"/>
      <c r="F7" s="646"/>
      <c r="G7" s="646"/>
      <c r="H7" s="642">
        <v>661.18</v>
      </c>
      <c r="I7" s="646"/>
      <c r="J7" s="647">
        <v>9745.1360000000004</v>
      </c>
      <c r="K7" s="648">
        <v>14.739006019540822</v>
      </c>
      <c r="L7" s="647">
        <v>11436.183999999999</v>
      </c>
      <c r="M7" s="645">
        <v>17.296627242203332</v>
      </c>
      <c r="N7" s="647">
        <v>18931.219999999998</v>
      </c>
      <c r="O7" s="645">
        <v>28.632475271484314</v>
      </c>
      <c r="P7" s="647">
        <v>8387.871000000001</v>
      </c>
      <c r="Q7" s="645">
        <v>12.686214041562058</v>
      </c>
      <c r="R7" s="645"/>
      <c r="S7" s="647">
        <v>14890.56</v>
      </c>
      <c r="T7" s="645">
        <v>22.521189388668745</v>
      </c>
      <c r="U7" s="647">
        <v>15866.85</v>
      </c>
      <c r="V7" s="645">
        <v>17.947986932454096</v>
      </c>
      <c r="W7" s="647">
        <v>15609.98</v>
      </c>
      <c r="X7" s="648">
        <v>23.609274327717113</v>
      </c>
      <c r="Y7" s="647">
        <v>11596.55</v>
      </c>
      <c r="Z7" s="648">
        <v>17.539172388759489</v>
      </c>
      <c r="AA7" s="647">
        <v>14259.66</v>
      </c>
      <c r="AB7" s="648">
        <v>21.566986297226173</v>
      </c>
      <c r="AC7" s="647">
        <v>10810.92</v>
      </c>
      <c r="AD7" s="648">
        <v>16.350948304546417</v>
      </c>
      <c r="AE7" s="647">
        <v>12867.8</v>
      </c>
      <c r="AF7" s="648">
        <v>19.4618711999758</v>
      </c>
      <c r="AG7" s="647">
        <v>9462.2000000000007</v>
      </c>
      <c r="AH7" s="648">
        <v>14.3110801899634</v>
      </c>
      <c r="AI7" s="647">
        <v>11052.11</v>
      </c>
      <c r="AJ7" s="648">
        <v>16.715735503191265</v>
      </c>
      <c r="AK7" s="647">
        <v>6346.72</v>
      </c>
      <c r="AL7" s="648">
        <v>9.5990804319549898</v>
      </c>
      <c r="AM7" s="645">
        <v>17.962332496445754</v>
      </c>
    </row>
    <row r="8" spans="1:39" ht="27" thickTop="1" thickBot="1">
      <c r="A8" s="773" t="s">
        <v>797</v>
      </c>
      <c r="B8" s="774"/>
      <c r="C8" s="774"/>
      <c r="D8" s="774"/>
      <c r="E8" s="774"/>
      <c r="F8" s="774"/>
      <c r="G8" s="774"/>
      <c r="H8" s="774"/>
      <c r="I8" s="774"/>
      <c r="J8" s="774"/>
      <c r="K8" s="774"/>
      <c r="L8" s="774"/>
      <c r="M8" s="774"/>
      <c r="N8" s="774"/>
      <c r="O8" s="774"/>
      <c r="P8" s="774"/>
      <c r="Q8" s="774"/>
      <c r="R8" s="774"/>
      <c r="S8" s="774"/>
      <c r="T8" s="774"/>
      <c r="U8" s="774"/>
      <c r="V8" s="774"/>
      <c r="W8" s="774"/>
      <c r="X8" s="774"/>
      <c r="Y8" s="774"/>
      <c r="Z8" s="774"/>
      <c r="AA8" s="774"/>
      <c r="AB8" s="774"/>
      <c r="AC8" s="774"/>
      <c r="AD8" s="774"/>
      <c r="AE8" s="774"/>
      <c r="AF8" s="774"/>
      <c r="AG8" s="774"/>
      <c r="AH8" s="774"/>
      <c r="AI8" s="774"/>
      <c r="AJ8" s="774"/>
      <c r="AK8" s="774"/>
      <c r="AL8" s="774"/>
      <c r="AM8" s="775"/>
    </row>
    <row r="9" spans="1:39" ht="71.25" customHeight="1" thickTop="1" thickBot="1">
      <c r="A9" s="764" t="s">
        <v>798</v>
      </c>
      <c r="B9" s="765"/>
      <c r="C9" s="766"/>
      <c r="D9" s="646"/>
      <c r="E9" s="646"/>
      <c r="F9" s="646"/>
      <c r="G9" s="646"/>
      <c r="H9" s="646">
        <v>88</v>
      </c>
      <c r="I9" s="646"/>
      <c r="J9" s="649"/>
      <c r="K9" s="645"/>
      <c r="L9" s="649"/>
      <c r="M9" s="645"/>
      <c r="N9" s="649"/>
      <c r="O9" s="645"/>
      <c r="P9" s="649"/>
      <c r="Q9" s="645"/>
      <c r="R9" s="645"/>
      <c r="S9" s="649"/>
      <c r="T9" s="645"/>
      <c r="U9" s="649">
        <v>566.29999999999995</v>
      </c>
      <c r="V9" s="645">
        <v>6.4352272727272721</v>
      </c>
      <c r="W9" s="649">
        <v>1061.4000000000001</v>
      </c>
      <c r="X9" s="645">
        <v>12.061363636363637</v>
      </c>
      <c r="Y9" s="649">
        <v>1768.1</v>
      </c>
      <c r="Z9" s="645">
        <v>20.092045454545453</v>
      </c>
      <c r="AA9" s="649">
        <v>2310.5</v>
      </c>
      <c r="AB9" s="645">
        <v>26.255681818181817</v>
      </c>
      <c r="AC9" s="649">
        <v>3085.6</v>
      </c>
      <c r="AD9" s="645">
        <v>35.063636363636363</v>
      </c>
      <c r="AE9" s="649">
        <v>3381.5</v>
      </c>
      <c r="AF9" s="645">
        <v>38.426136363636367</v>
      </c>
      <c r="AG9" s="649">
        <v>3800</v>
      </c>
      <c r="AH9" s="645">
        <v>43.18181818181818</v>
      </c>
      <c r="AI9" s="649">
        <v>3800</v>
      </c>
      <c r="AJ9" s="645">
        <v>43.18181818181818</v>
      </c>
      <c r="AK9" s="649">
        <v>3800</v>
      </c>
      <c r="AL9" s="645">
        <v>43.18181818181818</v>
      </c>
      <c r="AM9" s="645"/>
    </row>
    <row r="10" spans="1:39" ht="58.5" customHeight="1" thickTop="1" thickBot="1">
      <c r="A10" s="764" t="s">
        <v>799</v>
      </c>
      <c r="B10" s="765"/>
      <c r="C10" s="766"/>
      <c r="D10" s="646"/>
      <c r="E10" s="646"/>
      <c r="F10" s="646"/>
      <c r="G10" s="646"/>
      <c r="H10" s="646">
        <v>100</v>
      </c>
      <c r="I10" s="646"/>
      <c r="J10" s="649"/>
      <c r="K10" s="645"/>
      <c r="L10" s="649"/>
      <c r="M10" s="645"/>
      <c r="N10" s="649"/>
      <c r="O10" s="645"/>
      <c r="P10" s="649"/>
      <c r="Q10" s="645"/>
      <c r="R10" s="645"/>
      <c r="S10" s="649"/>
      <c r="T10" s="645"/>
      <c r="U10" s="649"/>
      <c r="V10" s="645"/>
      <c r="W10" s="649"/>
      <c r="X10" s="645"/>
      <c r="Y10" s="649"/>
      <c r="Z10" s="645"/>
      <c r="AA10" s="649"/>
      <c r="AB10" s="645"/>
      <c r="AC10" s="649"/>
      <c r="AD10" s="645"/>
      <c r="AE10" s="649">
        <v>500</v>
      </c>
      <c r="AF10" s="645">
        <v>5</v>
      </c>
      <c r="AG10" s="649">
        <v>800</v>
      </c>
      <c r="AH10" s="645">
        <v>8</v>
      </c>
      <c r="AI10" s="649">
        <v>2000</v>
      </c>
      <c r="AJ10" s="645">
        <v>20</v>
      </c>
      <c r="AK10" s="649">
        <v>3000</v>
      </c>
      <c r="AL10" s="645">
        <v>30</v>
      </c>
      <c r="AM10" s="645"/>
    </row>
    <row r="11" spans="1:39" ht="36.75" customHeight="1" thickTop="1" thickBot="1">
      <c r="A11" s="764" t="s">
        <v>223</v>
      </c>
      <c r="B11" s="765"/>
      <c r="C11" s="766"/>
      <c r="D11" s="646"/>
      <c r="E11" s="646"/>
      <c r="F11" s="646"/>
      <c r="G11" s="646"/>
      <c r="H11" s="646">
        <v>188</v>
      </c>
      <c r="I11" s="646"/>
      <c r="J11" s="649"/>
      <c r="K11" s="645"/>
      <c r="L11" s="649"/>
      <c r="M11" s="645"/>
      <c r="N11" s="649"/>
      <c r="O11" s="645"/>
      <c r="P11" s="649"/>
      <c r="Q11" s="645"/>
      <c r="R11" s="645"/>
      <c r="S11" s="649"/>
      <c r="T11" s="645"/>
      <c r="U11" s="649">
        <v>566.29999999999995</v>
      </c>
      <c r="V11" s="645"/>
      <c r="W11" s="649">
        <v>1061.4000000000001</v>
      </c>
      <c r="X11" s="645"/>
      <c r="Y11" s="649">
        <v>1768.1</v>
      </c>
      <c r="Z11" s="645"/>
      <c r="AA11" s="649">
        <v>2310.5</v>
      </c>
      <c r="AB11" s="645"/>
      <c r="AC11" s="649">
        <v>3085.6</v>
      </c>
      <c r="AD11" s="645"/>
      <c r="AE11" s="649">
        <v>3881.5</v>
      </c>
      <c r="AF11" s="645"/>
      <c r="AG11" s="649">
        <v>4600</v>
      </c>
      <c r="AH11" s="645"/>
      <c r="AI11" s="649">
        <v>5800</v>
      </c>
      <c r="AJ11" s="645"/>
      <c r="AK11" s="649">
        <v>6800</v>
      </c>
      <c r="AL11" s="645"/>
      <c r="AM11" s="645"/>
    </row>
    <row r="12" spans="1:39" ht="36.75" customHeight="1" thickTop="1" thickBot="1">
      <c r="A12" s="764" t="s">
        <v>800</v>
      </c>
      <c r="B12" s="765"/>
      <c r="C12" s="766"/>
      <c r="D12" s="637"/>
      <c r="E12" s="637"/>
      <c r="F12" s="637"/>
      <c r="G12" s="637"/>
      <c r="H12" s="650">
        <v>849.18</v>
      </c>
      <c r="I12" s="637"/>
      <c r="J12" s="651">
        <v>9745.1360000000004</v>
      </c>
      <c r="K12" s="644"/>
      <c r="L12" s="651">
        <v>11436.183999999999</v>
      </c>
      <c r="M12" s="644"/>
      <c r="N12" s="651">
        <v>18931.219999999998</v>
      </c>
      <c r="O12" s="644"/>
      <c r="P12" s="651">
        <v>8387.871000000001</v>
      </c>
      <c r="Q12" s="644"/>
      <c r="R12" s="644"/>
      <c r="S12" s="651">
        <f>S11+S7</f>
        <v>14890.56</v>
      </c>
      <c r="T12" s="644"/>
      <c r="U12" s="651">
        <f>U11+U7</f>
        <v>16433.150000000001</v>
      </c>
      <c r="V12" s="644"/>
      <c r="W12" s="651">
        <f>W11+W7</f>
        <v>16671.38</v>
      </c>
      <c r="X12" s="644"/>
      <c r="Y12" s="651">
        <f>Y11+Y7</f>
        <v>13364.65</v>
      </c>
      <c r="Z12" s="644"/>
      <c r="AA12" s="651">
        <f>AA11+AA7</f>
        <v>16570.16</v>
      </c>
      <c r="AB12" s="644"/>
      <c r="AC12" s="651">
        <f>AC11+AC7</f>
        <v>13896.52</v>
      </c>
      <c r="AD12" s="644"/>
      <c r="AE12" s="651">
        <f>AE11+AE7</f>
        <v>16749.3</v>
      </c>
      <c r="AF12" s="644">
        <v>19.724086766056665</v>
      </c>
      <c r="AG12" s="651">
        <f>AG11+AG7</f>
        <v>14062.2</v>
      </c>
      <c r="AH12" s="644">
        <v>16.559739984455593</v>
      </c>
      <c r="AI12" s="651">
        <f>AI11+AI7</f>
        <v>16852.11</v>
      </c>
      <c r="AJ12" s="644">
        <v>19.845156503921434</v>
      </c>
      <c r="AK12" s="651">
        <f>AK11+AK7</f>
        <v>13146.720000000001</v>
      </c>
      <c r="AL12" s="644">
        <v>15.481664664735394</v>
      </c>
      <c r="AM12" s="644"/>
    </row>
    <row r="13" spans="1:39" ht="36.75" customHeight="1" thickTop="1" thickBot="1">
      <c r="A13" s="759" t="s">
        <v>801</v>
      </c>
      <c r="B13" s="759"/>
      <c r="C13" s="759"/>
      <c r="D13" s="759"/>
      <c r="E13" s="759"/>
      <c r="F13" s="759"/>
      <c r="G13" s="759"/>
      <c r="H13" s="759"/>
      <c r="I13" s="759"/>
      <c r="J13" s="759"/>
      <c r="K13" s="759"/>
      <c r="L13" s="759"/>
      <c r="M13" s="759"/>
      <c r="N13" s="759"/>
      <c r="O13" s="759"/>
      <c r="P13" s="759"/>
      <c r="Q13" s="759"/>
      <c r="R13" s="759"/>
      <c r="S13" s="759"/>
      <c r="T13" s="759"/>
      <c r="U13" s="759"/>
      <c r="V13" s="759"/>
      <c r="W13" s="759"/>
      <c r="X13" s="759"/>
      <c r="Y13" s="759"/>
      <c r="Z13" s="759"/>
      <c r="AA13" s="759"/>
      <c r="AB13" s="759"/>
      <c r="AC13" s="759"/>
      <c r="AD13" s="759"/>
      <c r="AE13" s="759"/>
      <c r="AF13" s="759"/>
      <c r="AG13" s="759"/>
      <c r="AH13" s="759"/>
      <c r="AI13" s="759"/>
      <c r="AJ13" s="759"/>
      <c r="AK13" s="759"/>
      <c r="AL13" s="759"/>
      <c r="AM13" s="759"/>
    </row>
    <row r="14" spans="1:39" ht="36.75" customHeight="1" thickTop="1" thickBot="1">
      <c r="A14" s="760" t="s">
        <v>802</v>
      </c>
      <c r="B14" s="761"/>
      <c r="C14" s="762"/>
      <c r="D14" s="646"/>
      <c r="E14" s="646"/>
      <c r="F14" s="646"/>
      <c r="G14" s="646"/>
      <c r="H14" s="646">
        <v>5.2</v>
      </c>
      <c r="I14" s="646"/>
      <c r="J14" s="649">
        <v>0</v>
      </c>
      <c r="K14" s="646">
        <v>0</v>
      </c>
      <c r="L14" s="649">
        <v>0</v>
      </c>
      <c r="M14" s="642">
        <v>0</v>
      </c>
      <c r="N14" s="649">
        <v>0</v>
      </c>
      <c r="O14" s="646">
        <v>0</v>
      </c>
      <c r="P14" s="649">
        <v>0</v>
      </c>
      <c r="Q14" s="646">
        <v>0</v>
      </c>
      <c r="R14" s="646">
        <v>0</v>
      </c>
      <c r="S14" s="649">
        <v>0</v>
      </c>
      <c r="T14" s="646">
        <v>0</v>
      </c>
      <c r="U14" s="652">
        <v>0</v>
      </c>
      <c r="V14" s="645">
        <v>0</v>
      </c>
      <c r="W14" s="652">
        <v>5.2</v>
      </c>
      <c r="X14" s="645">
        <v>1</v>
      </c>
      <c r="Y14" s="652">
        <v>26</v>
      </c>
      <c r="Z14" s="645">
        <v>5</v>
      </c>
      <c r="AA14" s="652">
        <v>52</v>
      </c>
      <c r="AB14" s="645">
        <v>10</v>
      </c>
      <c r="AC14" s="652">
        <v>62.400000000000006</v>
      </c>
      <c r="AD14" s="645">
        <v>12</v>
      </c>
      <c r="AE14" s="652">
        <v>52</v>
      </c>
      <c r="AF14" s="645">
        <v>10</v>
      </c>
      <c r="AG14" s="652">
        <v>78</v>
      </c>
      <c r="AH14" s="645">
        <v>15</v>
      </c>
      <c r="AI14" s="652">
        <v>52</v>
      </c>
      <c r="AJ14" s="646">
        <v>10</v>
      </c>
      <c r="AK14" s="649">
        <v>78</v>
      </c>
      <c r="AL14" s="646">
        <v>15</v>
      </c>
      <c r="AM14" s="645"/>
    </row>
    <row r="15" spans="1:39" ht="36.75" customHeight="1" thickTop="1" thickBot="1">
      <c r="A15" s="760" t="s">
        <v>803</v>
      </c>
      <c r="B15" s="761"/>
      <c r="C15" s="762"/>
      <c r="D15" s="646"/>
      <c r="E15" s="646"/>
      <c r="F15" s="646"/>
      <c r="G15" s="646"/>
      <c r="H15" s="646">
        <v>17.8</v>
      </c>
      <c r="I15" s="646"/>
      <c r="J15" s="647">
        <v>5.04</v>
      </c>
      <c r="K15" s="646">
        <v>0.28314606741573034</v>
      </c>
      <c r="L15" s="647">
        <v>34.479999999999997</v>
      </c>
      <c r="M15" s="642">
        <v>1.9370786516853931</v>
      </c>
      <c r="N15" s="647">
        <v>111.85</v>
      </c>
      <c r="O15" s="646">
        <v>6.2837078651685392</v>
      </c>
      <c r="P15" s="647">
        <v>109.94</v>
      </c>
      <c r="Q15" s="646">
        <v>6.1764044943820222</v>
      </c>
      <c r="R15" s="646" t="s">
        <v>804</v>
      </c>
      <c r="S15" s="647">
        <v>105</v>
      </c>
      <c r="T15" s="646">
        <v>5.8988764044943816</v>
      </c>
      <c r="U15" s="652">
        <v>148</v>
      </c>
      <c r="V15" s="645">
        <v>8.3146067415730336</v>
      </c>
      <c r="W15" s="652">
        <v>218.3</v>
      </c>
      <c r="X15" s="645">
        <v>12.264044943820226</v>
      </c>
      <c r="Y15" s="652">
        <v>258</v>
      </c>
      <c r="Z15" s="645">
        <v>14.494382022471909</v>
      </c>
      <c r="AA15" s="652">
        <v>303</v>
      </c>
      <c r="AB15" s="645">
        <v>17.022471910112358</v>
      </c>
      <c r="AC15" s="652">
        <v>264</v>
      </c>
      <c r="AD15" s="645">
        <v>14.831460674157302</v>
      </c>
      <c r="AE15" s="652">
        <v>380.5</v>
      </c>
      <c r="AF15" s="645">
        <v>21.376404494382022</v>
      </c>
      <c r="AG15" s="652">
        <v>340</v>
      </c>
      <c r="AH15" s="645">
        <v>19.101123595505616</v>
      </c>
      <c r="AI15" s="652">
        <v>367</v>
      </c>
      <c r="AJ15" s="646">
        <v>20.617977528089888</v>
      </c>
      <c r="AK15" s="649">
        <v>315.5</v>
      </c>
      <c r="AL15" s="646">
        <v>17.724719101123593</v>
      </c>
      <c r="AM15" s="645"/>
    </row>
    <row r="16" spans="1:39" ht="36.75" customHeight="1" thickTop="1" thickBot="1">
      <c r="A16" s="760" t="s">
        <v>805</v>
      </c>
      <c r="B16" s="761"/>
      <c r="C16" s="762"/>
      <c r="D16" s="646"/>
      <c r="E16" s="646"/>
      <c r="F16" s="646"/>
      <c r="G16" s="646"/>
      <c r="H16" s="646">
        <v>50.34</v>
      </c>
      <c r="I16" s="646"/>
      <c r="J16" s="647">
        <v>0</v>
      </c>
      <c r="K16" s="646">
        <v>0</v>
      </c>
      <c r="L16" s="647">
        <v>99.456000000000003</v>
      </c>
      <c r="M16" s="642">
        <v>1.9756853396901073</v>
      </c>
      <c r="N16" s="647">
        <v>144.654</v>
      </c>
      <c r="O16" s="646">
        <v>2.8735399284862928</v>
      </c>
      <c r="P16" s="647">
        <v>111.79599999999999</v>
      </c>
      <c r="Q16" s="646">
        <v>2.2208184346444177</v>
      </c>
      <c r="R16" s="646" t="s">
        <v>804</v>
      </c>
      <c r="S16" s="649">
        <v>316.99999999999994</v>
      </c>
      <c r="T16" s="646">
        <v>6.2971791815653537</v>
      </c>
      <c r="U16" s="652">
        <v>499.64</v>
      </c>
      <c r="V16" s="645">
        <v>9.9253079062375829</v>
      </c>
      <c r="W16" s="652">
        <v>633.79999999999995</v>
      </c>
      <c r="X16" s="645">
        <v>12.590385379419942</v>
      </c>
      <c r="Y16" s="652">
        <v>816.59999999999991</v>
      </c>
      <c r="Z16" s="645">
        <v>16.221692491060782</v>
      </c>
      <c r="AA16" s="652">
        <v>834.59999999999991</v>
      </c>
      <c r="AB16" s="645">
        <v>16.579261025029794</v>
      </c>
      <c r="AC16" s="652">
        <v>609.5</v>
      </c>
      <c r="AD16" s="645">
        <v>12.107667858561779</v>
      </c>
      <c r="AE16" s="652">
        <v>919.69999999999993</v>
      </c>
      <c r="AF16" s="645">
        <v>18.269765593961061</v>
      </c>
      <c r="AG16" s="652">
        <v>749.59999999999991</v>
      </c>
      <c r="AH16" s="645">
        <v>14.89074294795391</v>
      </c>
      <c r="AI16" s="652">
        <v>748.1</v>
      </c>
      <c r="AJ16" s="646">
        <v>14.860945570123162</v>
      </c>
      <c r="AK16" s="649">
        <v>849.1</v>
      </c>
      <c r="AL16" s="646">
        <v>16.867302344060388</v>
      </c>
      <c r="AM16" s="645"/>
    </row>
    <row r="17" spans="1:39" ht="36.75" customHeight="1" thickTop="1" thickBot="1">
      <c r="A17" s="760" t="s">
        <v>806</v>
      </c>
      <c r="B17" s="761"/>
      <c r="C17" s="762"/>
      <c r="D17" s="646"/>
      <c r="E17" s="646"/>
      <c r="F17" s="646"/>
      <c r="G17" s="646"/>
      <c r="H17" s="646">
        <v>177.95000000000002</v>
      </c>
      <c r="I17" s="646"/>
      <c r="J17" s="649">
        <v>269.02999999999997</v>
      </c>
      <c r="K17" s="646">
        <v>1.5118291654959255</v>
      </c>
      <c r="L17" s="649">
        <v>849.23499999999979</v>
      </c>
      <c r="M17" s="642">
        <v>4.7723236864287708</v>
      </c>
      <c r="N17" s="649">
        <v>845.11500000000001</v>
      </c>
      <c r="O17" s="646">
        <v>4.7491711154818761</v>
      </c>
      <c r="P17" s="649">
        <v>880.31499999999994</v>
      </c>
      <c r="Q17" s="646">
        <v>4.9469794886203982</v>
      </c>
      <c r="R17" s="646" t="s">
        <v>804</v>
      </c>
      <c r="S17" s="649">
        <v>1200.1000000000001</v>
      </c>
      <c r="T17" s="646">
        <v>6.7440292216914868</v>
      </c>
      <c r="U17" s="652">
        <v>1848.8500000000001</v>
      </c>
      <c r="V17" s="645">
        <v>10.389716212419218</v>
      </c>
      <c r="W17" s="652">
        <v>2441.1000000000004</v>
      </c>
      <c r="X17" s="645">
        <v>13.717898286035403</v>
      </c>
      <c r="Y17" s="652">
        <v>2735.75</v>
      </c>
      <c r="Z17" s="645">
        <v>15.373700477662263</v>
      </c>
      <c r="AA17" s="652">
        <v>2990.5</v>
      </c>
      <c r="AB17" s="645">
        <v>16.805282382691765</v>
      </c>
      <c r="AC17" s="652">
        <v>2452.9</v>
      </c>
      <c r="AD17" s="645">
        <v>13.784209047485248</v>
      </c>
      <c r="AE17" s="652">
        <v>3250.15</v>
      </c>
      <c r="AF17" s="645">
        <v>18.264400112391119</v>
      </c>
      <c r="AG17" s="652">
        <v>2907.25</v>
      </c>
      <c r="AH17" s="645">
        <v>16.337454341107051</v>
      </c>
      <c r="AI17" s="652">
        <v>3201.85</v>
      </c>
      <c r="AJ17" s="646">
        <v>17.992975554931157</v>
      </c>
      <c r="AK17" s="649">
        <v>3143</v>
      </c>
      <c r="AL17" s="646">
        <v>17.662264681090193</v>
      </c>
      <c r="AM17" s="645"/>
    </row>
    <row r="18" spans="1:39" ht="36.75" customHeight="1" thickTop="1" thickBot="1">
      <c r="A18" s="763" t="s">
        <v>766</v>
      </c>
      <c r="B18" s="763"/>
      <c r="C18" s="763"/>
      <c r="D18" s="763"/>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row>
    <row r="19" spans="1:39" ht="36.75" customHeight="1" thickTop="1" thickBot="1">
      <c r="A19" s="756" t="s">
        <v>802</v>
      </c>
      <c r="B19" s="757"/>
      <c r="C19" s="758"/>
      <c r="D19" s="646"/>
      <c r="E19" s="646"/>
      <c r="F19" s="646"/>
      <c r="G19" s="646"/>
      <c r="H19" s="642">
        <v>10.8</v>
      </c>
      <c r="I19" s="646"/>
      <c r="J19" s="647">
        <v>16.242000000000001</v>
      </c>
      <c r="K19" s="646"/>
      <c r="L19" s="647">
        <v>17.963000000000001</v>
      </c>
      <c r="M19" s="642"/>
      <c r="N19" s="647">
        <v>25.052999999999997</v>
      </c>
      <c r="O19" s="646"/>
      <c r="P19" s="647">
        <v>4.5410000000000004</v>
      </c>
      <c r="Q19" s="646"/>
      <c r="R19" s="646"/>
      <c r="S19" s="686">
        <v>21.299999999999997</v>
      </c>
      <c r="T19" s="646"/>
      <c r="U19" s="686">
        <v>21.299999999999997</v>
      </c>
      <c r="V19" s="645"/>
      <c r="W19" s="689">
        <v>25.999999999999996</v>
      </c>
      <c r="X19" s="645"/>
      <c r="Y19" s="689">
        <v>44.8</v>
      </c>
      <c r="Z19" s="645"/>
      <c r="AA19" s="689">
        <v>70.8</v>
      </c>
      <c r="AB19" s="645"/>
      <c r="AC19" s="689">
        <v>81.2</v>
      </c>
      <c r="AD19" s="645"/>
      <c r="AE19" s="689">
        <v>73.8</v>
      </c>
      <c r="AF19" s="645"/>
      <c r="AG19" s="689">
        <v>96.8</v>
      </c>
      <c r="AH19" s="645"/>
      <c r="AI19" s="689">
        <v>70.8</v>
      </c>
      <c r="AJ19" s="646"/>
      <c r="AK19" s="647">
        <v>96.8</v>
      </c>
      <c r="AL19" s="646"/>
      <c r="AM19" s="645"/>
    </row>
    <row r="20" spans="1:39" ht="36.75" customHeight="1" thickTop="1" thickBot="1">
      <c r="A20" s="756" t="s">
        <v>803</v>
      </c>
      <c r="B20" s="757"/>
      <c r="C20" s="758"/>
      <c r="D20" s="646"/>
      <c r="E20" s="646"/>
      <c r="F20" s="646"/>
      <c r="G20" s="646"/>
      <c r="H20" s="642">
        <v>23.400000000000002</v>
      </c>
      <c r="I20" s="646"/>
      <c r="J20" s="647">
        <v>5.04</v>
      </c>
      <c r="K20" s="646"/>
      <c r="L20" s="647">
        <v>94.12</v>
      </c>
      <c r="M20" s="642"/>
      <c r="N20" s="647">
        <v>277.17399999999998</v>
      </c>
      <c r="O20" s="646"/>
      <c r="P20" s="647">
        <v>174.82499999999999</v>
      </c>
      <c r="Q20" s="646"/>
      <c r="R20" s="646"/>
      <c r="S20" s="686">
        <v>235</v>
      </c>
      <c r="T20" s="646"/>
      <c r="U20" s="686">
        <v>305</v>
      </c>
      <c r="V20" s="645"/>
      <c r="W20" s="689">
        <v>349.3</v>
      </c>
      <c r="X20" s="645"/>
      <c r="Y20" s="689">
        <v>412.5</v>
      </c>
      <c r="Z20" s="645"/>
      <c r="AA20" s="689">
        <v>434</v>
      </c>
      <c r="AB20" s="645"/>
      <c r="AC20" s="689">
        <v>418.5</v>
      </c>
      <c r="AD20" s="645"/>
      <c r="AE20" s="689">
        <v>511.5</v>
      </c>
      <c r="AF20" s="645"/>
      <c r="AG20" s="689">
        <v>440</v>
      </c>
      <c r="AH20" s="645"/>
      <c r="AI20" s="689">
        <v>495.5</v>
      </c>
      <c r="AJ20" s="646"/>
      <c r="AK20" s="647">
        <v>372.5</v>
      </c>
      <c r="AL20" s="646"/>
      <c r="AM20" s="645"/>
    </row>
    <row r="21" spans="1:39" ht="36.75" customHeight="1" thickTop="1" thickBot="1">
      <c r="A21" s="756" t="s">
        <v>805</v>
      </c>
      <c r="B21" s="757"/>
      <c r="C21" s="758"/>
      <c r="D21" s="646"/>
      <c r="E21" s="646"/>
      <c r="F21" s="646"/>
      <c r="G21" s="646"/>
      <c r="H21" s="646">
        <v>50.34</v>
      </c>
      <c r="I21" s="646"/>
      <c r="J21" s="649">
        <v>0</v>
      </c>
      <c r="K21" s="646"/>
      <c r="L21" s="649">
        <v>99.456000000000003</v>
      </c>
      <c r="M21" s="642"/>
      <c r="N21" s="649">
        <v>144.654</v>
      </c>
      <c r="O21" s="646"/>
      <c r="P21" s="649">
        <v>111.79599999999999</v>
      </c>
      <c r="Q21" s="646"/>
      <c r="R21" s="646" t="s">
        <v>804</v>
      </c>
      <c r="S21" s="687">
        <v>316.99999999999994</v>
      </c>
      <c r="T21" s="646"/>
      <c r="U21" s="687">
        <v>499.64</v>
      </c>
      <c r="V21" s="645"/>
      <c r="W21" s="690">
        <v>633.79999999999995</v>
      </c>
      <c r="X21" s="645"/>
      <c r="Y21" s="690">
        <v>816.59999999999991</v>
      </c>
      <c r="Z21" s="645"/>
      <c r="AA21" s="690">
        <v>834.59999999999991</v>
      </c>
      <c r="AB21" s="645"/>
      <c r="AC21" s="690">
        <v>609.5</v>
      </c>
      <c r="AD21" s="645"/>
      <c r="AE21" s="690">
        <v>919.69999999999993</v>
      </c>
      <c r="AF21" s="645"/>
      <c r="AG21" s="690">
        <v>749.59999999999991</v>
      </c>
      <c r="AH21" s="645"/>
      <c r="AI21" s="690">
        <v>748.1</v>
      </c>
      <c r="AJ21" s="646"/>
      <c r="AK21" s="649">
        <v>849.1</v>
      </c>
      <c r="AL21" s="646"/>
      <c r="AM21" s="645"/>
    </row>
    <row r="22" spans="1:39" ht="36.75" customHeight="1" thickTop="1" thickBot="1">
      <c r="A22" s="756" t="s">
        <v>806</v>
      </c>
      <c r="B22" s="757"/>
      <c r="C22" s="758"/>
      <c r="D22" s="646"/>
      <c r="E22" s="646"/>
      <c r="F22" s="646"/>
      <c r="G22" s="646"/>
      <c r="H22" s="642">
        <v>1027.1299999999999</v>
      </c>
      <c r="I22" s="646"/>
      <c r="J22" s="647">
        <f>J17+J12</f>
        <v>10014.166000000001</v>
      </c>
      <c r="K22" s="646"/>
      <c r="L22" s="647">
        <f>L17+L12</f>
        <v>12285.419</v>
      </c>
      <c r="M22" s="642"/>
      <c r="N22" s="647">
        <f>N17+N12</f>
        <v>19776.334999999999</v>
      </c>
      <c r="O22" s="646"/>
      <c r="P22" s="647">
        <f>P17+P12</f>
        <v>9268.1860000000015</v>
      </c>
      <c r="Q22" s="646"/>
      <c r="R22" s="646"/>
      <c r="S22" s="686">
        <f>S7+S17</f>
        <v>16090.66</v>
      </c>
      <c r="T22" s="646"/>
      <c r="U22" s="686">
        <f>U7+U17</f>
        <v>17715.7</v>
      </c>
      <c r="V22" s="645"/>
      <c r="W22" s="686">
        <f>W7+W17</f>
        <v>18051.080000000002</v>
      </c>
      <c r="X22" s="645"/>
      <c r="Y22" s="686">
        <f>Y7+Y17</f>
        <v>14332.3</v>
      </c>
      <c r="Z22" s="645"/>
      <c r="AA22" s="686">
        <f>AA7+AA17</f>
        <v>17250.16</v>
      </c>
      <c r="AB22" s="645"/>
      <c r="AC22" s="686">
        <f>AC7+AC17</f>
        <v>13263.82</v>
      </c>
      <c r="AD22" s="645"/>
      <c r="AE22" s="686">
        <f>AE7+AE17</f>
        <v>16117.949999999999</v>
      </c>
      <c r="AF22" s="645"/>
      <c r="AG22" s="686">
        <f>AG7+AG17</f>
        <v>12369.45</v>
      </c>
      <c r="AH22" s="645"/>
      <c r="AI22" s="686">
        <f>AI7+AI17</f>
        <v>14253.960000000001</v>
      </c>
      <c r="AJ22" s="646"/>
      <c r="AK22" s="647">
        <f>AK7+AK17</f>
        <v>9489.7200000000012</v>
      </c>
      <c r="AL22" s="646"/>
      <c r="AM22" s="645"/>
    </row>
    <row r="23" spans="1:39" ht="16" thickTop="1"/>
  </sheetData>
  <mergeCells count="31">
    <mergeCell ref="A1:AM1"/>
    <mergeCell ref="A2:AM2"/>
    <mergeCell ref="H3:H4"/>
    <mergeCell ref="J3:J4"/>
    <mergeCell ref="K3:K4"/>
    <mergeCell ref="L3:L4"/>
    <mergeCell ref="M3:M4"/>
    <mergeCell ref="N3:N4"/>
    <mergeCell ref="O3:O4"/>
    <mergeCell ref="A12:C12"/>
    <mergeCell ref="P3:P4"/>
    <mergeCell ref="Q3:Q4"/>
    <mergeCell ref="R3:R4"/>
    <mergeCell ref="S3:AM3"/>
    <mergeCell ref="A5:C5"/>
    <mergeCell ref="A6:C6"/>
    <mergeCell ref="A7:C7"/>
    <mergeCell ref="A8:AM8"/>
    <mergeCell ref="A9:C9"/>
    <mergeCell ref="A10:C10"/>
    <mergeCell ref="A11:C11"/>
    <mergeCell ref="A19:C19"/>
    <mergeCell ref="A20:C20"/>
    <mergeCell ref="A21:C21"/>
    <mergeCell ref="A22:C22"/>
    <mergeCell ref="A13:AM13"/>
    <mergeCell ref="A14:C14"/>
    <mergeCell ref="A15:C15"/>
    <mergeCell ref="A16:C16"/>
    <mergeCell ref="A17:C17"/>
    <mergeCell ref="A18:AM18"/>
  </mergeCells>
  <pageMargins left="0.7" right="0.7" top="0.75" bottom="0.75" header="0.3" footer="0.3"/>
  <pageSetup paperSize="9" scale="49" fitToWidth="2"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9E038-57B0-4E1A-BC50-A03B44371C98}">
  <sheetPr>
    <pageSetUpPr fitToPage="1"/>
  </sheetPr>
  <dimension ref="A1:AK97"/>
  <sheetViews>
    <sheetView zoomScale="70" zoomScaleNormal="70" workbookViewId="0">
      <selection activeCell="I109" sqref="I109"/>
    </sheetView>
  </sheetViews>
  <sheetFormatPr baseColWidth="10" defaultColWidth="8.83203125" defaultRowHeight="15"/>
  <cols>
    <col min="1" max="1" width="7.1640625" style="629" customWidth="1"/>
    <col min="2" max="2" width="16.1640625" style="629" customWidth="1"/>
    <col min="3" max="3" width="13.33203125" style="629" customWidth="1"/>
    <col min="4" max="4" width="10.1640625" style="629" customWidth="1"/>
    <col min="5" max="5" width="9.33203125" style="629" bestFit="1" customWidth="1"/>
    <col min="6" max="6" width="10.83203125" style="629" bestFit="1" customWidth="1"/>
    <col min="7" max="7" width="9.33203125" style="629" bestFit="1" customWidth="1"/>
    <col min="8" max="8" width="10.33203125" style="629" customWidth="1"/>
    <col min="9" max="9" width="8.5" style="629" customWidth="1"/>
    <col min="10" max="10" width="16.1640625" style="629" bestFit="1" customWidth="1"/>
    <col min="11" max="11" width="7.83203125" style="629" customWidth="1"/>
    <col min="12" max="12" width="16.1640625" style="629" bestFit="1" customWidth="1"/>
    <col min="13" max="13" width="9.5" style="629" customWidth="1"/>
    <col min="14" max="14" width="14.1640625" style="629" bestFit="1" customWidth="1"/>
    <col min="15" max="16" width="9.1640625" style="629" customWidth="1"/>
    <col min="17" max="17" width="12.5" style="629" bestFit="1" customWidth="1"/>
    <col min="18" max="18" width="7.83203125" style="629" customWidth="1"/>
    <col min="19" max="19" width="12.5" style="629" bestFit="1" customWidth="1"/>
    <col min="20" max="20" width="7.83203125" style="629" customWidth="1"/>
    <col min="21" max="21" width="12.5" style="629" bestFit="1" customWidth="1"/>
    <col min="22" max="22" width="9.1640625" style="629" customWidth="1"/>
    <col min="23" max="23" width="10.1640625" style="629" customWidth="1"/>
    <col min="24" max="25" width="9.5" style="629" customWidth="1"/>
    <col min="26" max="26" width="9.1640625" style="629" customWidth="1"/>
    <col min="27" max="27" width="9.5" style="629" customWidth="1"/>
    <col min="28" max="28" width="8.83203125" style="629" customWidth="1"/>
    <col min="29" max="29" width="9.5" style="629" customWidth="1"/>
    <col min="30" max="30" width="8.1640625" style="629" customWidth="1"/>
    <col min="31" max="31" width="14.1640625" style="629" bestFit="1" customWidth="1"/>
    <col min="32" max="32" width="8.83203125" style="629" customWidth="1"/>
    <col min="33" max="33" width="12.5" style="629" bestFit="1" customWidth="1"/>
    <col min="34" max="34" width="8.33203125" style="629" customWidth="1"/>
    <col min="35" max="35" width="14.1640625" style="629" bestFit="1" customWidth="1"/>
    <col min="36" max="36" width="7.83203125" style="629" customWidth="1"/>
    <col min="37" max="37" width="9.33203125" style="629" bestFit="1" customWidth="1"/>
    <col min="38" max="16384" width="8.83203125" style="629"/>
  </cols>
  <sheetData>
    <row r="1" spans="1:37" ht="33.75" customHeight="1" thickBot="1">
      <c r="A1" s="784" t="s">
        <v>338</v>
      </c>
      <c r="B1" s="784"/>
      <c r="C1" s="784"/>
      <c r="D1" s="784"/>
      <c r="E1" s="784"/>
      <c r="F1" s="784"/>
      <c r="G1" s="784"/>
      <c r="H1" s="784"/>
      <c r="I1" s="784"/>
      <c r="J1" s="784"/>
      <c r="K1" s="784"/>
      <c r="L1" s="784"/>
      <c r="M1" s="784"/>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7" thickBot="1">
      <c r="A2" s="785" t="s">
        <v>830</v>
      </c>
      <c r="B2" s="785" t="s">
        <v>182</v>
      </c>
      <c r="C2" s="785" t="s">
        <v>183</v>
      </c>
      <c r="D2" s="785" t="s">
        <v>829</v>
      </c>
      <c r="E2" s="785" t="s">
        <v>184</v>
      </c>
      <c r="F2" s="785" t="s">
        <v>828</v>
      </c>
      <c r="G2" s="785" t="s">
        <v>187</v>
      </c>
      <c r="H2" s="783" t="s">
        <v>189</v>
      </c>
      <c r="I2" s="782" t="s">
        <v>190</v>
      </c>
      <c r="J2" s="783" t="s">
        <v>191</v>
      </c>
      <c r="K2" s="786" t="s">
        <v>192</v>
      </c>
      <c r="L2" s="783" t="s">
        <v>193</v>
      </c>
      <c r="M2" s="786" t="s">
        <v>194</v>
      </c>
      <c r="N2" s="783" t="s">
        <v>769</v>
      </c>
      <c r="O2" s="786" t="s">
        <v>770</v>
      </c>
      <c r="P2" s="782" t="s">
        <v>771</v>
      </c>
      <c r="Q2" s="787" t="s">
        <v>772</v>
      </c>
      <c r="R2" s="782"/>
      <c r="S2" s="787"/>
      <c r="T2" s="782"/>
      <c r="U2" s="787"/>
      <c r="V2" s="782"/>
      <c r="W2" s="787"/>
      <c r="X2" s="782"/>
      <c r="Y2" s="787"/>
      <c r="Z2" s="782"/>
      <c r="AA2" s="787"/>
      <c r="AB2" s="782"/>
      <c r="AC2" s="787"/>
      <c r="AD2" s="782"/>
      <c r="AE2" s="787"/>
      <c r="AF2" s="782"/>
      <c r="AG2" s="787"/>
      <c r="AH2" s="782"/>
      <c r="AI2" s="787"/>
      <c r="AJ2" s="782"/>
      <c r="AK2" s="787"/>
    </row>
    <row r="3" spans="1:37" ht="69" thickBot="1">
      <c r="A3" s="785"/>
      <c r="B3" s="785"/>
      <c r="C3" s="785"/>
      <c r="D3" s="785"/>
      <c r="E3" s="785"/>
      <c r="F3" s="785"/>
      <c r="G3" s="785"/>
      <c r="H3" s="783"/>
      <c r="I3" s="782"/>
      <c r="J3" s="783"/>
      <c r="K3" s="786"/>
      <c r="L3" s="783"/>
      <c r="M3" s="786"/>
      <c r="N3" s="783"/>
      <c r="O3" s="786"/>
      <c r="P3" s="782"/>
      <c r="Q3" s="685" t="s">
        <v>773</v>
      </c>
      <c r="R3" s="684" t="s">
        <v>774</v>
      </c>
      <c r="S3" s="685" t="s">
        <v>775</v>
      </c>
      <c r="T3" s="684" t="s">
        <v>776</v>
      </c>
      <c r="U3" s="685" t="s">
        <v>777</v>
      </c>
      <c r="V3" s="684" t="s">
        <v>778</v>
      </c>
      <c r="W3" s="685" t="s">
        <v>779</v>
      </c>
      <c r="X3" s="684" t="s">
        <v>780</v>
      </c>
      <c r="Y3" s="685" t="s">
        <v>781</v>
      </c>
      <c r="Z3" s="684" t="s">
        <v>782</v>
      </c>
      <c r="AA3" s="685" t="s">
        <v>783</v>
      </c>
      <c r="AB3" s="684" t="s">
        <v>784</v>
      </c>
      <c r="AC3" s="685" t="s">
        <v>785</v>
      </c>
      <c r="AD3" s="684" t="s">
        <v>786</v>
      </c>
      <c r="AE3" s="685" t="s">
        <v>787</v>
      </c>
      <c r="AF3" s="684" t="s">
        <v>788</v>
      </c>
      <c r="AG3" s="685" t="s">
        <v>789</v>
      </c>
      <c r="AH3" s="684" t="s">
        <v>790</v>
      </c>
      <c r="AI3" s="685" t="s">
        <v>791</v>
      </c>
      <c r="AJ3" s="684" t="s">
        <v>792</v>
      </c>
      <c r="AK3" s="684" t="s">
        <v>793</v>
      </c>
    </row>
    <row r="4" spans="1:37" ht="39.75" hidden="1" customHeight="1" thickBot="1">
      <c r="A4" s="793" t="s">
        <v>812</v>
      </c>
      <c r="B4" s="680" t="s">
        <v>93</v>
      </c>
      <c r="C4" s="680" t="s">
        <v>815</v>
      </c>
      <c r="D4" s="788" t="s">
        <v>821</v>
      </c>
      <c r="E4" s="680">
        <v>2006</v>
      </c>
      <c r="F4" s="680">
        <v>4.3</v>
      </c>
      <c r="G4" s="680" t="s">
        <v>822</v>
      </c>
      <c r="H4" s="634">
        <f>I4*F4</f>
        <v>242.08999999999997</v>
      </c>
      <c r="I4" s="680">
        <v>56.3</v>
      </c>
      <c r="J4" s="634">
        <f>K4*F4</f>
        <v>42.655999999999999</v>
      </c>
      <c r="K4" s="680">
        <v>9.92</v>
      </c>
      <c r="L4" s="634">
        <f>M4*F4</f>
        <v>250.68999999999997</v>
      </c>
      <c r="M4" s="680">
        <v>58.3</v>
      </c>
      <c r="N4" s="634">
        <f>O4*F4</f>
        <v>3.01</v>
      </c>
      <c r="O4" s="680">
        <v>0.7</v>
      </c>
      <c r="P4" s="654">
        <f>AVERAGE(I4,K4,M4,O4)</f>
        <v>31.305</v>
      </c>
      <c r="Q4" s="634">
        <f>R4*F4</f>
        <v>64.5</v>
      </c>
      <c r="R4" s="680">
        <v>15</v>
      </c>
      <c r="S4" s="634">
        <f>F4*T4</f>
        <v>43</v>
      </c>
      <c r="T4" s="680">
        <v>10</v>
      </c>
      <c r="U4" s="634">
        <f>F4*V4</f>
        <v>133.29999999999998</v>
      </c>
      <c r="V4" s="680">
        <v>31</v>
      </c>
      <c r="W4" s="634">
        <f>X4*F4</f>
        <v>64.5</v>
      </c>
      <c r="X4" s="676">
        <v>15</v>
      </c>
      <c r="Y4" s="634">
        <f>Z4*F4</f>
        <v>86</v>
      </c>
      <c r="Z4" s="676">
        <v>20</v>
      </c>
      <c r="AA4" s="634">
        <f>AB4*F4</f>
        <v>43</v>
      </c>
      <c r="AB4" s="676">
        <v>10</v>
      </c>
      <c r="AC4" s="634">
        <f>AD4*F4</f>
        <v>64.5</v>
      </c>
      <c r="AD4" s="676">
        <v>15</v>
      </c>
      <c r="AE4" s="634">
        <f>AF4*F4</f>
        <v>43</v>
      </c>
      <c r="AF4" s="676">
        <v>10</v>
      </c>
      <c r="AG4" s="634">
        <f>AH4*F4</f>
        <v>64.5</v>
      </c>
      <c r="AH4" s="676">
        <v>15</v>
      </c>
      <c r="AI4" s="679">
        <f>AJ4*F4</f>
        <v>64.5</v>
      </c>
      <c r="AJ4" s="676">
        <v>15</v>
      </c>
      <c r="AK4" s="683">
        <f>AVERAGE(R4,T4,V4,X4,Z4,AB4,AD4,AF4,AH4,AJ4)</f>
        <v>15.6</v>
      </c>
    </row>
    <row r="5" spans="1:37" ht="39.75" hidden="1" customHeight="1" thickBot="1">
      <c r="A5" s="791"/>
      <c r="B5" s="674" t="s">
        <v>91</v>
      </c>
      <c r="C5" s="674" t="s">
        <v>815</v>
      </c>
      <c r="D5" s="790"/>
      <c r="E5" s="674">
        <v>2006</v>
      </c>
      <c r="F5" s="674">
        <v>1.7</v>
      </c>
      <c r="G5" s="674" t="s">
        <v>822</v>
      </c>
      <c r="H5" s="673">
        <f>I5*F5</f>
        <v>72.759999999999991</v>
      </c>
      <c r="I5" s="674">
        <v>42.8</v>
      </c>
      <c r="J5" s="673">
        <f>K5*F5</f>
        <v>37.4</v>
      </c>
      <c r="K5" s="674">
        <v>22</v>
      </c>
      <c r="L5" s="673">
        <f>M5*F5</f>
        <v>73.44</v>
      </c>
      <c r="M5" s="674">
        <v>43.2</v>
      </c>
      <c r="N5" s="673">
        <f>O5*F5</f>
        <v>5.7799999999999994</v>
      </c>
      <c r="O5" s="674">
        <v>3.4</v>
      </c>
      <c r="P5" s="675">
        <f>AVERAGE(I5,K5,M5,O5)</f>
        <v>27.85</v>
      </c>
      <c r="Q5" s="673">
        <f>R5*F5</f>
        <v>51</v>
      </c>
      <c r="R5" s="674">
        <v>30</v>
      </c>
      <c r="S5" s="673">
        <f>F5*T5</f>
        <v>34</v>
      </c>
      <c r="T5" s="674">
        <v>20</v>
      </c>
      <c r="U5" s="673">
        <f>F5*V5</f>
        <v>45.9</v>
      </c>
      <c r="V5" s="674">
        <v>27</v>
      </c>
      <c r="W5" s="673">
        <f>X5*F5</f>
        <v>17</v>
      </c>
      <c r="X5" s="671">
        <v>10</v>
      </c>
      <c r="Y5" s="673">
        <f>Z5*F5</f>
        <v>34</v>
      </c>
      <c r="Z5" s="671">
        <v>20</v>
      </c>
      <c r="AA5" s="673">
        <f>AB5*F5</f>
        <v>17</v>
      </c>
      <c r="AB5" s="671">
        <v>10</v>
      </c>
      <c r="AC5" s="673">
        <f>AD5*F5</f>
        <v>34</v>
      </c>
      <c r="AD5" s="671">
        <v>20</v>
      </c>
      <c r="AE5" s="673">
        <f>AF5*F5</f>
        <v>17</v>
      </c>
      <c r="AF5" s="671">
        <v>10</v>
      </c>
      <c r="AG5" s="673">
        <f>AH5*F5</f>
        <v>42.5</v>
      </c>
      <c r="AH5" s="671">
        <v>25</v>
      </c>
      <c r="AI5" s="672">
        <f>AJ5*F5</f>
        <v>34</v>
      </c>
      <c r="AJ5" s="671">
        <v>20</v>
      </c>
      <c r="AK5" s="670">
        <f>AVERAGE(R5,T5,V5,X5,Z5,AB5,AD5,AF5,AH5,AJ5)</f>
        <v>19.2</v>
      </c>
    </row>
    <row r="6" spans="1:37" ht="39.75" hidden="1" customHeight="1" thickTop="1" thickBot="1">
      <c r="A6" s="792"/>
      <c r="B6" s="657" t="s">
        <v>176</v>
      </c>
      <c r="C6" s="657"/>
      <c r="D6" s="657"/>
      <c r="E6" s="657"/>
      <c r="F6" s="657">
        <v>6</v>
      </c>
      <c r="G6" s="657" t="s">
        <v>822</v>
      </c>
      <c r="H6" s="658">
        <f>SUM(H4:H5)</f>
        <v>314.84999999999997</v>
      </c>
      <c r="I6" s="659">
        <f>H6/F6</f>
        <v>52.474999999999994</v>
      </c>
      <c r="J6" s="658">
        <f>SUM(J4:J5)</f>
        <v>80.055999999999997</v>
      </c>
      <c r="K6" s="659">
        <f>J6/F6</f>
        <v>13.342666666666666</v>
      </c>
      <c r="L6" s="658">
        <f>SUM(L4:L5)</f>
        <v>324.13</v>
      </c>
      <c r="M6" s="659">
        <f>L6/F6</f>
        <v>54.021666666666668</v>
      </c>
      <c r="N6" s="658">
        <f>SUM(N4:N5)</f>
        <v>8.7899999999999991</v>
      </c>
      <c r="O6" s="659">
        <f>N6/F6</f>
        <v>1.4649999999999999</v>
      </c>
      <c r="P6" s="659"/>
      <c r="Q6" s="658">
        <f>SUM(Q4:Q5)</f>
        <v>115.5</v>
      </c>
      <c r="R6" s="659">
        <f>Q6/F6</f>
        <v>19.25</v>
      </c>
      <c r="S6" s="658">
        <f>SUM(S4:S5)</f>
        <v>77</v>
      </c>
      <c r="T6" s="659">
        <f>S6/F6</f>
        <v>12.833333333333334</v>
      </c>
      <c r="U6" s="658">
        <f>SUM(U4:U5)</f>
        <v>179.2</v>
      </c>
      <c r="V6" s="657">
        <f>U6/F6</f>
        <v>29.866666666666664</v>
      </c>
      <c r="W6" s="658">
        <f>SUM(W4:W5)</f>
        <v>81.5</v>
      </c>
      <c r="X6" s="657">
        <f>W6/F6</f>
        <v>13.583333333333334</v>
      </c>
      <c r="Y6" s="658">
        <f>SUM(Y4:Y5)</f>
        <v>120</v>
      </c>
      <c r="Z6" s="657">
        <f>Y6/F6</f>
        <v>20</v>
      </c>
      <c r="AA6" s="658">
        <f>SUM(AA4:AA5)</f>
        <v>60</v>
      </c>
      <c r="AB6" s="657">
        <f>AA6/F6</f>
        <v>10</v>
      </c>
      <c r="AC6" s="658">
        <f>SUM(AC4:AC5)</f>
        <v>98.5</v>
      </c>
      <c r="AD6" s="657">
        <f>AC6/F6</f>
        <v>16.416666666666668</v>
      </c>
      <c r="AE6" s="658">
        <f>SUM(AE4:AE5)</f>
        <v>60</v>
      </c>
      <c r="AF6" s="657">
        <f>AE6/F6</f>
        <v>10</v>
      </c>
      <c r="AG6" s="658">
        <f>SUM(AG4:AG5)</f>
        <v>107</v>
      </c>
      <c r="AH6" s="657">
        <f>AG6/F6</f>
        <v>17.833333333333332</v>
      </c>
      <c r="AI6" s="658">
        <f>SUM(AI4:AI5)</f>
        <v>98.5</v>
      </c>
      <c r="AJ6" s="657">
        <f>AI6/F6</f>
        <v>16.416666666666668</v>
      </c>
      <c r="AK6" s="670"/>
    </row>
    <row r="7" spans="1:37" ht="39.75" hidden="1" customHeight="1" thickTop="1" thickBot="1">
      <c r="A7" s="791"/>
      <c r="B7" s="680" t="s">
        <v>93</v>
      </c>
      <c r="C7" s="680" t="s">
        <v>815</v>
      </c>
      <c r="D7" s="788" t="s">
        <v>814</v>
      </c>
      <c r="E7" s="680">
        <v>2007</v>
      </c>
      <c r="F7" s="680">
        <v>6.5</v>
      </c>
      <c r="G7" s="680" t="s">
        <v>827</v>
      </c>
      <c r="H7" s="634">
        <f>I7*F7</f>
        <v>46.734999999999999</v>
      </c>
      <c r="I7" s="680">
        <v>7.19</v>
      </c>
      <c r="J7" s="634">
        <f>K7*F7</f>
        <v>192.4</v>
      </c>
      <c r="K7" s="680">
        <v>29.6</v>
      </c>
      <c r="L7" s="634">
        <f>M7*F7</f>
        <v>179.4</v>
      </c>
      <c r="M7" s="680">
        <v>27.6</v>
      </c>
      <c r="N7" s="634">
        <f>O7*F7</f>
        <v>296.40000000000003</v>
      </c>
      <c r="O7" s="680">
        <v>45.6</v>
      </c>
      <c r="P7" s="654">
        <f>AVERAGE(I7,K7,M7,O7)</f>
        <v>27.497500000000002</v>
      </c>
      <c r="Q7" s="634">
        <f>F7*R7</f>
        <v>65</v>
      </c>
      <c r="R7" s="680">
        <v>10</v>
      </c>
      <c r="S7" s="634">
        <f>F7*T7</f>
        <v>65</v>
      </c>
      <c r="T7" s="680">
        <v>10</v>
      </c>
      <c r="U7" s="634">
        <f>F7*V7</f>
        <v>175.5</v>
      </c>
      <c r="V7" s="680">
        <v>27</v>
      </c>
      <c r="W7" s="634">
        <f>X7*F7</f>
        <v>65</v>
      </c>
      <c r="X7" s="676">
        <v>10</v>
      </c>
      <c r="Y7" s="634">
        <f>Z7*F7</f>
        <v>97.5</v>
      </c>
      <c r="Z7" s="676">
        <v>15</v>
      </c>
      <c r="AA7" s="634">
        <f>AB7*F7</f>
        <v>65</v>
      </c>
      <c r="AB7" s="676">
        <v>10</v>
      </c>
      <c r="AC7" s="634">
        <f>AD7*F7</f>
        <v>97.5</v>
      </c>
      <c r="AD7" s="676">
        <v>15</v>
      </c>
      <c r="AE7" s="634">
        <f>AF7*F7</f>
        <v>65</v>
      </c>
      <c r="AF7" s="676">
        <v>10</v>
      </c>
      <c r="AG7" s="634">
        <f>AH7*F7</f>
        <v>97.5</v>
      </c>
      <c r="AH7" s="676">
        <v>15</v>
      </c>
      <c r="AI7" s="679">
        <f>AJ7*F7</f>
        <v>65</v>
      </c>
      <c r="AJ7" s="676">
        <v>10</v>
      </c>
      <c r="AK7" s="670">
        <f>AVERAGE(R7,T7,V7,X7,Z7,AB7,AD7,AF7,AH7,AJ7)</f>
        <v>13.2</v>
      </c>
    </row>
    <row r="8" spans="1:37" ht="39.75" hidden="1" customHeight="1" thickBot="1">
      <c r="A8" s="791"/>
      <c r="B8" s="668" t="s">
        <v>91</v>
      </c>
      <c r="C8" s="668" t="s">
        <v>815</v>
      </c>
      <c r="D8" s="789"/>
      <c r="E8" s="668">
        <v>2007</v>
      </c>
      <c r="F8" s="668">
        <v>2</v>
      </c>
      <c r="G8" s="668" t="s">
        <v>827</v>
      </c>
      <c r="H8" s="678">
        <f>I8*F8</f>
        <v>33.799999999999997</v>
      </c>
      <c r="I8" s="668">
        <v>16.899999999999999</v>
      </c>
      <c r="J8" s="678">
        <f>K8*F8</f>
        <v>36.799999999999997</v>
      </c>
      <c r="K8" s="668">
        <v>18.399999999999999</v>
      </c>
      <c r="L8" s="678">
        <f>M8*F8</f>
        <v>22.4</v>
      </c>
      <c r="M8" s="668">
        <v>11.2</v>
      </c>
      <c r="N8" s="678">
        <f>O8*F8</f>
        <v>43.6</v>
      </c>
      <c r="O8" s="668">
        <v>21.8</v>
      </c>
      <c r="P8" s="655">
        <f>AVERAGE(I8,K8,M8,O8)</f>
        <v>17.074999999999999</v>
      </c>
      <c r="Q8" s="678">
        <f>F8*R8</f>
        <v>40</v>
      </c>
      <c r="R8" s="668">
        <v>20</v>
      </c>
      <c r="S8" s="678">
        <f>F8*T8</f>
        <v>20</v>
      </c>
      <c r="T8" s="668">
        <v>10</v>
      </c>
      <c r="U8" s="678">
        <f>F8*V8</f>
        <v>20</v>
      </c>
      <c r="V8" s="668">
        <v>10</v>
      </c>
      <c r="W8" s="678">
        <f>X8*F8</f>
        <v>30</v>
      </c>
      <c r="X8" s="676">
        <v>15</v>
      </c>
      <c r="Y8" s="678">
        <f>Z8*F8</f>
        <v>20</v>
      </c>
      <c r="Z8" s="676">
        <v>10</v>
      </c>
      <c r="AA8" s="678">
        <f>AB8*F8</f>
        <v>30</v>
      </c>
      <c r="AB8" s="676">
        <v>15</v>
      </c>
      <c r="AC8" s="678">
        <f>AD8*F8</f>
        <v>20</v>
      </c>
      <c r="AD8" s="676">
        <v>10</v>
      </c>
      <c r="AE8" s="678">
        <f>AF8*F8</f>
        <v>40</v>
      </c>
      <c r="AF8" s="676">
        <v>20</v>
      </c>
      <c r="AG8" s="678">
        <f>AH8*F8</f>
        <v>40</v>
      </c>
      <c r="AH8" s="676">
        <v>20</v>
      </c>
      <c r="AI8" s="677">
        <f>AJ8*F8</f>
        <v>30</v>
      </c>
      <c r="AJ8" s="676">
        <v>15</v>
      </c>
      <c r="AK8" s="670">
        <f>AVERAGE(R8,T8,V8,X8,Z8,AB8,AD8,AF8,AH8,AJ8)</f>
        <v>14.5</v>
      </c>
    </row>
    <row r="9" spans="1:37" ht="39.75" hidden="1" customHeight="1" thickBot="1">
      <c r="A9" s="791"/>
      <c r="B9" s="668" t="s">
        <v>198</v>
      </c>
      <c r="C9" s="668" t="s">
        <v>815</v>
      </c>
      <c r="D9" s="789"/>
      <c r="E9" s="668">
        <v>2007</v>
      </c>
      <c r="F9" s="668">
        <v>1.2</v>
      </c>
      <c r="G9" s="668" t="s">
        <v>827</v>
      </c>
      <c r="H9" s="678">
        <f>I9*F9</f>
        <v>1.9919999999999998</v>
      </c>
      <c r="I9" s="668">
        <v>1.66</v>
      </c>
      <c r="J9" s="678">
        <f>K9*F9</f>
        <v>53.279999999999994</v>
      </c>
      <c r="K9" s="668">
        <v>44.4</v>
      </c>
      <c r="L9" s="678">
        <f>M9*F9</f>
        <v>5.0999999999999996</v>
      </c>
      <c r="M9" s="668">
        <v>4.25</v>
      </c>
      <c r="N9" s="678">
        <f>O9*F9</f>
        <v>63</v>
      </c>
      <c r="O9" s="668">
        <v>52.5</v>
      </c>
      <c r="P9" s="655">
        <f>AVERAGE(I9,K9,M9,O9)</f>
        <v>25.702500000000001</v>
      </c>
      <c r="Q9" s="678">
        <f>F9*R9</f>
        <v>6</v>
      </c>
      <c r="R9" s="668">
        <v>5</v>
      </c>
      <c r="S9" s="678">
        <f>F9*T9</f>
        <v>12</v>
      </c>
      <c r="T9" s="668">
        <v>10</v>
      </c>
      <c r="U9" s="678">
        <f>F9*V9</f>
        <v>30</v>
      </c>
      <c r="V9" s="668">
        <v>25</v>
      </c>
      <c r="W9" s="678">
        <f>X9*F9</f>
        <v>12</v>
      </c>
      <c r="X9" s="676">
        <v>10</v>
      </c>
      <c r="Y9" s="678">
        <f>Z9*F9</f>
        <v>30</v>
      </c>
      <c r="Z9" s="676">
        <v>25</v>
      </c>
      <c r="AA9" s="678">
        <f>AB9*F9</f>
        <v>12</v>
      </c>
      <c r="AB9" s="676">
        <v>10</v>
      </c>
      <c r="AC9" s="678">
        <f>AD9*F9</f>
        <v>24</v>
      </c>
      <c r="AD9" s="676">
        <v>20</v>
      </c>
      <c r="AE9" s="678">
        <f>AF9*F9</f>
        <v>12</v>
      </c>
      <c r="AF9" s="676">
        <v>10</v>
      </c>
      <c r="AG9" s="678">
        <f>AH9*F9</f>
        <v>24</v>
      </c>
      <c r="AH9" s="676">
        <v>20</v>
      </c>
      <c r="AI9" s="677">
        <f>AJ9*F9</f>
        <v>18</v>
      </c>
      <c r="AJ9" s="676">
        <v>15</v>
      </c>
      <c r="AK9" s="670">
        <f>AVERAGE(R9,T9,V9,X9,Z9,AB9,AD9,AF9,AH9,AJ9)</f>
        <v>15</v>
      </c>
    </row>
    <row r="10" spans="1:37" ht="39.75" hidden="1" customHeight="1" thickBot="1">
      <c r="A10" s="791"/>
      <c r="B10" s="668" t="s">
        <v>94</v>
      </c>
      <c r="C10" s="668" t="s">
        <v>815</v>
      </c>
      <c r="D10" s="789"/>
      <c r="E10" s="668">
        <v>2007</v>
      </c>
      <c r="F10" s="668">
        <v>1</v>
      </c>
      <c r="G10" s="668" t="s">
        <v>827</v>
      </c>
      <c r="H10" s="678">
        <f>I10*F10</f>
        <v>3.76</v>
      </c>
      <c r="I10" s="668">
        <v>3.76</v>
      </c>
      <c r="J10" s="678">
        <f>K10*F10</f>
        <v>18.5</v>
      </c>
      <c r="K10" s="668">
        <v>18.5</v>
      </c>
      <c r="L10" s="678">
        <f>M10*F10</f>
        <v>5.57</v>
      </c>
      <c r="M10" s="668">
        <v>5.57</v>
      </c>
      <c r="N10" s="678">
        <f>O10*F10</f>
        <v>19.5</v>
      </c>
      <c r="O10" s="668">
        <v>19.5</v>
      </c>
      <c r="P10" s="655">
        <f>AVERAGE(I10,K10,M10,O10)</f>
        <v>11.8325</v>
      </c>
      <c r="Q10" s="678">
        <f>F10*R10</f>
        <v>10</v>
      </c>
      <c r="R10" s="668">
        <v>10</v>
      </c>
      <c r="S10" s="678">
        <f>F10*T10</f>
        <v>10</v>
      </c>
      <c r="T10" s="668">
        <v>10</v>
      </c>
      <c r="U10" s="678">
        <f>F10*V10</f>
        <v>11</v>
      </c>
      <c r="V10" s="668">
        <v>11</v>
      </c>
      <c r="W10" s="678">
        <f>X10*F10</f>
        <v>5</v>
      </c>
      <c r="X10" s="676">
        <v>5</v>
      </c>
      <c r="Y10" s="678">
        <f>Z10*F10</f>
        <v>15</v>
      </c>
      <c r="Z10" s="676">
        <v>15</v>
      </c>
      <c r="AA10" s="678">
        <f>AB10*F10</f>
        <v>5</v>
      </c>
      <c r="AB10" s="676">
        <v>5</v>
      </c>
      <c r="AC10" s="678">
        <f>AD10*F10</f>
        <v>10</v>
      </c>
      <c r="AD10" s="676">
        <v>10</v>
      </c>
      <c r="AE10" s="678">
        <f>AF10*F10</f>
        <v>5</v>
      </c>
      <c r="AF10" s="676">
        <v>5</v>
      </c>
      <c r="AG10" s="678">
        <f>AH10*F10</f>
        <v>10</v>
      </c>
      <c r="AH10" s="676">
        <v>10</v>
      </c>
      <c r="AI10" s="677">
        <f>AJ10*F10</f>
        <v>10</v>
      </c>
      <c r="AJ10" s="676">
        <v>10</v>
      </c>
      <c r="AK10" s="670">
        <f>AVERAGE(R10,T10,V10,X10,Z10,AB10,AD10,AF10,AH10,AJ10)</f>
        <v>9.1</v>
      </c>
    </row>
    <row r="11" spans="1:37" ht="39.75" hidden="1" customHeight="1" thickBot="1">
      <c r="A11" s="791"/>
      <c r="B11" s="674" t="s">
        <v>220</v>
      </c>
      <c r="C11" s="674" t="s">
        <v>815</v>
      </c>
      <c r="D11" s="790"/>
      <c r="E11" s="674">
        <v>2007</v>
      </c>
      <c r="F11" s="674">
        <v>3.5</v>
      </c>
      <c r="G11" s="674" t="s">
        <v>827</v>
      </c>
      <c r="H11" s="673">
        <f>I11*F11</f>
        <v>6.0549999999999997</v>
      </c>
      <c r="I11" s="674">
        <v>1.73</v>
      </c>
      <c r="J11" s="673">
        <f>K11*F11</f>
        <v>6.3</v>
      </c>
      <c r="K11" s="674">
        <v>1.8</v>
      </c>
      <c r="L11" s="673">
        <f>M11*F11</f>
        <v>11.549999999999999</v>
      </c>
      <c r="M11" s="674">
        <v>3.3</v>
      </c>
      <c r="N11" s="673">
        <f>O11*F11</f>
        <v>10.85</v>
      </c>
      <c r="O11" s="674">
        <v>3.1</v>
      </c>
      <c r="P11" s="675">
        <f>AVERAGE(I11,K11,M11,O11)</f>
        <v>2.4824999999999999</v>
      </c>
      <c r="Q11" s="673">
        <f>F11*R11</f>
        <v>14</v>
      </c>
      <c r="R11" s="674">
        <v>4</v>
      </c>
      <c r="S11" s="673">
        <f>F11*T11</f>
        <v>35</v>
      </c>
      <c r="T11" s="674">
        <v>10</v>
      </c>
      <c r="U11" s="673">
        <f>F11*V11</f>
        <v>35</v>
      </c>
      <c r="V11" s="674">
        <v>10</v>
      </c>
      <c r="W11" s="673">
        <f>X11*F11</f>
        <v>17.5</v>
      </c>
      <c r="X11" s="671">
        <v>5</v>
      </c>
      <c r="Y11" s="673">
        <f>Z11*F11</f>
        <v>35</v>
      </c>
      <c r="Z11" s="671">
        <v>10</v>
      </c>
      <c r="AA11" s="673">
        <f>AB11*F11</f>
        <v>17.5</v>
      </c>
      <c r="AB11" s="671">
        <v>5</v>
      </c>
      <c r="AC11" s="673">
        <f>AD11*F11</f>
        <v>35</v>
      </c>
      <c r="AD11" s="671">
        <v>10</v>
      </c>
      <c r="AE11" s="673">
        <f>AF11*F11</f>
        <v>17.5</v>
      </c>
      <c r="AF11" s="671">
        <v>5</v>
      </c>
      <c r="AG11" s="673">
        <f>AH11*F11</f>
        <v>35</v>
      </c>
      <c r="AH11" s="671">
        <v>10</v>
      </c>
      <c r="AI11" s="672">
        <f>AJ11*F11</f>
        <v>35</v>
      </c>
      <c r="AJ11" s="671">
        <v>10</v>
      </c>
      <c r="AK11" s="670">
        <f>AVERAGE(R11,T11,V11,X11,Z11,AB11,AD11,AF11,AH11,AJ11)</f>
        <v>7.9</v>
      </c>
    </row>
    <row r="12" spans="1:37" ht="39.75" hidden="1" customHeight="1" thickTop="1" thickBot="1">
      <c r="A12" s="792"/>
      <c r="B12" s="657" t="s">
        <v>176</v>
      </c>
      <c r="C12" s="657"/>
      <c r="D12" s="657"/>
      <c r="E12" s="657"/>
      <c r="F12" s="657">
        <v>14.2</v>
      </c>
      <c r="G12" s="657" t="s">
        <v>827</v>
      </c>
      <c r="H12" s="658">
        <f>SUM(H7:H11)</f>
        <v>92.342000000000013</v>
      </c>
      <c r="I12" s="659">
        <f>H12/F12</f>
        <v>6.5029577464788746</v>
      </c>
      <c r="J12" s="658">
        <f>SUM(J7:J11)</f>
        <v>307.27999999999997</v>
      </c>
      <c r="K12" s="659">
        <f>J12/F12</f>
        <v>21.63943661971831</v>
      </c>
      <c r="L12" s="658">
        <f>SUM(L7:L11)</f>
        <v>224.02</v>
      </c>
      <c r="M12" s="659">
        <f>L12/F12</f>
        <v>15.776056338028171</v>
      </c>
      <c r="N12" s="658">
        <f>SUM(N7:N11)</f>
        <v>433.35000000000008</v>
      </c>
      <c r="O12" s="659">
        <f>N12/F12</f>
        <v>30.517605633802823</v>
      </c>
      <c r="P12" s="659"/>
      <c r="Q12" s="658">
        <f>SUM(Q7:Q11)</f>
        <v>135</v>
      </c>
      <c r="R12" s="659">
        <f>Q12/F12</f>
        <v>9.5070422535211279</v>
      </c>
      <c r="S12" s="658">
        <f>SUM(S7:S11)</f>
        <v>142</v>
      </c>
      <c r="T12" s="659">
        <f>S12/F12</f>
        <v>10</v>
      </c>
      <c r="U12" s="658">
        <f>SUM(U7:U11)</f>
        <v>271.5</v>
      </c>
      <c r="V12" s="657">
        <f>U12/F12</f>
        <v>19.119718309859156</v>
      </c>
      <c r="W12" s="658">
        <f>SUM(W7:W11)</f>
        <v>129.5</v>
      </c>
      <c r="X12" s="657">
        <f>W12/F12</f>
        <v>9.1197183098591559</v>
      </c>
      <c r="Y12" s="658">
        <f>SUM(Y7:Y11)</f>
        <v>197.5</v>
      </c>
      <c r="Z12" s="657">
        <f>Y12/F12</f>
        <v>13.908450704225352</v>
      </c>
      <c r="AA12" s="658">
        <f>SUM(AA7:AA11)</f>
        <v>129.5</v>
      </c>
      <c r="AB12" s="657">
        <f>AA12/F12</f>
        <v>9.1197183098591559</v>
      </c>
      <c r="AC12" s="658">
        <f>SUM(AC7:AC11)</f>
        <v>186.5</v>
      </c>
      <c r="AD12" s="657">
        <f>AC12/F12</f>
        <v>13.13380281690141</v>
      </c>
      <c r="AE12" s="658">
        <f>SUM(AE7:AE11)</f>
        <v>139.5</v>
      </c>
      <c r="AF12" s="657">
        <f>AE12/F12</f>
        <v>9.8239436619718319</v>
      </c>
      <c r="AG12" s="658">
        <f>SUM(AG7:AG11)</f>
        <v>206.5</v>
      </c>
      <c r="AH12" s="657">
        <f>AG12/F12</f>
        <v>14.542253521126762</v>
      </c>
      <c r="AI12" s="658">
        <f>SUM(AI7:AI11)</f>
        <v>158</v>
      </c>
      <c r="AJ12" s="657">
        <f>AI12/F12</f>
        <v>11.126760563380282</v>
      </c>
      <c r="AK12" s="670"/>
    </row>
    <row r="13" spans="1:37" ht="39.75" hidden="1" customHeight="1" thickTop="1" thickBot="1">
      <c r="A13" s="791"/>
      <c r="B13" s="680" t="s">
        <v>93</v>
      </c>
      <c r="C13" s="680" t="s">
        <v>815</v>
      </c>
      <c r="D13" s="788" t="s">
        <v>814</v>
      </c>
      <c r="E13" s="680">
        <v>2008</v>
      </c>
      <c r="F13" s="680">
        <v>13</v>
      </c>
      <c r="G13" s="680" t="s">
        <v>826</v>
      </c>
      <c r="H13" s="634">
        <f>I13*F13</f>
        <v>331.5</v>
      </c>
      <c r="I13" s="680">
        <v>25.5</v>
      </c>
      <c r="J13" s="634">
        <f>K13*F13</f>
        <v>85.54</v>
      </c>
      <c r="K13" s="680">
        <v>6.58</v>
      </c>
      <c r="L13" s="634">
        <f>M13*F13</f>
        <v>175.5</v>
      </c>
      <c r="M13" s="680">
        <v>13.5</v>
      </c>
      <c r="N13" s="634">
        <f>O13*F13</f>
        <v>218.4</v>
      </c>
      <c r="O13" s="680">
        <v>16.8</v>
      </c>
      <c r="P13" s="654">
        <f>AVERAGE(I13,K13,M13,O13)</f>
        <v>15.594999999999999</v>
      </c>
      <c r="Q13" s="634">
        <f>F13*R13</f>
        <v>130</v>
      </c>
      <c r="R13" s="680">
        <v>10</v>
      </c>
      <c r="S13" s="634">
        <f>F13*T13</f>
        <v>130</v>
      </c>
      <c r="T13" s="680">
        <v>10</v>
      </c>
      <c r="U13" s="634">
        <f>F13*V13</f>
        <v>195</v>
      </c>
      <c r="V13" s="680">
        <v>15</v>
      </c>
      <c r="W13" s="634">
        <f>X13*F13</f>
        <v>65</v>
      </c>
      <c r="X13" s="676">
        <v>5</v>
      </c>
      <c r="Y13" s="634">
        <f>Z13*F13</f>
        <v>195</v>
      </c>
      <c r="Z13" s="676">
        <v>15</v>
      </c>
      <c r="AA13" s="634">
        <f>AB13*F13</f>
        <v>65</v>
      </c>
      <c r="AB13" s="676">
        <v>5</v>
      </c>
      <c r="AC13" s="634">
        <f>AD13*F13</f>
        <v>195</v>
      </c>
      <c r="AD13" s="676">
        <v>15</v>
      </c>
      <c r="AE13" s="634">
        <f>AF13*F13</f>
        <v>65</v>
      </c>
      <c r="AF13" s="676">
        <v>5</v>
      </c>
      <c r="AG13" s="634">
        <f>AH13*F13</f>
        <v>195</v>
      </c>
      <c r="AH13" s="676">
        <v>15</v>
      </c>
      <c r="AI13" s="679">
        <f>AJ13*F13</f>
        <v>130</v>
      </c>
      <c r="AJ13" s="676">
        <v>10</v>
      </c>
      <c r="AK13" s="670">
        <f>AVERAGE(R13,T13,V13,X13,Z13,AB13,AD13,AF13,AH13,AJ13)</f>
        <v>10.5</v>
      </c>
    </row>
    <row r="14" spans="1:37" ht="39.75" hidden="1" customHeight="1" thickBot="1">
      <c r="A14" s="791"/>
      <c r="B14" s="668" t="s">
        <v>94</v>
      </c>
      <c r="C14" s="668" t="s">
        <v>815</v>
      </c>
      <c r="D14" s="789"/>
      <c r="E14" s="668">
        <v>2008</v>
      </c>
      <c r="F14" s="668">
        <v>4</v>
      </c>
      <c r="G14" s="668" t="s">
        <v>826</v>
      </c>
      <c r="H14" s="678">
        <f>I14*F14</f>
        <v>22.96</v>
      </c>
      <c r="I14" s="668">
        <v>5.74</v>
      </c>
      <c r="J14" s="678">
        <f>K14*F14</f>
        <v>50</v>
      </c>
      <c r="K14" s="668">
        <v>12.5</v>
      </c>
      <c r="L14" s="678">
        <f>M14*F14</f>
        <v>58</v>
      </c>
      <c r="M14" s="668">
        <v>14.5</v>
      </c>
      <c r="N14" s="678">
        <f>O14*F14</f>
        <v>79.599999999999994</v>
      </c>
      <c r="O14" s="668">
        <v>19.899999999999999</v>
      </c>
      <c r="P14" s="655">
        <f>AVERAGE(I14,K14,M14,O14)</f>
        <v>13.16</v>
      </c>
      <c r="Q14" s="678">
        <f>F14*R14</f>
        <v>60</v>
      </c>
      <c r="R14" s="668">
        <v>15</v>
      </c>
      <c r="S14" s="678">
        <f>F14*T14</f>
        <v>40</v>
      </c>
      <c r="T14" s="668">
        <v>10</v>
      </c>
      <c r="U14" s="678">
        <f>F14*V14</f>
        <v>48</v>
      </c>
      <c r="V14" s="668">
        <v>12</v>
      </c>
      <c r="W14" s="678">
        <f>X14*F14</f>
        <v>20</v>
      </c>
      <c r="X14" s="676">
        <v>5</v>
      </c>
      <c r="Y14" s="678">
        <f>Z14*F14</f>
        <v>60</v>
      </c>
      <c r="Z14" s="676">
        <v>15</v>
      </c>
      <c r="AA14" s="678">
        <f>AB14*F14</f>
        <v>20</v>
      </c>
      <c r="AB14" s="676">
        <v>5</v>
      </c>
      <c r="AC14" s="678">
        <f>AD14*F14</f>
        <v>40</v>
      </c>
      <c r="AD14" s="676">
        <v>10</v>
      </c>
      <c r="AE14" s="678">
        <f>AF14*F14</f>
        <v>20</v>
      </c>
      <c r="AF14" s="676">
        <v>5</v>
      </c>
      <c r="AG14" s="678">
        <f>AH14*F14</f>
        <v>40</v>
      </c>
      <c r="AH14" s="676">
        <v>10</v>
      </c>
      <c r="AI14" s="677">
        <f>AJ14*F14</f>
        <v>40</v>
      </c>
      <c r="AJ14" s="676">
        <v>10</v>
      </c>
      <c r="AK14" s="670">
        <f>AVERAGE(R14,T14,V14,X14,Z14,AB14,AD14,AF14,AH14,AJ14)</f>
        <v>9.6999999999999993</v>
      </c>
    </row>
    <row r="15" spans="1:37" ht="39.75" hidden="1" customHeight="1" thickBot="1">
      <c r="A15" s="791"/>
      <c r="B15" s="668" t="s">
        <v>198</v>
      </c>
      <c r="C15" s="668" t="s">
        <v>815</v>
      </c>
      <c r="D15" s="789"/>
      <c r="E15" s="668">
        <v>2008</v>
      </c>
      <c r="F15" s="668">
        <v>6</v>
      </c>
      <c r="G15" s="668" t="s">
        <v>826</v>
      </c>
      <c r="H15" s="678">
        <f>I15*F15</f>
        <v>42.78</v>
      </c>
      <c r="I15" s="668">
        <v>7.13</v>
      </c>
      <c r="J15" s="678">
        <f>K15*F15</f>
        <v>136.80000000000001</v>
      </c>
      <c r="K15" s="668">
        <v>22.8</v>
      </c>
      <c r="L15" s="678">
        <f>M15*F15</f>
        <v>84</v>
      </c>
      <c r="M15" s="668">
        <v>14</v>
      </c>
      <c r="N15" s="678">
        <f>O15*F15</f>
        <v>279.60000000000002</v>
      </c>
      <c r="O15" s="668">
        <v>46.6</v>
      </c>
      <c r="P15" s="655">
        <f>AVERAGE(I15,K15,M15,O15)</f>
        <v>22.6325</v>
      </c>
      <c r="Q15" s="678">
        <f>F15*R15</f>
        <v>60</v>
      </c>
      <c r="R15" s="668">
        <v>10</v>
      </c>
      <c r="S15" s="678">
        <f>F15*T15</f>
        <v>60</v>
      </c>
      <c r="T15" s="668">
        <v>10</v>
      </c>
      <c r="U15" s="678">
        <f>F15*V15</f>
        <v>132</v>
      </c>
      <c r="V15" s="668">
        <v>22</v>
      </c>
      <c r="W15" s="678">
        <f>X15*F15</f>
        <v>60</v>
      </c>
      <c r="X15" s="676">
        <v>10</v>
      </c>
      <c r="Y15" s="678">
        <f>Z15*F15</f>
        <v>120</v>
      </c>
      <c r="Z15" s="676">
        <v>20</v>
      </c>
      <c r="AA15" s="678">
        <f>AB15*F15</f>
        <v>60</v>
      </c>
      <c r="AB15" s="676">
        <v>10</v>
      </c>
      <c r="AC15" s="678">
        <f>AD15*F15</f>
        <v>120</v>
      </c>
      <c r="AD15" s="676">
        <v>20</v>
      </c>
      <c r="AE15" s="678">
        <f>AF15*F15</f>
        <v>30</v>
      </c>
      <c r="AF15" s="676">
        <v>5</v>
      </c>
      <c r="AG15" s="678">
        <f>AH15*F15</f>
        <v>120</v>
      </c>
      <c r="AH15" s="676">
        <v>20</v>
      </c>
      <c r="AI15" s="677">
        <f>AJ15*F15</f>
        <v>60</v>
      </c>
      <c r="AJ15" s="676">
        <v>10</v>
      </c>
      <c r="AK15" s="670">
        <f>AVERAGE(R15,T15,V15,X15,Z15,AB15,AD15,AF15,AH15,AJ15)</f>
        <v>13.7</v>
      </c>
    </row>
    <row r="16" spans="1:37" ht="39.75" hidden="1" customHeight="1" thickBot="1">
      <c r="A16" s="791"/>
      <c r="B16" s="674" t="s">
        <v>225</v>
      </c>
      <c r="C16" s="674" t="s">
        <v>815</v>
      </c>
      <c r="D16" s="790"/>
      <c r="E16" s="674">
        <v>2008</v>
      </c>
      <c r="F16" s="674">
        <v>14.38</v>
      </c>
      <c r="G16" s="674" t="s">
        <v>826</v>
      </c>
      <c r="H16" s="673">
        <f>I16*F16</f>
        <v>96.346000000000004</v>
      </c>
      <c r="I16" s="674">
        <v>6.7</v>
      </c>
      <c r="J16" s="673">
        <f>K16*F16</f>
        <v>102.67319999999999</v>
      </c>
      <c r="K16" s="674">
        <v>7.14</v>
      </c>
      <c r="L16" s="673">
        <f>M16*F16</f>
        <v>152.428</v>
      </c>
      <c r="M16" s="674">
        <v>10.6</v>
      </c>
      <c r="N16" s="673">
        <f>O16*F16</f>
        <v>123.66800000000001</v>
      </c>
      <c r="O16" s="674">
        <v>8.6</v>
      </c>
      <c r="P16" s="675">
        <f>AVERAGE(I16,K16,M16,O16)</f>
        <v>8.26</v>
      </c>
      <c r="Q16" s="673">
        <f>F16*R16</f>
        <v>143.80000000000001</v>
      </c>
      <c r="R16" s="674">
        <v>10</v>
      </c>
      <c r="S16" s="673">
        <f>F16*T16</f>
        <v>115.04</v>
      </c>
      <c r="T16" s="674">
        <v>8</v>
      </c>
      <c r="U16" s="673">
        <f>F16*V16</f>
        <v>100.66000000000001</v>
      </c>
      <c r="V16" s="674">
        <v>7</v>
      </c>
      <c r="W16" s="673">
        <f>X16*F16</f>
        <v>143.80000000000001</v>
      </c>
      <c r="X16" s="671">
        <v>10</v>
      </c>
      <c r="Y16" s="673">
        <f>Z16*F16</f>
        <v>71.900000000000006</v>
      </c>
      <c r="Z16" s="671">
        <v>5</v>
      </c>
      <c r="AA16" s="673">
        <f>AB16*F16</f>
        <v>143.80000000000001</v>
      </c>
      <c r="AB16" s="671">
        <v>10</v>
      </c>
      <c r="AC16" s="673">
        <f>AD16*F16</f>
        <v>71.900000000000006</v>
      </c>
      <c r="AD16" s="671">
        <v>5</v>
      </c>
      <c r="AE16" s="673">
        <f>AF16*F16</f>
        <v>143.80000000000001</v>
      </c>
      <c r="AF16" s="671">
        <v>10</v>
      </c>
      <c r="AG16" s="673">
        <f>AH16*F16</f>
        <v>71.900000000000006</v>
      </c>
      <c r="AH16" s="671">
        <v>5</v>
      </c>
      <c r="AI16" s="672">
        <f>AJ16*F16</f>
        <v>143.80000000000001</v>
      </c>
      <c r="AJ16" s="671">
        <v>10</v>
      </c>
      <c r="AK16" s="670">
        <f>AVERAGE(R16,T16,V16,X16,Z16,AB16,AD16,AF16,AH16,AJ16)</f>
        <v>8</v>
      </c>
    </row>
    <row r="17" spans="1:37" ht="39.75" hidden="1" customHeight="1" thickTop="1" thickBot="1">
      <c r="A17" s="792"/>
      <c r="B17" s="657" t="s">
        <v>176</v>
      </c>
      <c r="C17" s="657"/>
      <c r="D17" s="657"/>
      <c r="E17" s="657"/>
      <c r="F17" s="657">
        <v>37.380000000000003</v>
      </c>
      <c r="G17" s="657" t="s">
        <v>826</v>
      </c>
      <c r="H17" s="658">
        <f>SUM(H13:H16)</f>
        <v>493.58600000000001</v>
      </c>
      <c r="I17" s="659">
        <f>H17/F17</f>
        <v>13.204547886570358</v>
      </c>
      <c r="J17" s="658">
        <f>SUM(J13:J16)</f>
        <v>375.01320000000004</v>
      </c>
      <c r="K17" s="659">
        <f>J17/F17</f>
        <v>10.032455858747994</v>
      </c>
      <c r="L17" s="658">
        <f>SUM(L13:L16)</f>
        <v>469.928</v>
      </c>
      <c r="M17" s="659">
        <f>L17/F17</f>
        <v>12.571642589620117</v>
      </c>
      <c r="N17" s="658">
        <f>SUM(N13:N16)</f>
        <v>701.26800000000003</v>
      </c>
      <c r="O17" s="659">
        <f>N17/F17</f>
        <v>18.76051364365971</v>
      </c>
      <c r="P17" s="659"/>
      <c r="Q17" s="658">
        <f>SUM(Q13:Q16)</f>
        <v>393.8</v>
      </c>
      <c r="R17" s="659">
        <f>Q17/F17</f>
        <v>10.535045478865703</v>
      </c>
      <c r="S17" s="658">
        <f>SUM(S13:S16)</f>
        <v>345.04</v>
      </c>
      <c r="T17" s="659">
        <f>S17/F17</f>
        <v>9.2306046013911178</v>
      </c>
      <c r="U17" s="658">
        <f>SUM(U13:U16)</f>
        <v>475.66</v>
      </c>
      <c r="V17" s="657">
        <f>U17/F17</f>
        <v>12.724986623863028</v>
      </c>
      <c r="W17" s="658">
        <f>SUM(W13:W16)</f>
        <v>288.8</v>
      </c>
      <c r="X17" s="657">
        <f>W17/F17</f>
        <v>7.7260567148207597</v>
      </c>
      <c r="Y17" s="658">
        <f>SUM(Y13:Y16)</f>
        <v>446.9</v>
      </c>
      <c r="Z17" s="657">
        <f>Y17/F17</f>
        <v>11.955591225254144</v>
      </c>
      <c r="AA17" s="658">
        <f>SUM(AA13:AA16)</f>
        <v>288.8</v>
      </c>
      <c r="AB17" s="657">
        <f>AA17/F17</f>
        <v>7.7260567148207597</v>
      </c>
      <c r="AC17" s="658">
        <f>SUM(AC13:AC16)</f>
        <v>426.9</v>
      </c>
      <c r="AD17" s="657">
        <f>AC17/F17</f>
        <v>11.420545746388441</v>
      </c>
      <c r="AE17" s="658">
        <f>SUM(AE13:AE16)</f>
        <v>258.8</v>
      </c>
      <c r="AF17" s="657">
        <f>AE17/F17</f>
        <v>6.9234884965222045</v>
      </c>
      <c r="AG17" s="658">
        <f>SUM(AG13:AG16)</f>
        <v>426.9</v>
      </c>
      <c r="AH17" s="657">
        <f>AG17/F17</f>
        <v>11.420545746388441</v>
      </c>
      <c r="AI17" s="658">
        <f>SUM(AI13:AI16)</f>
        <v>373.8</v>
      </c>
      <c r="AJ17" s="657">
        <f>AI17/F17</f>
        <v>10</v>
      </c>
      <c r="AK17" s="670"/>
    </row>
    <row r="18" spans="1:37" ht="39.75" hidden="1" customHeight="1" thickTop="1" thickBot="1">
      <c r="A18" s="791" t="s">
        <v>818</v>
      </c>
      <c r="B18" s="680" t="s">
        <v>91</v>
      </c>
      <c r="C18" s="680" t="s">
        <v>815</v>
      </c>
      <c r="D18" s="788" t="s">
        <v>821</v>
      </c>
      <c r="E18" s="680">
        <v>2010</v>
      </c>
      <c r="F18" s="680">
        <v>8</v>
      </c>
      <c r="G18" s="680" t="s">
        <v>822</v>
      </c>
      <c r="H18" s="634">
        <f>I18*F18</f>
        <v>152</v>
      </c>
      <c r="I18" s="680">
        <v>19</v>
      </c>
      <c r="J18" s="634">
        <f>K18*F18</f>
        <v>276</v>
      </c>
      <c r="K18" s="680">
        <v>34.5</v>
      </c>
      <c r="L18" s="634">
        <f>M18*F18</f>
        <v>112.8</v>
      </c>
      <c r="M18" s="680">
        <v>14.1</v>
      </c>
      <c r="N18" s="634">
        <f>O18*F18</f>
        <v>188</v>
      </c>
      <c r="O18" s="680">
        <v>23.5</v>
      </c>
      <c r="P18" s="654">
        <f>AVERAGE(I18,K18,M18,O18)</f>
        <v>22.774999999999999</v>
      </c>
      <c r="Q18" s="634">
        <f>F18*R18</f>
        <v>160</v>
      </c>
      <c r="R18" s="680">
        <v>20</v>
      </c>
      <c r="S18" s="634">
        <f>F18*T18</f>
        <v>80</v>
      </c>
      <c r="T18" s="680">
        <v>10</v>
      </c>
      <c r="U18" s="634">
        <f>F18*V18</f>
        <v>200</v>
      </c>
      <c r="V18" s="680">
        <v>25</v>
      </c>
      <c r="W18" s="634">
        <f>X18*F18</f>
        <v>80</v>
      </c>
      <c r="X18" s="676">
        <v>10</v>
      </c>
      <c r="Y18" s="634">
        <f>Z18*F18</f>
        <v>240</v>
      </c>
      <c r="Z18" s="676">
        <v>30</v>
      </c>
      <c r="AA18" s="634">
        <f>AB18*F18</f>
        <v>80</v>
      </c>
      <c r="AB18" s="676">
        <v>10</v>
      </c>
      <c r="AC18" s="634">
        <f>AD18*F18</f>
        <v>240</v>
      </c>
      <c r="AD18" s="676">
        <v>30</v>
      </c>
      <c r="AE18" s="634">
        <f>AF18*F18</f>
        <v>80</v>
      </c>
      <c r="AF18" s="676">
        <v>10</v>
      </c>
      <c r="AG18" s="634">
        <f>AH18*F18</f>
        <v>160</v>
      </c>
      <c r="AH18" s="676">
        <v>20</v>
      </c>
      <c r="AI18" s="679">
        <f>AJ18*F18</f>
        <v>120</v>
      </c>
      <c r="AJ18" s="676">
        <v>15</v>
      </c>
      <c r="AK18" s="670">
        <f>AVERAGE(R18,T18,V18,X18,Z18,AB18,AD18,AF18,AH18,AJ18)</f>
        <v>18</v>
      </c>
    </row>
    <row r="19" spans="1:37" ht="39.75" hidden="1" customHeight="1" thickBot="1">
      <c r="A19" s="791"/>
      <c r="B19" s="668" t="s">
        <v>226</v>
      </c>
      <c r="C19" s="668" t="s">
        <v>815</v>
      </c>
      <c r="D19" s="789"/>
      <c r="E19" s="668">
        <v>2010</v>
      </c>
      <c r="F19" s="668">
        <v>3.76</v>
      </c>
      <c r="G19" s="668" t="s">
        <v>822</v>
      </c>
      <c r="H19" s="678">
        <f>I19*F19</f>
        <v>6.58</v>
      </c>
      <c r="I19" s="668">
        <v>1.75</v>
      </c>
      <c r="J19" s="678">
        <f>K19*F19</f>
        <v>9.9263999999999992</v>
      </c>
      <c r="K19" s="668">
        <v>2.64</v>
      </c>
      <c r="L19" s="678">
        <f>M19*F19</f>
        <v>24.515199999999997</v>
      </c>
      <c r="M19" s="668">
        <v>6.52</v>
      </c>
      <c r="N19" s="678">
        <f>O19*F19</f>
        <v>14.287999999999998</v>
      </c>
      <c r="O19" s="668">
        <v>3.8</v>
      </c>
      <c r="P19" s="655">
        <f>AVERAGE(I19,K19,M19,O19)</f>
        <v>3.6775000000000002</v>
      </c>
      <c r="Q19" s="678">
        <f>F19*R19</f>
        <v>37.599999999999994</v>
      </c>
      <c r="R19" s="668">
        <v>10</v>
      </c>
      <c r="S19" s="678">
        <f>F19*T19</f>
        <v>37.599999999999994</v>
      </c>
      <c r="T19" s="668">
        <v>10</v>
      </c>
      <c r="U19" s="678">
        <f>F19*V19</f>
        <v>48.879999999999995</v>
      </c>
      <c r="V19" s="668">
        <v>13</v>
      </c>
      <c r="W19" s="678">
        <f>X19*F19</f>
        <v>18.799999999999997</v>
      </c>
      <c r="X19" s="676">
        <v>5</v>
      </c>
      <c r="Y19" s="678">
        <f>Z19*F19</f>
        <v>37.599999999999994</v>
      </c>
      <c r="Z19" s="676">
        <v>10</v>
      </c>
      <c r="AA19" s="678">
        <f>AB19*F19</f>
        <v>18.799999999999997</v>
      </c>
      <c r="AB19" s="676">
        <v>5</v>
      </c>
      <c r="AC19" s="678">
        <f>AD19*F19</f>
        <v>37.599999999999994</v>
      </c>
      <c r="AD19" s="676">
        <v>10</v>
      </c>
      <c r="AE19" s="678">
        <f>AF19*F19</f>
        <v>18.799999999999997</v>
      </c>
      <c r="AF19" s="676">
        <v>5</v>
      </c>
      <c r="AG19" s="678">
        <f>AH19*F19</f>
        <v>37.599999999999994</v>
      </c>
      <c r="AH19" s="676">
        <v>10</v>
      </c>
      <c r="AI19" s="677">
        <f>AJ19*F19</f>
        <v>37.599999999999994</v>
      </c>
      <c r="AJ19" s="676">
        <v>10</v>
      </c>
      <c r="AK19" s="670">
        <f>AVERAGE(R19,T19,V19,X19,Z19,AB19,AD19,AF19,AH19,AJ19)</f>
        <v>8.8000000000000007</v>
      </c>
    </row>
    <row r="20" spans="1:37" ht="39.75" hidden="1" customHeight="1" thickBot="1">
      <c r="A20" s="791"/>
      <c r="B20" s="674" t="s">
        <v>93</v>
      </c>
      <c r="C20" s="674" t="s">
        <v>815</v>
      </c>
      <c r="D20" s="790"/>
      <c r="E20" s="674">
        <v>2010</v>
      </c>
      <c r="F20" s="674">
        <v>12</v>
      </c>
      <c r="G20" s="674" t="s">
        <v>822</v>
      </c>
      <c r="H20" s="673">
        <f>I20*F20</f>
        <v>163.19999999999999</v>
      </c>
      <c r="I20" s="674">
        <v>13.6</v>
      </c>
      <c r="J20" s="673">
        <f>K20*F20</f>
        <v>279.60000000000002</v>
      </c>
      <c r="K20" s="674">
        <v>23.3</v>
      </c>
      <c r="L20" s="673">
        <f>M20*F20</f>
        <v>213.60000000000002</v>
      </c>
      <c r="M20" s="674">
        <v>17.8</v>
      </c>
      <c r="N20" s="673">
        <f>O20*F20</f>
        <v>108</v>
      </c>
      <c r="O20" s="674">
        <v>9</v>
      </c>
      <c r="P20" s="675">
        <f>AVERAGE(I20,K20,M20,O20)</f>
        <v>15.925000000000001</v>
      </c>
      <c r="Q20" s="673">
        <f>F20*R20</f>
        <v>120</v>
      </c>
      <c r="R20" s="674">
        <v>10</v>
      </c>
      <c r="S20" s="673">
        <f>F20*T20</f>
        <v>120</v>
      </c>
      <c r="T20" s="674">
        <v>10</v>
      </c>
      <c r="U20" s="673">
        <f>F20*V20</f>
        <v>180</v>
      </c>
      <c r="V20" s="674">
        <v>15</v>
      </c>
      <c r="W20" s="673">
        <f>X20*F20</f>
        <v>120</v>
      </c>
      <c r="X20" s="671">
        <v>10</v>
      </c>
      <c r="Y20" s="673">
        <f>Z20*F20</f>
        <v>180</v>
      </c>
      <c r="Z20" s="671">
        <v>15</v>
      </c>
      <c r="AA20" s="673">
        <f>AB20*F20</f>
        <v>120</v>
      </c>
      <c r="AB20" s="671">
        <v>10</v>
      </c>
      <c r="AC20" s="673">
        <f>AD20*F20</f>
        <v>180</v>
      </c>
      <c r="AD20" s="671">
        <v>15</v>
      </c>
      <c r="AE20" s="673">
        <f>AF20*F20</f>
        <v>120</v>
      </c>
      <c r="AF20" s="671">
        <v>10</v>
      </c>
      <c r="AG20" s="673">
        <f>AH20*F20</f>
        <v>120</v>
      </c>
      <c r="AH20" s="671">
        <v>10</v>
      </c>
      <c r="AI20" s="672">
        <f>AJ20*F20</f>
        <v>120</v>
      </c>
      <c r="AJ20" s="671">
        <v>10</v>
      </c>
      <c r="AK20" s="670">
        <f>AVERAGE(R20,T20,V20,X20,Z20,AB20,AD20,AF20,AH20,AJ20)</f>
        <v>11.5</v>
      </c>
    </row>
    <row r="21" spans="1:37" ht="39.75" hidden="1" customHeight="1" thickTop="1" thickBot="1">
      <c r="A21" s="792"/>
      <c r="B21" s="657" t="s">
        <v>176</v>
      </c>
      <c r="C21" s="657"/>
      <c r="D21" s="657"/>
      <c r="E21" s="657"/>
      <c r="F21" s="657">
        <v>23.76</v>
      </c>
      <c r="G21" s="657" t="s">
        <v>822</v>
      </c>
      <c r="H21" s="658">
        <f>SUM(H18:H20)</f>
        <v>321.77999999999997</v>
      </c>
      <c r="I21" s="659">
        <f>H21/F21</f>
        <v>13.542929292929291</v>
      </c>
      <c r="J21" s="658">
        <f>SUM(J18:J20)</f>
        <v>565.52639999999997</v>
      </c>
      <c r="K21" s="659">
        <f>J21/F21</f>
        <v>23.80161616161616</v>
      </c>
      <c r="L21" s="658">
        <f>SUM(L18:L20)</f>
        <v>350.91520000000003</v>
      </c>
      <c r="M21" s="659">
        <f>L21/F21</f>
        <v>14.769158249158249</v>
      </c>
      <c r="N21" s="658">
        <f>SUM(N18:N20)</f>
        <v>310.28800000000001</v>
      </c>
      <c r="O21" s="659">
        <f>N21/F21</f>
        <v>13.059259259259258</v>
      </c>
      <c r="P21" s="659"/>
      <c r="Q21" s="658">
        <f>SUM(Q18:Q20)</f>
        <v>317.60000000000002</v>
      </c>
      <c r="R21" s="659">
        <f>Q21/F21</f>
        <v>13.367003367003367</v>
      </c>
      <c r="S21" s="658">
        <f>SUM(S18:S20)</f>
        <v>237.6</v>
      </c>
      <c r="T21" s="659">
        <f>S21/F21</f>
        <v>9.9999999999999982</v>
      </c>
      <c r="U21" s="658">
        <f>SUM(U18:U20)</f>
        <v>428.88</v>
      </c>
      <c r="V21" s="657">
        <f>U21/F21</f>
        <v>18.050505050505048</v>
      </c>
      <c r="W21" s="658">
        <f>SUM(W18:W20)</f>
        <v>218.8</v>
      </c>
      <c r="X21" s="657">
        <f>W21/F21</f>
        <v>9.2087542087542094</v>
      </c>
      <c r="Y21" s="658">
        <f>SUM(Y18:Y20)</f>
        <v>457.6</v>
      </c>
      <c r="Z21" s="657">
        <f>Y21/F21</f>
        <v>19.25925925925926</v>
      </c>
      <c r="AA21" s="658">
        <f>SUM(AA18:AA20)</f>
        <v>218.8</v>
      </c>
      <c r="AB21" s="657">
        <f>AA21/F21</f>
        <v>9.2087542087542094</v>
      </c>
      <c r="AC21" s="658">
        <f>SUM(AC18:AC20)</f>
        <v>457.6</v>
      </c>
      <c r="AD21" s="657">
        <f>AC21/F21</f>
        <v>19.25925925925926</v>
      </c>
      <c r="AE21" s="658">
        <f>SUM(AE18:AE20)</f>
        <v>218.8</v>
      </c>
      <c r="AF21" s="657">
        <f>AE21/F21</f>
        <v>9.2087542087542094</v>
      </c>
      <c r="AG21" s="658">
        <f>SUM(AG18:AG20)</f>
        <v>317.60000000000002</v>
      </c>
      <c r="AH21" s="657">
        <f>AG21/F21</f>
        <v>13.367003367003367</v>
      </c>
      <c r="AI21" s="658">
        <f>SUM(AI18:AI20)</f>
        <v>277.60000000000002</v>
      </c>
      <c r="AJ21" s="657">
        <f>AI21/F21</f>
        <v>11.683501683501683</v>
      </c>
      <c r="AK21" s="670"/>
    </row>
    <row r="22" spans="1:37" ht="39.75" hidden="1" customHeight="1" thickTop="1" thickBot="1">
      <c r="A22" s="791" t="s">
        <v>812</v>
      </c>
      <c r="B22" s="680" t="s">
        <v>91</v>
      </c>
      <c r="C22" s="680" t="s">
        <v>815</v>
      </c>
      <c r="D22" s="788" t="s">
        <v>814</v>
      </c>
      <c r="E22" s="680">
        <v>2010</v>
      </c>
      <c r="F22" s="680">
        <v>9</v>
      </c>
      <c r="G22" s="680" t="s">
        <v>825</v>
      </c>
      <c r="H22" s="634">
        <f>I22*F22</f>
        <v>247.5</v>
      </c>
      <c r="I22" s="680">
        <v>27.5</v>
      </c>
      <c r="J22" s="634">
        <f>K22*F22</f>
        <v>133.20000000000002</v>
      </c>
      <c r="K22" s="680">
        <v>14.8</v>
      </c>
      <c r="L22" s="634">
        <f>M22*F22</f>
        <v>261</v>
      </c>
      <c r="M22" s="680">
        <v>29</v>
      </c>
      <c r="N22" s="634">
        <f>O22*F22</f>
        <v>145.79999999999998</v>
      </c>
      <c r="O22" s="680">
        <v>16.2</v>
      </c>
      <c r="P22" s="654">
        <f>AVERAGE(I22,K22,M22,O22)</f>
        <v>21.875</v>
      </c>
      <c r="Q22" s="634">
        <f>F22*R22</f>
        <v>180</v>
      </c>
      <c r="R22" s="680">
        <v>20</v>
      </c>
      <c r="S22" s="634">
        <f>F22*T22</f>
        <v>90</v>
      </c>
      <c r="T22" s="680">
        <v>10</v>
      </c>
      <c r="U22" s="634">
        <f>F22*V22</f>
        <v>198</v>
      </c>
      <c r="V22" s="680">
        <v>22</v>
      </c>
      <c r="W22" s="634">
        <f>X22*F22</f>
        <v>270</v>
      </c>
      <c r="X22" s="676">
        <v>30</v>
      </c>
      <c r="Y22" s="634">
        <f>Z22*F22</f>
        <v>135</v>
      </c>
      <c r="Z22" s="676">
        <v>15</v>
      </c>
      <c r="AA22" s="634">
        <f>AB22*F22</f>
        <v>225</v>
      </c>
      <c r="AB22" s="676">
        <v>25</v>
      </c>
      <c r="AC22" s="634">
        <f>AD22*F22</f>
        <v>90</v>
      </c>
      <c r="AD22" s="676">
        <v>10</v>
      </c>
      <c r="AE22" s="634">
        <f>AF22*F22</f>
        <v>180</v>
      </c>
      <c r="AF22" s="676">
        <v>20</v>
      </c>
      <c r="AG22" s="634">
        <f>AH22*F22</f>
        <v>180</v>
      </c>
      <c r="AH22" s="676">
        <v>20</v>
      </c>
      <c r="AI22" s="679">
        <f>AJ22*F22</f>
        <v>135</v>
      </c>
      <c r="AJ22" s="676">
        <v>15</v>
      </c>
      <c r="AK22" s="670">
        <f>AVERAGE(R22,T22,V22,X22,Z22,AB22,AD22,AF22,AH22,AJ22)</f>
        <v>18.7</v>
      </c>
    </row>
    <row r="23" spans="1:37" ht="39.75" hidden="1" customHeight="1" thickBot="1">
      <c r="A23" s="791"/>
      <c r="B23" s="668" t="s">
        <v>198</v>
      </c>
      <c r="C23" s="668" t="s">
        <v>815</v>
      </c>
      <c r="D23" s="789"/>
      <c r="E23" s="668">
        <v>2010</v>
      </c>
      <c r="F23" s="668">
        <v>5</v>
      </c>
      <c r="G23" s="668" t="s">
        <v>825</v>
      </c>
      <c r="H23" s="678">
        <f>I23*F23</f>
        <v>81</v>
      </c>
      <c r="I23" s="668">
        <v>16.2</v>
      </c>
      <c r="J23" s="678">
        <f>K23*F23</f>
        <v>23.900000000000002</v>
      </c>
      <c r="K23" s="668">
        <v>4.78</v>
      </c>
      <c r="L23" s="678">
        <f>M23*F23</f>
        <v>65</v>
      </c>
      <c r="M23" s="668">
        <v>13</v>
      </c>
      <c r="N23" s="678">
        <f>O23*F23</f>
        <v>29.5</v>
      </c>
      <c r="O23" s="668">
        <v>5.9</v>
      </c>
      <c r="P23" s="655">
        <f>AVERAGE(I23,K23,M23,O23)</f>
        <v>9.9700000000000006</v>
      </c>
      <c r="Q23" s="678">
        <f>F23*R23</f>
        <v>50</v>
      </c>
      <c r="R23" s="668">
        <v>10</v>
      </c>
      <c r="S23" s="678">
        <f>F23*T23</f>
        <v>50</v>
      </c>
      <c r="T23" s="668">
        <v>10</v>
      </c>
      <c r="U23" s="678">
        <f>F23*V23</f>
        <v>45</v>
      </c>
      <c r="V23" s="668">
        <v>9</v>
      </c>
      <c r="W23" s="678">
        <f>X23*F23</f>
        <v>50</v>
      </c>
      <c r="X23" s="676">
        <v>10</v>
      </c>
      <c r="Y23" s="678">
        <f>Z23*F23</f>
        <v>75</v>
      </c>
      <c r="Z23" s="676">
        <v>15</v>
      </c>
      <c r="AA23" s="678">
        <f>AB23*F23</f>
        <v>50</v>
      </c>
      <c r="AB23" s="676">
        <v>10</v>
      </c>
      <c r="AC23" s="678">
        <f>AD23*F23</f>
        <v>75</v>
      </c>
      <c r="AD23" s="676">
        <v>15</v>
      </c>
      <c r="AE23" s="678">
        <f>AF23*F23</f>
        <v>75</v>
      </c>
      <c r="AF23" s="676">
        <v>15</v>
      </c>
      <c r="AG23" s="678">
        <f>AH23*F23</f>
        <v>100</v>
      </c>
      <c r="AH23" s="676">
        <v>20</v>
      </c>
      <c r="AI23" s="677">
        <f>AJ23*F23</f>
        <v>75</v>
      </c>
      <c r="AJ23" s="676">
        <v>15</v>
      </c>
      <c r="AK23" s="670">
        <f>AVERAGE(R23,T23,V23,X23,Z23,AB23,AD23,AF23,AH23,AJ23)</f>
        <v>12.9</v>
      </c>
    </row>
    <row r="24" spans="1:37" ht="39.75" hidden="1" customHeight="1" thickBot="1">
      <c r="A24" s="791"/>
      <c r="B24" s="668" t="s">
        <v>94</v>
      </c>
      <c r="C24" s="668" t="s">
        <v>815</v>
      </c>
      <c r="D24" s="789"/>
      <c r="E24" s="668">
        <v>2010</v>
      </c>
      <c r="F24" s="668">
        <v>2</v>
      </c>
      <c r="G24" s="668" t="s">
        <v>825</v>
      </c>
      <c r="H24" s="678">
        <f>I24*F24</f>
        <v>7.82</v>
      </c>
      <c r="I24" s="668">
        <v>3.91</v>
      </c>
      <c r="J24" s="678">
        <f>K24*F24</f>
        <v>5.58</v>
      </c>
      <c r="K24" s="668">
        <v>2.79</v>
      </c>
      <c r="L24" s="678">
        <f>M24*F24</f>
        <v>8.36</v>
      </c>
      <c r="M24" s="668">
        <v>4.18</v>
      </c>
      <c r="N24" s="678">
        <f>O24*F24</f>
        <v>4.2</v>
      </c>
      <c r="O24" s="668">
        <v>2.1</v>
      </c>
      <c r="P24" s="655">
        <f>AVERAGE(I24,K24,M24,O24)</f>
        <v>3.2449999999999997</v>
      </c>
      <c r="Q24" s="678">
        <f>F24*R24</f>
        <v>8</v>
      </c>
      <c r="R24" s="668">
        <v>4</v>
      </c>
      <c r="S24" s="678">
        <f>F24*T24</f>
        <v>8</v>
      </c>
      <c r="T24" s="668">
        <v>4</v>
      </c>
      <c r="U24" s="678">
        <f>F24*V24</f>
        <v>24</v>
      </c>
      <c r="V24" s="668">
        <v>12</v>
      </c>
      <c r="W24" s="678">
        <f>X24*F24</f>
        <v>10</v>
      </c>
      <c r="X24" s="676">
        <v>5</v>
      </c>
      <c r="Y24" s="678">
        <f>Z24*F24</f>
        <v>20</v>
      </c>
      <c r="Z24" s="676">
        <v>10</v>
      </c>
      <c r="AA24" s="678">
        <f>AB24*F24</f>
        <v>10</v>
      </c>
      <c r="AB24" s="676">
        <v>5</v>
      </c>
      <c r="AC24" s="678">
        <f>AD24*F24</f>
        <v>20</v>
      </c>
      <c r="AD24" s="676">
        <v>10</v>
      </c>
      <c r="AE24" s="678">
        <f>AF24*F24</f>
        <v>20</v>
      </c>
      <c r="AF24" s="676">
        <v>10</v>
      </c>
      <c r="AG24" s="678">
        <f>AH24*F24</f>
        <v>20</v>
      </c>
      <c r="AH24" s="676">
        <v>10</v>
      </c>
      <c r="AI24" s="677">
        <f>AJ24*F24</f>
        <v>10</v>
      </c>
      <c r="AJ24" s="676">
        <v>5</v>
      </c>
      <c r="AK24" s="670">
        <f>AVERAGE(R24,T24,V24,X24,Z24,AB24,AD24,AF24,AH24,AJ24)</f>
        <v>7.5</v>
      </c>
    </row>
    <row r="25" spans="1:37" ht="39.75" hidden="1" customHeight="1" thickBot="1">
      <c r="A25" s="791"/>
      <c r="B25" s="668" t="s">
        <v>227</v>
      </c>
      <c r="C25" s="668" t="s">
        <v>815</v>
      </c>
      <c r="D25" s="789"/>
      <c r="E25" s="668">
        <v>2010</v>
      </c>
      <c r="F25" s="668">
        <v>4</v>
      </c>
      <c r="G25" s="668" t="s">
        <v>825</v>
      </c>
      <c r="H25" s="678">
        <f>I25*F25</f>
        <v>8.64</v>
      </c>
      <c r="I25" s="668">
        <v>2.16</v>
      </c>
      <c r="J25" s="678">
        <f>K25*F25</f>
        <v>3.48</v>
      </c>
      <c r="K25" s="668">
        <v>0.87</v>
      </c>
      <c r="L25" s="678">
        <f>M25*F25</f>
        <v>4.32</v>
      </c>
      <c r="M25" s="668">
        <v>1.08</v>
      </c>
      <c r="N25" s="678">
        <f>O25*F25</f>
        <v>12.8</v>
      </c>
      <c r="O25" s="668">
        <v>3.2</v>
      </c>
      <c r="P25" s="655">
        <f>AVERAGE(I25,K25,M25,O25)</f>
        <v>1.8275000000000001</v>
      </c>
      <c r="Q25" s="678">
        <f>F25*R25</f>
        <v>40</v>
      </c>
      <c r="R25" s="668">
        <v>10</v>
      </c>
      <c r="S25" s="678">
        <f>F25*T25</f>
        <v>40</v>
      </c>
      <c r="T25" s="668">
        <v>10</v>
      </c>
      <c r="U25" s="678">
        <f>F25*V25</f>
        <v>44</v>
      </c>
      <c r="V25" s="668">
        <v>11</v>
      </c>
      <c r="W25" s="678">
        <f>X25*F25</f>
        <v>20</v>
      </c>
      <c r="X25" s="676">
        <v>5</v>
      </c>
      <c r="Y25" s="678">
        <f>Z25*F25</f>
        <v>40</v>
      </c>
      <c r="Z25" s="676">
        <v>10</v>
      </c>
      <c r="AA25" s="678">
        <f>AB25*F25</f>
        <v>20</v>
      </c>
      <c r="AB25" s="676">
        <v>5</v>
      </c>
      <c r="AC25" s="678">
        <f>AD25*F25</f>
        <v>20</v>
      </c>
      <c r="AD25" s="676">
        <v>5</v>
      </c>
      <c r="AE25" s="678">
        <f>AF25*F25</f>
        <v>40</v>
      </c>
      <c r="AF25" s="676">
        <v>10</v>
      </c>
      <c r="AG25" s="678">
        <f>AH25*F25</f>
        <v>40</v>
      </c>
      <c r="AH25" s="676">
        <v>10</v>
      </c>
      <c r="AI25" s="677">
        <f>AJ25*F25</f>
        <v>20</v>
      </c>
      <c r="AJ25" s="676">
        <v>5</v>
      </c>
      <c r="AK25" s="670">
        <f>AVERAGE(R25,T25,V25,X25,Z25,AB25,AD25,AF25,AH25,AJ25)</f>
        <v>8.1</v>
      </c>
    </row>
    <row r="26" spans="1:37" ht="39.75" hidden="1" customHeight="1" thickBot="1">
      <c r="A26" s="791"/>
      <c r="B26" s="674" t="s">
        <v>220</v>
      </c>
      <c r="C26" s="674" t="s">
        <v>815</v>
      </c>
      <c r="D26" s="790"/>
      <c r="E26" s="674">
        <v>2010</v>
      </c>
      <c r="F26" s="674">
        <v>7.74</v>
      </c>
      <c r="G26" s="674" t="s">
        <v>825</v>
      </c>
      <c r="H26" s="673">
        <f>I26*F26</f>
        <v>188.08200000000002</v>
      </c>
      <c r="I26" s="674">
        <v>24.3</v>
      </c>
      <c r="J26" s="673">
        <f>K26*F26</f>
        <v>21.439800000000002</v>
      </c>
      <c r="K26" s="674">
        <v>2.77</v>
      </c>
      <c r="L26" s="673">
        <f>M26*F26</f>
        <v>214.398</v>
      </c>
      <c r="M26" s="674">
        <v>27.7</v>
      </c>
      <c r="N26" s="673">
        <f>O26*F26</f>
        <v>189.63</v>
      </c>
      <c r="O26" s="674">
        <v>24.5</v>
      </c>
      <c r="P26" s="675">
        <f>AVERAGE(I26,K26,M26,O26)</f>
        <v>19.817499999999999</v>
      </c>
      <c r="Q26" s="673">
        <f>F26*R26</f>
        <v>77.400000000000006</v>
      </c>
      <c r="R26" s="674">
        <v>10</v>
      </c>
      <c r="S26" s="673">
        <f>F26*T26</f>
        <v>77.400000000000006</v>
      </c>
      <c r="T26" s="674">
        <v>10</v>
      </c>
      <c r="U26" s="673">
        <f>F26*V26</f>
        <v>147.06</v>
      </c>
      <c r="V26" s="674">
        <v>19</v>
      </c>
      <c r="W26" s="673">
        <f>X26*F26</f>
        <v>77.400000000000006</v>
      </c>
      <c r="X26" s="671">
        <v>10</v>
      </c>
      <c r="Y26" s="673">
        <f>Z26*F26</f>
        <v>116.10000000000001</v>
      </c>
      <c r="Z26" s="671">
        <v>15</v>
      </c>
      <c r="AA26" s="673">
        <f>AB26*F26</f>
        <v>77.400000000000006</v>
      </c>
      <c r="AB26" s="671">
        <v>10</v>
      </c>
      <c r="AC26" s="673">
        <f>AD26*F26</f>
        <v>116.10000000000001</v>
      </c>
      <c r="AD26" s="671">
        <v>15</v>
      </c>
      <c r="AE26" s="673">
        <f>AF26*F26</f>
        <v>77.400000000000006</v>
      </c>
      <c r="AF26" s="671">
        <v>10</v>
      </c>
      <c r="AG26" s="673">
        <f>AH26*F26</f>
        <v>116.10000000000001</v>
      </c>
      <c r="AH26" s="671">
        <v>15</v>
      </c>
      <c r="AI26" s="672">
        <f>AJ26*F26</f>
        <v>77.400000000000006</v>
      </c>
      <c r="AJ26" s="671">
        <v>10</v>
      </c>
      <c r="AK26" s="670">
        <f>AVERAGE(R26,T26,V26,X26,Z26,AB26,AD26,AF26,AH26,AJ26)</f>
        <v>12.4</v>
      </c>
    </row>
    <row r="27" spans="1:37" ht="39.75" hidden="1" customHeight="1" thickTop="1" thickBot="1">
      <c r="A27" s="792"/>
      <c r="B27" s="657" t="s">
        <v>176</v>
      </c>
      <c r="C27" s="657"/>
      <c r="D27" s="657"/>
      <c r="E27" s="657"/>
      <c r="F27" s="657">
        <v>27.74</v>
      </c>
      <c r="G27" s="657" t="s">
        <v>825</v>
      </c>
      <c r="H27" s="658">
        <f>SUM(H22:H26)</f>
        <v>533.04200000000003</v>
      </c>
      <c r="I27" s="659">
        <f>H27/F27</f>
        <v>19.215645277577508</v>
      </c>
      <c r="J27" s="658">
        <f>SUM(J22:J26)</f>
        <v>187.59980000000002</v>
      </c>
      <c r="K27" s="659">
        <f>J27/F27</f>
        <v>6.7627901946647446</v>
      </c>
      <c r="L27" s="658">
        <f>SUM(L22:L26)</f>
        <v>553.07799999999997</v>
      </c>
      <c r="M27" s="659">
        <f>L27/F27</f>
        <v>19.937923576063447</v>
      </c>
      <c r="N27" s="658">
        <f>SUM(N22:N26)</f>
        <v>381.92999999999995</v>
      </c>
      <c r="O27" s="659">
        <f>N27/F27</f>
        <v>13.768204758471521</v>
      </c>
      <c r="P27" s="659"/>
      <c r="Q27" s="658">
        <f>SUM(Q22:Q26)</f>
        <v>355.4</v>
      </c>
      <c r="R27" s="659">
        <f>Q27/F27</f>
        <v>12.811824080749819</v>
      </c>
      <c r="S27" s="658">
        <f>SUM(S22:S26)</f>
        <v>265.39999999999998</v>
      </c>
      <c r="T27" s="659">
        <f>S27/F27</f>
        <v>9.5674116798846427</v>
      </c>
      <c r="U27" s="658">
        <f>SUM(U22:U26)</f>
        <v>458.06</v>
      </c>
      <c r="V27" s="657">
        <f>U27/F27</f>
        <v>16.512617159336699</v>
      </c>
      <c r="W27" s="658">
        <f>SUM(W22:W26)</f>
        <v>427.4</v>
      </c>
      <c r="X27" s="657">
        <f>W27/F27</f>
        <v>15.407354001441961</v>
      </c>
      <c r="Y27" s="658">
        <f>SUM(Y22:Y26)</f>
        <v>386.1</v>
      </c>
      <c r="Z27" s="657">
        <f>Y27/F27</f>
        <v>13.918529199711609</v>
      </c>
      <c r="AA27" s="658">
        <f>SUM(AA22:AA26)</f>
        <v>382.4</v>
      </c>
      <c r="AB27" s="657">
        <f>AA27/F27</f>
        <v>13.785147801009373</v>
      </c>
      <c r="AC27" s="658">
        <f>SUM(AC22:AC26)</f>
        <v>321.10000000000002</v>
      </c>
      <c r="AD27" s="657">
        <f>AC27/F27</f>
        <v>11.575342465753426</v>
      </c>
      <c r="AE27" s="658">
        <f>SUM(AE22:AE26)</f>
        <v>392.4</v>
      </c>
      <c r="AF27" s="657">
        <f>AE27/F27</f>
        <v>14.14563806777217</v>
      </c>
      <c r="AG27" s="658">
        <f>SUM(AG22:AG26)</f>
        <v>456.1</v>
      </c>
      <c r="AH27" s="657">
        <f>AG27/F27</f>
        <v>16.441961067051192</v>
      </c>
      <c r="AI27" s="658">
        <f>SUM(AI22:AI26)</f>
        <v>317.39999999999998</v>
      </c>
      <c r="AJ27" s="657">
        <f>AI27/F27</f>
        <v>11.441961067051189</v>
      </c>
      <c r="AK27" s="670"/>
    </row>
    <row r="28" spans="1:37" ht="39.75" hidden="1" customHeight="1" thickTop="1" thickBot="1">
      <c r="A28" s="791" t="s">
        <v>818</v>
      </c>
      <c r="B28" s="680" t="s">
        <v>91</v>
      </c>
      <c r="C28" s="680" t="s">
        <v>815</v>
      </c>
      <c r="D28" s="680" t="s">
        <v>817</v>
      </c>
      <c r="E28" s="680">
        <v>2014</v>
      </c>
      <c r="F28" s="680">
        <v>9</v>
      </c>
      <c r="G28" s="680" t="s">
        <v>813</v>
      </c>
      <c r="H28" s="634">
        <f>I28*F28</f>
        <v>44.19</v>
      </c>
      <c r="I28" s="680">
        <v>4.91</v>
      </c>
      <c r="J28" s="634">
        <f>K28*F28</f>
        <v>70.289999999999992</v>
      </c>
      <c r="K28" s="680">
        <v>7.81</v>
      </c>
      <c r="L28" s="634">
        <f>M28*F28</f>
        <v>48.87</v>
      </c>
      <c r="M28" s="680">
        <v>5.43</v>
      </c>
      <c r="N28" s="634">
        <f>O28*F28</f>
        <v>109.8</v>
      </c>
      <c r="O28" s="680">
        <v>12.2</v>
      </c>
      <c r="P28" s="654">
        <f>AVERAGE(I28,K28,M28,O28)</f>
        <v>7.5874999999999995</v>
      </c>
      <c r="Q28" s="634">
        <f>F28*R28</f>
        <v>90</v>
      </c>
      <c r="R28" s="680">
        <v>10</v>
      </c>
      <c r="S28" s="634">
        <f>F28*T28</f>
        <v>63</v>
      </c>
      <c r="T28" s="680">
        <v>7</v>
      </c>
      <c r="U28" s="634">
        <f>F28*V28</f>
        <v>63</v>
      </c>
      <c r="V28" s="680">
        <v>7</v>
      </c>
      <c r="W28" s="634">
        <f>X28*F28</f>
        <v>180</v>
      </c>
      <c r="X28" s="676">
        <v>20</v>
      </c>
      <c r="Y28" s="634">
        <f>Z28*F28</f>
        <v>135</v>
      </c>
      <c r="Z28" s="676">
        <v>15</v>
      </c>
      <c r="AA28" s="634">
        <f>AB28*F28</f>
        <v>225</v>
      </c>
      <c r="AB28" s="676">
        <v>25</v>
      </c>
      <c r="AC28" s="634">
        <f>AD28*F28</f>
        <v>135</v>
      </c>
      <c r="AD28" s="676">
        <v>15</v>
      </c>
      <c r="AE28" s="634">
        <f>AF28*F28</f>
        <v>225</v>
      </c>
      <c r="AF28" s="676">
        <v>25</v>
      </c>
      <c r="AG28" s="634">
        <f>AH28*F28</f>
        <v>225</v>
      </c>
      <c r="AH28" s="676">
        <v>25</v>
      </c>
      <c r="AI28" s="679">
        <f>AJ28*F28</f>
        <v>180</v>
      </c>
      <c r="AJ28" s="676">
        <v>20</v>
      </c>
      <c r="AK28" s="670">
        <f>AVERAGE(R28,T28,V28,X28,Z28,AB28,AD28,AF28,AH28,AJ28)</f>
        <v>16.899999999999999</v>
      </c>
    </row>
    <row r="29" spans="1:37" ht="39.75" hidden="1" customHeight="1" thickBot="1">
      <c r="A29" s="791"/>
      <c r="B29" s="668" t="s">
        <v>93</v>
      </c>
      <c r="C29" s="668" t="s">
        <v>815</v>
      </c>
      <c r="D29" s="668" t="s">
        <v>816</v>
      </c>
      <c r="E29" s="668">
        <v>2014</v>
      </c>
      <c r="F29" s="668">
        <v>15.75</v>
      </c>
      <c r="G29" s="668" t="s">
        <v>813</v>
      </c>
      <c r="H29" s="678">
        <f>I29*F29</f>
        <v>33.39</v>
      </c>
      <c r="I29" s="668">
        <v>2.12</v>
      </c>
      <c r="J29" s="678">
        <f>K29*F29</f>
        <v>109.14749999999999</v>
      </c>
      <c r="K29" s="668">
        <v>6.93</v>
      </c>
      <c r="L29" s="678">
        <f>M29*F29</f>
        <v>22.68</v>
      </c>
      <c r="M29" s="668">
        <v>1.44</v>
      </c>
      <c r="N29" s="678">
        <f>O29*F29</f>
        <v>85.050000000000011</v>
      </c>
      <c r="O29" s="668">
        <v>5.4</v>
      </c>
      <c r="P29" s="655">
        <f>AVERAGE(I29,K29,M29,O29)</f>
        <v>3.9725000000000001</v>
      </c>
      <c r="Q29" s="678">
        <f>F29*R29</f>
        <v>31.5</v>
      </c>
      <c r="R29" s="668">
        <v>2</v>
      </c>
      <c r="S29" s="678">
        <f>F29*T29</f>
        <v>78.75</v>
      </c>
      <c r="T29" s="668">
        <v>5</v>
      </c>
      <c r="U29" s="678">
        <f>F29*V29</f>
        <v>78.75</v>
      </c>
      <c r="V29" s="668">
        <v>5</v>
      </c>
      <c r="W29" s="678">
        <f>X29*F29</f>
        <v>157.5</v>
      </c>
      <c r="X29" s="676">
        <v>10</v>
      </c>
      <c r="Y29" s="678">
        <f>Z29*F29</f>
        <v>236.25</v>
      </c>
      <c r="Z29" s="676">
        <v>15</v>
      </c>
      <c r="AA29" s="678">
        <f>AB29*F29</f>
        <v>157.5</v>
      </c>
      <c r="AB29" s="676">
        <v>10</v>
      </c>
      <c r="AC29" s="678">
        <f>AD29*F29</f>
        <v>236.25</v>
      </c>
      <c r="AD29" s="676">
        <v>15</v>
      </c>
      <c r="AE29" s="678">
        <f>AF29*F29</f>
        <v>157.5</v>
      </c>
      <c r="AF29" s="676">
        <v>10</v>
      </c>
      <c r="AG29" s="678">
        <f>AH29*F29</f>
        <v>236.25</v>
      </c>
      <c r="AH29" s="676">
        <v>15</v>
      </c>
      <c r="AI29" s="677">
        <f>AJ29*F29</f>
        <v>157.5</v>
      </c>
      <c r="AJ29" s="676">
        <v>10</v>
      </c>
      <c r="AK29" s="670">
        <f>AVERAGE(R29,T29,V29,X29,Z29,AB29,AD29,AF29,AH29,AJ29)</f>
        <v>9.6999999999999993</v>
      </c>
    </row>
    <row r="30" spans="1:37" ht="39.75" hidden="1" customHeight="1" thickBot="1">
      <c r="A30" s="791"/>
      <c r="B30" s="668" t="s">
        <v>93</v>
      </c>
      <c r="C30" s="668" t="s">
        <v>815</v>
      </c>
      <c r="D30" s="668" t="s">
        <v>821</v>
      </c>
      <c r="E30" s="668">
        <v>2014</v>
      </c>
      <c r="F30" s="668">
        <v>4.05</v>
      </c>
      <c r="G30" s="668" t="s">
        <v>813</v>
      </c>
      <c r="H30" s="678">
        <f>I30*F30</f>
        <v>0</v>
      </c>
      <c r="I30" s="668"/>
      <c r="J30" s="678">
        <f>K30*F30</f>
        <v>0</v>
      </c>
      <c r="K30" s="668"/>
      <c r="L30" s="678">
        <f>M30*F30</f>
        <v>0</v>
      </c>
      <c r="M30" s="668"/>
      <c r="N30" s="678">
        <f>O30*F30</f>
        <v>0</v>
      </c>
      <c r="O30" s="668"/>
      <c r="P30" s="655">
        <v>0</v>
      </c>
      <c r="Q30" s="678">
        <f>F30*R30</f>
        <v>8.1</v>
      </c>
      <c r="R30" s="668">
        <v>2</v>
      </c>
      <c r="S30" s="678">
        <f>F30*T30</f>
        <v>8.1</v>
      </c>
      <c r="T30" s="668">
        <v>2</v>
      </c>
      <c r="U30" s="678">
        <f>F30*V30</f>
        <v>20.25</v>
      </c>
      <c r="V30" s="668">
        <v>5</v>
      </c>
      <c r="W30" s="678">
        <f>X30*F30</f>
        <v>40.5</v>
      </c>
      <c r="X30" s="676">
        <v>10</v>
      </c>
      <c r="Y30" s="678">
        <f>Z30*F30</f>
        <v>40.5</v>
      </c>
      <c r="Z30" s="676">
        <v>10</v>
      </c>
      <c r="AA30" s="678">
        <f>AB30*F30</f>
        <v>60.75</v>
      </c>
      <c r="AB30" s="676">
        <v>15</v>
      </c>
      <c r="AC30" s="678">
        <f>AD30*F30</f>
        <v>40.5</v>
      </c>
      <c r="AD30" s="676">
        <v>10</v>
      </c>
      <c r="AE30" s="678">
        <f>AF30*F30</f>
        <v>60.75</v>
      </c>
      <c r="AF30" s="676">
        <v>15</v>
      </c>
      <c r="AG30" s="678">
        <f>AH30*F30</f>
        <v>60.75</v>
      </c>
      <c r="AH30" s="676">
        <v>15</v>
      </c>
      <c r="AI30" s="677">
        <f>AJ30*F30</f>
        <v>40.5</v>
      </c>
      <c r="AJ30" s="676">
        <v>10</v>
      </c>
      <c r="AK30" s="670">
        <f>AVERAGE(R30,T30,V30,X30,Z30,AB30,AD30,AF30,AH30,AJ30)</f>
        <v>9.4</v>
      </c>
    </row>
    <row r="31" spans="1:37" ht="39.75" hidden="1" customHeight="1" thickBot="1">
      <c r="A31" s="791"/>
      <c r="B31" s="674" t="s">
        <v>198</v>
      </c>
      <c r="C31" s="674" t="s">
        <v>815</v>
      </c>
      <c r="D31" s="674" t="s">
        <v>814</v>
      </c>
      <c r="E31" s="674">
        <v>2014</v>
      </c>
      <c r="F31" s="674">
        <v>13.61</v>
      </c>
      <c r="G31" s="674" t="s">
        <v>813</v>
      </c>
      <c r="H31" s="673">
        <f>I31*F31</f>
        <v>31.847399999999997</v>
      </c>
      <c r="I31" s="674">
        <v>2.34</v>
      </c>
      <c r="J31" s="673">
        <f>K31*F31</f>
        <v>176.93</v>
      </c>
      <c r="K31" s="674">
        <v>13</v>
      </c>
      <c r="L31" s="673">
        <f>M31*F31</f>
        <v>148.34899999999999</v>
      </c>
      <c r="M31" s="674">
        <v>10.9</v>
      </c>
      <c r="N31" s="673">
        <f>O31*F31</f>
        <v>431.43699999999995</v>
      </c>
      <c r="O31" s="674">
        <v>31.7</v>
      </c>
      <c r="P31" s="675">
        <f>AVERAGE(I31,K31,M31,O31)</f>
        <v>14.484999999999999</v>
      </c>
      <c r="Q31" s="673">
        <f>F31*R31</f>
        <v>136.1</v>
      </c>
      <c r="R31" s="674">
        <v>10</v>
      </c>
      <c r="S31" s="673">
        <f>F31*T31</f>
        <v>408.29999999999995</v>
      </c>
      <c r="T31" s="674">
        <v>30</v>
      </c>
      <c r="U31" s="673">
        <f>F31*V31</f>
        <v>136.1</v>
      </c>
      <c r="V31" s="674">
        <v>10</v>
      </c>
      <c r="W31" s="673">
        <f>X31*F31</f>
        <v>408.29999999999995</v>
      </c>
      <c r="X31" s="671">
        <v>30</v>
      </c>
      <c r="Y31" s="673">
        <f>Z31*F31</f>
        <v>136.1</v>
      </c>
      <c r="Z31" s="671">
        <v>10</v>
      </c>
      <c r="AA31" s="673">
        <f>AB31*F31</f>
        <v>476.34999999999997</v>
      </c>
      <c r="AB31" s="671">
        <v>35</v>
      </c>
      <c r="AC31" s="673">
        <f>AD31*F31</f>
        <v>136.1</v>
      </c>
      <c r="AD31" s="671">
        <v>10</v>
      </c>
      <c r="AE31" s="673">
        <f>AF31*F31</f>
        <v>408.29999999999995</v>
      </c>
      <c r="AF31" s="671">
        <v>30</v>
      </c>
      <c r="AG31" s="673">
        <f>AH31*F31</f>
        <v>272.2</v>
      </c>
      <c r="AH31" s="671">
        <v>20</v>
      </c>
      <c r="AI31" s="672">
        <f>AJ31*F31</f>
        <v>408.29999999999995</v>
      </c>
      <c r="AJ31" s="671">
        <v>30</v>
      </c>
      <c r="AK31" s="670">
        <f>AVERAGE(R31,T31,V31,X31,Z31,AB31,AD31,AF31,AH31,AJ31)</f>
        <v>21.5</v>
      </c>
    </row>
    <row r="32" spans="1:37" ht="39.75" hidden="1" customHeight="1" thickTop="1" thickBot="1">
      <c r="A32" s="792"/>
      <c r="B32" s="657" t="s">
        <v>176</v>
      </c>
      <c r="C32" s="657"/>
      <c r="D32" s="657"/>
      <c r="E32" s="657"/>
      <c r="F32" s="657">
        <v>42.41</v>
      </c>
      <c r="G32" s="657" t="s">
        <v>813</v>
      </c>
      <c r="H32" s="658">
        <f>SUM(H28:H31)</f>
        <v>109.42739999999999</v>
      </c>
      <c r="I32" s="659">
        <f>H32/F32</f>
        <v>2.5802263617071444</v>
      </c>
      <c r="J32" s="658">
        <f>SUM(J28:J31)</f>
        <v>356.36750000000001</v>
      </c>
      <c r="K32" s="659">
        <f>J32/F32</f>
        <v>8.4029120490450371</v>
      </c>
      <c r="L32" s="658">
        <f>SUM(L28:L31)</f>
        <v>219.899</v>
      </c>
      <c r="M32" s="659">
        <f>L32/F32</f>
        <v>5.1850742749351575</v>
      </c>
      <c r="N32" s="658">
        <f>SUM(N28:N31)</f>
        <v>626.28700000000003</v>
      </c>
      <c r="O32" s="659">
        <f>N32/F32</f>
        <v>14.767436925253479</v>
      </c>
      <c r="P32" s="659"/>
      <c r="Q32" s="658">
        <f>SUM(Q28:Q31)</f>
        <v>265.7</v>
      </c>
      <c r="R32" s="659">
        <f>Q32/F32</f>
        <v>6.2650318321150671</v>
      </c>
      <c r="S32" s="658">
        <f>SUM(S28:S31)</f>
        <v>558.15</v>
      </c>
      <c r="T32" s="659">
        <f>S32/F32</f>
        <v>13.160811129450602</v>
      </c>
      <c r="U32" s="658">
        <f>SUM(U28:U31)</f>
        <v>298.10000000000002</v>
      </c>
      <c r="V32" s="657">
        <f>U32/F32</f>
        <v>7.0290025937278955</v>
      </c>
      <c r="W32" s="658">
        <f>SUM(W28:W31)</f>
        <v>786.3</v>
      </c>
      <c r="X32" s="657">
        <f>W32/F32</f>
        <v>18.540438575807592</v>
      </c>
      <c r="Y32" s="658">
        <f>SUM(Y28:Y31)</f>
        <v>547.85</v>
      </c>
      <c r="Z32" s="657">
        <f>Y32/F32</f>
        <v>12.917943881160106</v>
      </c>
      <c r="AA32" s="658">
        <f>SUM(AA28:AA31)</f>
        <v>919.59999999999991</v>
      </c>
      <c r="AB32" s="657">
        <f>AA32/F32</f>
        <v>21.683565196887525</v>
      </c>
      <c r="AC32" s="658">
        <f>SUM(AC28:AC31)</f>
        <v>547.85</v>
      </c>
      <c r="AD32" s="657">
        <f>AC32/F32</f>
        <v>12.917943881160106</v>
      </c>
      <c r="AE32" s="658">
        <f>SUM(AE28:AE31)</f>
        <v>851.55</v>
      </c>
      <c r="AF32" s="657">
        <f>AE32/F32</f>
        <v>20.078990804055646</v>
      </c>
      <c r="AG32" s="658">
        <f>SUM(AG28:AG31)</f>
        <v>794.2</v>
      </c>
      <c r="AH32" s="657">
        <f>AG32/F32</f>
        <v>18.726715397311956</v>
      </c>
      <c r="AI32" s="658">
        <f>SUM(AI28:AI31)</f>
        <v>786.3</v>
      </c>
      <c r="AJ32" s="657">
        <f>AI32/F32</f>
        <v>18.540438575807592</v>
      </c>
      <c r="AK32" s="670"/>
    </row>
    <row r="33" spans="1:37" ht="39.75" hidden="1" customHeight="1" thickTop="1" thickBot="1">
      <c r="A33" s="791" t="s">
        <v>812</v>
      </c>
      <c r="B33" s="680" t="s">
        <v>93</v>
      </c>
      <c r="C33" s="680" t="s">
        <v>815</v>
      </c>
      <c r="D33" s="788" t="s">
        <v>816</v>
      </c>
      <c r="E33" s="680">
        <v>2014</v>
      </c>
      <c r="F33" s="680">
        <v>11</v>
      </c>
      <c r="G33" s="680" t="s">
        <v>820</v>
      </c>
      <c r="H33" s="634">
        <f>I33*F33</f>
        <v>0</v>
      </c>
      <c r="I33" s="680"/>
      <c r="J33" s="634">
        <f>K33*F33</f>
        <v>0</v>
      </c>
      <c r="K33" s="680"/>
      <c r="L33" s="634">
        <f>M33*F33</f>
        <v>17.71</v>
      </c>
      <c r="M33" s="680">
        <v>1.61</v>
      </c>
      <c r="N33" s="634">
        <f>O33*F33</f>
        <v>26.4</v>
      </c>
      <c r="O33" s="680">
        <v>2.4</v>
      </c>
      <c r="P33" s="654">
        <f>AVERAGE(I33,K33,M33,O33)</f>
        <v>2.0049999999999999</v>
      </c>
      <c r="Q33" s="634">
        <f>F33*R33</f>
        <v>55</v>
      </c>
      <c r="R33" s="680">
        <v>5</v>
      </c>
      <c r="S33" s="634">
        <f>F33*T33</f>
        <v>55</v>
      </c>
      <c r="T33" s="680">
        <v>5</v>
      </c>
      <c r="U33" s="634">
        <f>F33*V33</f>
        <v>55</v>
      </c>
      <c r="V33" s="680">
        <v>5</v>
      </c>
      <c r="W33" s="634">
        <f>X33*F33</f>
        <v>110</v>
      </c>
      <c r="X33" s="676">
        <v>10</v>
      </c>
      <c r="Y33" s="634">
        <f>Z33*F33</f>
        <v>110</v>
      </c>
      <c r="Z33" s="676">
        <v>10</v>
      </c>
      <c r="AA33" s="634">
        <f>AB33*F33</f>
        <v>165</v>
      </c>
      <c r="AB33" s="676">
        <v>15</v>
      </c>
      <c r="AC33" s="634">
        <f>AD33*F33</f>
        <v>110</v>
      </c>
      <c r="AD33" s="676">
        <v>10</v>
      </c>
      <c r="AE33" s="634">
        <f>AF33*F33</f>
        <v>165</v>
      </c>
      <c r="AF33" s="676">
        <v>15</v>
      </c>
      <c r="AG33" s="634">
        <f>AH33*F33</f>
        <v>165</v>
      </c>
      <c r="AH33" s="676">
        <v>15</v>
      </c>
      <c r="AI33" s="679">
        <f>AJ33*F33</f>
        <v>110</v>
      </c>
      <c r="AJ33" s="676">
        <v>10</v>
      </c>
      <c r="AK33" s="670">
        <f>AVERAGE(R33,T33,V33,X33,Z33,AB33,AD33,AF33,AH33,AJ33)</f>
        <v>10</v>
      </c>
    </row>
    <row r="34" spans="1:37" ht="39.75" hidden="1" customHeight="1" thickBot="1">
      <c r="A34" s="791"/>
      <c r="B34" s="668" t="s">
        <v>91</v>
      </c>
      <c r="C34" s="668" t="s">
        <v>815</v>
      </c>
      <c r="D34" s="789"/>
      <c r="E34" s="668">
        <v>2014</v>
      </c>
      <c r="F34" s="668">
        <v>8</v>
      </c>
      <c r="G34" s="668" t="s">
        <v>820</v>
      </c>
      <c r="H34" s="678">
        <f>I34*F34</f>
        <v>0</v>
      </c>
      <c r="I34" s="668"/>
      <c r="J34" s="678">
        <f>K34*F34</f>
        <v>0</v>
      </c>
      <c r="K34" s="668"/>
      <c r="L34" s="678">
        <f>M34*F34</f>
        <v>20.64</v>
      </c>
      <c r="M34" s="668">
        <v>2.58</v>
      </c>
      <c r="N34" s="678">
        <f>O34*F34</f>
        <v>29.6</v>
      </c>
      <c r="O34" s="668">
        <v>3.7</v>
      </c>
      <c r="P34" s="655">
        <f>AVERAGE(I34,K34,M34,O34)</f>
        <v>3.14</v>
      </c>
      <c r="Q34" s="678">
        <f>F34*R34</f>
        <v>80</v>
      </c>
      <c r="R34" s="668">
        <v>10</v>
      </c>
      <c r="S34" s="678">
        <f>F34*T34</f>
        <v>40</v>
      </c>
      <c r="T34" s="668">
        <v>5</v>
      </c>
      <c r="U34" s="678">
        <f>F34*V34</f>
        <v>40</v>
      </c>
      <c r="V34" s="668">
        <v>5</v>
      </c>
      <c r="W34" s="678">
        <f>X34*F34</f>
        <v>80</v>
      </c>
      <c r="X34" s="676">
        <v>10</v>
      </c>
      <c r="Y34" s="678">
        <f>Z34*F34</f>
        <v>120</v>
      </c>
      <c r="Z34" s="676">
        <v>15</v>
      </c>
      <c r="AA34" s="678">
        <f>AB34*F34</f>
        <v>160</v>
      </c>
      <c r="AB34" s="676">
        <v>20</v>
      </c>
      <c r="AC34" s="678">
        <f>AD34*F34</f>
        <v>80</v>
      </c>
      <c r="AD34" s="676">
        <v>10</v>
      </c>
      <c r="AE34" s="678">
        <f>AF34*F34</f>
        <v>200</v>
      </c>
      <c r="AF34" s="676">
        <v>25</v>
      </c>
      <c r="AG34" s="678">
        <f>AH34*F34</f>
        <v>160</v>
      </c>
      <c r="AH34" s="676">
        <v>20</v>
      </c>
      <c r="AI34" s="677">
        <f>AJ34*F34</f>
        <v>240</v>
      </c>
      <c r="AJ34" s="676">
        <v>30</v>
      </c>
      <c r="AK34" s="670">
        <f>AVERAGE(R34,T34,V34,X34,Z34,AB34,AD34,AF34,AH34,AJ34)</f>
        <v>15</v>
      </c>
    </row>
    <row r="35" spans="1:37" ht="39.75" hidden="1" customHeight="1" thickBot="1">
      <c r="A35" s="791"/>
      <c r="B35" s="674" t="s">
        <v>228</v>
      </c>
      <c r="C35" s="674" t="s">
        <v>815</v>
      </c>
      <c r="D35" s="790"/>
      <c r="E35" s="674">
        <v>2014</v>
      </c>
      <c r="F35" s="674">
        <v>5.31</v>
      </c>
      <c r="G35" s="674" t="s">
        <v>820</v>
      </c>
      <c r="H35" s="673">
        <f>I35*F35</f>
        <v>0</v>
      </c>
      <c r="I35" s="674"/>
      <c r="J35" s="673">
        <f>K35*F35</f>
        <v>0</v>
      </c>
      <c r="K35" s="674"/>
      <c r="L35" s="673">
        <f>M35*F35</f>
        <v>3.8231999999999995</v>
      </c>
      <c r="M35" s="674">
        <v>0.72</v>
      </c>
      <c r="N35" s="673">
        <f>O35*F35</f>
        <v>9.0269999999999992</v>
      </c>
      <c r="O35" s="674">
        <v>1.7</v>
      </c>
      <c r="P35" s="675">
        <f>AVERAGE(I35,K35,M35,O35)</f>
        <v>1.21</v>
      </c>
      <c r="Q35" s="673">
        <f>F35*R35</f>
        <v>21.24</v>
      </c>
      <c r="R35" s="674">
        <v>4</v>
      </c>
      <c r="S35" s="673">
        <f>F35*T35</f>
        <v>26.549999999999997</v>
      </c>
      <c r="T35" s="674">
        <v>5</v>
      </c>
      <c r="U35" s="673">
        <f>F35*V35</f>
        <v>26.549999999999997</v>
      </c>
      <c r="V35" s="674">
        <v>5</v>
      </c>
      <c r="W35" s="673">
        <f>X35*F35</f>
        <v>53.099999999999994</v>
      </c>
      <c r="X35" s="671">
        <v>10</v>
      </c>
      <c r="Y35" s="673">
        <f>Z35*F35</f>
        <v>79.649999999999991</v>
      </c>
      <c r="Z35" s="671">
        <v>15</v>
      </c>
      <c r="AA35" s="673">
        <f>AB35*F35</f>
        <v>106.19999999999999</v>
      </c>
      <c r="AB35" s="671">
        <v>20</v>
      </c>
      <c r="AC35" s="673">
        <f>AD35*F35</f>
        <v>53.099999999999994</v>
      </c>
      <c r="AD35" s="671">
        <v>10</v>
      </c>
      <c r="AE35" s="673">
        <f>AF35*F35</f>
        <v>106.19999999999999</v>
      </c>
      <c r="AF35" s="671">
        <v>20</v>
      </c>
      <c r="AG35" s="673">
        <f>AH35*F35</f>
        <v>132.75</v>
      </c>
      <c r="AH35" s="671">
        <v>25</v>
      </c>
      <c r="AI35" s="672">
        <f>AJ35*F35</f>
        <v>106.19999999999999</v>
      </c>
      <c r="AJ35" s="671">
        <v>20</v>
      </c>
      <c r="AK35" s="670">
        <f>AVERAGE(R35,T35,V35,X35,Z35,AB35,AD35,AF35,AH35,AJ35)</f>
        <v>13.4</v>
      </c>
    </row>
    <row r="36" spans="1:37" ht="39.75" hidden="1" customHeight="1" thickTop="1" thickBot="1">
      <c r="A36" s="792"/>
      <c r="B36" s="657" t="s">
        <v>176</v>
      </c>
      <c r="C36" s="657"/>
      <c r="D36" s="657"/>
      <c r="E36" s="657"/>
      <c r="F36" s="657">
        <v>24.31</v>
      </c>
      <c r="G36" s="657" t="s">
        <v>820</v>
      </c>
      <c r="H36" s="658">
        <f>SUM(H33:H35)</f>
        <v>0</v>
      </c>
      <c r="I36" s="659">
        <f>H36/F36</f>
        <v>0</v>
      </c>
      <c r="J36" s="658">
        <f>SUM(J33:J35)</f>
        <v>0</v>
      </c>
      <c r="K36" s="659">
        <f>J36/F36</f>
        <v>0</v>
      </c>
      <c r="L36" s="658">
        <f>SUM(L33:L35)</f>
        <v>42.173200000000001</v>
      </c>
      <c r="M36" s="659">
        <f>L36/F36</f>
        <v>1.7348087206910738</v>
      </c>
      <c r="N36" s="658">
        <f>SUM(N33:N35)</f>
        <v>65.027000000000001</v>
      </c>
      <c r="O36" s="659">
        <f>N36/F36</f>
        <v>2.6749074454956809</v>
      </c>
      <c r="P36" s="659"/>
      <c r="Q36" s="658">
        <f>SUM(Q33:Q35)</f>
        <v>156.24</v>
      </c>
      <c r="R36" s="659">
        <f>Q36/F36</f>
        <v>6.4269847799259567</v>
      </c>
      <c r="S36" s="658">
        <f>SUM(S33:S35)</f>
        <v>121.55</v>
      </c>
      <c r="T36" s="659">
        <f>S36/F36</f>
        <v>5</v>
      </c>
      <c r="U36" s="658">
        <f>SUM(U33:U35)</f>
        <v>121.55</v>
      </c>
      <c r="V36" s="657">
        <f>U36/F36</f>
        <v>5</v>
      </c>
      <c r="W36" s="658">
        <f>SUM(W33:W35)</f>
        <v>243.1</v>
      </c>
      <c r="X36" s="657">
        <f>W36/F36</f>
        <v>10</v>
      </c>
      <c r="Y36" s="658">
        <f>SUM(Y33:Y35)</f>
        <v>309.64999999999998</v>
      </c>
      <c r="Z36" s="657">
        <f>Y36/F36</f>
        <v>12.737556561085972</v>
      </c>
      <c r="AA36" s="658">
        <f>SUM(AA33:AA35)</f>
        <v>431.2</v>
      </c>
      <c r="AB36" s="657">
        <f>AA36/F36</f>
        <v>17.737556561085974</v>
      </c>
      <c r="AC36" s="658">
        <f>SUM(AC33:AC35)</f>
        <v>243.1</v>
      </c>
      <c r="AD36" s="657">
        <f>AC36/F36</f>
        <v>10</v>
      </c>
      <c r="AE36" s="658">
        <f>SUM(AE33:AE35)</f>
        <v>471.2</v>
      </c>
      <c r="AF36" s="657">
        <f>AE36/F36</f>
        <v>19.382969971205267</v>
      </c>
      <c r="AG36" s="658">
        <f>SUM(AG33:AG35)</f>
        <v>457.75</v>
      </c>
      <c r="AH36" s="657">
        <f>AG36/F36</f>
        <v>18.829699712052655</v>
      </c>
      <c r="AI36" s="658">
        <f>SUM(AI33:AI35)</f>
        <v>456.2</v>
      </c>
      <c r="AJ36" s="657">
        <f>AI36/F36</f>
        <v>18.76593994241053</v>
      </c>
      <c r="AK36" s="670"/>
    </row>
    <row r="37" spans="1:37" ht="39.75" hidden="1" customHeight="1" thickTop="1" thickBot="1">
      <c r="A37" s="791"/>
      <c r="B37" s="680" t="s">
        <v>91</v>
      </c>
      <c r="C37" s="680" t="s">
        <v>815</v>
      </c>
      <c r="D37" s="680" t="s">
        <v>817</v>
      </c>
      <c r="E37" s="680">
        <v>2014</v>
      </c>
      <c r="F37" s="680">
        <v>18.54</v>
      </c>
      <c r="G37" s="680" t="s">
        <v>813</v>
      </c>
      <c r="H37" s="634">
        <f t="shared" ref="H37:H42" si="0">I37*F37</f>
        <v>97.334999999999994</v>
      </c>
      <c r="I37" s="680">
        <v>5.25</v>
      </c>
      <c r="J37" s="634">
        <f t="shared" ref="J37:J42" si="1">K37*F37</f>
        <v>136.26899999999998</v>
      </c>
      <c r="K37" s="680">
        <v>7.35</v>
      </c>
      <c r="L37" s="634">
        <f t="shared" ref="L37:L42" si="2">M37*F37</f>
        <v>74.530799999999985</v>
      </c>
      <c r="M37" s="680">
        <v>4.0199999999999996</v>
      </c>
      <c r="N37" s="634">
        <f t="shared" ref="N37:N42" si="3">O37*F37</f>
        <v>114.94799999999999</v>
      </c>
      <c r="O37" s="680">
        <v>6.2</v>
      </c>
      <c r="P37" s="654">
        <f>AVERAGE(I37,K37,M37,O37)</f>
        <v>5.7049999999999992</v>
      </c>
      <c r="Q37" s="634">
        <f t="shared" ref="Q37:Q42" si="4">F37*R37</f>
        <v>185.39999999999998</v>
      </c>
      <c r="R37" s="680">
        <v>10</v>
      </c>
      <c r="S37" s="634">
        <f t="shared" ref="S37:S42" si="5">F37*T37</f>
        <v>185.39999999999998</v>
      </c>
      <c r="T37" s="680">
        <v>10</v>
      </c>
      <c r="U37" s="634">
        <f t="shared" ref="U37:U42" si="6">F37*V37</f>
        <v>278.09999999999997</v>
      </c>
      <c r="V37" s="680">
        <v>15</v>
      </c>
      <c r="W37" s="634">
        <f t="shared" ref="W37:W42" si="7">X37*F37</f>
        <v>370.79999999999995</v>
      </c>
      <c r="X37" s="676">
        <v>20</v>
      </c>
      <c r="Y37" s="634">
        <f t="shared" ref="Y37:Y42" si="8">Z37*F37</f>
        <v>278.09999999999997</v>
      </c>
      <c r="Z37" s="676">
        <v>15</v>
      </c>
      <c r="AA37" s="634">
        <f t="shared" ref="AA37:AA42" si="9">AB37*F37</f>
        <v>463.5</v>
      </c>
      <c r="AB37" s="676">
        <v>25</v>
      </c>
      <c r="AC37" s="634">
        <f t="shared" ref="AC37:AC42" si="10">AD37*F37</f>
        <v>185.39999999999998</v>
      </c>
      <c r="AD37" s="676">
        <v>10</v>
      </c>
      <c r="AE37" s="634">
        <f t="shared" ref="AE37:AE42" si="11">AF37*F37</f>
        <v>463.5</v>
      </c>
      <c r="AF37" s="676">
        <v>25</v>
      </c>
      <c r="AG37" s="634">
        <f t="shared" ref="AG37:AG42" si="12">AH37*F37</f>
        <v>370.79999999999995</v>
      </c>
      <c r="AH37" s="676">
        <v>20</v>
      </c>
      <c r="AI37" s="679">
        <f t="shared" ref="AI37:AI42" si="13">AJ37*F37</f>
        <v>463.5</v>
      </c>
      <c r="AJ37" s="676">
        <v>25</v>
      </c>
      <c r="AK37" s="670">
        <f t="shared" ref="AK37:AK42" si="14">AVERAGE(R37,T37,V37,X37,Z37,AB37,AD37,AF37,AH37,AJ37)</f>
        <v>17.5</v>
      </c>
    </row>
    <row r="38" spans="1:37" ht="39.75" hidden="1" customHeight="1" thickBot="1">
      <c r="A38" s="791"/>
      <c r="B38" s="668" t="s">
        <v>91</v>
      </c>
      <c r="C38" s="668" t="s">
        <v>815</v>
      </c>
      <c r="D38" s="668" t="s">
        <v>814</v>
      </c>
      <c r="E38" s="668">
        <v>2014</v>
      </c>
      <c r="F38" s="668">
        <v>1.46</v>
      </c>
      <c r="G38" s="668" t="s">
        <v>813</v>
      </c>
      <c r="H38" s="678">
        <f t="shared" si="0"/>
        <v>0</v>
      </c>
      <c r="I38" s="668"/>
      <c r="J38" s="678">
        <f t="shared" si="1"/>
        <v>0</v>
      </c>
      <c r="K38" s="668"/>
      <c r="L38" s="678">
        <f t="shared" si="2"/>
        <v>0</v>
      </c>
      <c r="M38" s="668"/>
      <c r="N38" s="678">
        <f t="shared" si="3"/>
        <v>0</v>
      </c>
      <c r="O38" s="668"/>
      <c r="P38" s="655">
        <v>0</v>
      </c>
      <c r="Q38" s="678">
        <f t="shared" si="4"/>
        <v>7.3</v>
      </c>
      <c r="R38" s="668">
        <v>5</v>
      </c>
      <c r="S38" s="678">
        <f t="shared" si="5"/>
        <v>14.6</v>
      </c>
      <c r="T38" s="668">
        <v>10</v>
      </c>
      <c r="U38" s="678">
        <f t="shared" si="6"/>
        <v>29.2</v>
      </c>
      <c r="V38" s="668">
        <v>20</v>
      </c>
      <c r="W38" s="678">
        <f t="shared" si="7"/>
        <v>21.9</v>
      </c>
      <c r="X38" s="676">
        <v>15</v>
      </c>
      <c r="Y38" s="678">
        <f t="shared" si="8"/>
        <v>36.5</v>
      </c>
      <c r="Z38" s="676">
        <v>25</v>
      </c>
      <c r="AA38" s="678">
        <f t="shared" si="9"/>
        <v>21.9</v>
      </c>
      <c r="AB38" s="676">
        <v>15</v>
      </c>
      <c r="AC38" s="678">
        <f t="shared" si="10"/>
        <v>36.5</v>
      </c>
      <c r="AD38" s="676">
        <v>25</v>
      </c>
      <c r="AE38" s="678">
        <f t="shared" si="11"/>
        <v>21.9</v>
      </c>
      <c r="AF38" s="676">
        <v>15</v>
      </c>
      <c r="AG38" s="678">
        <f t="shared" si="12"/>
        <v>36.5</v>
      </c>
      <c r="AH38" s="676">
        <v>25</v>
      </c>
      <c r="AI38" s="677">
        <f t="shared" si="13"/>
        <v>29.2</v>
      </c>
      <c r="AJ38" s="676">
        <v>20</v>
      </c>
      <c r="AK38" s="670">
        <f t="shared" si="14"/>
        <v>17.5</v>
      </c>
    </row>
    <row r="39" spans="1:37" ht="39.75" hidden="1" customHeight="1" thickBot="1">
      <c r="A39" s="791"/>
      <c r="B39" s="668" t="s">
        <v>93</v>
      </c>
      <c r="C39" s="668" t="s">
        <v>815</v>
      </c>
      <c r="D39" s="668" t="s">
        <v>816</v>
      </c>
      <c r="E39" s="668">
        <v>2014</v>
      </c>
      <c r="F39" s="668">
        <v>23</v>
      </c>
      <c r="G39" s="668" t="s">
        <v>813</v>
      </c>
      <c r="H39" s="678">
        <f t="shared" si="0"/>
        <v>62.1</v>
      </c>
      <c r="I39" s="668">
        <v>2.7</v>
      </c>
      <c r="J39" s="678">
        <f t="shared" si="1"/>
        <v>232.29999999999998</v>
      </c>
      <c r="K39" s="668">
        <v>10.1</v>
      </c>
      <c r="L39" s="678">
        <f t="shared" si="2"/>
        <v>27.83</v>
      </c>
      <c r="M39" s="668">
        <v>1.21</v>
      </c>
      <c r="N39" s="678">
        <f t="shared" si="3"/>
        <v>147.20000000000002</v>
      </c>
      <c r="O39" s="668">
        <v>6.4</v>
      </c>
      <c r="P39" s="655">
        <f>AVERAGE(I39,K39,M39,O39)</f>
        <v>5.1025000000000009</v>
      </c>
      <c r="Q39" s="678">
        <f t="shared" si="4"/>
        <v>115</v>
      </c>
      <c r="R39" s="668">
        <v>5</v>
      </c>
      <c r="S39" s="678">
        <f t="shared" si="5"/>
        <v>115</v>
      </c>
      <c r="T39" s="668">
        <v>5</v>
      </c>
      <c r="U39" s="678">
        <f t="shared" si="6"/>
        <v>115</v>
      </c>
      <c r="V39" s="668">
        <v>5</v>
      </c>
      <c r="W39" s="678">
        <f t="shared" si="7"/>
        <v>230</v>
      </c>
      <c r="X39" s="676">
        <v>10</v>
      </c>
      <c r="Y39" s="678">
        <f t="shared" si="8"/>
        <v>230</v>
      </c>
      <c r="Z39" s="676">
        <v>10</v>
      </c>
      <c r="AA39" s="678">
        <f t="shared" si="9"/>
        <v>345</v>
      </c>
      <c r="AB39" s="676">
        <v>15</v>
      </c>
      <c r="AC39" s="678">
        <f t="shared" si="10"/>
        <v>230</v>
      </c>
      <c r="AD39" s="676">
        <v>10</v>
      </c>
      <c r="AE39" s="678">
        <f t="shared" si="11"/>
        <v>460</v>
      </c>
      <c r="AF39" s="676">
        <v>20</v>
      </c>
      <c r="AG39" s="678">
        <f t="shared" si="12"/>
        <v>230</v>
      </c>
      <c r="AH39" s="676">
        <v>10</v>
      </c>
      <c r="AI39" s="677">
        <f t="shared" si="13"/>
        <v>345</v>
      </c>
      <c r="AJ39" s="676">
        <v>15</v>
      </c>
      <c r="AK39" s="670">
        <f t="shared" si="14"/>
        <v>10.5</v>
      </c>
    </row>
    <row r="40" spans="1:37" ht="39.75" hidden="1" customHeight="1" thickBot="1">
      <c r="A40" s="791"/>
      <c r="B40" s="668" t="s">
        <v>198</v>
      </c>
      <c r="C40" s="668" t="s">
        <v>815</v>
      </c>
      <c r="D40" s="668" t="s">
        <v>814</v>
      </c>
      <c r="E40" s="668">
        <v>2014</v>
      </c>
      <c r="F40" s="668">
        <v>13</v>
      </c>
      <c r="G40" s="668" t="s">
        <v>813</v>
      </c>
      <c r="H40" s="678">
        <f t="shared" si="0"/>
        <v>38.35</v>
      </c>
      <c r="I40" s="668">
        <v>2.95</v>
      </c>
      <c r="J40" s="678">
        <f t="shared" si="1"/>
        <v>116.61000000000001</v>
      </c>
      <c r="K40" s="668">
        <v>8.9700000000000006</v>
      </c>
      <c r="L40" s="678">
        <f t="shared" si="2"/>
        <v>87.490000000000009</v>
      </c>
      <c r="M40" s="668">
        <v>6.73</v>
      </c>
      <c r="N40" s="678">
        <f t="shared" si="3"/>
        <v>323.7</v>
      </c>
      <c r="O40" s="668">
        <v>24.9</v>
      </c>
      <c r="P40" s="655">
        <f>AVERAGE(I40,K40,M40,O40)</f>
        <v>10.887499999999999</v>
      </c>
      <c r="Q40" s="678">
        <f t="shared" si="4"/>
        <v>130</v>
      </c>
      <c r="R40" s="668">
        <v>10</v>
      </c>
      <c r="S40" s="678">
        <f t="shared" si="5"/>
        <v>65</v>
      </c>
      <c r="T40" s="668">
        <v>5</v>
      </c>
      <c r="U40" s="678">
        <f t="shared" si="6"/>
        <v>130</v>
      </c>
      <c r="V40" s="668">
        <v>10</v>
      </c>
      <c r="W40" s="678">
        <f t="shared" si="7"/>
        <v>195</v>
      </c>
      <c r="X40" s="676">
        <v>15</v>
      </c>
      <c r="Y40" s="678">
        <f t="shared" si="8"/>
        <v>260</v>
      </c>
      <c r="Z40" s="676">
        <v>20</v>
      </c>
      <c r="AA40" s="678">
        <f t="shared" si="9"/>
        <v>195</v>
      </c>
      <c r="AB40" s="676">
        <v>15</v>
      </c>
      <c r="AC40" s="678">
        <f t="shared" si="10"/>
        <v>325</v>
      </c>
      <c r="AD40" s="676">
        <v>25</v>
      </c>
      <c r="AE40" s="678">
        <f t="shared" si="11"/>
        <v>130</v>
      </c>
      <c r="AF40" s="676">
        <v>10</v>
      </c>
      <c r="AG40" s="678">
        <f t="shared" si="12"/>
        <v>325</v>
      </c>
      <c r="AH40" s="676">
        <v>25</v>
      </c>
      <c r="AI40" s="677">
        <f t="shared" si="13"/>
        <v>260</v>
      </c>
      <c r="AJ40" s="676">
        <v>20</v>
      </c>
      <c r="AK40" s="670">
        <f t="shared" si="14"/>
        <v>15.5</v>
      </c>
    </row>
    <row r="41" spans="1:37" ht="39.75" hidden="1" customHeight="1" thickBot="1">
      <c r="A41" s="791"/>
      <c r="B41" s="668" t="s">
        <v>229</v>
      </c>
      <c r="C41" s="668" t="s">
        <v>815</v>
      </c>
      <c r="D41" s="668" t="s">
        <v>816</v>
      </c>
      <c r="E41" s="668">
        <v>2014</v>
      </c>
      <c r="F41" s="668">
        <v>2.4</v>
      </c>
      <c r="G41" s="668" t="s">
        <v>813</v>
      </c>
      <c r="H41" s="678">
        <f t="shared" si="0"/>
        <v>0</v>
      </c>
      <c r="I41" s="668"/>
      <c r="J41" s="678">
        <f t="shared" si="1"/>
        <v>0</v>
      </c>
      <c r="K41" s="668"/>
      <c r="L41" s="678">
        <f t="shared" si="2"/>
        <v>10.872</v>
      </c>
      <c r="M41" s="668">
        <v>4.53</v>
      </c>
      <c r="N41" s="678">
        <f t="shared" si="3"/>
        <v>0</v>
      </c>
      <c r="O41" s="668"/>
      <c r="P41" s="655">
        <f>AVERAGE(I41,K41,M41,O41)</f>
        <v>4.53</v>
      </c>
      <c r="Q41" s="678">
        <f t="shared" si="4"/>
        <v>0</v>
      </c>
      <c r="R41" s="668"/>
      <c r="S41" s="678">
        <f t="shared" si="5"/>
        <v>12</v>
      </c>
      <c r="T41" s="668">
        <v>5</v>
      </c>
      <c r="U41" s="678">
        <f t="shared" si="6"/>
        <v>24</v>
      </c>
      <c r="V41" s="668">
        <v>10</v>
      </c>
      <c r="W41" s="678">
        <f t="shared" si="7"/>
        <v>28.799999999999997</v>
      </c>
      <c r="X41" s="676">
        <v>12</v>
      </c>
      <c r="Y41" s="678">
        <f t="shared" si="8"/>
        <v>48</v>
      </c>
      <c r="Z41" s="676">
        <v>20</v>
      </c>
      <c r="AA41" s="678">
        <f t="shared" si="9"/>
        <v>24</v>
      </c>
      <c r="AB41" s="676">
        <v>10</v>
      </c>
      <c r="AC41" s="678">
        <f t="shared" si="10"/>
        <v>60</v>
      </c>
      <c r="AD41" s="676">
        <v>25</v>
      </c>
      <c r="AE41" s="678">
        <f t="shared" si="11"/>
        <v>24</v>
      </c>
      <c r="AF41" s="676">
        <v>10</v>
      </c>
      <c r="AG41" s="678">
        <f t="shared" si="12"/>
        <v>60</v>
      </c>
      <c r="AH41" s="676">
        <v>25</v>
      </c>
      <c r="AI41" s="677">
        <f t="shared" si="13"/>
        <v>48</v>
      </c>
      <c r="AJ41" s="676">
        <v>20</v>
      </c>
      <c r="AK41" s="670">
        <f t="shared" si="14"/>
        <v>15.222222222222221</v>
      </c>
    </row>
    <row r="42" spans="1:37" ht="39.75" hidden="1" customHeight="1" thickBot="1">
      <c r="A42" s="791"/>
      <c r="B42" s="674" t="s">
        <v>230</v>
      </c>
      <c r="C42" s="674" t="s">
        <v>815</v>
      </c>
      <c r="D42" s="674" t="s">
        <v>824</v>
      </c>
      <c r="E42" s="674">
        <v>2014</v>
      </c>
      <c r="F42" s="674">
        <v>11.24</v>
      </c>
      <c r="G42" s="674" t="s">
        <v>813</v>
      </c>
      <c r="H42" s="673">
        <f t="shared" si="0"/>
        <v>0.78680000000000005</v>
      </c>
      <c r="I42" s="674">
        <v>7.0000000000000007E-2</v>
      </c>
      <c r="J42" s="673">
        <f t="shared" si="1"/>
        <v>43.1616</v>
      </c>
      <c r="K42" s="674">
        <v>3.84</v>
      </c>
      <c r="L42" s="673">
        <f t="shared" si="2"/>
        <v>43.386400000000002</v>
      </c>
      <c r="M42" s="674">
        <v>3.86</v>
      </c>
      <c r="N42" s="673">
        <f t="shared" si="3"/>
        <v>92.167999999999992</v>
      </c>
      <c r="O42" s="674">
        <v>8.1999999999999993</v>
      </c>
      <c r="P42" s="675">
        <f>AVERAGE(I42,K42,M42,O42)</f>
        <v>3.9924999999999997</v>
      </c>
      <c r="Q42" s="673">
        <f t="shared" si="4"/>
        <v>112.4</v>
      </c>
      <c r="R42" s="674">
        <v>10</v>
      </c>
      <c r="S42" s="673">
        <f t="shared" si="5"/>
        <v>112.4</v>
      </c>
      <c r="T42" s="674">
        <v>10</v>
      </c>
      <c r="U42" s="673">
        <f t="shared" si="6"/>
        <v>146.12</v>
      </c>
      <c r="V42" s="674">
        <v>13</v>
      </c>
      <c r="W42" s="673">
        <f t="shared" si="7"/>
        <v>168.6</v>
      </c>
      <c r="X42" s="671">
        <v>15</v>
      </c>
      <c r="Y42" s="673">
        <f t="shared" si="8"/>
        <v>112.4</v>
      </c>
      <c r="Z42" s="671">
        <v>10</v>
      </c>
      <c r="AA42" s="673">
        <f t="shared" si="9"/>
        <v>224.8</v>
      </c>
      <c r="AB42" s="671">
        <v>20</v>
      </c>
      <c r="AC42" s="673">
        <f t="shared" si="10"/>
        <v>168.6</v>
      </c>
      <c r="AD42" s="671">
        <v>15</v>
      </c>
      <c r="AE42" s="673">
        <f t="shared" si="11"/>
        <v>281</v>
      </c>
      <c r="AF42" s="671">
        <v>25</v>
      </c>
      <c r="AG42" s="673">
        <f t="shared" si="12"/>
        <v>224.8</v>
      </c>
      <c r="AH42" s="671">
        <v>20</v>
      </c>
      <c r="AI42" s="672">
        <f t="shared" si="13"/>
        <v>281</v>
      </c>
      <c r="AJ42" s="671">
        <v>25</v>
      </c>
      <c r="AK42" s="670">
        <f t="shared" si="14"/>
        <v>16.3</v>
      </c>
    </row>
    <row r="43" spans="1:37" ht="39.75" hidden="1" customHeight="1" thickTop="1" thickBot="1">
      <c r="A43" s="682"/>
      <c r="B43" s="657" t="s">
        <v>176</v>
      </c>
      <c r="C43" s="657"/>
      <c r="D43" s="657"/>
      <c r="E43" s="657"/>
      <c r="F43" s="657">
        <v>69.64</v>
      </c>
      <c r="G43" s="657" t="s">
        <v>813</v>
      </c>
      <c r="H43" s="658">
        <f>SUM(H37:H42)</f>
        <v>198.5718</v>
      </c>
      <c r="I43" s="659">
        <f>H43/F43</f>
        <v>2.8514043653072947</v>
      </c>
      <c r="J43" s="658">
        <f>SUM(J37:J42)</f>
        <v>528.34059999999999</v>
      </c>
      <c r="K43" s="659">
        <f>J43/F43</f>
        <v>7.5867403790924755</v>
      </c>
      <c r="L43" s="658">
        <f>SUM(L37:L42)</f>
        <v>244.10920000000002</v>
      </c>
      <c r="M43" s="659">
        <f>L43/F43</f>
        <v>3.5053015508328547</v>
      </c>
      <c r="N43" s="658">
        <f>SUM(N37:N42)</f>
        <v>678.01599999999996</v>
      </c>
      <c r="O43" s="659">
        <f>N43/F43</f>
        <v>9.7360137851809299</v>
      </c>
      <c r="P43" s="659"/>
      <c r="Q43" s="658">
        <f>SUM(Q37:Q42)</f>
        <v>550.1</v>
      </c>
      <c r="R43" s="659">
        <f>Q43/F43</f>
        <v>7.899195864445721</v>
      </c>
      <c r="S43" s="658">
        <f>SUM(S37:S42)</f>
        <v>504.4</v>
      </c>
      <c r="T43" s="659">
        <f>S43/F43</f>
        <v>7.2429638139000572</v>
      </c>
      <c r="U43" s="658">
        <f>SUM(U37:U42)</f>
        <v>722.42</v>
      </c>
      <c r="V43" s="657">
        <f>U43/F43</f>
        <v>10.373635841470419</v>
      </c>
      <c r="W43" s="658">
        <f>SUM(W37:W42)</f>
        <v>1015.0999999999999</v>
      </c>
      <c r="X43" s="657">
        <f>W43/F43</f>
        <v>14.576392877656518</v>
      </c>
      <c r="Y43" s="658">
        <f>SUM(Y37:Y42)</f>
        <v>964.99999999999989</v>
      </c>
      <c r="Z43" s="657">
        <f>Y43/F43</f>
        <v>13.856978747846064</v>
      </c>
      <c r="AA43" s="658">
        <f>SUM(AA37:AA42)</f>
        <v>1274.2</v>
      </c>
      <c r="AB43" s="657">
        <f>AA43/F43</f>
        <v>18.296955772544514</v>
      </c>
      <c r="AC43" s="658">
        <f>SUM(AC37:AC42)</f>
        <v>1005.5</v>
      </c>
      <c r="AD43" s="657">
        <f>AC43/F43</f>
        <v>14.438541068351523</v>
      </c>
      <c r="AE43" s="658">
        <f>SUM(AE37:AE42)</f>
        <v>1380.4</v>
      </c>
      <c r="AF43" s="657">
        <f>AE43/F43</f>
        <v>19.821941412981047</v>
      </c>
      <c r="AG43" s="658">
        <f>SUM(AG37:AG42)</f>
        <v>1247.0999999999999</v>
      </c>
      <c r="AH43" s="657">
        <f>AG43/F43</f>
        <v>17.907811602527282</v>
      </c>
      <c r="AI43" s="658">
        <f>SUM(AI37:AI42)</f>
        <v>1426.7</v>
      </c>
      <c r="AJ43" s="657">
        <f>AI43/F43</f>
        <v>20.486789201608271</v>
      </c>
      <c r="AK43" s="670"/>
    </row>
    <row r="44" spans="1:37" ht="39.75" hidden="1" customHeight="1" thickTop="1" thickBot="1">
      <c r="A44" s="791" t="s">
        <v>818</v>
      </c>
      <c r="B44" s="680" t="s">
        <v>93</v>
      </c>
      <c r="C44" s="680" t="s">
        <v>815</v>
      </c>
      <c r="D44" s="788" t="s">
        <v>821</v>
      </c>
      <c r="E44" s="680">
        <v>2010</v>
      </c>
      <c r="F44" s="680">
        <v>22</v>
      </c>
      <c r="G44" s="680" t="s">
        <v>822</v>
      </c>
      <c r="H44" s="634">
        <f>I44*F44</f>
        <v>492.79999999999995</v>
      </c>
      <c r="I44" s="680">
        <v>22.4</v>
      </c>
      <c r="J44" s="634">
        <f>K44*F44</f>
        <v>356.4</v>
      </c>
      <c r="K44" s="680">
        <v>16.2</v>
      </c>
      <c r="L44" s="634">
        <f>M44*F44</f>
        <v>418</v>
      </c>
      <c r="M44" s="680">
        <v>19</v>
      </c>
      <c r="N44" s="634">
        <f>O44*F44</f>
        <v>171.6</v>
      </c>
      <c r="O44" s="680">
        <v>7.8</v>
      </c>
      <c r="P44" s="654">
        <f>AVERAGE(I44,K44,M44,O44)</f>
        <v>16.349999999999998</v>
      </c>
      <c r="Q44" s="634">
        <f>F44*R44</f>
        <v>220</v>
      </c>
      <c r="R44" s="680">
        <v>10</v>
      </c>
      <c r="S44" s="634">
        <f>F44*T44</f>
        <v>110</v>
      </c>
      <c r="T44" s="680">
        <v>5</v>
      </c>
      <c r="U44" s="634">
        <f>F44*V44</f>
        <v>352</v>
      </c>
      <c r="V44" s="680">
        <v>16</v>
      </c>
      <c r="W44" s="634">
        <f>X44*F44</f>
        <v>220</v>
      </c>
      <c r="X44" s="676">
        <v>10</v>
      </c>
      <c r="Y44" s="634">
        <f>Z44*F44</f>
        <v>440</v>
      </c>
      <c r="Z44" s="676">
        <v>20</v>
      </c>
      <c r="AA44" s="634">
        <f>AB44*F44</f>
        <v>220</v>
      </c>
      <c r="AB44" s="676">
        <v>10</v>
      </c>
      <c r="AC44" s="634">
        <f>AD44*F44</f>
        <v>550</v>
      </c>
      <c r="AD44" s="676">
        <v>25</v>
      </c>
      <c r="AE44" s="634">
        <f>AF44*F44</f>
        <v>220</v>
      </c>
      <c r="AF44" s="676">
        <v>10</v>
      </c>
      <c r="AG44" s="634">
        <f>AH44*F44</f>
        <v>440</v>
      </c>
      <c r="AH44" s="676">
        <v>20</v>
      </c>
      <c r="AI44" s="679">
        <f>AJ44*F44</f>
        <v>330</v>
      </c>
      <c r="AJ44" s="676">
        <v>15</v>
      </c>
      <c r="AK44" s="670">
        <f>AVERAGE(R44,T44,V44,X44,Z44,AB44,AD44,AF44,AH44,AJ44)</f>
        <v>14.1</v>
      </c>
    </row>
    <row r="45" spans="1:37" ht="39.75" hidden="1" customHeight="1" thickBot="1">
      <c r="A45" s="791"/>
      <c r="B45" s="668" t="s">
        <v>91</v>
      </c>
      <c r="C45" s="668" t="s">
        <v>815</v>
      </c>
      <c r="D45" s="789"/>
      <c r="E45" s="668">
        <v>2010</v>
      </c>
      <c r="F45" s="668">
        <v>15.27</v>
      </c>
      <c r="G45" s="668" t="s">
        <v>822</v>
      </c>
      <c r="H45" s="678">
        <f>I45*F45</f>
        <v>262.64400000000001</v>
      </c>
      <c r="I45" s="668">
        <v>17.2</v>
      </c>
      <c r="J45" s="678">
        <f>K45*F45</f>
        <v>619.96199999999999</v>
      </c>
      <c r="K45" s="668">
        <v>40.6</v>
      </c>
      <c r="L45" s="678">
        <f>M45*F45</f>
        <v>193.92899999999997</v>
      </c>
      <c r="M45" s="668">
        <v>12.7</v>
      </c>
      <c r="N45" s="678">
        <f>O45*F45</f>
        <v>210.726</v>
      </c>
      <c r="O45" s="668">
        <v>13.8</v>
      </c>
      <c r="P45" s="655">
        <f>AVERAGE(I45,K45,M45,O45)</f>
        <v>21.074999999999999</v>
      </c>
      <c r="Q45" s="678">
        <f>F45*R45</f>
        <v>305.39999999999998</v>
      </c>
      <c r="R45" s="668">
        <v>20</v>
      </c>
      <c r="S45" s="678">
        <f>F45*T45</f>
        <v>152.69999999999999</v>
      </c>
      <c r="T45" s="668">
        <v>10</v>
      </c>
      <c r="U45" s="678">
        <f>F45*V45</f>
        <v>305.39999999999998</v>
      </c>
      <c r="V45" s="668">
        <v>20</v>
      </c>
      <c r="W45" s="678">
        <f>X45*F45</f>
        <v>229.04999999999998</v>
      </c>
      <c r="X45" s="676">
        <v>15</v>
      </c>
      <c r="Y45" s="678">
        <f>Z45*F45</f>
        <v>305.39999999999998</v>
      </c>
      <c r="Z45" s="676">
        <v>20</v>
      </c>
      <c r="AA45" s="678">
        <f>AB45*F45</f>
        <v>305.39999999999998</v>
      </c>
      <c r="AB45" s="676">
        <v>20</v>
      </c>
      <c r="AC45" s="678">
        <f>AD45*F45</f>
        <v>229.04999999999998</v>
      </c>
      <c r="AD45" s="676">
        <v>15</v>
      </c>
      <c r="AE45" s="678">
        <f>AF45*F45</f>
        <v>381.75</v>
      </c>
      <c r="AF45" s="676">
        <v>25</v>
      </c>
      <c r="AG45" s="678">
        <f>AH45*F45</f>
        <v>305.39999999999998</v>
      </c>
      <c r="AH45" s="676">
        <v>20</v>
      </c>
      <c r="AI45" s="677">
        <f>AJ45*F45</f>
        <v>381.75</v>
      </c>
      <c r="AJ45" s="676">
        <v>25</v>
      </c>
      <c r="AK45" s="670">
        <f>AVERAGE(R45,T45,V45,X45,Z45,AB45,AD45,AF45,AH45,AJ45)</f>
        <v>19</v>
      </c>
    </row>
    <row r="46" spans="1:37" ht="39.75" hidden="1" customHeight="1" thickBot="1">
      <c r="A46" s="791"/>
      <c r="B46" s="668" t="s">
        <v>823</v>
      </c>
      <c r="C46" s="668" t="s">
        <v>815</v>
      </c>
      <c r="D46" s="789"/>
      <c r="E46" s="668">
        <v>2010</v>
      </c>
      <c r="F46" s="668">
        <v>8</v>
      </c>
      <c r="G46" s="668" t="s">
        <v>822</v>
      </c>
      <c r="H46" s="678">
        <f>I46*F46</f>
        <v>132</v>
      </c>
      <c r="I46" s="668">
        <v>16.5</v>
      </c>
      <c r="J46" s="678">
        <f>K46*F46</f>
        <v>94.4</v>
      </c>
      <c r="K46" s="668">
        <v>11.8</v>
      </c>
      <c r="L46" s="678">
        <f>M46*F46</f>
        <v>165.6</v>
      </c>
      <c r="M46" s="668">
        <v>20.7</v>
      </c>
      <c r="N46" s="678">
        <f>O46*F46</f>
        <v>109.6</v>
      </c>
      <c r="O46" s="668">
        <v>13.7</v>
      </c>
      <c r="P46" s="655">
        <f>AVERAGE(I46,K46,M46,O46)</f>
        <v>15.675000000000001</v>
      </c>
      <c r="Q46" s="678">
        <f>F46*R46</f>
        <v>160</v>
      </c>
      <c r="R46" s="668">
        <v>20</v>
      </c>
      <c r="S46" s="678">
        <f>F46*T46</f>
        <v>80</v>
      </c>
      <c r="T46" s="668">
        <v>10</v>
      </c>
      <c r="U46" s="678">
        <f>F46*V46</f>
        <v>120</v>
      </c>
      <c r="V46" s="668">
        <v>15</v>
      </c>
      <c r="W46" s="678">
        <f>X46*F46</f>
        <v>120</v>
      </c>
      <c r="X46" s="676">
        <v>15</v>
      </c>
      <c r="Y46" s="678">
        <f>Z46*F46</f>
        <v>160</v>
      </c>
      <c r="Z46" s="676">
        <v>20</v>
      </c>
      <c r="AA46" s="678">
        <f>AB46*F46</f>
        <v>120</v>
      </c>
      <c r="AB46" s="676">
        <v>15</v>
      </c>
      <c r="AC46" s="678">
        <f>AD46*F46</f>
        <v>160</v>
      </c>
      <c r="AD46" s="676">
        <v>20</v>
      </c>
      <c r="AE46" s="678">
        <f>AF46*F46</f>
        <v>120</v>
      </c>
      <c r="AF46" s="676">
        <v>15</v>
      </c>
      <c r="AG46" s="678">
        <f>AH46*F46</f>
        <v>160</v>
      </c>
      <c r="AH46" s="676">
        <v>20</v>
      </c>
      <c r="AI46" s="677">
        <f>AJ46*F46</f>
        <v>120</v>
      </c>
      <c r="AJ46" s="676">
        <v>15</v>
      </c>
      <c r="AK46" s="670">
        <f>AVERAGE(R46,T46,V46,X46,Z46,AB46,AD46,AF46,AH46,AJ46)</f>
        <v>16.5</v>
      </c>
    </row>
    <row r="47" spans="1:37" ht="39.75" hidden="1" customHeight="1" thickBot="1">
      <c r="A47" s="791"/>
      <c r="B47" s="674" t="s">
        <v>231</v>
      </c>
      <c r="C47" s="674" t="s">
        <v>815</v>
      </c>
      <c r="D47" s="790"/>
      <c r="E47" s="674">
        <v>2010</v>
      </c>
      <c r="F47" s="674">
        <v>1</v>
      </c>
      <c r="G47" s="674" t="s">
        <v>822</v>
      </c>
      <c r="H47" s="673">
        <f>I47*F47</f>
        <v>3.07</v>
      </c>
      <c r="I47" s="674">
        <v>3.07</v>
      </c>
      <c r="J47" s="673">
        <f>K47*F47</f>
        <v>9.7799999999999994</v>
      </c>
      <c r="K47" s="674">
        <v>9.7799999999999994</v>
      </c>
      <c r="L47" s="673">
        <f>M47*F47</f>
        <v>2.33</v>
      </c>
      <c r="M47" s="674">
        <v>2.33</v>
      </c>
      <c r="N47" s="673">
        <f>O47*F47</f>
        <v>13</v>
      </c>
      <c r="O47" s="674">
        <v>13</v>
      </c>
      <c r="P47" s="675">
        <f>AVERAGE(I47,K47,M47,O47)</f>
        <v>7.0449999999999999</v>
      </c>
      <c r="Q47" s="673">
        <f>F47*R47</f>
        <v>10</v>
      </c>
      <c r="R47" s="674">
        <v>10</v>
      </c>
      <c r="S47" s="673">
        <f>F47*T47</f>
        <v>10</v>
      </c>
      <c r="T47" s="674">
        <v>10</v>
      </c>
      <c r="U47" s="673">
        <f>F47*V47</f>
        <v>16</v>
      </c>
      <c r="V47" s="674">
        <v>16</v>
      </c>
      <c r="W47" s="673">
        <f>X47*F47</f>
        <v>15</v>
      </c>
      <c r="X47" s="671">
        <v>15</v>
      </c>
      <c r="Y47" s="673">
        <f>Z47*F47</f>
        <v>20</v>
      </c>
      <c r="Z47" s="671">
        <v>20</v>
      </c>
      <c r="AA47" s="673">
        <f>AB47*F47</f>
        <v>20</v>
      </c>
      <c r="AB47" s="671">
        <v>20</v>
      </c>
      <c r="AC47" s="673">
        <f>AD47*F47</f>
        <v>15</v>
      </c>
      <c r="AD47" s="671">
        <v>15</v>
      </c>
      <c r="AE47" s="673">
        <f>AF47*F47</f>
        <v>25</v>
      </c>
      <c r="AF47" s="671">
        <v>25</v>
      </c>
      <c r="AG47" s="673">
        <f>AH47*F47</f>
        <v>20</v>
      </c>
      <c r="AH47" s="671">
        <v>20</v>
      </c>
      <c r="AI47" s="672">
        <f>AJ47*F47</f>
        <v>25</v>
      </c>
      <c r="AJ47" s="671">
        <v>25</v>
      </c>
      <c r="AK47" s="670">
        <f>AVERAGE(R47,T47,V47,X47,Z47,AB47,AD47,AF47,AH47,AJ47)</f>
        <v>17.600000000000001</v>
      </c>
    </row>
    <row r="48" spans="1:37" ht="39.75" hidden="1" customHeight="1" thickTop="1" thickBot="1">
      <c r="A48" s="792"/>
      <c r="B48" s="657" t="s">
        <v>176</v>
      </c>
      <c r="C48" s="657"/>
      <c r="D48" s="657"/>
      <c r="E48" s="657"/>
      <c r="F48" s="657">
        <v>46.27</v>
      </c>
      <c r="G48" s="657" t="s">
        <v>822</v>
      </c>
      <c r="H48" s="658">
        <f>SUM(H44:H47)</f>
        <v>890.51400000000001</v>
      </c>
      <c r="I48" s="659">
        <f>H48/F48</f>
        <v>19.246034147395719</v>
      </c>
      <c r="J48" s="658">
        <f>SUM(J44:J47)</f>
        <v>1080.5419999999999</v>
      </c>
      <c r="K48" s="659">
        <f>J48/F48</f>
        <v>23.352971687918735</v>
      </c>
      <c r="L48" s="658">
        <f>SUM(L44:L47)</f>
        <v>779.85900000000004</v>
      </c>
      <c r="M48" s="659">
        <f>L48/F48</f>
        <v>16.854527771774368</v>
      </c>
      <c r="N48" s="658">
        <f>SUM(N44:N47)</f>
        <v>504.92600000000004</v>
      </c>
      <c r="O48" s="659">
        <f>N48/F48</f>
        <v>10.912599956775448</v>
      </c>
      <c r="P48" s="659"/>
      <c r="Q48" s="658">
        <f>SUM(Q44:Q47)</f>
        <v>695.4</v>
      </c>
      <c r="R48" s="659">
        <f>Q48/F48</f>
        <v>15.029176572293061</v>
      </c>
      <c r="S48" s="658">
        <f>SUM(S44:S47)</f>
        <v>352.7</v>
      </c>
      <c r="T48" s="659">
        <f>S48/F48</f>
        <v>7.6226496650097246</v>
      </c>
      <c r="U48" s="658">
        <f>SUM(U44:U47)</f>
        <v>793.4</v>
      </c>
      <c r="V48" s="657">
        <f>U48/F48</f>
        <v>17.147179598011668</v>
      </c>
      <c r="W48" s="658">
        <f>SUM(W44:W47)</f>
        <v>584.04999999999995</v>
      </c>
      <c r="X48" s="657">
        <f>W48/F48</f>
        <v>12.622649665009723</v>
      </c>
      <c r="Y48" s="658">
        <f>SUM(Y44:Y47)</f>
        <v>925.4</v>
      </c>
      <c r="Z48" s="657">
        <f>Y48/F48</f>
        <v>19.999999999999996</v>
      </c>
      <c r="AA48" s="658">
        <f>SUM(AA44:AA47)</f>
        <v>665.4</v>
      </c>
      <c r="AB48" s="657">
        <f>AA48/F48</f>
        <v>14.380808299113895</v>
      </c>
      <c r="AC48" s="658">
        <f>SUM(AC44:AC47)</f>
        <v>954.05</v>
      </c>
      <c r="AD48" s="657">
        <f>AC48/F48</f>
        <v>20.619191700886102</v>
      </c>
      <c r="AE48" s="658">
        <f>SUM(AE44:AE47)</f>
        <v>746.75</v>
      </c>
      <c r="AF48" s="657">
        <f>AE48/F48</f>
        <v>16.138966933218068</v>
      </c>
      <c r="AG48" s="658">
        <f>SUM(AG44:AG47)</f>
        <v>925.4</v>
      </c>
      <c r="AH48" s="657">
        <f>AG48/F48</f>
        <v>19.999999999999996</v>
      </c>
      <c r="AI48" s="658">
        <f>SUM(AI44:AI47)</f>
        <v>856.75</v>
      </c>
      <c r="AJ48" s="657">
        <f>AI48/F48</f>
        <v>18.51631726820834</v>
      </c>
      <c r="AK48" s="670"/>
    </row>
    <row r="49" spans="1:37" ht="39.75" hidden="1" customHeight="1" thickTop="1" thickBot="1">
      <c r="A49" s="791" t="s">
        <v>818</v>
      </c>
      <c r="B49" s="680" t="s">
        <v>93</v>
      </c>
      <c r="C49" s="680" t="s">
        <v>815</v>
      </c>
      <c r="D49" s="680" t="s">
        <v>816</v>
      </c>
      <c r="E49" s="680">
        <v>2015</v>
      </c>
      <c r="F49" s="680">
        <v>25.35</v>
      </c>
      <c r="G49" s="680" t="s">
        <v>813</v>
      </c>
      <c r="H49" s="634">
        <f>I49*F49</f>
        <v>0</v>
      </c>
      <c r="I49" s="680"/>
      <c r="J49" s="634">
        <f>K49*F49</f>
        <v>26.364000000000001</v>
      </c>
      <c r="K49" s="680">
        <v>1.04</v>
      </c>
      <c r="L49" s="634">
        <f>M49*F49</f>
        <v>82.134000000000015</v>
      </c>
      <c r="M49" s="680">
        <v>3.24</v>
      </c>
      <c r="N49" s="634">
        <f>O49*F49</f>
        <v>174.91500000000002</v>
      </c>
      <c r="O49" s="680">
        <v>6.9</v>
      </c>
      <c r="P49" s="654">
        <f>AVERAGE(I49,K49,M49,O49)</f>
        <v>3.7266666666666666</v>
      </c>
      <c r="Q49" s="634">
        <f>F49*R49</f>
        <v>76.050000000000011</v>
      </c>
      <c r="R49" s="680">
        <v>3</v>
      </c>
      <c r="S49" s="634">
        <f>F49*T49</f>
        <v>126.75</v>
      </c>
      <c r="T49" s="680">
        <v>5</v>
      </c>
      <c r="U49" s="634">
        <f>F49*V49</f>
        <v>329.55</v>
      </c>
      <c r="V49" s="680">
        <v>13</v>
      </c>
      <c r="W49" s="634">
        <f>X49*F49</f>
        <v>253.5</v>
      </c>
      <c r="X49" s="676">
        <v>10</v>
      </c>
      <c r="Y49" s="634">
        <f>Z49*F49</f>
        <v>380.25</v>
      </c>
      <c r="Z49" s="676">
        <v>15</v>
      </c>
      <c r="AA49" s="634">
        <f>AB49*F49</f>
        <v>253.5</v>
      </c>
      <c r="AB49" s="676">
        <v>10</v>
      </c>
      <c r="AC49" s="634">
        <f>AD49*F49</f>
        <v>507</v>
      </c>
      <c r="AD49" s="676">
        <v>20</v>
      </c>
      <c r="AE49" s="634">
        <f>AF49*F49</f>
        <v>253.5</v>
      </c>
      <c r="AF49" s="676">
        <v>10</v>
      </c>
      <c r="AG49" s="634">
        <f>AH49*F49</f>
        <v>380.25</v>
      </c>
      <c r="AH49" s="676">
        <v>15</v>
      </c>
      <c r="AI49" s="679">
        <f>AJ49*F49</f>
        <v>253.5</v>
      </c>
      <c r="AJ49" s="676">
        <v>10</v>
      </c>
      <c r="AK49" s="670">
        <f>AVERAGE(R49,T49,V49,X49,Z49,AB49,AD49,AF49,AH49,AJ49)</f>
        <v>11.1</v>
      </c>
    </row>
    <row r="50" spans="1:37" ht="39.75" hidden="1" customHeight="1" thickBot="1">
      <c r="A50" s="791"/>
      <c r="B50" s="668" t="s">
        <v>91</v>
      </c>
      <c r="C50" s="668" t="s">
        <v>815</v>
      </c>
      <c r="D50" s="668" t="s">
        <v>817</v>
      </c>
      <c r="E50" s="668">
        <v>2015</v>
      </c>
      <c r="F50" s="668">
        <v>20</v>
      </c>
      <c r="G50" s="668" t="s">
        <v>813</v>
      </c>
      <c r="H50" s="678">
        <f>I50*F50</f>
        <v>0</v>
      </c>
      <c r="I50" s="668"/>
      <c r="J50" s="678">
        <f>K50*F50</f>
        <v>61.6</v>
      </c>
      <c r="K50" s="668">
        <v>3.08</v>
      </c>
      <c r="L50" s="678">
        <f>M50*F50</f>
        <v>76.399999999999991</v>
      </c>
      <c r="M50" s="668">
        <v>3.82</v>
      </c>
      <c r="N50" s="678">
        <f>O50*F50</f>
        <v>162</v>
      </c>
      <c r="O50" s="668">
        <v>8.1</v>
      </c>
      <c r="P50" s="655">
        <f>AVERAGE(I50,K50,M50,O50)</f>
        <v>5</v>
      </c>
      <c r="Q50" s="678">
        <f>F50*R50</f>
        <v>100</v>
      </c>
      <c r="R50" s="668">
        <v>5</v>
      </c>
      <c r="S50" s="678">
        <f>F50*T50</f>
        <v>100</v>
      </c>
      <c r="T50" s="668">
        <v>5</v>
      </c>
      <c r="U50" s="678">
        <f>F50*V50</f>
        <v>280</v>
      </c>
      <c r="V50" s="668">
        <v>14</v>
      </c>
      <c r="W50" s="678">
        <f>X50*F50</f>
        <v>300</v>
      </c>
      <c r="X50" s="676">
        <v>15</v>
      </c>
      <c r="Y50" s="678">
        <f>Z50*F50</f>
        <v>500</v>
      </c>
      <c r="Z50" s="676">
        <v>25</v>
      </c>
      <c r="AA50" s="678">
        <f>AB50*F50</f>
        <v>300</v>
      </c>
      <c r="AB50" s="676">
        <v>15</v>
      </c>
      <c r="AC50" s="678">
        <f>AD50*F50</f>
        <v>500</v>
      </c>
      <c r="AD50" s="676">
        <v>25</v>
      </c>
      <c r="AE50" s="678">
        <f>AF50*F50</f>
        <v>400</v>
      </c>
      <c r="AF50" s="676">
        <v>20</v>
      </c>
      <c r="AG50" s="678">
        <f>AH50*F50</f>
        <v>500</v>
      </c>
      <c r="AH50" s="676">
        <v>25</v>
      </c>
      <c r="AI50" s="677">
        <f>AJ50*F50</f>
        <v>400</v>
      </c>
      <c r="AJ50" s="676">
        <v>20</v>
      </c>
      <c r="AK50" s="670">
        <f>AVERAGE(R50,T50,V50,X50,Z50,AB50,AD50,AF50,AH50,AJ50)</f>
        <v>16.899999999999999</v>
      </c>
    </row>
    <row r="51" spans="1:37" ht="39.75" hidden="1" customHeight="1" thickBot="1">
      <c r="A51" s="791"/>
      <c r="B51" s="668" t="s">
        <v>198</v>
      </c>
      <c r="C51" s="668" t="s">
        <v>815</v>
      </c>
      <c r="D51" s="668" t="s">
        <v>814</v>
      </c>
      <c r="E51" s="668">
        <v>2015</v>
      </c>
      <c r="F51" s="668">
        <v>14</v>
      </c>
      <c r="G51" s="668" t="s">
        <v>813</v>
      </c>
      <c r="H51" s="678">
        <f>I51*F51</f>
        <v>7.28</v>
      </c>
      <c r="I51" s="668">
        <v>0.52</v>
      </c>
      <c r="J51" s="678">
        <f>K51*F51</f>
        <v>88.62</v>
      </c>
      <c r="K51" s="668">
        <v>6.33</v>
      </c>
      <c r="L51" s="678">
        <f>M51*F51</f>
        <v>97.44</v>
      </c>
      <c r="M51" s="668">
        <v>6.96</v>
      </c>
      <c r="N51" s="678">
        <f>O51*F51</f>
        <v>295.40000000000003</v>
      </c>
      <c r="O51" s="668">
        <v>21.1</v>
      </c>
      <c r="P51" s="655">
        <f>AVERAGE(I51,K51,M51,O51)</f>
        <v>8.7274999999999991</v>
      </c>
      <c r="Q51" s="678">
        <f>F51*R51</f>
        <v>140</v>
      </c>
      <c r="R51" s="668">
        <v>10</v>
      </c>
      <c r="S51" s="678">
        <f>F51*T51</f>
        <v>140</v>
      </c>
      <c r="T51" s="668">
        <v>10</v>
      </c>
      <c r="U51" s="678">
        <f>F51*V51</f>
        <v>252</v>
      </c>
      <c r="V51" s="668">
        <v>18</v>
      </c>
      <c r="W51" s="678">
        <f>X51*F51</f>
        <v>280</v>
      </c>
      <c r="X51" s="676">
        <v>20</v>
      </c>
      <c r="Y51" s="678">
        <f>Z51*F51</f>
        <v>210</v>
      </c>
      <c r="Z51" s="676">
        <v>15</v>
      </c>
      <c r="AA51" s="678">
        <f>AB51*F51</f>
        <v>420</v>
      </c>
      <c r="AB51" s="676">
        <v>30</v>
      </c>
      <c r="AC51" s="678">
        <f>AD51*F51</f>
        <v>210</v>
      </c>
      <c r="AD51" s="676">
        <v>15</v>
      </c>
      <c r="AE51" s="678">
        <f>AF51*F51</f>
        <v>420</v>
      </c>
      <c r="AF51" s="676">
        <v>30</v>
      </c>
      <c r="AG51" s="678">
        <f>AH51*F51</f>
        <v>350</v>
      </c>
      <c r="AH51" s="676">
        <v>25</v>
      </c>
      <c r="AI51" s="677">
        <f>AJ51*F51</f>
        <v>420</v>
      </c>
      <c r="AJ51" s="676">
        <v>30</v>
      </c>
      <c r="AK51" s="670">
        <f>AVERAGE(R51,T51,V51,X51,Z51,AB51,AD51,AF51,AH51,AJ51)</f>
        <v>20.3</v>
      </c>
    </row>
    <row r="52" spans="1:37" ht="39.75" hidden="1" customHeight="1" thickBot="1">
      <c r="A52" s="791"/>
      <c r="B52" s="674" t="s">
        <v>228</v>
      </c>
      <c r="C52" s="674" t="s">
        <v>815</v>
      </c>
      <c r="D52" s="674" t="s">
        <v>816</v>
      </c>
      <c r="E52" s="674">
        <v>2015</v>
      </c>
      <c r="F52" s="674">
        <v>1.7</v>
      </c>
      <c r="G52" s="674" t="s">
        <v>813</v>
      </c>
      <c r="H52" s="673">
        <f>I52*F52</f>
        <v>0</v>
      </c>
      <c r="I52" s="674"/>
      <c r="J52" s="673">
        <f>K52*F52</f>
        <v>0.59499999999999997</v>
      </c>
      <c r="K52" s="674">
        <v>0.35</v>
      </c>
      <c r="L52" s="673">
        <f>M52*F52</f>
        <v>5.0659999999999998</v>
      </c>
      <c r="M52" s="674">
        <v>2.98</v>
      </c>
      <c r="N52" s="673">
        <f>O52*F52</f>
        <v>4.08</v>
      </c>
      <c r="O52" s="674">
        <v>2.4</v>
      </c>
      <c r="P52" s="675">
        <f>AVERAGE(I52,K52,M52,O52)</f>
        <v>1.9100000000000001</v>
      </c>
      <c r="Q52" s="673">
        <f>F52*R52</f>
        <v>8.5</v>
      </c>
      <c r="R52" s="674">
        <v>5</v>
      </c>
      <c r="S52" s="673">
        <f>F52*T52</f>
        <v>8.5</v>
      </c>
      <c r="T52" s="674">
        <v>5</v>
      </c>
      <c r="U52" s="673">
        <f>F52*V52</f>
        <v>18.7</v>
      </c>
      <c r="V52" s="674">
        <v>11</v>
      </c>
      <c r="W52" s="673">
        <f>X52*F52</f>
        <v>17</v>
      </c>
      <c r="X52" s="671">
        <v>10</v>
      </c>
      <c r="Y52" s="673">
        <f>Z52*F52</f>
        <v>25.5</v>
      </c>
      <c r="Z52" s="671">
        <v>15</v>
      </c>
      <c r="AA52" s="673">
        <f>AB52*F52</f>
        <v>25.5</v>
      </c>
      <c r="AB52" s="671">
        <v>15</v>
      </c>
      <c r="AC52" s="673">
        <f>AD52*F52</f>
        <v>34</v>
      </c>
      <c r="AD52" s="671">
        <v>20</v>
      </c>
      <c r="AE52" s="673">
        <f>AF52*F52</f>
        <v>17</v>
      </c>
      <c r="AF52" s="671">
        <v>10</v>
      </c>
      <c r="AG52" s="673">
        <f>AH52*F52</f>
        <v>42.5</v>
      </c>
      <c r="AH52" s="671">
        <v>25</v>
      </c>
      <c r="AI52" s="672">
        <f>AJ52*F52</f>
        <v>34</v>
      </c>
      <c r="AJ52" s="671">
        <v>20</v>
      </c>
      <c r="AK52" s="670">
        <f>AVERAGE(R52,T52,V52,X52,Z52,AB52,AD52,AF52,AH52,AJ52)</f>
        <v>13.6</v>
      </c>
    </row>
    <row r="53" spans="1:37" ht="39.75" hidden="1" customHeight="1" thickTop="1" thickBot="1">
      <c r="A53" s="792"/>
      <c r="B53" s="657" t="s">
        <v>176</v>
      </c>
      <c r="C53" s="657"/>
      <c r="D53" s="657"/>
      <c r="E53" s="657"/>
      <c r="F53" s="657">
        <v>61.05</v>
      </c>
      <c r="G53" s="657" t="s">
        <v>813</v>
      </c>
      <c r="H53" s="658">
        <f>SUM(H49:H52)</f>
        <v>7.28</v>
      </c>
      <c r="I53" s="659">
        <f>H53/F53</f>
        <v>0.11924651924651926</v>
      </c>
      <c r="J53" s="658">
        <f>SUM(J49:J52)</f>
        <v>177.179</v>
      </c>
      <c r="K53" s="659">
        <f>J53/F53</f>
        <v>2.9021949221949224</v>
      </c>
      <c r="L53" s="658">
        <f>SUM(L49:L52)</f>
        <v>261.03999999999996</v>
      </c>
      <c r="M53" s="659">
        <f>L53/F53</f>
        <v>4.2758394758394758</v>
      </c>
      <c r="N53" s="658">
        <f>SUM(N49:N52)</f>
        <v>636.3950000000001</v>
      </c>
      <c r="O53" s="659">
        <f>N53/F53</f>
        <v>10.424160524160527</v>
      </c>
      <c r="P53" s="659"/>
      <c r="Q53" s="658">
        <f>SUM(Q49:Q52)</f>
        <v>324.55</v>
      </c>
      <c r="R53" s="659">
        <f>Q53/F53</f>
        <v>5.3161343161343169</v>
      </c>
      <c r="S53" s="658">
        <f>SUM(S49:S52)</f>
        <v>375.25</v>
      </c>
      <c r="T53" s="659">
        <f>S53/F53</f>
        <v>6.1466011466011468</v>
      </c>
      <c r="U53" s="658">
        <f>SUM(U49:U52)</f>
        <v>880.25</v>
      </c>
      <c r="V53" s="657">
        <f>U53/F53</f>
        <v>14.418509418509419</v>
      </c>
      <c r="W53" s="658">
        <f>SUM(W49:W52)</f>
        <v>850.5</v>
      </c>
      <c r="X53" s="657">
        <f>W53/F53</f>
        <v>13.931203931203932</v>
      </c>
      <c r="Y53" s="658">
        <f>SUM(Y49:Y52)</f>
        <v>1115.75</v>
      </c>
      <c r="Z53" s="657">
        <f>Y53/F53</f>
        <v>18.276003276003276</v>
      </c>
      <c r="AA53" s="658">
        <f>SUM(AA49:AA52)</f>
        <v>999</v>
      </c>
      <c r="AB53" s="657">
        <f>AA53/F53</f>
        <v>16.363636363636363</v>
      </c>
      <c r="AC53" s="658">
        <f>SUM(AC49:AC52)</f>
        <v>1251</v>
      </c>
      <c r="AD53" s="657">
        <f>AC53/F53</f>
        <v>20.491400491400491</v>
      </c>
      <c r="AE53" s="658">
        <f>SUM(AE49:AE52)</f>
        <v>1090.5</v>
      </c>
      <c r="AF53" s="657">
        <f>AE53/F53</f>
        <v>17.862407862407863</v>
      </c>
      <c r="AG53" s="658">
        <f>SUM(AG49:AG52)</f>
        <v>1272.75</v>
      </c>
      <c r="AH53" s="657">
        <f>AG53/F53</f>
        <v>20.847665847665848</v>
      </c>
      <c r="AI53" s="658">
        <f>SUM(AI49:AI52)</f>
        <v>1107.5</v>
      </c>
      <c r="AJ53" s="657">
        <f>AI53/F53</f>
        <v>18.140868140868143</v>
      </c>
      <c r="AK53" s="670"/>
    </row>
    <row r="54" spans="1:37" ht="39.75" hidden="1" customHeight="1" thickTop="1" thickBot="1">
      <c r="A54" s="791" t="s">
        <v>812</v>
      </c>
      <c r="B54" s="680" t="s">
        <v>93</v>
      </c>
      <c r="C54" s="680" t="s">
        <v>815</v>
      </c>
      <c r="D54" s="680" t="s">
        <v>816</v>
      </c>
      <c r="E54" s="680">
        <v>2015</v>
      </c>
      <c r="F54" s="680">
        <v>32</v>
      </c>
      <c r="G54" s="680" t="s">
        <v>813</v>
      </c>
      <c r="H54" s="634">
        <f>I54*F54</f>
        <v>52.16</v>
      </c>
      <c r="I54" s="680">
        <v>1.63</v>
      </c>
      <c r="J54" s="634">
        <f>K54*F54</f>
        <v>158.72</v>
      </c>
      <c r="K54" s="680">
        <v>4.96</v>
      </c>
      <c r="L54" s="634">
        <f>M54*F54</f>
        <v>158.08000000000001</v>
      </c>
      <c r="M54" s="680">
        <v>4.9400000000000004</v>
      </c>
      <c r="N54" s="634">
        <f>O54*F54</f>
        <v>326.39999999999998</v>
      </c>
      <c r="O54" s="680">
        <v>10.199999999999999</v>
      </c>
      <c r="P54" s="654">
        <f>AVERAGE(I54,K54,M54,O54)</f>
        <v>5.4325000000000001</v>
      </c>
      <c r="Q54" s="634">
        <f>F54*R54</f>
        <v>320</v>
      </c>
      <c r="R54" s="680">
        <v>10</v>
      </c>
      <c r="S54" s="634">
        <f>F54*T54</f>
        <v>160</v>
      </c>
      <c r="T54" s="680">
        <v>5</v>
      </c>
      <c r="U54" s="634">
        <f>F54*V54</f>
        <v>320</v>
      </c>
      <c r="V54" s="680">
        <v>10</v>
      </c>
      <c r="W54" s="634">
        <f>X54*F54</f>
        <v>320</v>
      </c>
      <c r="X54" s="676">
        <v>10</v>
      </c>
      <c r="Y54" s="634">
        <f>Z54*F54</f>
        <v>480</v>
      </c>
      <c r="Z54" s="676">
        <v>15</v>
      </c>
      <c r="AA54" s="634">
        <f>AB54*F54</f>
        <v>320</v>
      </c>
      <c r="AB54" s="676">
        <v>10</v>
      </c>
      <c r="AC54" s="634">
        <f>AD54*F54</f>
        <v>640</v>
      </c>
      <c r="AD54" s="676">
        <v>20</v>
      </c>
      <c r="AE54" s="634">
        <f>AF54*F54</f>
        <v>480</v>
      </c>
      <c r="AF54" s="676">
        <v>15</v>
      </c>
      <c r="AG54" s="634">
        <f>AH54*F54</f>
        <v>640</v>
      </c>
      <c r="AH54" s="676">
        <v>20</v>
      </c>
      <c r="AI54" s="679">
        <f>AJ54*F54</f>
        <v>480</v>
      </c>
      <c r="AJ54" s="676">
        <v>15</v>
      </c>
      <c r="AK54" s="670">
        <f>AVERAGE(R54,T54,V54,X54,Z54,AB54,AD54,AF54,AH54,AJ54)</f>
        <v>13</v>
      </c>
    </row>
    <row r="55" spans="1:37" ht="39.75" hidden="1" customHeight="1" thickBot="1">
      <c r="A55" s="791"/>
      <c r="B55" s="668" t="s">
        <v>91</v>
      </c>
      <c r="C55" s="668" t="s">
        <v>815</v>
      </c>
      <c r="D55" s="668" t="s">
        <v>817</v>
      </c>
      <c r="E55" s="668">
        <v>2015</v>
      </c>
      <c r="F55" s="668">
        <v>22.35</v>
      </c>
      <c r="G55" s="668" t="s">
        <v>813</v>
      </c>
      <c r="H55" s="678">
        <f>I55*F55</f>
        <v>18.327000000000002</v>
      </c>
      <c r="I55" s="668">
        <v>0.82</v>
      </c>
      <c r="J55" s="678">
        <f>K55*F55</f>
        <v>83.14200000000001</v>
      </c>
      <c r="K55" s="668">
        <v>3.72</v>
      </c>
      <c r="L55" s="678">
        <f>M55*F55</f>
        <v>200.9265</v>
      </c>
      <c r="M55" s="668">
        <v>8.99</v>
      </c>
      <c r="N55" s="678">
        <f>O55*F55</f>
        <v>250.32</v>
      </c>
      <c r="O55" s="668">
        <v>11.2</v>
      </c>
      <c r="P55" s="655">
        <f>AVERAGE(I55,K55,M55,O55)</f>
        <v>6.1825000000000001</v>
      </c>
      <c r="Q55" s="678">
        <f>F55*R55</f>
        <v>335.25</v>
      </c>
      <c r="R55" s="668">
        <v>15</v>
      </c>
      <c r="S55" s="678">
        <f>F55*T55</f>
        <v>223.5</v>
      </c>
      <c r="T55" s="668">
        <v>10</v>
      </c>
      <c r="U55" s="678">
        <f>F55*V55</f>
        <v>335.25</v>
      </c>
      <c r="V55" s="668">
        <v>15</v>
      </c>
      <c r="W55" s="678">
        <f>X55*F55</f>
        <v>335.25</v>
      </c>
      <c r="X55" s="676">
        <v>15</v>
      </c>
      <c r="Y55" s="678">
        <f>Z55*F55</f>
        <v>558.75</v>
      </c>
      <c r="Z55" s="676">
        <v>25</v>
      </c>
      <c r="AA55" s="678">
        <f>AB55*F55</f>
        <v>335.25</v>
      </c>
      <c r="AB55" s="676">
        <v>15</v>
      </c>
      <c r="AC55" s="678">
        <f>AD55*F55</f>
        <v>447</v>
      </c>
      <c r="AD55" s="676">
        <v>20</v>
      </c>
      <c r="AE55" s="678">
        <f>AF55*F55</f>
        <v>335.25</v>
      </c>
      <c r="AF55" s="676">
        <v>15</v>
      </c>
      <c r="AG55" s="678">
        <f>AH55*F55</f>
        <v>558.75</v>
      </c>
      <c r="AH55" s="676">
        <v>25</v>
      </c>
      <c r="AI55" s="677">
        <f>AJ55*F55</f>
        <v>447</v>
      </c>
      <c r="AJ55" s="676">
        <v>20</v>
      </c>
      <c r="AK55" s="670">
        <f>AVERAGE(R55,T55,V55,X55,Z55,AB55,AD55,AF55,AH55,AJ55)</f>
        <v>17.5</v>
      </c>
    </row>
    <row r="56" spans="1:37" ht="39.75" hidden="1" customHeight="1" thickBot="1">
      <c r="A56" s="791"/>
      <c r="B56" s="668" t="s">
        <v>228</v>
      </c>
      <c r="C56" s="668" t="s">
        <v>815</v>
      </c>
      <c r="D56" s="668" t="s">
        <v>816</v>
      </c>
      <c r="E56" s="668">
        <v>2015</v>
      </c>
      <c r="F56" s="668">
        <v>3.5</v>
      </c>
      <c r="G56" s="668" t="s">
        <v>813</v>
      </c>
      <c r="H56" s="678">
        <f>I56*F56</f>
        <v>0.94500000000000006</v>
      </c>
      <c r="I56" s="668">
        <v>0.27</v>
      </c>
      <c r="J56" s="678">
        <f>K56*F56</f>
        <v>4.13</v>
      </c>
      <c r="K56" s="668">
        <v>1.18</v>
      </c>
      <c r="L56" s="678">
        <f>M56*F56</f>
        <v>16.239999999999998</v>
      </c>
      <c r="M56" s="668">
        <v>4.6399999999999997</v>
      </c>
      <c r="N56" s="678">
        <f>O56*F56</f>
        <v>11.9</v>
      </c>
      <c r="O56" s="668">
        <v>3.4</v>
      </c>
      <c r="P56" s="655">
        <f>AVERAGE(I56,K56,M56,O56)</f>
        <v>2.3725000000000001</v>
      </c>
      <c r="Q56" s="678">
        <f>F56*R56</f>
        <v>52.5</v>
      </c>
      <c r="R56" s="668">
        <v>15</v>
      </c>
      <c r="S56" s="678">
        <f>F56*T56</f>
        <v>17.5</v>
      </c>
      <c r="T56" s="668">
        <v>5</v>
      </c>
      <c r="U56" s="678">
        <f>F56*V56</f>
        <v>42</v>
      </c>
      <c r="V56" s="668">
        <v>12</v>
      </c>
      <c r="W56" s="678">
        <f>X56*F56</f>
        <v>35</v>
      </c>
      <c r="X56" s="676">
        <v>10</v>
      </c>
      <c r="Y56" s="678">
        <f>Z56*F56</f>
        <v>52.5</v>
      </c>
      <c r="Z56" s="676">
        <v>15</v>
      </c>
      <c r="AA56" s="678">
        <f>AB56*F56</f>
        <v>70</v>
      </c>
      <c r="AB56" s="676">
        <v>20</v>
      </c>
      <c r="AC56" s="678">
        <f>AD56*F56</f>
        <v>35</v>
      </c>
      <c r="AD56" s="676">
        <v>10</v>
      </c>
      <c r="AE56" s="678">
        <f>AF56*F56</f>
        <v>87.5</v>
      </c>
      <c r="AF56" s="676">
        <v>25</v>
      </c>
      <c r="AG56" s="678">
        <f>AH56*F56</f>
        <v>70</v>
      </c>
      <c r="AH56" s="676">
        <v>20</v>
      </c>
      <c r="AI56" s="677">
        <f>AJ56*F56</f>
        <v>87.5</v>
      </c>
      <c r="AJ56" s="676">
        <v>25</v>
      </c>
      <c r="AK56" s="670">
        <f>AVERAGE(R56,T56,V56,X56,Z56,AB56,AD56,AF56,AH56,AJ56)</f>
        <v>15.7</v>
      </c>
    </row>
    <row r="57" spans="1:37" ht="39.75" hidden="1" customHeight="1" thickBot="1">
      <c r="A57" s="791"/>
      <c r="B57" s="674" t="s">
        <v>220</v>
      </c>
      <c r="C57" s="674" t="s">
        <v>815</v>
      </c>
      <c r="D57" s="674" t="s">
        <v>816</v>
      </c>
      <c r="E57" s="674">
        <v>2015</v>
      </c>
      <c r="F57" s="674">
        <v>18.2</v>
      </c>
      <c r="G57" s="674" t="s">
        <v>813</v>
      </c>
      <c r="H57" s="673">
        <f>I57*F57</f>
        <v>0</v>
      </c>
      <c r="I57" s="674"/>
      <c r="J57" s="673">
        <f>K57*F57</f>
        <v>0</v>
      </c>
      <c r="K57" s="674"/>
      <c r="L57" s="673">
        <f>M57*F57</f>
        <v>28.937999999999999</v>
      </c>
      <c r="M57" s="674">
        <v>1.59</v>
      </c>
      <c r="N57" s="673">
        <f>O57*F57</f>
        <v>41.859999999999992</v>
      </c>
      <c r="O57" s="674">
        <v>2.2999999999999998</v>
      </c>
      <c r="P57" s="675">
        <f>AVERAGE(I57,K57,M57,O57)</f>
        <v>1.9449999999999998</v>
      </c>
      <c r="Q57" s="673">
        <f>F57*R57</f>
        <v>182</v>
      </c>
      <c r="R57" s="674">
        <v>10</v>
      </c>
      <c r="S57" s="673">
        <f>F57*T57</f>
        <v>91</v>
      </c>
      <c r="T57" s="674">
        <v>5</v>
      </c>
      <c r="U57" s="673">
        <f>F57*V57</f>
        <v>182</v>
      </c>
      <c r="V57" s="674">
        <v>10</v>
      </c>
      <c r="W57" s="673">
        <f>X57*F57</f>
        <v>182</v>
      </c>
      <c r="X57" s="671">
        <v>10</v>
      </c>
      <c r="Y57" s="673">
        <f>Z57*F57</f>
        <v>273</v>
      </c>
      <c r="Z57" s="671">
        <v>15</v>
      </c>
      <c r="AA57" s="673">
        <f>AB57*F57</f>
        <v>273</v>
      </c>
      <c r="AB57" s="671">
        <v>15</v>
      </c>
      <c r="AC57" s="673">
        <f>AD57*F57</f>
        <v>364</v>
      </c>
      <c r="AD57" s="671">
        <v>20</v>
      </c>
      <c r="AE57" s="673">
        <f>AF57*F57</f>
        <v>273</v>
      </c>
      <c r="AF57" s="671">
        <v>15</v>
      </c>
      <c r="AG57" s="673">
        <f>AH57*F57</f>
        <v>364</v>
      </c>
      <c r="AH57" s="671">
        <v>20</v>
      </c>
      <c r="AI57" s="672">
        <f>AJ57*F57</f>
        <v>273</v>
      </c>
      <c r="AJ57" s="671">
        <v>15</v>
      </c>
      <c r="AK57" s="670">
        <f>AVERAGE(R57,T57,V57,X57,Z57,AB57,AD57,AF57,AH57,AJ57)</f>
        <v>13.5</v>
      </c>
    </row>
    <row r="58" spans="1:37" ht="39.75" hidden="1" customHeight="1" thickTop="1" thickBot="1">
      <c r="A58" s="792"/>
      <c r="B58" s="657" t="s">
        <v>176</v>
      </c>
      <c r="C58" s="657"/>
      <c r="D58" s="657"/>
      <c r="E58" s="657"/>
      <c r="F58" s="657">
        <v>76.05</v>
      </c>
      <c r="G58" s="657" t="s">
        <v>813</v>
      </c>
      <c r="H58" s="658">
        <f>SUM(H54:H57)</f>
        <v>71.431999999999988</v>
      </c>
      <c r="I58" s="659">
        <f>H58/F58</f>
        <v>0.93927679158448374</v>
      </c>
      <c r="J58" s="658">
        <f>SUM(J54:J57)</f>
        <v>245.99200000000002</v>
      </c>
      <c r="K58" s="659">
        <f>J58/F58</f>
        <v>3.2346088099934258</v>
      </c>
      <c r="L58" s="658">
        <f>SUM(L54:L57)</f>
        <v>404.18450000000001</v>
      </c>
      <c r="M58" s="659">
        <f>L58/F58</f>
        <v>5.3147205785667326</v>
      </c>
      <c r="N58" s="658">
        <f>SUM(N54:N57)</f>
        <v>630.48</v>
      </c>
      <c r="O58" s="659">
        <f>N58/F58</f>
        <v>8.2903353057199212</v>
      </c>
      <c r="P58" s="659"/>
      <c r="Q58" s="658">
        <f>SUM(Q54:Q57)</f>
        <v>889.75</v>
      </c>
      <c r="R58" s="659">
        <f>Q58/F58</f>
        <v>11.699539776462855</v>
      </c>
      <c r="S58" s="658">
        <f>SUM(S54:S57)</f>
        <v>492</v>
      </c>
      <c r="T58" s="659">
        <f>S58/F58</f>
        <v>6.4694280078895465</v>
      </c>
      <c r="U58" s="658">
        <f>SUM(U54:U57)</f>
        <v>879.25</v>
      </c>
      <c r="V58" s="657">
        <f>U58/F58</f>
        <v>11.561472715318869</v>
      </c>
      <c r="W58" s="658">
        <f>SUM(W54:W57)</f>
        <v>872.25</v>
      </c>
      <c r="X58" s="657">
        <f>W58/F58</f>
        <v>11.469428007889547</v>
      </c>
      <c r="Y58" s="658">
        <f>SUM(Y54:Y57)</f>
        <v>1364.25</v>
      </c>
      <c r="Z58" s="657">
        <f>Y58/F58</f>
        <v>17.938856015779095</v>
      </c>
      <c r="AA58" s="658">
        <f>SUM(AA54:AA57)</f>
        <v>998.25</v>
      </c>
      <c r="AB58" s="657">
        <f>AA58/F58</f>
        <v>13.126232741617358</v>
      </c>
      <c r="AC58" s="658">
        <f>SUM(AC54:AC57)</f>
        <v>1486</v>
      </c>
      <c r="AD58" s="657">
        <f>AC58/F58</f>
        <v>19.539776462853386</v>
      </c>
      <c r="AE58" s="658">
        <f>SUM(AE54:AE57)</f>
        <v>1175.75</v>
      </c>
      <c r="AF58" s="657">
        <f>AE58/F58</f>
        <v>15.460223537146614</v>
      </c>
      <c r="AG58" s="658">
        <f>SUM(AG54:AG57)</f>
        <v>1632.75</v>
      </c>
      <c r="AH58" s="657">
        <f>AG58/F58</f>
        <v>21.469428007889547</v>
      </c>
      <c r="AI58" s="658">
        <f>SUM(AI54:AI57)</f>
        <v>1287.5</v>
      </c>
      <c r="AJ58" s="657">
        <f>AI58/F58</f>
        <v>16.929651545036162</v>
      </c>
      <c r="AK58" s="670"/>
    </row>
    <row r="59" spans="1:37" ht="39.75" hidden="1" customHeight="1" thickTop="1" thickBot="1">
      <c r="A59" s="791" t="s">
        <v>818</v>
      </c>
      <c r="B59" s="680" t="s">
        <v>93</v>
      </c>
      <c r="C59" s="680" t="s">
        <v>815</v>
      </c>
      <c r="D59" s="788" t="s">
        <v>821</v>
      </c>
      <c r="E59" s="680">
        <v>2014</v>
      </c>
      <c r="F59" s="680">
        <v>8</v>
      </c>
      <c r="G59" s="680" t="s">
        <v>820</v>
      </c>
      <c r="H59" s="634">
        <f>I59*F59</f>
        <v>31.52</v>
      </c>
      <c r="I59" s="680">
        <v>3.94</v>
      </c>
      <c r="J59" s="634">
        <f>K59*F59</f>
        <v>53.92</v>
      </c>
      <c r="K59" s="680">
        <v>6.74</v>
      </c>
      <c r="L59" s="634">
        <f>M59*F59</f>
        <v>43.68</v>
      </c>
      <c r="M59" s="680">
        <v>5.46</v>
      </c>
      <c r="N59" s="634">
        <f>O59*F59</f>
        <v>43.2</v>
      </c>
      <c r="O59" s="680">
        <v>5.4</v>
      </c>
      <c r="P59" s="654">
        <f>AVERAGE(I59,K59,M59,O59)</f>
        <v>5.3849999999999998</v>
      </c>
      <c r="Q59" s="634">
        <f>F59*R59</f>
        <v>40</v>
      </c>
      <c r="R59" s="680">
        <v>5</v>
      </c>
      <c r="S59" s="634">
        <f>F59*T59</f>
        <v>40</v>
      </c>
      <c r="T59" s="680">
        <v>5</v>
      </c>
      <c r="U59" s="634">
        <f>F59*V59</f>
        <v>80</v>
      </c>
      <c r="V59" s="680">
        <v>10</v>
      </c>
      <c r="W59" s="634">
        <f>X59*F59</f>
        <v>120</v>
      </c>
      <c r="X59" s="676">
        <v>15</v>
      </c>
      <c r="Y59" s="634">
        <f>Z59*F59</f>
        <v>160</v>
      </c>
      <c r="Z59" s="676">
        <v>20</v>
      </c>
      <c r="AA59" s="634">
        <f>AB59*F59</f>
        <v>120</v>
      </c>
      <c r="AB59" s="676">
        <v>15</v>
      </c>
      <c r="AC59" s="634">
        <f>AD59*F59</f>
        <v>160</v>
      </c>
      <c r="AD59" s="676">
        <v>20</v>
      </c>
      <c r="AE59" s="634">
        <f>AF59*F59</f>
        <v>120</v>
      </c>
      <c r="AF59" s="676">
        <v>15</v>
      </c>
      <c r="AG59" s="634">
        <f>AH59*F59</f>
        <v>160</v>
      </c>
      <c r="AH59" s="676">
        <v>20</v>
      </c>
      <c r="AI59" s="679">
        <f>AJ59*F59</f>
        <v>120</v>
      </c>
      <c r="AJ59" s="676">
        <v>15</v>
      </c>
      <c r="AK59" s="670">
        <f>AVERAGE(R59,T59,V59,X59,Z59,AB59,AD59,AF59,AH59,AJ59)</f>
        <v>14</v>
      </c>
    </row>
    <row r="60" spans="1:37" ht="39.75" hidden="1" customHeight="1" thickBot="1">
      <c r="A60" s="791"/>
      <c r="B60" s="668" t="s">
        <v>91</v>
      </c>
      <c r="C60" s="668" t="s">
        <v>815</v>
      </c>
      <c r="D60" s="789"/>
      <c r="E60" s="668">
        <v>2014</v>
      </c>
      <c r="F60" s="668">
        <v>8.8000000000000007</v>
      </c>
      <c r="G60" s="668" t="s">
        <v>820</v>
      </c>
      <c r="H60" s="678">
        <f>I60*F60</f>
        <v>29.391999999999999</v>
      </c>
      <c r="I60" s="668">
        <v>3.34</v>
      </c>
      <c r="J60" s="678">
        <f>K60*F60</f>
        <v>44.88</v>
      </c>
      <c r="K60" s="668">
        <v>5.0999999999999996</v>
      </c>
      <c r="L60" s="678">
        <f>M60*F60</f>
        <v>62.216000000000008</v>
      </c>
      <c r="M60" s="668">
        <v>7.07</v>
      </c>
      <c r="N60" s="678">
        <f>O60*F60</f>
        <v>44</v>
      </c>
      <c r="O60" s="668">
        <v>5</v>
      </c>
      <c r="P60" s="655">
        <f>AVERAGE(I60,K60,M60,O60)</f>
        <v>5.1274999999999995</v>
      </c>
      <c r="Q60" s="678">
        <f>F60*R60</f>
        <v>88</v>
      </c>
      <c r="R60" s="668">
        <v>10</v>
      </c>
      <c r="S60" s="678">
        <f>F60*T60</f>
        <v>44</v>
      </c>
      <c r="T60" s="668">
        <v>5</v>
      </c>
      <c r="U60" s="678">
        <f>F60*V60</f>
        <v>132</v>
      </c>
      <c r="V60" s="668">
        <v>15</v>
      </c>
      <c r="W60" s="678">
        <f>X60*F60</f>
        <v>132</v>
      </c>
      <c r="X60" s="676">
        <v>15</v>
      </c>
      <c r="Y60" s="678">
        <f>Z60*F60</f>
        <v>264</v>
      </c>
      <c r="Z60" s="676">
        <v>30</v>
      </c>
      <c r="AA60" s="678">
        <f>AB60*F60</f>
        <v>132</v>
      </c>
      <c r="AB60" s="676">
        <v>15</v>
      </c>
      <c r="AC60" s="678">
        <f>AD60*F60</f>
        <v>220.00000000000003</v>
      </c>
      <c r="AD60" s="676">
        <v>25</v>
      </c>
      <c r="AE60" s="678">
        <f>AF60*F60</f>
        <v>176</v>
      </c>
      <c r="AF60" s="676">
        <v>20</v>
      </c>
      <c r="AG60" s="678">
        <f>AH60*F60</f>
        <v>220.00000000000003</v>
      </c>
      <c r="AH60" s="676">
        <v>25</v>
      </c>
      <c r="AI60" s="677">
        <f>AJ60*F60</f>
        <v>264</v>
      </c>
      <c r="AJ60" s="676">
        <v>30</v>
      </c>
      <c r="AK60" s="670">
        <f>AVERAGE(R60,T60,V60,X60,Z60,AB60,AD60,AF60,AH60,AJ60)</f>
        <v>19</v>
      </c>
    </row>
    <row r="61" spans="1:37" ht="39.75" hidden="1" customHeight="1" thickBot="1">
      <c r="A61" s="791"/>
      <c r="B61" s="668" t="s">
        <v>198</v>
      </c>
      <c r="C61" s="668" t="s">
        <v>815</v>
      </c>
      <c r="D61" s="789"/>
      <c r="E61" s="668">
        <v>2014</v>
      </c>
      <c r="F61" s="668">
        <v>4.8</v>
      </c>
      <c r="G61" s="668" t="s">
        <v>820</v>
      </c>
      <c r="H61" s="678">
        <f>I61*F61</f>
        <v>29.375999999999998</v>
      </c>
      <c r="I61" s="668">
        <v>6.12</v>
      </c>
      <c r="J61" s="678">
        <f>K61*F61</f>
        <v>40.127999999999993</v>
      </c>
      <c r="K61" s="668">
        <v>8.36</v>
      </c>
      <c r="L61" s="678">
        <f>M61*F61</f>
        <v>95.04</v>
      </c>
      <c r="M61" s="668">
        <v>19.8</v>
      </c>
      <c r="N61" s="678">
        <f>O61*F61</f>
        <v>52.8</v>
      </c>
      <c r="O61" s="668">
        <v>11</v>
      </c>
      <c r="P61" s="655">
        <f>AVERAGE(I61,K61,M61,O61)</f>
        <v>11.32</v>
      </c>
      <c r="Q61" s="678">
        <f>F61*R61</f>
        <v>24</v>
      </c>
      <c r="R61" s="668">
        <v>5</v>
      </c>
      <c r="S61" s="678">
        <f>F61*T61</f>
        <v>24</v>
      </c>
      <c r="T61" s="668">
        <v>5</v>
      </c>
      <c r="U61" s="678">
        <f>F61*V61</f>
        <v>52.8</v>
      </c>
      <c r="V61" s="668">
        <v>11</v>
      </c>
      <c r="W61" s="678">
        <f>X61*F61</f>
        <v>72</v>
      </c>
      <c r="X61" s="676">
        <v>15</v>
      </c>
      <c r="Y61" s="678">
        <f>Z61*F61</f>
        <v>120</v>
      </c>
      <c r="Z61" s="676">
        <v>25</v>
      </c>
      <c r="AA61" s="678">
        <f>AB61*F61</f>
        <v>48</v>
      </c>
      <c r="AB61" s="676">
        <v>10</v>
      </c>
      <c r="AC61" s="678">
        <f>AD61*F61</f>
        <v>96</v>
      </c>
      <c r="AD61" s="676">
        <v>20</v>
      </c>
      <c r="AE61" s="678">
        <f>AF61*F61</f>
        <v>96</v>
      </c>
      <c r="AF61" s="676">
        <v>20</v>
      </c>
      <c r="AG61" s="678">
        <f>AH61*F61</f>
        <v>120</v>
      </c>
      <c r="AH61" s="676">
        <v>25</v>
      </c>
      <c r="AI61" s="677">
        <f>AJ61*F61</f>
        <v>96</v>
      </c>
      <c r="AJ61" s="676">
        <v>20</v>
      </c>
      <c r="AK61" s="670">
        <f>AVERAGE(R61,T61,V61,X61,Z61,AB61,AD61,AF61,AH61,AJ61)</f>
        <v>15.6</v>
      </c>
    </row>
    <row r="62" spans="1:37" ht="39.75" hidden="1" customHeight="1" thickBot="1">
      <c r="A62" s="791"/>
      <c r="B62" s="674" t="s">
        <v>220</v>
      </c>
      <c r="C62" s="674" t="s">
        <v>815</v>
      </c>
      <c r="D62" s="790"/>
      <c r="E62" s="674">
        <v>2014</v>
      </c>
      <c r="F62" s="674">
        <v>3.4</v>
      </c>
      <c r="G62" s="674" t="s">
        <v>820</v>
      </c>
      <c r="H62" s="673">
        <f>I62*F62</f>
        <v>3.468</v>
      </c>
      <c r="I62" s="674">
        <v>1.02</v>
      </c>
      <c r="J62" s="673">
        <f>K62*F62</f>
        <v>0</v>
      </c>
      <c r="K62" s="674"/>
      <c r="L62" s="673">
        <f>M62*F62</f>
        <v>1.734</v>
      </c>
      <c r="M62" s="674">
        <v>0.51</v>
      </c>
      <c r="N62" s="673">
        <f>O62*F62</f>
        <v>11.559999999999999</v>
      </c>
      <c r="O62" s="674">
        <v>3.4</v>
      </c>
      <c r="P62" s="675">
        <f>AVERAGE(I62,K62,M62,O62)</f>
        <v>1.6433333333333333</v>
      </c>
      <c r="Q62" s="673">
        <f>F62*R62</f>
        <v>34</v>
      </c>
      <c r="R62" s="674">
        <v>10</v>
      </c>
      <c r="S62" s="673">
        <f>F62*T62</f>
        <v>17</v>
      </c>
      <c r="T62" s="674">
        <v>5</v>
      </c>
      <c r="U62" s="673">
        <f>F62*V62</f>
        <v>34</v>
      </c>
      <c r="V62" s="674">
        <v>10</v>
      </c>
      <c r="W62" s="673">
        <f>X62*F62</f>
        <v>34</v>
      </c>
      <c r="X62" s="671">
        <v>10</v>
      </c>
      <c r="Y62" s="673">
        <f>Z62*F62</f>
        <v>51</v>
      </c>
      <c r="Z62" s="671">
        <v>15</v>
      </c>
      <c r="AA62" s="673">
        <f>AB62*F62</f>
        <v>68</v>
      </c>
      <c r="AB62" s="671">
        <v>20</v>
      </c>
      <c r="AC62" s="673">
        <f>AD62*F62</f>
        <v>34</v>
      </c>
      <c r="AD62" s="671">
        <v>10</v>
      </c>
      <c r="AE62" s="673">
        <f>AF62*F62</f>
        <v>68</v>
      </c>
      <c r="AF62" s="671">
        <v>20</v>
      </c>
      <c r="AG62" s="673">
        <f>AH62*F62</f>
        <v>85</v>
      </c>
      <c r="AH62" s="671">
        <v>25</v>
      </c>
      <c r="AI62" s="672">
        <f>AJ62*F62</f>
        <v>68</v>
      </c>
      <c r="AJ62" s="671">
        <v>20</v>
      </c>
      <c r="AK62" s="670">
        <f>AVERAGE(R62,T62,V62,X62,Z62,AB62,AD62,AF62,AH62,AJ62)</f>
        <v>14.5</v>
      </c>
    </row>
    <row r="63" spans="1:37" ht="39.75" hidden="1" customHeight="1" thickTop="1" thickBot="1">
      <c r="A63" s="792"/>
      <c r="B63" s="657" t="s">
        <v>176</v>
      </c>
      <c r="C63" s="657"/>
      <c r="D63" s="657"/>
      <c r="E63" s="657"/>
      <c r="F63" s="657">
        <v>25</v>
      </c>
      <c r="G63" s="657" t="s">
        <v>820</v>
      </c>
      <c r="H63" s="658">
        <f>SUM(H59:H62)</f>
        <v>93.756</v>
      </c>
      <c r="I63" s="659">
        <f>H63/F63</f>
        <v>3.7502399999999998</v>
      </c>
      <c r="J63" s="658">
        <f>SUM(J59:J62)</f>
        <v>138.928</v>
      </c>
      <c r="K63" s="659">
        <f>J63/F63</f>
        <v>5.5571200000000003</v>
      </c>
      <c r="L63" s="658">
        <f>SUM(L59:L62)</f>
        <v>202.67000000000004</v>
      </c>
      <c r="M63" s="659">
        <f>L63/F63</f>
        <v>8.1068000000000016</v>
      </c>
      <c r="N63" s="658">
        <f>SUM(N59:N62)</f>
        <v>151.56</v>
      </c>
      <c r="O63" s="659">
        <f>N63/F63</f>
        <v>6.0624000000000002</v>
      </c>
      <c r="P63" s="659"/>
      <c r="Q63" s="658">
        <f>SUM(Q59:Q62)</f>
        <v>186</v>
      </c>
      <c r="R63" s="659">
        <f>Q63/F63</f>
        <v>7.44</v>
      </c>
      <c r="S63" s="658">
        <f>SUM(S59:S62)</f>
        <v>125</v>
      </c>
      <c r="T63" s="659">
        <f>S63/F63</f>
        <v>5</v>
      </c>
      <c r="U63" s="658">
        <f>SUM(U59:U62)</f>
        <v>298.8</v>
      </c>
      <c r="V63" s="657">
        <f>U63/F63</f>
        <v>11.952</v>
      </c>
      <c r="W63" s="658">
        <f>SUM(W59:W62)</f>
        <v>358</v>
      </c>
      <c r="X63" s="657">
        <f>W63/F63</f>
        <v>14.32</v>
      </c>
      <c r="Y63" s="658">
        <f>SUM(Y59:Y62)</f>
        <v>595</v>
      </c>
      <c r="Z63" s="657">
        <f>Y63/F63</f>
        <v>23.8</v>
      </c>
      <c r="AA63" s="658">
        <f>SUM(AA59:AA62)</f>
        <v>368</v>
      </c>
      <c r="AB63" s="657">
        <f>AA63/F63</f>
        <v>14.72</v>
      </c>
      <c r="AC63" s="658">
        <f>SUM(AC59:AC62)</f>
        <v>510</v>
      </c>
      <c r="AD63" s="657">
        <f>AC63/F63</f>
        <v>20.399999999999999</v>
      </c>
      <c r="AE63" s="658">
        <f>SUM(AE59:AE62)</f>
        <v>460</v>
      </c>
      <c r="AF63" s="657">
        <f>AE63/F63</f>
        <v>18.399999999999999</v>
      </c>
      <c r="AG63" s="658">
        <f>SUM(AG59:AG62)</f>
        <v>585</v>
      </c>
      <c r="AH63" s="657">
        <f>AG63/F63</f>
        <v>23.4</v>
      </c>
      <c r="AI63" s="658">
        <f>SUM(AI59:AI62)</f>
        <v>548</v>
      </c>
      <c r="AJ63" s="657">
        <f>AI63/F63</f>
        <v>21.92</v>
      </c>
      <c r="AK63" s="670"/>
    </row>
    <row r="64" spans="1:37" ht="39.75" hidden="1" customHeight="1" thickTop="1" thickBot="1">
      <c r="A64" s="791" t="s">
        <v>812</v>
      </c>
      <c r="B64" s="680" t="s">
        <v>214</v>
      </c>
      <c r="C64" s="680" t="s">
        <v>815</v>
      </c>
      <c r="D64" s="680" t="s">
        <v>816</v>
      </c>
      <c r="E64" s="680">
        <v>2014</v>
      </c>
      <c r="F64" s="680">
        <v>19.18</v>
      </c>
      <c r="G64" s="680" t="s">
        <v>813</v>
      </c>
      <c r="H64" s="634">
        <f>I64*F64</f>
        <v>0</v>
      </c>
      <c r="I64" s="680"/>
      <c r="J64" s="634">
        <f>K64*F64</f>
        <v>0</v>
      </c>
      <c r="K64" s="680"/>
      <c r="L64" s="634">
        <f>M64*F64</f>
        <v>22.248799999999999</v>
      </c>
      <c r="M64" s="680">
        <v>1.1599999999999999</v>
      </c>
      <c r="N64" s="634">
        <f>O64*F64</f>
        <v>47.95</v>
      </c>
      <c r="O64" s="680">
        <v>2.5</v>
      </c>
      <c r="P64" s="654">
        <f>AVERAGE(I64,K64,M64,O64)</f>
        <v>1.83</v>
      </c>
      <c r="Q64" s="634">
        <f>F64*R64</f>
        <v>191.8</v>
      </c>
      <c r="R64" s="680">
        <v>10</v>
      </c>
      <c r="S64" s="634">
        <f>F64*T64</f>
        <v>95.9</v>
      </c>
      <c r="T64" s="680">
        <v>5</v>
      </c>
      <c r="U64" s="634">
        <f>F64*V64</f>
        <v>191.8</v>
      </c>
      <c r="V64" s="680">
        <v>10</v>
      </c>
      <c r="W64" s="634">
        <f>X64*F64</f>
        <v>287.7</v>
      </c>
      <c r="X64" s="676">
        <v>15</v>
      </c>
      <c r="Y64" s="634">
        <f>Z64*F64</f>
        <v>230.16</v>
      </c>
      <c r="Z64" s="676">
        <v>12</v>
      </c>
      <c r="AA64" s="634">
        <f>AB64*F64</f>
        <v>326.06</v>
      </c>
      <c r="AB64" s="676">
        <v>17</v>
      </c>
      <c r="AC64" s="634">
        <f>AD64*F64</f>
        <v>287.7</v>
      </c>
      <c r="AD64" s="676">
        <v>15</v>
      </c>
      <c r="AE64" s="634">
        <f>AF64*F64</f>
        <v>326.06</v>
      </c>
      <c r="AF64" s="676">
        <v>17</v>
      </c>
      <c r="AG64" s="634">
        <f>AH64*F64</f>
        <v>287.7</v>
      </c>
      <c r="AH64" s="676">
        <v>15</v>
      </c>
      <c r="AI64" s="679">
        <f>AJ64*F64</f>
        <v>326.06</v>
      </c>
      <c r="AJ64" s="676">
        <v>17</v>
      </c>
      <c r="AK64" s="670">
        <f>AVERAGE(R64,T64,V64,X64,Z64,AB64,AD64,AF64,AH64,AJ64)</f>
        <v>13.3</v>
      </c>
    </row>
    <row r="65" spans="1:37" ht="39.75" hidden="1" customHeight="1" thickBot="1">
      <c r="A65" s="791"/>
      <c r="B65" s="668" t="s">
        <v>213</v>
      </c>
      <c r="C65" s="668" t="s">
        <v>815</v>
      </c>
      <c r="D65" s="668"/>
      <c r="E65" s="668">
        <v>2014</v>
      </c>
      <c r="F65" s="668">
        <v>3</v>
      </c>
      <c r="G65" s="668" t="s">
        <v>813</v>
      </c>
      <c r="H65" s="678">
        <f>I65*F65</f>
        <v>0</v>
      </c>
      <c r="I65" s="668"/>
      <c r="J65" s="678">
        <f>K65*F65</f>
        <v>0</v>
      </c>
      <c r="K65" s="668"/>
      <c r="L65" s="678">
        <f>M65*F65</f>
        <v>5.43</v>
      </c>
      <c r="M65" s="668">
        <v>1.81</v>
      </c>
      <c r="N65" s="678">
        <f>O65*F65</f>
        <v>12</v>
      </c>
      <c r="O65" s="668">
        <v>4</v>
      </c>
      <c r="P65" s="655">
        <f>AVERAGE(I65,K65,M65,O65)</f>
        <v>2.9050000000000002</v>
      </c>
      <c r="Q65" s="678">
        <f>F65*R65</f>
        <v>30</v>
      </c>
      <c r="R65" s="668">
        <v>10</v>
      </c>
      <c r="S65" s="678">
        <f>F65*T65</f>
        <v>15</v>
      </c>
      <c r="T65" s="668">
        <v>5</v>
      </c>
      <c r="U65" s="678">
        <f>F65*V65</f>
        <v>39</v>
      </c>
      <c r="V65" s="668">
        <v>13</v>
      </c>
      <c r="W65" s="678">
        <f>X65*F65</f>
        <v>45</v>
      </c>
      <c r="X65" s="676">
        <v>15</v>
      </c>
      <c r="Y65" s="678">
        <f>Z65*F65</f>
        <v>30</v>
      </c>
      <c r="Z65" s="676">
        <v>10</v>
      </c>
      <c r="AA65" s="678">
        <f>AB65*F65</f>
        <v>45</v>
      </c>
      <c r="AB65" s="676">
        <v>15</v>
      </c>
      <c r="AC65" s="678">
        <f>AD65*F65</f>
        <v>60</v>
      </c>
      <c r="AD65" s="676">
        <v>20</v>
      </c>
      <c r="AE65" s="678">
        <f>AF65*F65</f>
        <v>45</v>
      </c>
      <c r="AF65" s="676">
        <v>15</v>
      </c>
      <c r="AG65" s="678">
        <f>AH65*F65</f>
        <v>60</v>
      </c>
      <c r="AH65" s="676">
        <v>20</v>
      </c>
      <c r="AI65" s="677">
        <f>AJ65*F65</f>
        <v>45</v>
      </c>
      <c r="AJ65" s="676">
        <v>15</v>
      </c>
      <c r="AK65" s="670">
        <f>AVERAGE(R65,T65,V65,X65,Z65,AB65,AD65,AF65,AH65,AJ65)</f>
        <v>13.8</v>
      </c>
    </row>
    <row r="66" spans="1:37" ht="39.75" hidden="1" customHeight="1" thickBot="1">
      <c r="A66" s="791"/>
      <c r="B66" s="668" t="s">
        <v>232</v>
      </c>
      <c r="C66" s="668" t="s">
        <v>815</v>
      </c>
      <c r="D66" s="668"/>
      <c r="E66" s="668">
        <v>2014</v>
      </c>
      <c r="F66" s="668">
        <v>5</v>
      </c>
      <c r="G66" s="668" t="s">
        <v>813</v>
      </c>
      <c r="H66" s="678">
        <f>I66*F66</f>
        <v>0</v>
      </c>
      <c r="I66" s="668"/>
      <c r="J66" s="678">
        <f>K66*F66</f>
        <v>0</v>
      </c>
      <c r="K66" s="668"/>
      <c r="L66" s="678">
        <f>M66*F66</f>
        <v>10.45</v>
      </c>
      <c r="M66" s="668">
        <v>2.09</v>
      </c>
      <c r="N66" s="678">
        <f>O66*F66</f>
        <v>13.5</v>
      </c>
      <c r="O66" s="668">
        <v>2.7</v>
      </c>
      <c r="P66" s="655">
        <f>AVERAGE(I66,K66,M66,O66)</f>
        <v>2.395</v>
      </c>
      <c r="Q66" s="678">
        <f>F66*R66</f>
        <v>50</v>
      </c>
      <c r="R66" s="668">
        <v>10</v>
      </c>
      <c r="S66" s="678">
        <f>F66*T66</f>
        <v>25</v>
      </c>
      <c r="T66" s="668">
        <v>5</v>
      </c>
      <c r="U66" s="678">
        <f>F66*V66</f>
        <v>60</v>
      </c>
      <c r="V66" s="668">
        <v>12</v>
      </c>
      <c r="W66" s="678">
        <f>X66*F66</f>
        <v>75</v>
      </c>
      <c r="X66" s="676">
        <v>15</v>
      </c>
      <c r="Y66" s="678">
        <f>Z66*F66</f>
        <v>50</v>
      </c>
      <c r="Z66" s="676">
        <v>10</v>
      </c>
      <c r="AA66" s="678">
        <f>AB66*F66</f>
        <v>75</v>
      </c>
      <c r="AB66" s="676">
        <v>15</v>
      </c>
      <c r="AC66" s="678">
        <f>AD66*F66</f>
        <v>50</v>
      </c>
      <c r="AD66" s="676">
        <v>10</v>
      </c>
      <c r="AE66" s="678">
        <f>AF66*F66</f>
        <v>50</v>
      </c>
      <c r="AF66" s="676">
        <v>10</v>
      </c>
      <c r="AG66" s="678">
        <f>AH66*F66</f>
        <v>100</v>
      </c>
      <c r="AH66" s="676">
        <v>20</v>
      </c>
      <c r="AI66" s="677">
        <f>AJ66*F66</f>
        <v>75</v>
      </c>
      <c r="AJ66" s="676">
        <v>15</v>
      </c>
      <c r="AK66" s="670">
        <f>AVERAGE(R66,T66,V66,X66,Z66,AB66,AD66,AF66,AH66,AJ66)</f>
        <v>12.2</v>
      </c>
    </row>
    <row r="67" spans="1:37" ht="39.75" hidden="1" customHeight="1" thickBot="1">
      <c r="A67" s="791"/>
      <c r="B67" s="674" t="s">
        <v>220</v>
      </c>
      <c r="C67" s="674" t="s">
        <v>815</v>
      </c>
      <c r="D67" s="674"/>
      <c r="E67" s="674">
        <v>2014</v>
      </c>
      <c r="F67" s="674">
        <v>7</v>
      </c>
      <c r="G67" s="674" t="s">
        <v>813</v>
      </c>
      <c r="H67" s="673">
        <f>I67*F67</f>
        <v>0</v>
      </c>
      <c r="I67" s="674"/>
      <c r="J67" s="673">
        <f>K67*F67</f>
        <v>0</v>
      </c>
      <c r="K67" s="674"/>
      <c r="L67" s="673">
        <f>M67*F67</f>
        <v>14</v>
      </c>
      <c r="M67" s="674">
        <v>2</v>
      </c>
      <c r="N67" s="673">
        <f>O67*F67</f>
        <v>8.4</v>
      </c>
      <c r="O67" s="674">
        <v>1.2</v>
      </c>
      <c r="P67" s="675">
        <f>AVERAGE(I67,K67,M67,O67)</f>
        <v>1.6</v>
      </c>
      <c r="Q67" s="673">
        <f>F67*R67</f>
        <v>70</v>
      </c>
      <c r="R67" s="674">
        <v>10</v>
      </c>
      <c r="S67" s="673">
        <f>F67*T67</f>
        <v>35</v>
      </c>
      <c r="T67" s="674">
        <v>5</v>
      </c>
      <c r="U67" s="673">
        <f>F67*V67</f>
        <v>77</v>
      </c>
      <c r="V67" s="674">
        <v>11</v>
      </c>
      <c r="W67" s="673">
        <f>X67*F67</f>
        <v>35</v>
      </c>
      <c r="X67" s="671">
        <v>5</v>
      </c>
      <c r="Y67" s="673">
        <f>Z67*F67</f>
        <v>105</v>
      </c>
      <c r="Z67" s="671">
        <v>15</v>
      </c>
      <c r="AA67" s="673">
        <f>AB67*F67</f>
        <v>70</v>
      </c>
      <c r="AB67" s="671">
        <v>10</v>
      </c>
      <c r="AC67" s="673">
        <f>AD67*F67</f>
        <v>49</v>
      </c>
      <c r="AD67" s="671">
        <v>7</v>
      </c>
      <c r="AE67" s="673">
        <f>AF67*F67</f>
        <v>105</v>
      </c>
      <c r="AF67" s="671">
        <v>15</v>
      </c>
      <c r="AG67" s="673">
        <f>AH67*F67</f>
        <v>140</v>
      </c>
      <c r="AH67" s="671">
        <v>20</v>
      </c>
      <c r="AI67" s="672">
        <f>AJ67*F67</f>
        <v>70</v>
      </c>
      <c r="AJ67" s="671">
        <v>10</v>
      </c>
      <c r="AK67" s="670">
        <f>AVERAGE(R67,T67,V67,X67,Z67,AB67,AD67,AF67,AH67,AJ67)</f>
        <v>10.8</v>
      </c>
    </row>
    <row r="68" spans="1:37" ht="39.75" hidden="1" customHeight="1" thickTop="1" thickBot="1">
      <c r="A68" s="792"/>
      <c r="B68" s="657" t="s">
        <v>176</v>
      </c>
      <c r="C68" s="657"/>
      <c r="D68" s="657"/>
      <c r="E68" s="657"/>
      <c r="F68" s="657">
        <v>34.18</v>
      </c>
      <c r="G68" s="657" t="s">
        <v>813</v>
      </c>
      <c r="H68" s="658">
        <f>SUM(H64:H67)</f>
        <v>0</v>
      </c>
      <c r="I68" s="659">
        <f>H68/F68</f>
        <v>0</v>
      </c>
      <c r="J68" s="658">
        <f>SUM(J64:J67)</f>
        <v>0</v>
      </c>
      <c r="K68" s="659">
        <f>J68/F68</f>
        <v>0</v>
      </c>
      <c r="L68" s="658">
        <f>SUM(L64:L67)</f>
        <v>52.128799999999998</v>
      </c>
      <c r="M68" s="659">
        <f>L68/F68</f>
        <v>1.5251258045640725</v>
      </c>
      <c r="N68" s="658">
        <f>SUM(N64:N67)</f>
        <v>81.850000000000009</v>
      </c>
      <c r="O68" s="659">
        <f>N68/F68</f>
        <v>2.3946752486834408</v>
      </c>
      <c r="P68" s="659"/>
      <c r="Q68" s="658">
        <f>SUM(Q64:Q67)</f>
        <v>341.8</v>
      </c>
      <c r="R68" s="659">
        <f>Q68/F68</f>
        <v>10</v>
      </c>
      <c r="S68" s="658">
        <f>SUM(S64:S67)</f>
        <v>170.9</v>
      </c>
      <c r="T68" s="659">
        <f>S68/F68</f>
        <v>5</v>
      </c>
      <c r="U68" s="658">
        <f>SUM(U64:U67)</f>
        <v>367.8</v>
      </c>
      <c r="V68" s="657">
        <f>U68/F68</f>
        <v>10.760678759508485</v>
      </c>
      <c r="W68" s="658">
        <f>SUM(W64:W67)</f>
        <v>442.7</v>
      </c>
      <c r="X68" s="657">
        <f>W68/F68</f>
        <v>12.952018724400235</v>
      </c>
      <c r="Y68" s="658">
        <f>SUM(Y64:Y67)</f>
        <v>415.15999999999997</v>
      </c>
      <c r="Z68" s="657">
        <f>Y68/F68</f>
        <v>12.146284376828554</v>
      </c>
      <c r="AA68" s="658">
        <f>SUM(AA64:AA67)</f>
        <v>516.05999999999995</v>
      </c>
      <c r="AB68" s="657">
        <f>AA68/F68</f>
        <v>15.098303101228787</v>
      </c>
      <c r="AC68" s="658">
        <f>SUM(AC64:AC67)</f>
        <v>446.7</v>
      </c>
      <c r="AD68" s="657">
        <f>AC68/F68</f>
        <v>13.069046225863078</v>
      </c>
      <c r="AE68" s="658">
        <f>SUM(AE64:AE67)</f>
        <v>526.05999999999995</v>
      </c>
      <c r="AF68" s="657">
        <f>AE68/F68</f>
        <v>15.390871854885896</v>
      </c>
      <c r="AG68" s="658">
        <f>SUM(AG64:AG67)</f>
        <v>587.70000000000005</v>
      </c>
      <c r="AH68" s="657">
        <f>AG68/F68</f>
        <v>17.194265652428321</v>
      </c>
      <c r="AI68" s="658">
        <f>SUM(AI64:AI67)</f>
        <v>516.05999999999995</v>
      </c>
      <c r="AJ68" s="657">
        <f>AI68/F68</f>
        <v>15.098303101228787</v>
      </c>
      <c r="AK68" s="670"/>
    </row>
    <row r="69" spans="1:37" ht="39.75" hidden="1" customHeight="1" thickTop="1" thickBot="1">
      <c r="A69" s="791" t="s">
        <v>818</v>
      </c>
      <c r="B69" s="680" t="s">
        <v>93</v>
      </c>
      <c r="C69" s="680" t="s">
        <v>815</v>
      </c>
      <c r="D69" s="680" t="s">
        <v>816</v>
      </c>
      <c r="E69" s="680">
        <v>2017</v>
      </c>
      <c r="F69" s="680">
        <v>27.79</v>
      </c>
      <c r="G69" s="680" t="s">
        <v>813</v>
      </c>
      <c r="H69" s="634">
        <f>I69*F69</f>
        <v>0</v>
      </c>
      <c r="I69" s="680"/>
      <c r="J69" s="634">
        <f>K69*F69</f>
        <v>0</v>
      </c>
      <c r="K69" s="680"/>
      <c r="L69" s="634">
        <f>M69*F69</f>
        <v>63.083300000000001</v>
      </c>
      <c r="M69" s="680">
        <v>2.27</v>
      </c>
      <c r="N69" s="634">
        <f>O69*F69</f>
        <v>38.905999999999999</v>
      </c>
      <c r="O69" s="680">
        <v>1.4</v>
      </c>
      <c r="P69" s="654">
        <f>AVERAGE(I69,K69,M69,O69)</f>
        <v>1.835</v>
      </c>
      <c r="Q69" s="634">
        <f>F69*R69</f>
        <v>138.94999999999999</v>
      </c>
      <c r="R69" s="680">
        <v>5</v>
      </c>
      <c r="S69" s="634">
        <f>F69*T69</f>
        <v>138.94999999999999</v>
      </c>
      <c r="T69" s="680">
        <v>5</v>
      </c>
      <c r="U69" s="634">
        <f>F69*V69</f>
        <v>138.94999999999999</v>
      </c>
      <c r="V69" s="680">
        <v>5</v>
      </c>
      <c r="W69" s="634">
        <f>X69*F69</f>
        <v>277.89999999999998</v>
      </c>
      <c r="X69" s="676">
        <v>10</v>
      </c>
      <c r="Y69" s="634">
        <f>Z69*F69</f>
        <v>416.84999999999997</v>
      </c>
      <c r="Z69" s="676">
        <v>15</v>
      </c>
      <c r="AA69" s="634">
        <f>AB69*F69</f>
        <v>277.89999999999998</v>
      </c>
      <c r="AB69" s="676">
        <v>10</v>
      </c>
      <c r="AC69" s="634">
        <f>AD69*F69</f>
        <v>416.84999999999997</v>
      </c>
      <c r="AD69" s="676">
        <v>15</v>
      </c>
      <c r="AE69" s="634">
        <f>AF69*F69</f>
        <v>277.89999999999998</v>
      </c>
      <c r="AF69" s="676">
        <v>10</v>
      </c>
      <c r="AG69" s="634">
        <f>AH69*F69</f>
        <v>416.84999999999997</v>
      </c>
      <c r="AH69" s="676">
        <v>15</v>
      </c>
      <c r="AI69" s="679">
        <f>AJ69*F69</f>
        <v>416.84999999999997</v>
      </c>
      <c r="AJ69" s="676">
        <v>15</v>
      </c>
      <c r="AK69" s="670">
        <f>AVERAGE(R69,T69,V69,X69,Z69,AB69,AD69,AF69,AH69,AJ69)</f>
        <v>10.5</v>
      </c>
    </row>
    <row r="70" spans="1:37" ht="39.75" hidden="1" customHeight="1" thickBot="1">
      <c r="A70" s="791"/>
      <c r="B70" s="668" t="s">
        <v>91</v>
      </c>
      <c r="C70" s="668" t="s">
        <v>815</v>
      </c>
      <c r="D70" s="668" t="s">
        <v>817</v>
      </c>
      <c r="E70" s="668">
        <v>2017</v>
      </c>
      <c r="F70" s="668">
        <v>25</v>
      </c>
      <c r="G70" s="668" t="s">
        <v>813</v>
      </c>
      <c r="H70" s="678">
        <f>I70*F70</f>
        <v>0</v>
      </c>
      <c r="I70" s="668"/>
      <c r="J70" s="678">
        <f>K70*F70</f>
        <v>0</v>
      </c>
      <c r="K70" s="668"/>
      <c r="L70" s="678">
        <f>M70*F70</f>
        <v>98.25</v>
      </c>
      <c r="M70" s="668">
        <v>3.93</v>
      </c>
      <c r="N70" s="678">
        <f>O70*F70</f>
        <v>72.5</v>
      </c>
      <c r="O70" s="668">
        <v>2.9</v>
      </c>
      <c r="P70" s="655">
        <f>AVERAGE(I70,K70,M70,O70)</f>
        <v>3.415</v>
      </c>
      <c r="Q70" s="678">
        <f>F70*R70</f>
        <v>250</v>
      </c>
      <c r="R70" s="668">
        <v>10</v>
      </c>
      <c r="S70" s="678">
        <f>F70*T70</f>
        <v>125</v>
      </c>
      <c r="T70" s="668">
        <v>5</v>
      </c>
      <c r="U70" s="678">
        <f>F70*V70</f>
        <v>300</v>
      </c>
      <c r="V70" s="668">
        <v>12</v>
      </c>
      <c r="W70" s="678">
        <f>X70*F70</f>
        <v>375</v>
      </c>
      <c r="X70" s="676">
        <v>15</v>
      </c>
      <c r="Y70" s="678">
        <f>Z70*F70</f>
        <v>375</v>
      </c>
      <c r="Z70" s="676">
        <v>15</v>
      </c>
      <c r="AA70" s="678">
        <f>AB70*F70</f>
        <v>500</v>
      </c>
      <c r="AB70" s="676">
        <v>20</v>
      </c>
      <c r="AC70" s="678">
        <f>AD70*F70</f>
        <v>375</v>
      </c>
      <c r="AD70" s="676">
        <v>15</v>
      </c>
      <c r="AE70" s="678">
        <f>AF70*F70</f>
        <v>625</v>
      </c>
      <c r="AF70" s="676">
        <v>25</v>
      </c>
      <c r="AG70" s="678">
        <f>AH70*F70</f>
        <v>500</v>
      </c>
      <c r="AH70" s="676">
        <v>20</v>
      </c>
      <c r="AI70" s="677">
        <f>AJ70*F70</f>
        <v>625</v>
      </c>
      <c r="AJ70" s="676">
        <v>25</v>
      </c>
      <c r="AK70" s="670">
        <f>AVERAGE(R70,T70,V70,X70,Z70,AB70,AD70,AF70,AH70,AJ70)</f>
        <v>16.2</v>
      </c>
    </row>
    <row r="71" spans="1:37" ht="39.75" hidden="1" customHeight="1" thickBot="1">
      <c r="A71" s="791"/>
      <c r="B71" s="668" t="s">
        <v>233</v>
      </c>
      <c r="C71" s="668" t="s">
        <v>815</v>
      </c>
      <c r="D71" s="668" t="s">
        <v>817</v>
      </c>
      <c r="E71" s="668">
        <v>2017</v>
      </c>
      <c r="F71" s="668">
        <v>8</v>
      </c>
      <c r="G71" s="668" t="s">
        <v>813</v>
      </c>
      <c r="H71" s="678">
        <f>I71*F71</f>
        <v>0</v>
      </c>
      <c r="I71" s="668"/>
      <c r="J71" s="678">
        <f>K71*F71</f>
        <v>0</v>
      </c>
      <c r="K71" s="668"/>
      <c r="L71" s="678">
        <f>M71*F71</f>
        <v>17.2</v>
      </c>
      <c r="M71" s="668">
        <v>2.15</v>
      </c>
      <c r="N71" s="678">
        <f>O71*F71</f>
        <v>23.2</v>
      </c>
      <c r="O71" s="668">
        <v>2.9</v>
      </c>
      <c r="P71" s="655">
        <f>AVERAGE(I71,K71,M71,O71)</f>
        <v>2.5249999999999999</v>
      </c>
      <c r="Q71" s="678">
        <f>F71*R71</f>
        <v>80</v>
      </c>
      <c r="R71" s="668">
        <v>10</v>
      </c>
      <c r="S71" s="678">
        <f>F71*T71</f>
        <v>40</v>
      </c>
      <c r="T71" s="668">
        <v>5</v>
      </c>
      <c r="U71" s="678">
        <f>F71*V71</f>
        <v>96</v>
      </c>
      <c r="V71" s="668">
        <v>12</v>
      </c>
      <c r="W71" s="678">
        <f>X71*F71</f>
        <v>120</v>
      </c>
      <c r="X71" s="676">
        <v>15</v>
      </c>
      <c r="Y71" s="678">
        <f>Z71*F71</f>
        <v>160</v>
      </c>
      <c r="Z71" s="676">
        <v>20</v>
      </c>
      <c r="AA71" s="678">
        <f>AB71*F71</f>
        <v>80</v>
      </c>
      <c r="AB71" s="676">
        <v>10</v>
      </c>
      <c r="AC71" s="678">
        <f>AD71*F71</f>
        <v>120</v>
      </c>
      <c r="AD71" s="676">
        <v>15</v>
      </c>
      <c r="AE71" s="678">
        <f>AF71*F71</f>
        <v>120</v>
      </c>
      <c r="AF71" s="676">
        <v>15</v>
      </c>
      <c r="AG71" s="678">
        <f>AH71*F71</f>
        <v>160</v>
      </c>
      <c r="AH71" s="676">
        <v>20</v>
      </c>
      <c r="AI71" s="677">
        <f>AJ71*F71</f>
        <v>200</v>
      </c>
      <c r="AJ71" s="676">
        <v>25</v>
      </c>
      <c r="AK71" s="670">
        <f>AVERAGE(R71,T71,V71,X71,Z71,AB71,AD71,AF71,AH71,AJ71)</f>
        <v>14.7</v>
      </c>
    </row>
    <row r="72" spans="1:37" ht="39.75" hidden="1" customHeight="1" thickBot="1">
      <c r="A72" s="791"/>
      <c r="B72" s="674" t="s">
        <v>198</v>
      </c>
      <c r="C72" s="674" t="s">
        <v>815</v>
      </c>
      <c r="D72" s="674" t="s">
        <v>814</v>
      </c>
      <c r="E72" s="674">
        <v>2017</v>
      </c>
      <c r="F72" s="674">
        <v>5</v>
      </c>
      <c r="G72" s="674" t="s">
        <v>813</v>
      </c>
      <c r="H72" s="673">
        <f>I72*F72</f>
        <v>0</v>
      </c>
      <c r="I72" s="674"/>
      <c r="J72" s="673">
        <f>K72*F72</f>
        <v>0</v>
      </c>
      <c r="K72" s="674"/>
      <c r="L72" s="673">
        <f>M72*F72</f>
        <v>39.15</v>
      </c>
      <c r="M72" s="674">
        <v>7.83</v>
      </c>
      <c r="N72" s="673">
        <f>O72*F72</f>
        <v>15</v>
      </c>
      <c r="O72" s="674">
        <v>3</v>
      </c>
      <c r="P72" s="675">
        <f>AVERAGE(I72,K72,M72,O72)</f>
        <v>5.415</v>
      </c>
      <c r="Q72" s="673">
        <f>F72*R72</f>
        <v>50</v>
      </c>
      <c r="R72" s="674">
        <v>10</v>
      </c>
      <c r="S72" s="673">
        <f>F72*T72</f>
        <v>25</v>
      </c>
      <c r="T72" s="674">
        <v>5</v>
      </c>
      <c r="U72" s="673">
        <f>F72*V72</f>
        <v>75</v>
      </c>
      <c r="V72" s="674">
        <v>15</v>
      </c>
      <c r="W72" s="673">
        <f>X72*F72</f>
        <v>125</v>
      </c>
      <c r="X72" s="671">
        <v>25</v>
      </c>
      <c r="Y72" s="673">
        <f>Z72*F72</f>
        <v>75</v>
      </c>
      <c r="Z72" s="671">
        <v>15</v>
      </c>
      <c r="AA72" s="673">
        <f>AB72*F72</f>
        <v>150</v>
      </c>
      <c r="AB72" s="671">
        <v>30</v>
      </c>
      <c r="AC72" s="673">
        <f>AD72*F72</f>
        <v>75</v>
      </c>
      <c r="AD72" s="671">
        <v>15</v>
      </c>
      <c r="AE72" s="673">
        <f>AF72*F72</f>
        <v>150</v>
      </c>
      <c r="AF72" s="671">
        <v>30</v>
      </c>
      <c r="AG72" s="673">
        <f>AH72*F72</f>
        <v>100</v>
      </c>
      <c r="AH72" s="671">
        <v>20</v>
      </c>
      <c r="AI72" s="672">
        <f>AJ72*F72</f>
        <v>150</v>
      </c>
      <c r="AJ72" s="671">
        <v>30</v>
      </c>
      <c r="AK72" s="670">
        <f>AVERAGE(R72,T72,V72,X72,Z72,AB72,AD72,AF72,AH72,AJ72)</f>
        <v>19.5</v>
      </c>
    </row>
    <row r="73" spans="1:37" ht="39.75" hidden="1" customHeight="1" thickTop="1" thickBot="1">
      <c r="A73" s="792"/>
      <c r="B73" s="657" t="s">
        <v>176</v>
      </c>
      <c r="C73" s="657"/>
      <c r="D73" s="657"/>
      <c r="E73" s="657"/>
      <c r="F73" s="657">
        <v>65.790000000000006</v>
      </c>
      <c r="G73" s="657" t="s">
        <v>813</v>
      </c>
      <c r="H73" s="658">
        <f>SUM(H69:H72)</f>
        <v>0</v>
      </c>
      <c r="I73" s="659">
        <f>H73/F73</f>
        <v>0</v>
      </c>
      <c r="J73" s="658">
        <f>SUM(J69:J72)</f>
        <v>0</v>
      </c>
      <c r="K73" s="659">
        <f>J73/F73</f>
        <v>0</v>
      </c>
      <c r="L73" s="658">
        <f>SUM(L69:L72)</f>
        <v>217.6833</v>
      </c>
      <c r="M73" s="659">
        <f>L73/F73</f>
        <v>3.3087596899224803</v>
      </c>
      <c r="N73" s="658">
        <f>SUM(N69:N72)</f>
        <v>149.60599999999999</v>
      </c>
      <c r="O73" s="659">
        <f>N73/F73</f>
        <v>2.2739930080559354</v>
      </c>
      <c r="P73" s="659"/>
      <c r="Q73" s="658">
        <f>SUM(Q69:Q72)</f>
        <v>518.95000000000005</v>
      </c>
      <c r="R73" s="659">
        <f>Q73/F73</f>
        <v>7.8879768961848304</v>
      </c>
      <c r="S73" s="658">
        <f>SUM(S69:S72)</f>
        <v>328.95</v>
      </c>
      <c r="T73" s="659">
        <f>S73/F73</f>
        <v>4.9999999999999991</v>
      </c>
      <c r="U73" s="658">
        <f>SUM(U69:U72)</f>
        <v>609.95000000000005</v>
      </c>
      <c r="V73" s="657">
        <f>U73/F73</f>
        <v>9.271165830673354</v>
      </c>
      <c r="W73" s="658">
        <f>SUM(W69:W72)</f>
        <v>897.9</v>
      </c>
      <c r="X73" s="657">
        <f>W73/F73</f>
        <v>13.647970816233469</v>
      </c>
      <c r="Y73" s="658">
        <f>SUM(Y69:Y72)</f>
        <v>1026.8499999999999</v>
      </c>
      <c r="Z73" s="657">
        <f>Y73/F73</f>
        <v>15.607995136038909</v>
      </c>
      <c r="AA73" s="658">
        <f>SUM(AA69:AA72)</f>
        <v>1007.9</v>
      </c>
      <c r="AB73" s="657">
        <f>AA73/F73</f>
        <v>15.319957440340476</v>
      </c>
      <c r="AC73" s="658">
        <f>SUM(AC69:AC72)</f>
        <v>986.84999999999991</v>
      </c>
      <c r="AD73" s="657">
        <f>AC73/F73</f>
        <v>14.999999999999996</v>
      </c>
      <c r="AE73" s="658">
        <f>SUM(AE69:AE72)</f>
        <v>1172.9000000000001</v>
      </c>
      <c r="AF73" s="657">
        <f>AE73/F73</f>
        <v>17.827937376500987</v>
      </c>
      <c r="AG73" s="658">
        <f>SUM(AG69:AG72)</f>
        <v>1176.8499999999999</v>
      </c>
      <c r="AH73" s="657">
        <f>AG73/F73</f>
        <v>17.887976896184828</v>
      </c>
      <c r="AI73" s="658">
        <f>SUM(AI69:AI72)</f>
        <v>1391.85</v>
      </c>
      <c r="AJ73" s="657">
        <f>AI73/F73</f>
        <v>21.155950752393977</v>
      </c>
      <c r="AK73" s="670"/>
    </row>
    <row r="74" spans="1:37" ht="39.75" hidden="1" customHeight="1" thickTop="1" thickBot="1">
      <c r="A74" s="791"/>
      <c r="B74" s="680" t="s">
        <v>91</v>
      </c>
      <c r="C74" s="680" t="s">
        <v>815</v>
      </c>
      <c r="D74" s="680" t="s">
        <v>817</v>
      </c>
      <c r="E74" s="680">
        <v>2017</v>
      </c>
      <c r="F74" s="680">
        <v>17</v>
      </c>
      <c r="G74" s="680" t="s">
        <v>813</v>
      </c>
      <c r="H74" s="634">
        <f>I74*F74</f>
        <v>0</v>
      </c>
      <c r="I74" s="680"/>
      <c r="J74" s="634">
        <f>K74*F74</f>
        <v>0</v>
      </c>
      <c r="K74" s="680"/>
      <c r="L74" s="634">
        <f>M74*F74</f>
        <v>0</v>
      </c>
      <c r="M74" s="680"/>
      <c r="N74" s="634">
        <f>O74*F74</f>
        <v>0</v>
      </c>
      <c r="O74" s="680"/>
      <c r="P74" s="654">
        <v>0</v>
      </c>
      <c r="Q74" s="634">
        <f>F74*R74</f>
        <v>85</v>
      </c>
      <c r="R74" s="680">
        <v>5</v>
      </c>
      <c r="S74" s="634">
        <f>F74*T74</f>
        <v>85</v>
      </c>
      <c r="T74" s="680">
        <v>5</v>
      </c>
      <c r="U74" s="634">
        <f>F74*V74</f>
        <v>204</v>
      </c>
      <c r="V74" s="680">
        <v>12</v>
      </c>
      <c r="W74" s="634">
        <f>X74*F74</f>
        <v>255</v>
      </c>
      <c r="X74" s="676">
        <v>15</v>
      </c>
      <c r="Y74" s="634">
        <f>Z74*F74</f>
        <v>425</v>
      </c>
      <c r="Z74" s="676">
        <v>25</v>
      </c>
      <c r="AA74" s="634">
        <f>AB74*F74</f>
        <v>170</v>
      </c>
      <c r="AB74" s="676">
        <v>10</v>
      </c>
      <c r="AC74" s="634">
        <f>AD74*F74</f>
        <v>425</v>
      </c>
      <c r="AD74" s="676">
        <v>25</v>
      </c>
      <c r="AE74" s="634">
        <f>AF74*F74</f>
        <v>340</v>
      </c>
      <c r="AF74" s="676">
        <v>20</v>
      </c>
      <c r="AG74" s="634">
        <f>AH74*F74</f>
        <v>425</v>
      </c>
      <c r="AH74" s="676">
        <v>25</v>
      </c>
      <c r="AI74" s="679">
        <f>AJ74*F74</f>
        <v>340</v>
      </c>
      <c r="AJ74" s="676">
        <v>20</v>
      </c>
      <c r="AK74" s="670">
        <f>AVERAGE(R74,T74,V74,X74,Z74,AB74,AD74,AF74,AH74,AJ74)</f>
        <v>16.2</v>
      </c>
    </row>
    <row r="75" spans="1:37" ht="39.75" hidden="1" customHeight="1" thickBot="1">
      <c r="A75" s="791"/>
      <c r="B75" s="668" t="s">
        <v>93</v>
      </c>
      <c r="C75" s="668" t="s">
        <v>815</v>
      </c>
      <c r="D75" s="668" t="s">
        <v>816</v>
      </c>
      <c r="E75" s="668">
        <v>2017</v>
      </c>
      <c r="F75" s="668">
        <v>32</v>
      </c>
      <c r="G75" s="668" t="s">
        <v>813</v>
      </c>
      <c r="H75" s="678">
        <f>I75*F75</f>
        <v>0</v>
      </c>
      <c r="I75" s="668"/>
      <c r="J75" s="678">
        <f>K75*F75</f>
        <v>0</v>
      </c>
      <c r="K75" s="668"/>
      <c r="L75" s="678">
        <f>M75*F75</f>
        <v>0</v>
      </c>
      <c r="M75" s="668"/>
      <c r="N75" s="678">
        <f>O75*F75</f>
        <v>0</v>
      </c>
      <c r="O75" s="668"/>
      <c r="P75" s="654">
        <v>0</v>
      </c>
      <c r="Q75" s="678">
        <f>F75*R75</f>
        <v>32</v>
      </c>
      <c r="R75" s="668">
        <v>1</v>
      </c>
      <c r="S75" s="678">
        <f>F75*T75</f>
        <v>64</v>
      </c>
      <c r="T75" s="668">
        <v>2</v>
      </c>
      <c r="U75" s="678">
        <f>F75*V75</f>
        <v>160</v>
      </c>
      <c r="V75" s="668">
        <v>5</v>
      </c>
      <c r="W75" s="678">
        <f>X75*F75</f>
        <v>320</v>
      </c>
      <c r="X75" s="676">
        <v>10</v>
      </c>
      <c r="Y75" s="678">
        <f>Z75*F75</f>
        <v>480</v>
      </c>
      <c r="Z75" s="676">
        <v>15</v>
      </c>
      <c r="AA75" s="678">
        <f>AB75*F75</f>
        <v>320</v>
      </c>
      <c r="AB75" s="676">
        <v>10</v>
      </c>
      <c r="AC75" s="678">
        <f>AD75*F75</f>
        <v>480</v>
      </c>
      <c r="AD75" s="676">
        <v>15</v>
      </c>
      <c r="AE75" s="678">
        <f>AF75*F75</f>
        <v>320</v>
      </c>
      <c r="AF75" s="676">
        <v>10</v>
      </c>
      <c r="AG75" s="678">
        <f>AH75*F75</f>
        <v>480</v>
      </c>
      <c r="AH75" s="676">
        <v>15</v>
      </c>
      <c r="AI75" s="677">
        <f>AJ75*F75</f>
        <v>480</v>
      </c>
      <c r="AJ75" s="676">
        <v>15</v>
      </c>
      <c r="AK75" s="670">
        <f>AVERAGE(R75,T75,V75,X75,Z75,AB75,AD75,AF75,AH75,AJ75)</f>
        <v>9.8000000000000007</v>
      </c>
    </row>
    <row r="76" spans="1:37" ht="39.75" hidden="1" customHeight="1" thickBot="1">
      <c r="A76" s="681"/>
      <c r="B76" s="668" t="s">
        <v>233</v>
      </c>
      <c r="C76" s="668" t="s">
        <v>815</v>
      </c>
      <c r="D76" s="668" t="s">
        <v>816</v>
      </c>
      <c r="E76" s="668">
        <v>2017</v>
      </c>
      <c r="F76" s="668">
        <v>31</v>
      </c>
      <c r="G76" s="668" t="s">
        <v>813</v>
      </c>
      <c r="H76" s="678">
        <f>I76*F76</f>
        <v>0</v>
      </c>
      <c r="I76" s="668"/>
      <c r="J76" s="678">
        <f>K76*F76</f>
        <v>0</v>
      </c>
      <c r="K76" s="668"/>
      <c r="L76" s="678">
        <f>M76*F76</f>
        <v>0</v>
      </c>
      <c r="M76" s="668"/>
      <c r="N76" s="678">
        <f>O76*F76</f>
        <v>0</v>
      </c>
      <c r="O76" s="668"/>
      <c r="P76" s="654">
        <v>0</v>
      </c>
      <c r="Q76" s="678">
        <f>F76*R76</f>
        <v>155</v>
      </c>
      <c r="R76" s="668">
        <v>5</v>
      </c>
      <c r="S76" s="678">
        <f>F76*T76</f>
        <v>155</v>
      </c>
      <c r="T76" s="668">
        <v>5</v>
      </c>
      <c r="U76" s="678">
        <f>F76*V76</f>
        <v>372</v>
      </c>
      <c r="V76" s="668">
        <v>12</v>
      </c>
      <c r="W76" s="678">
        <f>X76*F76</f>
        <v>465</v>
      </c>
      <c r="X76" s="676">
        <v>15</v>
      </c>
      <c r="Y76" s="678">
        <f>Z76*F76</f>
        <v>620</v>
      </c>
      <c r="Z76" s="676">
        <v>20</v>
      </c>
      <c r="AA76" s="678">
        <f>AB76*F76</f>
        <v>310</v>
      </c>
      <c r="AB76" s="676">
        <v>10</v>
      </c>
      <c r="AC76" s="678">
        <f>AD76*F76</f>
        <v>620</v>
      </c>
      <c r="AD76" s="676">
        <v>20</v>
      </c>
      <c r="AE76" s="678">
        <f>AF76*F76</f>
        <v>310</v>
      </c>
      <c r="AF76" s="676">
        <v>10</v>
      </c>
      <c r="AG76" s="678">
        <f>AH76*F76</f>
        <v>620</v>
      </c>
      <c r="AH76" s="676">
        <v>20</v>
      </c>
      <c r="AI76" s="677">
        <f>AJ76*F76</f>
        <v>930</v>
      </c>
      <c r="AJ76" s="676">
        <v>30</v>
      </c>
      <c r="AK76" s="670">
        <f>AVERAGE(R76,T76,V76,X76,Z76,AB76,AD76,AF76,AH76,AJ76)</f>
        <v>14.7</v>
      </c>
    </row>
    <row r="77" spans="1:37" ht="39.75" hidden="1" customHeight="1" thickBot="1">
      <c r="A77" s="791"/>
      <c r="B77" s="668" t="s">
        <v>217</v>
      </c>
      <c r="C77" s="668" t="s">
        <v>815</v>
      </c>
      <c r="D77" s="668" t="s">
        <v>816</v>
      </c>
      <c r="E77" s="668">
        <v>2017</v>
      </c>
      <c r="F77" s="668">
        <v>16</v>
      </c>
      <c r="G77" s="668" t="s">
        <v>813</v>
      </c>
      <c r="H77" s="678">
        <f>I77*F77</f>
        <v>0</v>
      </c>
      <c r="I77" s="668"/>
      <c r="J77" s="678">
        <f>K77*F77</f>
        <v>0</v>
      </c>
      <c r="K77" s="668"/>
      <c r="L77" s="678">
        <f>M77*F77</f>
        <v>0</v>
      </c>
      <c r="M77" s="668"/>
      <c r="N77" s="678">
        <f>O77*F77</f>
        <v>0</v>
      </c>
      <c r="O77" s="668"/>
      <c r="P77" s="654">
        <v>0</v>
      </c>
      <c r="Q77" s="678">
        <f>F77*R77</f>
        <v>16</v>
      </c>
      <c r="R77" s="668">
        <v>1</v>
      </c>
      <c r="S77" s="678">
        <f>F77*T77</f>
        <v>32</v>
      </c>
      <c r="T77" s="668">
        <v>2</v>
      </c>
      <c r="U77" s="678">
        <f>F77*V77</f>
        <v>192</v>
      </c>
      <c r="V77" s="668">
        <v>12</v>
      </c>
      <c r="W77" s="678">
        <f>X77*F77</f>
        <v>240</v>
      </c>
      <c r="X77" s="676">
        <v>15</v>
      </c>
      <c r="Y77" s="678">
        <f>Z77*F77</f>
        <v>160</v>
      </c>
      <c r="Z77" s="676">
        <v>10</v>
      </c>
      <c r="AA77" s="678">
        <f>AB77*F77</f>
        <v>320</v>
      </c>
      <c r="AB77" s="676">
        <v>20</v>
      </c>
      <c r="AC77" s="678">
        <f>AD77*F77</f>
        <v>160</v>
      </c>
      <c r="AD77" s="676">
        <v>10</v>
      </c>
      <c r="AE77" s="678">
        <f>AF77*F77</f>
        <v>320</v>
      </c>
      <c r="AF77" s="676">
        <v>20</v>
      </c>
      <c r="AG77" s="678">
        <f>AH77*F77</f>
        <v>320</v>
      </c>
      <c r="AH77" s="676">
        <v>20</v>
      </c>
      <c r="AI77" s="677">
        <f>AJ77*F77</f>
        <v>400</v>
      </c>
      <c r="AJ77" s="676">
        <v>25</v>
      </c>
      <c r="AK77" s="670">
        <f>AVERAGE(R77,T77,V77,X77,Z77,AB77,AD77,AF77,AH77,AJ77)</f>
        <v>13.5</v>
      </c>
    </row>
    <row r="78" spans="1:37" ht="39.75" hidden="1" customHeight="1" thickBot="1">
      <c r="A78" s="791"/>
      <c r="B78" s="674" t="s">
        <v>220</v>
      </c>
      <c r="C78" s="674" t="s">
        <v>815</v>
      </c>
      <c r="D78" s="674" t="s">
        <v>817</v>
      </c>
      <c r="E78" s="674">
        <v>2017</v>
      </c>
      <c r="F78" s="674">
        <v>14.06</v>
      </c>
      <c r="G78" s="674" t="s">
        <v>813</v>
      </c>
      <c r="H78" s="673">
        <f>I78*F78</f>
        <v>0</v>
      </c>
      <c r="I78" s="674"/>
      <c r="J78" s="673">
        <f>K78*F78</f>
        <v>0</v>
      </c>
      <c r="K78" s="674"/>
      <c r="L78" s="673">
        <f>M78*F78</f>
        <v>0</v>
      </c>
      <c r="M78" s="674"/>
      <c r="N78" s="673">
        <f>O78*F78</f>
        <v>0</v>
      </c>
      <c r="O78" s="674"/>
      <c r="P78" s="654">
        <v>0</v>
      </c>
      <c r="Q78" s="673">
        <f>F78*R78</f>
        <v>70.3</v>
      </c>
      <c r="R78" s="674">
        <v>5</v>
      </c>
      <c r="S78" s="673">
        <f>F78*T78</f>
        <v>70.3</v>
      </c>
      <c r="T78" s="674">
        <v>5</v>
      </c>
      <c r="U78" s="673">
        <f>F78*V78</f>
        <v>154.66</v>
      </c>
      <c r="V78" s="674">
        <v>11</v>
      </c>
      <c r="W78" s="673">
        <f>X78*F78</f>
        <v>210.9</v>
      </c>
      <c r="X78" s="671">
        <v>15</v>
      </c>
      <c r="Y78" s="673">
        <f>Z78*F78</f>
        <v>281.2</v>
      </c>
      <c r="Z78" s="671">
        <v>20</v>
      </c>
      <c r="AA78" s="673">
        <f>AB78*F78</f>
        <v>140.6</v>
      </c>
      <c r="AB78" s="671">
        <v>10</v>
      </c>
      <c r="AC78" s="673">
        <f>AD78*F78</f>
        <v>281.2</v>
      </c>
      <c r="AD78" s="671">
        <v>20</v>
      </c>
      <c r="AE78" s="673">
        <f>AF78*F78</f>
        <v>140.6</v>
      </c>
      <c r="AF78" s="671">
        <v>10</v>
      </c>
      <c r="AG78" s="673">
        <f>AH78*F78</f>
        <v>281.2</v>
      </c>
      <c r="AH78" s="671">
        <v>20</v>
      </c>
      <c r="AI78" s="672">
        <f>AJ78*F78</f>
        <v>281.2</v>
      </c>
      <c r="AJ78" s="671">
        <v>20</v>
      </c>
      <c r="AK78" s="670">
        <f>AVERAGE(R78,T78,V78,X78,Z78,AB78,AD78,AF78,AH78,AJ78)</f>
        <v>13.6</v>
      </c>
    </row>
    <row r="79" spans="1:37" ht="39.75" hidden="1" customHeight="1" thickTop="1" thickBot="1">
      <c r="A79" s="792"/>
      <c r="B79" s="657" t="s">
        <v>176</v>
      </c>
      <c r="C79" s="657"/>
      <c r="D79" s="657"/>
      <c r="E79" s="657"/>
      <c r="F79" s="657">
        <v>110.06</v>
      </c>
      <c r="G79" s="657" t="s">
        <v>813</v>
      </c>
      <c r="H79" s="658">
        <f>SUM(H74:H78)</f>
        <v>0</v>
      </c>
      <c r="I79" s="659">
        <f>H79/F79</f>
        <v>0</v>
      </c>
      <c r="J79" s="658">
        <f>SUM(J74:J78)</f>
        <v>0</v>
      </c>
      <c r="K79" s="659">
        <f>J79/F79</f>
        <v>0</v>
      </c>
      <c r="L79" s="658">
        <f>SUM(L74:L78)</f>
        <v>0</v>
      </c>
      <c r="M79" s="659">
        <f>L79/F79</f>
        <v>0</v>
      </c>
      <c r="N79" s="658">
        <f>SUM(N74:N78)</f>
        <v>0</v>
      </c>
      <c r="O79" s="659">
        <f>N79/F79</f>
        <v>0</v>
      </c>
      <c r="P79" s="659"/>
      <c r="Q79" s="658">
        <f>SUM(Q74:Q78)</f>
        <v>358.3</v>
      </c>
      <c r="R79" s="659">
        <f>Q79/F79</f>
        <v>3.2554970016354714</v>
      </c>
      <c r="S79" s="658">
        <f>SUM(S74:S78)</f>
        <v>406.3</v>
      </c>
      <c r="T79" s="659">
        <f>S79/F79</f>
        <v>3.6916227512266038</v>
      </c>
      <c r="U79" s="658">
        <f>SUM(U74:U78)</f>
        <v>1082.6600000000001</v>
      </c>
      <c r="V79" s="657">
        <f>U79/F79</f>
        <v>9.8369980010903149</v>
      </c>
      <c r="W79" s="658">
        <f>SUM(W74:W78)</f>
        <v>1490.9</v>
      </c>
      <c r="X79" s="657">
        <f>W79/F79</f>
        <v>13.546247501362894</v>
      </c>
      <c r="Y79" s="658">
        <f>SUM(Y74:Y78)</f>
        <v>1966.2</v>
      </c>
      <c r="Z79" s="657">
        <f>Y79/F79</f>
        <v>17.86480101762675</v>
      </c>
      <c r="AA79" s="658">
        <f>SUM(AA74:AA78)</f>
        <v>1260.5999999999999</v>
      </c>
      <c r="AB79" s="657">
        <f>AA79/F79</f>
        <v>11.453752498637106</v>
      </c>
      <c r="AC79" s="658">
        <f>SUM(AC74:AC78)</f>
        <v>1966.2</v>
      </c>
      <c r="AD79" s="657">
        <f>AC79/F79</f>
        <v>17.86480101762675</v>
      </c>
      <c r="AE79" s="658">
        <f>SUM(AE74:AE78)</f>
        <v>1430.6</v>
      </c>
      <c r="AF79" s="657">
        <f>AE79/F79</f>
        <v>12.998364528439032</v>
      </c>
      <c r="AG79" s="658">
        <f>SUM(AG74:AG78)</f>
        <v>2126.1999999999998</v>
      </c>
      <c r="AH79" s="657">
        <f>AG79/F79</f>
        <v>19.318553516263854</v>
      </c>
      <c r="AI79" s="658">
        <f>SUM(AI74:AI78)</f>
        <v>2431.1999999999998</v>
      </c>
      <c r="AJ79" s="657">
        <f>AI79/F79</f>
        <v>22.089769216790838</v>
      </c>
      <c r="AK79" s="670"/>
    </row>
    <row r="80" spans="1:37" ht="39.75" hidden="1" customHeight="1" thickTop="1" thickBot="1">
      <c r="A80" s="791" t="s">
        <v>812</v>
      </c>
      <c r="B80" s="680" t="s">
        <v>214</v>
      </c>
      <c r="C80" s="680" t="s">
        <v>815</v>
      </c>
      <c r="D80" s="680"/>
      <c r="E80" s="680">
        <v>2017</v>
      </c>
      <c r="F80" s="680">
        <v>7</v>
      </c>
      <c r="G80" s="680" t="s">
        <v>813</v>
      </c>
      <c r="H80" s="634">
        <f>I80*F80</f>
        <v>0</v>
      </c>
      <c r="I80" s="680"/>
      <c r="J80" s="634">
        <f>K80*F80</f>
        <v>0</v>
      </c>
      <c r="K80" s="680"/>
      <c r="L80" s="634">
        <f>M80*F80</f>
        <v>0</v>
      </c>
      <c r="M80" s="680"/>
      <c r="N80" s="634">
        <f>O80*F80</f>
        <v>0</v>
      </c>
      <c r="O80" s="680"/>
      <c r="P80" s="654">
        <v>0</v>
      </c>
      <c r="Q80" s="634">
        <f>F80*R80</f>
        <v>14</v>
      </c>
      <c r="R80" s="680">
        <v>2</v>
      </c>
      <c r="S80" s="634">
        <f>F80*T80</f>
        <v>14</v>
      </c>
      <c r="T80" s="680">
        <v>2</v>
      </c>
      <c r="U80" s="634">
        <f>F80*V80</f>
        <v>35</v>
      </c>
      <c r="V80" s="680">
        <v>5</v>
      </c>
      <c r="W80" s="634">
        <f>X80*F80</f>
        <v>70</v>
      </c>
      <c r="X80" s="676">
        <v>10</v>
      </c>
      <c r="Y80" s="634">
        <f>Z80*F80</f>
        <v>105</v>
      </c>
      <c r="Z80" s="676">
        <v>15</v>
      </c>
      <c r="AA80" s="634">
        <f>AB80*F80</f>
        <v>105</v>
      </c>
      <c r="AB80" s="676">
        <v>15</v>
      </c>
      <c r="AC80" s="634">
        <f>AD80*F80</f>
        <v>70</v>
      </c>
      <c r="AD80" s="676">
        <v>10</v>
      </c>
      <c r="AE80" s="634">
        <f>AF80*F80</f>
        <v>105</v>
      </c>
      <c r="AF80" s="676">
        <v>15</v>
      </c>
      <c r="AG80" s="634">
        <f>AH80*F80</f>
        <v>70</v>
      </c>
      <c r="AH80" s="676">
        <v>10</v>
      </c>
      <c r="AI80" s="679">
        <f>AJ80*F80</f>
        <v>105</v>
      </c>
      <c r="AJ80" s="676">
        <v>15</v>
      </c>
      <c r="AK80" s="670">
        <f>AVERAGE(R80,T80,V80,X80,Z80,AB80,AD80,AF80,AH80,AJ80)</f>
        <v>9.9</v>
      </c>
    </row>
    <row r="81" spans="1:37" ht="39.75" hidden="1" customHeight="1" thickBot="1">
      <c r="A81" s="791"/>
      <c r="B81" s="668" t="s">
        <v>232</v>
      </c>
      <c r="C81" s="668" t="s">
        <v>815</v>
      </c>
      <c r="D81" s="789" t="s">
        <v>816</v>
      </c>
      <c r="E81" s="668">
        <v>2017</v>
      </c>
      <c r="F81" s="668">
        <v>9</v>
      </c>
      <c r="G81" s="668" t="s">
        <v>813</v>
      </c>
      <c r="H81" s="678">
        <f>I81*F81</f>
        <v>0</v>
      </c>
      <c r="I81" s="668"/>
      <c r="J81" s="678">
        <f>K81*F81</f>
        <v>0</v>
      </c>
      <c r="K81" s="668"/>
      <c r="L81" s="678">
        <f>M81*F81</f>
        <v>0</v>
      </c>
      <c r="M81" s="668"/>
      <c r="N81" s="678">
        <f>O81*F81</f>
        <v>0</v>
      </c>
      <c r="O81" s="668"/>
      <c r="P81" s="654">
        <v>0</v>
      </c>
      <c r="Q81" s="678">
        <f>F81*R81</f>
        <v>18</v>
      </c>
      <c r="R81" s="668">
        <v>2</v>
      </c>
      <c r="S81" s="678">
        <f>F81*T81</f>
        <v>27</v>
      </c>
      <c r="T81" s="668">
        <v>3</v>
      </c>
      <c r="U81" s="678">
        <f>F81*V81</f>
        <v>108</v>
      </c>
      <c r="V81" s="668">
        <v>12</v>
      </c>
      <c r="W81" s="678">
        <f>X81*F81</f>
        <v>135</v>
      </c>
      <c r="X81" s="676">
        <v>15</v>
      </c>
      <c r="Y81" s="678">
        <f>Z81*F81</f>
        <v>180</v>
      </c>
      <c r="Z81" s="676">
        <v>20</v>
      </c>
      <c r="AA81" s="678">
        <f>AB81*F81</f>
        <v>90</v>
      </c>
      <c r="AB81" s="676">
        <v>10</v>
      </c>
      <c r="AC81" s="678">
        <f>AD81*F81</f>
        <v>180</v>
      </c>
      <c r="AD81" s="676">
        <v>20</v>
      </c>
      <c r="AE81" s="678">
        <f>AF81*F81</f>
        <v>135</v>
      </c>
      <c r="AF81" s="676">
        <v>15</v>
      </c>
      <c r="AG81" s="678">
        <f>AH81*F81</f>
        <v>180</v>
      </c>
      <c r="AH81" s="676">
        <v>20</v>
      </c>
      <c r="AI81" s="677">
        <f>AJ81*F81</f>
        <v>135</v>
      </c>
      <c r="AJ81" s="676">
        <v>15</v>
      </c>
      <c r="AK81" s="670">
        <f>AVERAGE(R81,T81,V81,X81,Z81,AB81,AD81,AF81,AH81,AJ81)</f>
        <v>13.2</v>
      </c>
    </row>
    <row r="82" spans="1:37" ht="39.75" hidden="1" customHeight="1" thickBot="1">
      <c r="A82" s="791"/>
      <c r="B82" s="668" t="s">
        <v>819</v>
      </c>
      <c r="C82" s="668" t="s">
        <v>815</v>
      </c>
      <c r="D82" s="789"/>
      <c r="E82" s="668">
        <v>2017</v>
      </c>
      <c r="F82" s="668">
        <v>8</v>
      </c>
      <c r="G82" s="668" t="s">
        <v>813</v>
      </c>
      <c r="H82" s="678">
        <f>I82*F82</f>
        <v>0</v>
      </c>
      <c r="I82" s="668"/>
      <c r="J82" s="678">
        <f>K82*F82</f>
        <v>0</v>
      </c>
      <c r="K82" s="668"/>
      <c r="L82" s="678">
        <f>M82*F82</f>
        <v>0</v>
      </c>
      <c r="M82" s="668"/>
      <c r="N82" s="678">
        <f>O82*F82</f>
        <v>0</v>
      </c>
      <c r="O82" s="668"/>
      <c r="P82" s="654">
        <v>0</v>
      </c>
      <c r="Q82" s="678">
        <f>F82*R82</f>
        <v>16</v>
      </c>
      <c r="R82" s="668">
        <v>2</v>
      </c>
      <c r="S82" s="678">
        <f>F82*T82</f>
        <v>40</v>
      </c>
      <c r="T82" s="668">
        <v>5</v>
      </c>
      <c r="U82" s="678">
        <f>F82*V82</f>
        <v>96</v>
      </c>
      <c r="V82" s="668">
        <v>12</v>
      </c>
      <c r="W82" s="678">
        <f>X82*F82</f>
        <v>120</v>
      </c>
      <c r="X82" s="676">
        <v>15</v>
      </c>
      <c r="Y82" s="678">
        <f>Z82*F82</f>
        <v>160</v>
      </c>
      <c r="Z82" s="676">
        <v>20</v>
      </c>
      <c r="AA82" s="678">
        <f>AB82*F82</f>
        <v>80</v>
      </c>
      <c r="AB82" s="676">
        <v>10</v>
      </c>
      <c r="AC82" s="678">
        <f>AD82*F82</f>
        <v>160</v>
      </c>
      <c r="AD82" s="676">
        <v>20</v>
      </c>
      <c r="AE82" s="678">
        <f>AF82*F82</f>
        <v>120</v>
      </c>
      <c r="AF82" s="676">
        <v>15</v>
      </c>
      <c r="AG82" s="678">
        <f>AH82*F82</f>
        <v>160</v>
      </c>
      <c r="AH82" s="676">
        <v>20</v>
      </c>
      <c r="AI82" s="677">
        <f>AJ82*F82</f>
        <v>160</v>
      </c>
      <c r="AJ82" s="676">
        <v>20</v>
      </c>
      <c r="AK82" s="670">
        <f>AVERAGE(R82,T82,V82,X82,Z82,AB82,AD82,AF82,AH82,AJ82)</f>
        <v>13.9</v>
      </c>
    </row>
    <row r="83" spans="1:37" ht="39.75" hidden="1" customHeight="1" thickBot="1">
      <c r="A83" s="791"/>
      <c r="B83" s="674" t="s">
        <v>221</v>
      </c>
      <c r="C83" s="674" t="s">
        <v>815</v>
      </c>
      <c r="D83" s="790"/>
      <c r="E83" s="674">
        <v>2017</v>
      </c>
      <c r="F83" s="674">
        <v>12</v>
      </c>
      <c r="G83" s="674" t="s">
        <v>813</v>
      </c>
      <c r="H83" s="673">
        <f>I83*F83</f>
        <v>0</v>
      </c>
      <c r="I83" s="674"/>
      <c r="J83" s="673">
        <f>K83*F83</f>
        <v>0</v>
      </c>
      <c r="K83" s="674"/>
      <c r="L83" s="673">
        <f>M83*F83</f>
        <v>0</v>
      </c>
      <c r="M83" s="674"/>
      <c r="N83" s="673">
        <f>O83*F83</f>
        <v>0</v>
      </c>
      <c r="O83" s="674"/>
      <c r="P83" s="654">
        <v>0</v>
      </c>
      <c r="Q83" s="673">
        <f>F83*R83</f>
        <v>24</v>
      </c>
      <c r="R83" s="674">
        <v>2</v>
      </c>
      <c r="S83" s="673">
        <f>F83*T83</f>
        <v>60</v>
      </c>
      <c r="T83" s="674">
        <v>5</v>
      </c>
      <c r="U83" s="673">
        <f>F83*V83</f>
        <v>156</v>
      </c>
      <c r="V83" s="674">
        <v>13</v>
      </c>
      <c r="W83" s="673">
        <f>X83*F83</f>
        <v>180</v>
      </c>
      <c r="X83" s="671">
        <v>15</v>
      </c>
      <c r="Y83" s="673">
        <f>Z83*F83</f>
        <v>300</v>
      </c>
      <c r="Z83" s="671">
        <v>25</v>
      </c>
      <c r="AA83" s="673">
        <f>AB83*F83</f>
        <v>120</v>
      </c>
      <c r="AB83" s="671">
        <v>10</v>
      </c>
      <c r="AC83" s="673">
        <f>AD83*F83</f>
        <v>300</v>
      </c>
      <c r="AD83" s="671">
        <v>25</v>
      </c>
      <c r="AE83" s="673">
        <f>AF83*F83</f>
        <v>180</v>
      </c>
      <c r="AF83" s="671">
        <v>15</v>
      </c>
      <c r="AG83" s="673">
        <f>AH83*F83</f>
        <v>300</v>
      </c>
      <c r="AH83" s="671">
        <v>25</v>
      </c>
      <c r="AI83" s="672">
        <f>AJ83*F83</f>
        <v>240</v>
      </c>
      <c r="AJ83" s="671">
        <v>20</v>
      </c>
      <c r="AK83" s="670">
        <f>AVERAGE(R83,T83,V83,X83,Z83,AB83,AD83,AF83,AH83,AJ83)</f>
        <v>15.5</v>
      </c>
    </row>
    <row r="84" spans="1:37" ht="39.75" hidden="1" customHeight="1" thickTop="1" thickBot="1">
      <c r="A84" s="792"/>
      <c r="B84" s="657" t="s">
        <v>176</v>
      </c>
      <c r="C84" s="657"/>
      <c r="D84" s="657"/>
      <c r="E84" s="657"/>
      <c r="F84" s="657">
        <v>36</v>
      </c>
      <c r="G84" s="657" t="s">
        <v>813</v>
      </c>
      <c r="H84" s="658">
        <f>SUM(H80:H83)</f>
        <v>0</v>
      </c>
      <c r="I84" s="659">
        <f>H84/F84</f>
        <v>0</v>
      </c>
      <c r="J84" s="658">
        <f>SUM(J80:J83)</f>
        <v>0</v>
      </c>
      <c r="K84" s="659">
        <f>J84/F84</f>
        <v>0</v>
      </c>
      <c r="L84" s="658">
        <f>SUM(L80:L83)</f>
        <v>0</v>
      </c>
      <c r="M84" s="659">
        <f>L84/F84</f>
        <v>0</v>
      </c>
      <c r="N84" s="658">
        <f>SUM(N80:N83)</f>
        <v>0</v>
      </c>
      <c r="O84" s="659">
        <f>N84/F84</f>
        <v>0</v>
      </c>
      <c r="P84" s="659"/>
      <c r="Q84" s="658">
        <f>SUM(Q80:Q83)</f>
        <v>72</v>
      </c>
      <c r="R84" s="659">
        <f>Q84/F84</f>
        <v>2</v>
      </c>
      <c r="S84" s="658">
        <f>SUM(S80:S83)</f>
        <v>141</v>
      </c>
      <c r="T84" s="659">
        <f>S84/F84</f>
        <v>3.9166666666666665</v>
      </c>
      <c r="U84" s="658">
        <f>SUM(U80:U83)</f>
        <v>395</v>
      </c>
      <c r="V84" s="657">
        <f>U84/F84</f>
        <v>10.972222222222221</v>
      </c>
      <c r="W84" s="658">
        <f>SUM(W80:W83)</f>
        <v>505</v>
      </c>
      <c r="X84" s="657">
        <f>W84/F84</f>
        <v>14.027777777777779</v>
      </c>
      <c r="Y84" s="658">
        <f>SUM(Y80:Y83)</f>
        <v>745</v>
      </c>
      <c r="Z84" s="657">
        <f>Y84/F84</f>
        <v>20.694444444444443</v>
      </c>
      <c r="AA84" s="658">
        <f>SUM(AA80:AA83)</f>
        <v>395</v>
      </c>
      <c r="AB84" s="657">
        <f>AA84/F84</f>
        <v>10.972222222222221</v>
      </c>
      <c r="AC84" s="658">
        <f>SUM(AC80:AC83)</f>
        <v>710</v>
      </c>
      <c r="AD84" s="657">
        <f>AC84/F84</f>
        <v>19.722222222222221</v>
      </c>
      <c r="AE84" s="658">
        <f>SUM(AE80:AE83)</f>
        <v>540</v>
      </c>
      <c r="AF84" s="657">
        <f>AE84/F84</f>
        <v>15</v>
      </c>
      <c r="AG84" s="658">
        <f>SUM(AG80:AG83)</f>
        <v>710</v>
      </c>
      <c r="AH84" s="657">
        <f>AG84/F84</f>
        <v>19.722222222222221</v>
      </c>
      <c r="AI84" s="658">
        <f>SUM(AI80:AI83)</f>
        <v>640</v>
      </c>
      <c r="AJ84" s="657">
        <f>AI84/F84</f>
        <v>17.777777777777779</v>
      </c>
      <c r="AK84" s="670"/>
    </row>
    <row r="85" spans="1:37" ht="39.75" hidden="1" customHeight="1" thickTop="1" thickBot="1">
      <c r="A85" s="791" t="s">
        <v>818</v>
      </c>
      <c r="B85" s="680" t="s">
        <v>91</v>
      </c>
      <c r="C85" s="680" t="s">
        <v>815</v>
      </c>
      <c r="D85" s="680" t="s">
        <v>817</v>
      </c>
      <c r="E85" s="680">
        <v>2016</v>
      </c>
      <c r="F85" s="680">
        <v>6</v>
      </c>
      <c r="G85" s="680" t="s">
        <v>813</v>
      </c>
      <c r="H85" s="634">
        <f>I85*F85</f>
        <v>0</v>
      </c>
      <c r="I85" s="680"/>
      <c r="J85" s="634">
        <f>K85*F85</f>
        <v>0</v>
      </c>
      <c r="K85" s="680"/>
      <c r="L85" s="634">
        <f>M85*F85</f>
        <v>2.46</v>
      </c>
      <c r="M85" s="680">
        <v>0.41</v>
      </c>
      <c r="N85" s="634">
        <f>O85*F85</f>
        <v>3</v>
      </c>
      <c r="O85" s="680">
        <v>0.5</v>
      </c>
      <c r="P85" s="654">
        <f>AVERAGE(I85,K85,M85,O85)</f>
        <v>0.45499999999999996</v>
      </c>
      <c r="Q85" s="634">
        <f>F85*R85</f>
        <v>60</v>
      </c>
      <c r="R85" s="680">
        <v>10</v>
      </c>
      <c r="S85" s="634">
        <f>F85*T85</f>
        <v>30</v>
      </c>
      <c r="T85" s="680">
        <v>5</v>
      </c>
      <c r="U85" s="634">
        <f>F85*V85</f>
        <v>78</v>
      </c>
      <c r="V85" s="680">
        <v>13</v>
      </c>
      <c r="W85" s="634">
        <f>X85*F85</f>
        <v>90</v>
      </c>
      <c r="X85" s="676">
        <v>15</v>
      </c>
      <c r="Y85" s="634">
        <f>Z85*F85</f>
        <v>150</v>
      </c>
      <c r="Z85" s="676">
        <v>25</v>
      </c>
      <c r="AA85" s="634">
        <f>AB85*F85</f>
        <v>90</v>
      </c>
      <c r="AB85" s="676">
        <v>15</v>
      </c>
      <c r="AC85" s="634">
        <f>AD85*F85</f>
        <v>150</v>
      </c>
      <c r="AD85" s="676">
        <v>25</v>
      </c>
      <c r="AE85" s="634">
        <f>AF85*F85</f>
        <v>90</v>
      </c>
      <c r="AF85" s="676">
        <v>15</v>
      </c>
      <c r="AG85" s="634">
        <f>AH85*F85</f>
        <v>150</v>
      </c>
      <c r="AH85" s="676">
        <v>25</v>
      </c>
      <c r="AI85" s="679">
        <f>AJ85*F85</f>
        <v>120</v>
      </c>
      <c r="AJ85" s="676">
        <v>20</v>
      </c>
      <c r="AK85" s="670">
        <f>AVERAGE(R85,T85,V85,X85,Z85,AB85,AD85,AF85,AH85,AJ85)</f>
        <v>16.8</v>
      </c>
    </row>
    <row r="86" spans="1:37" ht="39.75" hidden="1" customHeight="1" thickBot="1">
      <c r="A86" s="791"/>
      <c r="B86" s="668" t="s">
        <v>93</v>
      </c>
      <c r="C86" s="668" t="s">
        <v>815</v>
      </c>
      <c r="D86" s="668" t="s">
        <v>816</v>
      </c>
      <c r="E86" s="668">
        <v>2016</v>
      </c>
      <c r="F86" s="668">
        <v>6</v>
      </c>
      <c r="G86" s="668" t="s">
        <v>813</v>
      </c>
      <c r="H86" s="678">
        <f>I86*F86</f>
        <v>0</v>
      </c>
      <c r="I86" s="668"/>
      <c r="J86" s="678">
        <f>K86*F86</f>
        <v>0</v>
      </c>
      <c r="K86" s="668"/>
      <c r="L86" s="678">
        <f>M86*F86</f>
        <v>3.96</v>
      </c>
      <c r="M86" s="668">
        <v>0.66</v>
      </c>
      <c r="N86" s="678">
        <f>O86*F86</f>
        <v>0</v>
      </c>
      <c r="O86" s="668"/>
      <c r="P86" s="655">
        <f>AVERAGE(I86,K86,M86,O86)</f>
        <v>0.66</v>
      </c>
      <c r="Q86" s="678">
        <f>F86*R86</f>
        <v>12</v>
      </c>
      <c r="R86" s="668">
        <v>2</v>
      </c>
      <c r="S86" s="678">
        <f>F86*T86</f>
        <v>18</v>
      </c>
      <c r="T86" s="668">
        <v>3</v>
      </c>
      <c r="U86" s="678">
        <f>F86*V86</f>
        <v>30</v>
      </c>
      <c r="V86" s="668">
        <v>5</v>
      </c>
      <c r="W86" s="678">
        <f>X86*F86</f>
        <v>60</v>
      </c>
      <c r="X86" s="676">
        <v>10</v>
      </c>
      <c r="Y86" s="678">
        <f>Z86*F86</f>
        <v>90</v>
      </c>
      <c r="Z86" s="676">
        <v>15</v>
      </c>
      <c r="AA86" s="678">
        <f>AB86*F86</f>
        <v>60</v>
      </c>
      <c r="AB86" s="676">
        <v>10</v>
      </c>
      <c r="AC86" s="678">
        <f>AD86*F86</f>
        <v>120</v>
      </c>
      <c r="AD86" s="676">
        <v>20</v>
      </c>
      <c r="AE86" s="678">
        <f>AF86*F86</f>
        <v>60</v>
      </c>
      <c r="AF86" s="676">
        <v>10</v>
      </c>
      <c r="AG86" s="678">
        <f>AH86*F86</f>
        <v>120</v>
      </c>
      <c r="AH86" s="676">
        <v>20</v>
      </c>
      <c r="AI86" s="677">
        <f>AJ86*F86</f>
        <v>60</v>
      </c>
      <c r="AJ86" s="676">
        <v>10</v>
      </c>
      <c r="AK86" s="670">
        <f>AVERAGE(R86,T86,V86,X86,Z86,AB86,AD86,AF86,AH86,AJ86)</f>
        <v>10.5</v>
      </c>
    </row>
    <row r="87" spans="1:37" ht="39.75" hidden="1" customHeight="1" thickBot="1">
      <c r="A87" s="791"/>
      <c r="B87" s="674" t="s">
        <v>220</v>
      </c>
      <c r="C87" s="674" t="s">
        <v>815</v>
      </c>
      <c r="D87" s="674" t="s">
        <v>814</v>
      </c>
      <c r="E87" s="674">
        <v>2016</v>
      </c>
      <c r="F87" s="674">
        <v>6</v>
      </c>
      <c r="G87" s="674" t="s">
        <v>813</v>
      </c>
      <c r="H87" s="673">
        <f>I87*F87</f>
        <v>0</v>
      </c>
      <c r="I87" s="674"/>
      <c r="J87" s="673">
        <f>K87*F87</f>
        <v>0</v>
      </c>
      <c r="K87" s="674"/>
      <c r="L87" s="673">
        <f>M87*F87</f>
        <v>0</v>
      </c>
      <c r="M87" s="674"/>
      <c r="N87" s="673">
        <f>O87*F87</f>
        <v>6</v>
      </c>
      <c r="O87" s="674">
        <v>1</v>
      </c>
      <c r="P87" s="675">
        <f>AVERAGE(I87,K87,M87,O87)</f>
        <v>1</v>
      </c>
      <c r="Q87" s="673">
        <f>F87*R87</f>
        <v>12</v>
      </c>
      <c r="R87" s="674">
        <v>2</v>
      </c>
      <c r="S87" s="673">
        <f>F87*T87</f>
        <v>18</v>
      </c>
      <c r="T87" s="674">
        <v>3</v>
      </c>
      <c r="U87" s="673">
        <f>F87*V87</f>
        <v>72</v>
      </c>
      <c r="V87" s="674">
        <v>12</v>
      </c>
      <c r="W87" s="673">
        <f>X87*F87</f>
        <v>90</v>
      </c>
      <c r="X87" s="671">
        <v>15</v>
      </c>
      <c r="Y87" s="673">
        <f>Z87*F87</f>
        <v>90</v>
      </c>
      <c r="Z87" s="671">
        <v>15</v>
      </c>
      <c r="AA87" s="673">
        <f>AB87*F87</f>
        <v>120</v>
      </c>
      <c r="AB87" s="671">
        <v>20</v>
      </c>
      <c r="AC87" s="673">
        <f>AD87*F87</f>
        <v>90</v>
      </c>
      <c r="AD87" s="671">
        <v>15</v>
      </c>
      <c r="AE87" s="673">
        <f>AF87*F87</f>
        <v>120</v>
      </c>
      <c r="AF87" s="671">
        <v>20</v>
      </c>
      <c r="AG87" s="673">
        <f>AH87*F87</f>
        <v>90</v>
      </c>
      <c r="AH87" s="671">
        <v>15</v>
      </c>
      <c r="AI87" s="672">
        <f>AJ87*F87</f>
        <v>120</v>
      </c>
      <c r="AJ87" s="671">
        <v>20</v>
      </c>
      <c r="AK87" s="670">
        <f>AVERAGE(R87,T87,V87,X87,Z87,AB87,AD87,AF87,AH87,AJ87)</f>
        <v>13.7</v>
      </c>
    </row>
    <row r="88" spans="1:37" ht="39.75" hidden="1" customHeight="1" thickTop="1" thickBot="1">
      <c r="A88" s="792"/>
      <c r="B88" s="657" t="s">
        <v>176</v>
      </c>
      <c r="C88" s="657"/>
      <c r="D88" s="657"/>
      <c r="E88" s="657"/>
      <c r="F88" s="657">
        <v>18</v>
      </c>
      <c r="G88" s="657" t="s">
        <v>813</v>
      </c>
      <c r="H88" s="658">
        <f>SUM(H85:H87)</f>
        <v>0</v>
      </c>
      <c r="I88" s="659">
        <f>H88/F88</f>
        <v>0</v>
      </c>
      <c r="J88" s="658">
        <f>SUM(J85:J87)</f>
        <v>0</v>
      </c>
      <c r="K88" s="659">
        <f>J88/F88</f>
        <v>0</v>
      </c>
      <c r="L88" s="658">
        <f>SUM(L85:L87)</f>
        <v>6.42</v>
      </c>
      <c r="M88" s="659">
        <f>L88/F88</f>
        <v>0.35666666666666669</v>
      </c>
      <c r="N88" s="658">
        <f>SUM(N85:N87)</f>
        <v>9</v>
      </c>
      <c r="O88" s="659">
        <f>N88/F88</f>
        <v>0.5</v>
      </c>
      <c r="P88" s="659"/>
      <c r="Q88" s="658">
        <f>SUM(Q85:Q87)</f>
        <v>84</v>
      </c>
      <c r="R88" s="659">
        <f>Q88/F88</f>
        <v>4.666666666666667</v>
      </c>
      <c r="S88" s="658">
        <f>SUM(S85:S87)</f>
        <v>66</v>
      </c>
      <c r="T88" s="659">
        <f>S88/F88</f>
        <v>3.6666666666666665</v>
      </c>
      <c r="U88" s="658">
        <f>SUM(U85:U87)</f>
        <v>180</v>
      </c>
      <c r="V88" s="657">
        <f>U88/F88</f>
        <v>10</v>
      </c>
      <c r="W88" s="658">
        <f>SUM(W85:W87)</f>
        <v>240</v>
      </c>
      <c r="X88" s="657">
        <f>W88/F88</f>
        <v>13.333333333333334</v>
      </c>
      <c r="Y88" s="658">
        <f>SUM(Y85:Y87)</f>
        <v>330</v>
      </c>
      <c r="Z88" s="657">
        <f>Y88/F88</f>
        <v>18.333333333333332</v>
      </c>
      <c r="AA88" s="658">
        <f>SUM(AA85:AA87)</f>
        <v>270</v>
      </c>
      <c r="AB88" s="657">
        <f>AA88/F88</f>
        <v>15</v>
      </c>
      <c r="AC88" s="658">
        <f>SUM(AC85:AC87)</f>
        <v>360</v>
      </c>
      <c r="AD88" s="657">
        <f>AC88/F88</f>
        <v>20</v>
      </c>
      <c r="AE88" s="658">
        <f>SUM(AE85:AE87)</f>
        <v>270</v>
      </c>
      <c r="AF88" s="657">
        <f>AE88/F88</f>
        <v>15</v>
      </c>
      <c r="AG88" s="658">
        <f>SUM(AG85:AG87)</f>
        <v>360</v>
      </c>
      <c r="AH88" s="657">
        <f>AG88/F88</f>
        <v>20</v>
      </c>
      <c r="AI88" s="658">
        <f>SUM(AI85:AI87)</f>
        <v>300</v>
      </c>
      <c r="AJ88" s="657">
        <f>AI88/F88</f>
        <v>16.666666666666668</v>
      </c>
      <c r="AK88" s="670"/>
    </row>
    <row r="89" spans="1:37" ht="39.75" hidden="1" customHeight="1" thickTop="1" thickBot="1">
      <c r="A89" s="791" t="s">
        <v>812</v>
      </c>
      <c r="B89" s="680" t="s">
        <v>811</v>
      </c>
      <c r="C89" s="680" t="s">
        <v>809</v>
      </c>
      <c r="D89" s="680"/>
      <c r="E89" s="680">
        <v>2016</v>
      </c>
      <c r="F89" s="680">
        <v>0.4</v>
      </c>
      <c r="G89" s="680"/>
      <c r="H89" s="634">
        <f>I89*F89</f>
        <v>2.72</v>
      </c>
      <c r="I89" s="676">
        <v>6.8</v>
      </c>
      <c r="J89" s="634">
        <f>K89*F89</f>
        <v>3.16</v>
      </c>
      <c r="K89" s="676">
        <v>7.9</v>
      </c>
      <c r="L89" s="634">
        <f>M89*F89</f>
        <v>3.88</v>
      </c>
      <c r="M89" s="676">
        <v>9.6999999999999993</v>
      </c>
      <c r="N89" s="634">
        <f>O89*F89</f>
        <v>2.92</v>
      </c>
      <c r="O89" s="676">
        <v>7.3</v>
      </c>
      <c r="P89" s="654">
        <f>AVERAGE(I89,K89,M89,O89)</f>
        <v>7.9249999999999998</v>
      </c>
      <c r="Q89" s="634">
        <f>F89*R89</f>
        <v>3.2</v>
      </c>
      <c r="R89" s="680">
        <v>8</v>
      </c>
      <c r="S89" s="634">
        <f>F89*T89</f>
        <v>8</v>
      </c>
      <c r="T89" s="680">
        <v>20</v>
      </c>
      <c r="U89" s="634">
        <f>F89*V89</f>
        <v>6</v>
      </c>
      <c r="V89" s="680">
        <v>15</v>
      </c>
      <c r="W89" s="634">
        <f>X89*F89</f>
        <v>10</v>
      </c>
      <c r="X89" s="676">
        <v>25</v>
      </c>
      <c r="Y89" s="634">
        <f>Z89*F89</f>
        <v>4</v>
      </c>
      <c r="Z89" s="676">
        <v>10</v>
      </c>
      <c r="AA89" s="634">
        <f>AB89*F89</f>
        <v>8</v>
      </c>
      <c r="AB89" s="676">
        <v>20</v>
      </c>
      <c r="AC89" s="634">
        <f>AD89*F89</f>
        <v>6</v>
      </c>
      <c r="AD89" s="676">
        <v>15</v>
      </c>
      <c r="AE89" s="634">
        <f>AF89*F89</f>
        <v>8</v>
      </c>
      <c r="AF89" s="676">
        <v>20</v>
      </c>
      <c r="AG89" s="634">
        <f>AH89*F89</f>
        <v>6</v>
      </c>
      <c r="AH89" s="676">
        <v>15</v>
      </c>
      <c r="AI89" s="679">
        <f>AJ89*F89</f>
        <v>10</v>
      </c>
      <c r="AJ89" s="676">
        <v>25</v>
      </c>
      <c r="AK89" s="670">
        <f>AVERAGE(R89,T89,V89,X89,Z89,AB89,AD89,AF89,AH89,AJ89)</f>
        <v>17.3</v>
      </c>
    </row>
    <row r="90" spans="1:37" ht="39.75" hidden="1" customHeight="1" thickBot="1">
      <c r="A90" s="791"/>
      <c r="B90" s="668" t="s">
        <v>219</v>
      </c>
      <c r="C90" s="668" t="s">
        <v>809</v>
      </c>
      <c r="D90" s="668"/>
      <c r="E90" s="668">
        <v>2016</v>
      </c>
      <c r="F90" s="668">
        <v>3.6</v>
      </c>
      <c r="G90" s="668"/>
      <c r="H90" s="678">
        <f>I90*F90</f>
        <v>24.48</v>
      </c>
      <c r="I90" s="676">
        <v>6.8</v>
      </c>
      <c r="J90" s="678">
        <f>K90*F90</f>
        <v>33.119999999999997</v>
      </c>
      <c r="K90" s="676">
        <v>9.1999999999999993</v>
      </c>
      <c r="L90" s="678">
        <f>M90*F90</f>
        <v>57.6</v>
      </c>
      <c r="M90" s="676">
        <v>16</v>
      </c>
      <c r="N90" s="678">
        <f>O90*F90</f>
        <v>51.12</v>
      </c>
      <c r="O90" s="676">
        <v>14.2</v>
      </c>
      <c r="P90" s="655">
        <f>AVERAGE(I90,K90,M90,O90)</f>
        <v>11.55</v>
      </c>
      <c r="Q90" s="678">
        <f>F90*R90</f>
        <v>72</v>
      </c>
      <c r="R90" s="668">
        <v>20</v>
      </c>
      <c r="S90" s="678">
        <f>F90*T90</f>
        <v>54</v>
      </c>
      <c r="T90" s="668">
        <v>15</v>
      </c>
      <c r="U90" s="678">
        <f>F90*V90</f>
        <v>72</v>
      </c>
      <c r="V90" s="668">
        <v>20</v>
      </c>
      <c r="W90" s="678">
        <f>X90*F90</f>
        <v>90</v>
      </c>
      <c r="X90" s="676">
        <v>25</v>
      </c>
      <c r="Y90" s="678">
        <f>Z90*F90</f>
        <v>36</v>
      </c>
      <c r="Z90" s="676">
        <v>10</v>
      </c>
      <c r="AA90" s="678">
        <f>AB90*F90</f>
        <v>90</v>
      </c>
      <c r="AB90" s="676">
        <v>25</v>
      </c>
      <c r="AC90" s="678">
        <f>AD90*F90</f>
        <v>54</v>
      </c>
      <c r="AD90" s="676">
        <v>15</v>
      </c>
      <c r="AE90" s="678">
        <f>AF90*F90</f>
        <v>36</v>
      </c>
      <c r="AF90" s="676">
        <v>10</v>
      </c>
      <c r="AG90" s="678">
        <f>AH90*F90</f>
        <v>90</v>
      </c>
      <c r="AH90" s="676">
        <v>25</v>
      </c>
      <c r="AI90" s="677">
        <f>AJ90*F90</f>
        <v>72</v>
      </c>
      <c r="AJ90" s="676">
        <v>20</v>
      </c>
      <c r="AK90" s="670">
        <f>AVERAGE(R90,T90,V90,X90,Z90,AB90,AD90,AF90,AH90,AJ90)</f>
        <v>18.5</v>
      </c>
    </row>
    <row r="91" spans="1:37" ht="39.75" hidden="1" customHeight="1" thickBot="1">
      <c r="A91" s="791"/>
      <c r="B91" s="668" t="s">
        <v>810</v>
      </c>
      <c r="C91" s="668" t="s">
        <v>809</v>
      </c>
      <c r="D91" s="668"/>
      <c r="E91" s="668">
        <v>2016</v>
      </c>
      <c r="F91" s="668">
        <v>0.5</v>
      </c>
      <c r="G91" s="668"/>
      <c r="H91" s="678">
        <f>I91*F91</f>
        <v>0</v>
      </c>
      <c r="I91" s="676"/>
      <c r="J91" s="678">
        <f>K91*F91</f>
        <v>2.15</v>
      </c>
      <c r="K91" s="676">
        <v>4.3</v>
      </c>
      <c r="L91" s="678">
        <f>M91*F91</f>
        <v>2.5499999999999998</v>
      </c>
      <c r="M91" s="676">
        <v>5.0999999999999996</v>
      </c>
      <c r="N91" s="678">
        <f>O91*F91</f>
        <v>3</v>
      </c>
      <c r="O91" s="676">
        <v>6</v>
      </c>
      <c r="P91" s="655">
        <f>AVERAGE(I91,K91,M91,O91)</f>
        <v>5.1333333333333329</v>
      </c>
      <c r="Q91" s="678">
        <f>F91*R91</f>
        <v>4</v>
      </c>
      <c r="R91" s="668">
        <v>8</v>
      </c>
      <c r="S91" s="678">
        <f>F91*T91</f>
        <v>5</v>
      </c>
      <c r="T91" s="668">
        <v>10</v>
      </c>
      <c r="U91" s="678">
        <f>F91*V91</f>
        <v>7.5</v>
      </c>
      <c r="V91" s="668">
        <v>15</v>
      </c>
      <c r="W91" s="678">
        <f>X91*F91</f>
        <v>10</v>
      </c>
      <c r="X91" s="676">
        <v>20</v>
      </c>
      <c r="Y91" s="678">
        <f>Z91*F91</f>
        <v>7.5</v>
      </c>
      <c r="Z91" s="676">
        <v>15</v>
      </c>
      <c r="AA91" s="678">
        <f>AB91*F91</f>
        <v>10</v>
      </c>
      <c r="AB91" s="676">
        <v>20</v>
      </c>
      <c r="AC91" s="678">
        <f>AD91*F91</f>
        <v>7.5</v>
      </c>
      <c r="AD91" s="676">
        <v>15</v>
      </c>
      <c r="AE91" s="678">
        <f>AF91*F91</f>
        <v>10</v>
      </c>
      <c r="AF91" s="676">
        <v>20</v>
      </c>
      <c r="AG91" s="678">
        <f>AH91*F91</f>
        <v>7.5</v>
      </c>
      <c r="AH91" s="676">
        <v>15</v>
      </c>
      <c r="AI91" s="677">
        <f>AJ91*F91</f>
        <v>12.5</v>
      </c>
      <c r="AJ91" s="676">
        <v>25</v>
      </c>
      <c r="AK91" s="670">
        <f>AVERAGE(R91,T91,V91,X91,Z91,AB91,AD91,AF91,AH91,AJ91)</f>
        <v>16.3</v>
      </c>
    </row>
    <row r="92" spans="1:37" ht="39.75" hidden="1" customHeight="1" thickBot="1">
      <c r="A92" s="791"/>
      <c r="B92" s="674" t="s">
        <v>230</v>
      </c>
      <c r="C92" s="674" t="s">
        <v>809</v>
      </c>
      <c r="D92" s="674"/>
      <c r="E92" s="674">
        <v>2016</v>
      </c>
      <c r="F92" s="674">
        <v>1.5</v>
      </c>
      <c r="G92" s="674"/>
      <c r="H92" s="673">
        <f>I92*F92</f>
        <v>2.5499999999999998</v>
      </c>
      <c r="I92" s="671">
        <v>1.7</v>
      </c>
      <c r="J92" s="673">
        <f>K92*F92</f>
        <v>10.5</v>
      </c>
      <c r="K92" s="671">
        <v>7</v>
      </c>
      <c r="L92" s="673">
        <f>M92*F92</f>
        <v>10.5</v>
      </c>
      <c r="M92" s="671">
        <v>7</v>
      </c>
      <c r="N92" s="673">
        <f>O92*F92</f>
        <v>6.6000000000000005</v>
      </c>
      <c r="O92" s="671">
        <v>4.4000000000000004</v>
      </c>
      <c r="P92" s="675">
        <f>AVERAGE(I92,K92,M92,O92)</f>
        <v>5.0250000000000004</v>
      </c>
      <c r="Q92" s="673">
        <f>F92*R92</f>
        <v>9</v>
      </c>
      <c r="R92" s="674">
        <v>6</v>
      </c>
      <c r="S92" s="673">
        <f>F92*T92</f>
        <v>15</v>
      </c>
      <c r="T92" s="674">
        <v>10</v>
      </c>
      <c r="U92" s="673">
        <f>F92*V92</f>
        <v>22.5</v>
      </c>
      <c r="V92" s="674">
        <v>15</v>
      </c>
      <c r="W92" s="673">
        <f>X92*F92</f>
        <v>15</v>
      </c>
      <c r="X92" s="671">
        <v>10</v>
      </c>
      <c r="Y92" s="673">
        <f>Z92*F92</f>
        <v>22.5</v>
      </c>
      <c r="Z92" s="671">
        <v>15</v>
      </c>
      <c r="AA92" s="673">
        <f>AB92*F92</f>
        <v>15</v>
      </c>
      <c r="AB92" s="671">
        <v>10</v>
      </c>
      <c r="AC92" s="673">
        <f>AD92*F92</f>
        <v>22.5</v>
      </c>
      <c r="AD92" s="671">
        <v>15</v>
      </c>
      <c r="AE92" s="673">
        <f>AF92*F92</f>
        <v>15</v>
      </c>
      <c r="AF92" s="671">
        <v>10</v>
      </c>
      <c r="AG92" s="673">
        <f>AH92*F92</f>
        <v>30</v>
      </c>
      <c r="AH92" s="671">
        <v>20</v>
      </c>
      <c r="AI92" s="672">
        <f>AJ92*F92</f>
        <v>15</v>
      </c>
      <c r="AJ92" s="671">
        <v>10</v>
      </c>
      <c r="AK92" s="670">
        <f>AVERAGE(R92,T92,V92,X92,Z92,AB92,AD92,AF92,AH92,AJ92)</f>
        <v>12.1</v>
      </c>
    </row>
    <row r="93" spans="1:37" ht="39.75" hidden="1" customHeight="1" thickTop="1" thickBot="1">
      <c r="A93" s="792"/>
      <c r="B93" s="657" t="s">
        <v>176</v>
      </c>
      <c r="C93" s="657"/>
      <c r="D93" s="657"/>
      <c r="E93" s="657"/>
      <c r="F93" s="657">
        <v>6</v>
      </c>
      <c r="G93" s="657"/>
      <c r="H93" s="658">
        <f>SUM(H89:H92)</f>
        <v>29.75</v>
      </c>
      <c r="I93" s="659">
        <f>H93/F93</f>
        <v>4.958333333333333</v>
      </c>
      <c r="J93" s="658">
        <f>SUM(J89:J92)</f>
        <v>48.93</v>
      </c>
      <c r="K93" s="659">
        <f>J93/F93</f>
        <v>8.1549999999999994</v>
      </c>
      <c r="L93" s="658">
        <f>SUM(L89:L92)</f>
        <v>74.53</v>
      </c>
      <c r="M93" s="659">
        <f>L93/F93</f>
        <v>12.421666666666667</v>
      </c>
      <c r="N93" s="658">
        <f>SUM(N89:N92)</f>
        <v>63.64</v>
      </c>
      <c r="O93" s="659">
        <f>N93/F93</f>
        <v>10.606666666666667</v>
      </c>
      <c r="P93" s="659"/>
      <c r="Q93" s="658">
        <f>SUM(Q89:Q92)</f>
        <v>88.2</v>
      </c>
      <c r="R93" s="659">
        <f>Q93/F93</f>
        <v>14.700000000000001</v>
      </c>
      <c r="S93" s="658">
        <f>SUM(S89:S92)</f>
        <v>82</v>
      </c>
      <c r="T93" s="659">
        <f>S93/F93</f>
        <v>13.666666666666666</v>
      </c>
      <c r="U93" s="658">
        <f>SUM(U89:U92)</f>
        <v>108</v>
      </c>
      <c r="V93" s="657">
        <f>U93/F93</f>
        <v>18</v>
      </c>
      <c r="W93" s="658">
        <f>SUM(W89:W92)</f>
        <v>125</v>
      </c>
      <c r="X93" s="657">
        <f>W93/F93</f>
        <v>20.833333333333332</v>
      </c>
      <c r="Y93" s="658">
        <f>SUM(Y89:Y92)</f>
        <v>70</v>
      </c>
      <c r="Z93" s="657">
        <f>Y93/F93</f>
        <v>11.666666666666666</v>
      </c>
      <c r="AA93" s="658">
        <f>SUM(AA89:AA92)</f>
        <v>123</v>
      </c>
      <c r="AB93" s="657">
        <f>AA93/F93</f>
        <v>20.5</v>
      </c>
      <c r="AC93" s="658">
        <f>SUM(AC89:AC92)</f>
        <v>90</v>
      </c>
      <c r="AD93" s="657">
        <f>AC93/F93</f>
        <v>15</v>
      </c>
      <c r="AE93" s="658">
        <f>SUM(AE89:AE92)</f>
        <v>69</v>
      </c>
      <c r="AF93" s="657">
        <f>AE93/F93</f>
        <v>11.5</v>
      </c>
      <c r="AG93" s="658">
        <f>SUM(AG89:AG92)</f>
        <v>133.5</v>
      </c>
      <c r="AH93" s="657">
        <f>AG93/F93</f>
        <v>22.25</v>
      </c>
      <c r="AI93" s="658">
        <f>SUM(AI89:AI92)</f>
        <v>109.5</v>
      </c>
      <c r="AJ93" s="657">
        <f>AI93/F93</f>
        <v>18.25</v>
      </c>
      <c r="AK93" s="669"/>
    </row>
    <row r="94" spans="1:37" ht="17" thickBot="1">
      <c r="A94" s="668"/>
      <c r="B94" s="665"/>
      <c r="C94" s="665"/>
      <c r="D94" s="665"/>
      <c r="E94" s="665"/>
      <c r="F94" s="665"/>
      <c r="G94" s="665"/>
      <c r="H94" s="666"/>
      <c r="I94" s="667"/>
      <c r="J94" s="666"/>
      <c r="K94" s="667"/>
      <c r="L94" s="666"/>
      <c r="M94" s="667"/>
      <c r="N94" s="666"/>
      <c r="O94" s="667"/>
      <c r="P94" s="667"/>
      <c r="Q94" s="666"/>
      <c r="R94" s="667"/>
      <c r="S94" s="666"/>
      <c r="T94" s="667"/>
      <c r="U94" s="666"/>
      <c r="V94" s="665"/>
      <c r="W94" s="666"/>
      <c r="X94" s="665"/>
      <c r="Y94" s="666"/>
      <c r="Z94" s="665"/>
      <c r="AA94" s="666"/>
      <c r="AB94" s="665"/>
      <c r="AC94" s="666"/>
      <c r="AD94" s="665"/>
      <c r="AE94" s="666"/>
      <c r="AF94" s="665"/>
      <c r="AG94" s="666"/>
      <c r="AH94" s="665"/>
      <c r="AI94" s="666"/>
      <c r="AJ94" s="665"/>
      <c r="AK94" s="664"/>
    </row>
    <row r="95" spans="1:37" ht="23" thickTop="1" thickBot="1">
      <c r="A95" s="663"/>
      <c r="B95" s="660" t="s">
        <v>808</v>
      </c>
      <c r="C95" s="657"/>
      <c r="D95" s="657"/>
      <c r="E95" s="657"/>
      <c r="F95" s="657">
        <v>6</v>
      </c>
      <c r="G95" s="657"/>
      <c r="H95" s="658">
        <v>29.75</v>
      </c>
      <c r="I95" s="657">
        <v>4.958333333333333</v>
      </c>
      <c r="J95" s="658">
        <v>48.93</v>
      </c>
      <c r="K95" s="657">
        <v>8.1549999999999994</v>
      </c>
      <c r="L95" s="658">
        <v>74.53</v>
      </c>
      <c r="M95" s="657">
        <v>12.421666666666667</v>
      </c>
      <c r="N95" s="658">
        <v>63.64</v>
      </c>
      <c r="O95" s="657">
        <v>10.606666666666667</v>
      </c>
      <c r="P95" s="659"/>
      <c r="Q95" s="688">
        <v>88.2</v>
      </c>
      <c r="R95" s="657">
        <v>14.700000000000001</v>
      </c>
      <c r="S95" s="688">
        <v>82</v>
      </c>
      <c r="T95" s="657">
        <v>13.666666666666666</v>
      </c>
      <c r="U95" s="691">
        <v>108</v>
      </c>
      <c r="V95" s="657">
        <v>18</v>
      </c>
      <c r="W95" s="691">
        <v>125</v>
      </c>
      <c r="X95" s="657">
        <v>20.833333333333332</v>
      </c>
      <c r="Y95" s="691">
        <v>70</v>
      </c>
      <c r="Z95" s="657">
        <v>11.666666666666666</v>
      </c>
      <c r="AA95" s="691">
        <v>123</v>
      </c>
      <c r="AB95" s="657">
        <v>20.5</v>
      </c>
      <c r="AC95" s="691">
        <v>90</v>
      </c>
      <c r="AD95" s="657">
        <v>15</v>
      </c>
      <c r="AE95" s="691">
        <v>69</v>
      </c>
      <c r="AF95" s="657">
        <v>11.5</v>
      </c>
      <c r="AG95" s="691">
        <v>133.5</v>
      </c>
      <c r="AH95" s="657">
        <v>22.25</v>
      </c>
      <c r="AI95" s="662">
        <v>109.5</v>
      </c>
      <c r="AJ95" s="657">
        <v>18.25</v>
      </c>
      <c r="AK95" s="661"/>
    </row>
    <row r="96" spans="1:37" ht="44" thickTop="1" thickBot="1">
      <c r="A96" s="653"/>
      <c r="B96" s="660" t="s">
        <v>807</v>
      </c>
      <c r="C96" s="657"/>
      <c r="D96" s="657"/>
      <c r="E96" s="657"/>
      <c r="F96" s="657">
        <f>SUM(F6,F12,F17,F21,F27,F32,F36,F43,F48,F53,F58,F63,F68,F73,F79,F84,F88)</f>
        <v>717.83999999999992</v>
      </c>
      <c r="G96" s="657"/>
      <c r="H96" s="658">
        <f>SUM(H88,H84,H79,H73,H68,H63,H58,H53,H48,H43,H36,H32,H27,H21,H17,H12,H6)</f>
        <v>3126.5812000000005</v>
      </c>
      <c r="I96" s="657">
        <f>H96/F96</f>
        <v>4.355540510420151</v>
      </c>
      <c r="J96" s="658">
        <f>SUM(J88,J84,J79,J73,J68,J63,J58,J53,J48,J43,J36,J32,J27,J21,J17,J12,J6)</f>
        <v>4042.8245000000002</v>
      </c>
      <c r="K96" s="657">
        <f>J96/F96</f>
        <v>5.6319298172294667</v>
      </c>
      <c r="L96" s="658">
        <f>SUM(L88,L84,L79,L73,L68,L63,L58,L53,L48,L43,L36,L32,L27,L21,L17,L12,L6)</f>
        <v>4352.2381999999998</v>
      </c>
      <c r="M96" s="657">
        <f>L96/F96</f>
        <v>6.0629641702886437</v>
      </c>
      <c r="N96" s="658">
        <f>SUM(N88,N84,N79,N73,N68,N63,N58,N53,N48,N43,N36,N32,N27,N21,N17,N12,N6)</f>
        <v>5368.7730000000001</v>
      </c>
      <c r="O96" s="657">
        <f>N96/F96</f>
        <v>7.47906636576396</v>
      </c>
      <c r="P96" s="659"/>
      <c r="Q96" s="688">
        <f>SUM(Q88,Q84,Q79,Q73,Q68,Q63,Q58,Q53,Q48,Q43,Q36,Q32,Q27,Q21,Q17,Q12,Q6)</f>
        <v>5760.09</v>
      </c>
      <c r="R96" s="657">
        <f>Q96/F96</f>
        <v>8.0241975927783358</v>
      </c>
      <c r="S96" s="688">
        <f>SUM(S88,S84,S79,S73,S68,S63,S58,S53,S48,S43,S36,S32,S27,S21,S17,S12,S6)</f>
        <v>4709.2400000000007</v>
      </c>
      <c r="T96" s="657">
        <f>S96/F96</f>
        <v>6.56029198707233</v>
      </c>
      <c r="U96" s="691">
        <f>SUM(U88,U84,U79,U73,U68,U63,U58,U53,U48,U43,U36,U32,U27,U21,U17,U12,U6)</f>
        <v>8442.4800000000032</v>
      </c>
      <c r="V96" s="657">
        <f>U96/F96</f>
        <v>11.76094951521231</v>
      </c>
      <c r="W96" s="691">
        <f>SUM(W88,W84,W79,W73,W68,W63,W58,W53,W48,W43,W36,W32,W27,W21,W17,W12,W6)</f>
        <v>9431.7999999999975</v>
      </c>
      <c r="X96" s="657">
        <f>W96/F96</f>
        <v>13.139139641145658</v>
      </c>
      <c r="Y96" s="691">
        <f>SUM(Y88,Y84,Y79,Y73,Y68,Y63,Y58,Y53,Y48,Y43,Y36,Y32,Y27,Y21,Y17,Y12,Y6)</f>
        <v>11914.210000000001</v>
      </c>
      <c r="Z96" s="657">
        <f>Y96/F96</f>
        <v>16.597305806307816</v>
      </c>
      <c r="AA96" s="691">
        <f>SUM(AA88,AA84,AA79,AA73,AA68,AA63,AA58,AA53,AA48,AA43,AA36,AA32,AA27,AA21,AA17,AA12,AA6)</f>
        <v>10184.709999999997</v>
      </c>
      <c r="AB96" s="657">
        <f>AA96/F96</f>
        <v>14.187994539173072</v>
      </c>
      <c r="AC96" s="691">
        <f>SUM(AC88,AC84,AC79,AC73,AC68,AC63,AC58,AC53,AC48,AC43,AC36,AC32,AC27,AC21,AC17,AC12,AC6)</f>
        <v>11957.85</v>
      </c>
      <c r="AD96" s="657">
        <f>AC96/F96</f>
        <v>16.658099297893685</v>
      </c>
      <c r="AE96" s="691">
        <f>SUM(AE88,AE84,AE79,AE73,AE68,AE63,AE58,AE53,AE48,AE43,AE36,AE32,AE27,AE21,AE17,AE12,AE6)</f>
        <v>11185.209999999997</v>
      </c>
      <c r="AF96" s="657">
        <f>AE96/F96</f>
        <v>15.581759166388052</v>
      </c>
      <c r="AG96" s="691">
        <f>SUM(AG88,AG84,AG79,AG73,AG68,AG63,AG58,AG53,AG48,AG43,AG36,AG32,AG27,AG21,AG17,AG12,AG6)</f>
        <v>13389.800000000001</v>
      </c>
      <c r="AH96" s="657">
        <f>AG96/F96</f>
        <v>18.652903153906166</v>
      </c>
      <c r="AI96" s="658">
        <f>SUM(AI88,AI84,AI79,AI73,AI68,AI63,AI58,AI53,AI48,AI43,AI36,AI32,AI27,AI21,AI17,AI12,AI6)</f>
        <v>12973.359999999999</v>
      </c>
      <c r="AJ96" s="657">
        <f>AI96/F96</f>
        <v>18.072773877187117</v>
      </c>
      <c r="AK96" s="656"/>
    </row>
    <row r="97" ht="16" thickTop="1"/>
  </sheetData>
  <mergeCells count="42">
    <mergeCell ref="A89:A93"/>
    <mergeCell ref="A64:A68"/>
    <mergeCell ref="A69:A75"/>
    <mergeCell ref="A77:A79"/>
    <mergeCell ref="A80:A84"/>
    <mergeCell ref="D81:D83"/>
    <mergeCell ref="A85:A88"/>
    <mergeCell ref="A44:A48"/>
    <mergeCell ref="D44:D47"/>
    <mergeCell ref="A49:A53"/>
    <mergeCell ref="A54:A58"/>
    <mergeCell ref="A59:A63"/>
    <mergeCell ref="G2:G3"/>
    <mergeCell ref="H2:H3"/>
    <mergeCell ref="D59:D62"/>
    <mergeCell ref="A22:A27"/>
    <mergeCell ref="D22:D26"/>
    <mergeCell ref="D7:D11"/>
    <mergeCell ref="D13:D16"/>
    <mergeCell ref="A18:A21"/>
    <mergeCell ref="D18:D20"/>
    <mergeCell ref="A4:A17"/>
    <mergeCell ref="D4:D5"/>
    <mergeCell ref="A33:A42"/>
    <mergeCell ref="D33:D35"/>
    <mergeCell ref="A28:A32"/>
    <mergeCell ref="I2:I3"/>
    <mergeCell ref="P2:P3"/>
    <mergeCell ref="J2:J3"/>
    <mergeCell ref="A1:AK1"/>
    <mergeCell ref="A2:A3"/>
    <mergeCell ref="B2:B3"/>
    <mergeCell ref="C2:C3"/>
    <mergeCell ref="D2:D3"/>
    <mergeCell ref="E2:E3"/>
    <mergeCell ref="M2:M3"/>
    <mergeCell ref="N2:N3"/>
    <mergeCell ref="O2:O3"/>
    <mergeCell ref="K2:K3"/>
    <mergeCell ref="L2:L3"/>
    <mergeCell ref="Q2:AK2"/>
    <mergeCell ref="F2:F3"/>
  </mergeCells>
  <pageMargins left="0.7" right="0.7" top="0.75" bottom="0.75" header="0.3" footer="0.3"/>
  <pageSetup paperSize="9" scale="66" fitToWidth="2"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L36"/>
  <sheetViews>
    <sheetView showGridLines="0" workbookViewId="0">
      <selection activeCell="B45" sqref="B45"/>
    </sheetView>
  </sheetViews>
  <sheetFormatPr baseColWidth="10" defaultColWidth="9.1640625" defaultRowHeight="13"/>
  <cols>
    <col min="1" max="1" width="9.1640625" style="541"/>
    <col min="2" max="2" width="44.33203125" style="541" customWidth="1"/>
    <col min="3" max="8" width="10.6640625" style="541" customWidth="1"/>
    <col min="9" max="13" width="9.5" style="541" customWidth="1"/>
    <col min="14" max="16384" width="9.1640625" style="541"/>
  </cols>
  <sheetData>
    <row r="2" spans="2:12">
      <c r="B2" s="542" t="s">
        <v>696</v>
      </c>
      <c r="C2" s="542"/>
    </row>
    <row r="3" spans="2:12">
      <c r="B3" s="542"/>
      <c r="C3" s="542"/>
    </row>
    <row r="4" spans="2:12">
      <c r="B4" s="545" t="s">
        <v>57</v>
      </c>
      <c r="C4" s="542"/>
    </row>
    <row r="6" spans="2:12">
      <c r="B6" s="546" t="s">
        <v>575</v>
      </c>
      <c r="C6" s="560" t="s">
        <v>657</v>
      </c>
      <c r="D6" s="560" t="s">
        <v>658</v>
      </c>
      <c r="E6" s="560" t="s">
        <v>659</v>
      </c>
      <c r="F6" s="560" t="s">
        <v>660</v>
      </c>
      <c r="G6" s="560" t="s">
        <v>661</v>
      </c>
      <c r="H6" s="560" t="s">
        <v>662</v>
      </c>
    </row>
    <row r="7" spans="2:12" ht="14" thickBot="1">
      <c r="B7" s="541" t="s">
        <v>82</v>
      </c>
      <c r="C7" s="544">
        <v>0</v>
      </c>
      <c r="D7" s="544">
        <v>0</v>
      </c>
      <c r="E7" s="544">
        <v>9684</v>
      </c>
      <c r="F7" s="544">
        <v>10836</v>
      </c>
      <c r="G7" s="544">
        <v>0</v>
      </c>
      <c r="H7" s="544">
        <v>0</v>
      </c>
    </row>
    <row r="8" spans="2:12" ht="14" thickBot="1">
      <c r="B8" s="541" t="s">
        <v>85</v>
      </c>
      <c r="C8" s="544">
        <f>'Продажи_ИИ 16-1кв20'!E83</f>
        <v>0</v>
      </c>
      <c r="D8" s="544">
        <f>'Продажи_ИИ 16-1кв20'!F83</f>
        <v>29.805</v>
      </c>
      <c r="E8" s="544">
        <f>'Продажи_ИИ 16-1кв20'!G83</f>
        <v>282.072</v>
      </c>
      <c r="F8" s="544">
        <f>'Продажи_ИИ 16-1кв20'!H83</f>
        <v>32.113</v>
      </c>
      <c r="G8" s="544">
        <f>'Продажи_ИИ 16-1кв20'!E105</f>
        <v>0</v>
      </c>
      <c r="H8" s="544">
        <f>'Продажи_ИИ 16-1кв20'!F105</f>
        <v>0</v>
      </c>
      <c r="J8" s="603">
        <f>D8/(D8+E8+F8)</f>
        <v>8.6644960609320032E-2</v>
      </c>
      <c r="K8" s="603">
        <f>E8/(D8+E8+F8)</f>
        <v>0.8200005814122503</v>
      </c>
      <c r="L8" s="603">
        <f>1-J8-K8</f>
        <v>9.3354457978429672E-2</v>
      </c>
    </row>
    <row r="9" spans="2:12" ht="14" thickBot="1">
      <c r="B9" s="541" t="s">
        <v>84</v>
      </c>
      <c r="C9" s="544">
        <f>'Продажи_ИИ 16-1кв20'!E81</f>
        <v>0</v>
      </c>
      <c r="D9" s="544">
        <f>'Продажи_ИИ 16-1кв20'!F81</f>
        <v>0</v>
      </c>
      <c r="E9" s="544">
        <f>'Продажи_ИИ 16-1кв20'!G81</f>
        <v>114.65900000000001</v>
      </c>
      <c r="F9" s="544">
        <f>'Продажи_ИИ 16-1кв20'!H81</f>
        <v>27.345999999999989</v>
      </c>
      <c r="G9" s="544">
        <f>'Продажи_ИИ 16-1кв20'!E103</f>
        <v>0</v>
      </c>
      <c r="H9" s="544">
        <f>'Продажи_ИИ 16-1кв20'!F103</f>
        <v>0</v>
      </c>
      <c r="J9" s="603">
        <f>E9/(E9+F9)</f>
        <v>0.80742931586915956</v>
      </c>
      <c r="K9" s="603">
        <f>1-J9</f>
        <v>0.19257068413084044</v>
      </c>
    </row>
    <row r="10" spans="2:12">
      <c r="B10" s="541" t="s">
        <v>86</v>
      </c>
      <c r="C10" s="544">
        <f>'Продажи_ИИ 16-1кв20'!E85</f>
        <v>0</v>
      </c>
      <c r="D10" s="544">
        <f>'Продажи_ИИ 16-1кв20'!F85</f>
        <v>24.960999999999999</v>
      </c>
      <c r="E10" s="544">
        <f>'Продажи_ИИ 16-1кв20'!G85</f>
        <v>0</v>
      </c>
      <c r="F10" s="544">
        <f>'Продажи_ИИ 16-1кв20'!H85</f>
        <v>0</v>
      </c>
      <c r="G10" s="544">
        <f>'Продажи_ИИ 16-1кв20'!E107</f>
        <v>0</v>
      </c>
      <c r="H10" s="544">
        <f>'Продажи_ИИ 16-1кв20'!F107</f>
        <v>4.54</v>
      </c>
    </row>
    <row r="11" spans="2:12">
      <c r="B11" s="541" t="s">
        <v>87</v>
      </c>
      <c r="C11" s="544">
        <f>'Продажи_ИИ 16-1кв20'!E87</f>
        <v>0</v>
      </c>
      <c r="D11" s="544">
        <f>'Продажи_ИИ 16-1кв20'!F87</f>
        <v>0</v>
      </c>
      <c r="E11" s="544">
        <f>'Продажи_ИИ 16-1кв20'!G87</f>
        <v>1321.6479999999999</v>
      </c>
      <c r="F11" s="544">
        <f>'Продажи_ИИ 16-1кв20'!H87</f>
        <v>0</v>
      </c>
      <c r="G11" s="544">
        <f>'Продажи_ИИ 16-1кв20'!E109</f>
        <v>0</v>
      </c>
      <c r="H11" s="544">
        <f>'Продажи_ИИ 16-1кв20'!F109</f>
        <v>0</v>
      </c>
    </row>
    <row r="12" spans="2:12">
      <c r="B12" s="541" t="s">
        <v>699</v>
      </c>
      <c r="C12" s="541">
        <v>0</v>
      </c>
      <c r="D12" s="541">
        <v>0</v>
      </c>
      <c r="E12" s="541">
        <v>0</v>
      </c>
      <c r="F12" s="541">
        <v>0</v>
      </c>
      <c r="G12" s="541">
        <v>0</v>
      </c>
      <c r="H12" s="541">
        <v>0</v>
      </c>
    </row>
    <row r="13" spans="2:12">
      <c r="B13" s="541" t="s">
        <v>151</v>
      </c>
      <c r="C13" s="544">
        <v>0</v>
      </c>
      <c r="D13" s="544">
        <v>0</v>
      </c>
      <c r="E13" s="544">
        <v>0</v>
      </c>
      <c r="F13" s="544">
        <v>0</v>
      </c>
      <c r="G13" s="544">
        <v>0</v>
      </c>
      <c r="H13" s="544">
        <v>0</v>
      </c>
    </row>
    <row r="14" spans="2:12">
      <c r="C14" s="544"/>
      <c r="D14" s="544"/>
      <c r="E14" s="544"/>
      <c r="F14" s="544"/>
      <c r="G14" s="544"/>
    </row>
    <row r="15" spans="2:12">
      <c r="B15" s="545" t="s">
        <v>20</v>
      </c>
      <c r="C15" s="542"/>
    </row>
    <row r="17" spans="2:11">
      <c r="B17" s="546" t="s">
        <v>575</v>
      </c>
      <c r="C17" s="560" t="s">
        <v>657</v>
      </c>
      <c r="D17" s="560" t="s">
        <v>658</v>
      </c>
      <c r="E17" s="560" t="s">
        <v>659</v>
      </c>
      <c r="F17" s="560" t="s">
        <v>660</v>
      </c>
      <c r="G17" s="560" t="s">
        <v>661</v>
      </c>
      <c r="H17" s="560" t="s">
        <v>662</v>
      </c>
    </row>
    <row r="18" spans="2:11">
      <c r="B18" s="541" t="s">
        <v>82</v>
      </c>
      <c r="C18" s="544">
        <v>0</v>
      </c>
      <c r="D18" s="544">
        <v>0</v>
      </c>
      <c r="E18" s="544">
        <v>2808</v>
      </c>
      <c r="F18" s="544">
        <v>1551</v>
      </c>
      <c r="G18" s="544">
        <v>0</v>
      </c>
      <c r="H18" s="544">
        <v>0</v>
      </c>
    </row>
    <row r="19" spans="2:11">
      <c r="B19" s="541" t="s">
        <v>85</v>
      </c>
      <c r="C19" s="544">
        <f>'Продажи_НЗ 16-1кв20'!E83</f>
        <v>0</v>
      </c>
      <c r="D19" s="544">
        <f>'Продажи_НЗ 16-1кв20'!F83</f>
        <v>0</v>
      </c>
      <c r="E19" s="544">
        <f>'Продажи_НЗ 16-1кв20'!G83</f>
        <v>185.17</v>
      </c>
      <c r="F19" s="544">
        <f>'Продажи_НЗ 16-1кв20'!H83</f>
        <v>0.19</v>
      </c>
      <c r="G19" s="544">
        <f>'Продажи_НЗ 16-1кв20'!E106</f>
        <v>0</v>
      </c>
      <c r="H19" s="544">
        <f>'Продажи_НЗ 16-1кв20'!F106</f>
        <v>0</v>
      </c>
    </row>
    <row r="20" spans="2:11">
      <c r="B20" s="541" t="s">
        <v>84</v>
      </c>
      <c r="C20" s="544">
        <v>0</v>
      </c>
      <c r="D20" s="544">
        <v>0</v>
      </c>
      <c r="E20" s="544">
        <v>0</v>
      </c>
      <c r="F20" s="544">
        <v>0</v>
      </c>
      <c r="G20" s="544">
        <v>0</v>
      </c>
      <c r="H20" s="544">
        <v>0</v>
      </c>
    </row>
    <row r="21" spans="2:11">
      <c r="B21" s="541" t="s">
        <v>86</v>
      </c>
      <c r="C21" s="544">
        <v>0</v>
      </c>
      <c r="D21" s="544">
        <v>0</v>
      </c>
      <c r="E21" s="544">
        <v>0</v>
      </c>
      <c r="F21" s="544">
        <v>0</v>
      </c>
      <c r="G21" s="544">
        <v>0</v>
      </c>
      <c r="H21" s="544">
        <v>0</v>
      </c>
    </row>
    <row r="22" spans="2:11">
      <c r="B22" s="541" t="s">
        <v>87</v>
      </c>
      <c r="C22" s="544">
        <f>'Продажи_НЗ 16-1кв20'!E87</f>
        <v>0</v>
      </c>
      <c r="D22" s="544">
        <f>'Продажи_НЗ 16-1кв20'!F87</f>
        <v>0</v>
      </c>
      <c r="E22" s="544">
        <f>'Продажи_НЗ 16-1кв20'!G87</f>
        <v>840.04</v>
      </c>
      <c r="F22" s="544">
        <f>'Продажи_НЗ 16-1кв20'!H87</f>
        <v>186.4</v>
      </c>
      <c r="G22" s="544">
        <v>0</v>
      </c>
      <c r="H22" s="541">
        <v>0</v>
      </c>
    </row>
    <row r="23" spans="2:11">
      <c r="B23" s="541" t="s">
        <v>699</v>
      </c>
      <c r="C23" s="544">
        <f>'Продажи_НЗ 16-1кв20'!E89+'Продажи_НЗ 16-1кв20'!E91</f>
        <v>0</v>
      </c>
      <c r="D23" s="544">
        <f>'Продажи_НЗ 16-1кв20'!F89+'Продажи_НЗ 16-1кв20'!F91</f>
        <v>3</v>
      </c>
      <c r="E23" s="544">
        <f>'Продажи_НЗ 16-1кв20'!G89+'Продажи_НЗ 16-1кв20'!G91</f>
        <v>0</v>
      </c>
      <c r="F23" s="544">
        <f>'Продажи_НЗ 16-1кв20'!H89+'Продажи_НЗ 16-1кв20'!H91</f>
        <v>95.88</v>
      </c>
      <c r="G23" s="544">
        <f>'Продажи_НЗ 16-1кв20'!E112+'Продажи_НЗ 16-1кв20'!E114</f>
        <v>0</v>
      </c>
      <c r="H23" s="544">
        <f>'Продажи_НЗ 16-1кв20'!F112+'Продажи_НЗ 16-1кв20'!F114</f>
        <v>0</v>
      </c>
    </row>
    <row r="24" spans="2:11">
      <c r="B24" s="541" t="s">
        <v>151</v>
      </c>
      <c r="C24" s="544">
        <f>'Продажи_НЗ 16-1кв20'!E85</f>
        <v>0</v>
      </c>
      <c r="D24" s="544">
        <f>'Продажи_НЗ 16-1кв20'!F85</f>
        <v>72.930000000000007</v>
      </c>
      <c r="E24" s="544">
        <f>'Продажи_НЗ 16-1кв20'!G85</f>
        <v>0</v>
      </c>
      <c r="F24" s="544">
        <f>'Продажи_НЗ 16-1кв20'!H85</f>
        <v>0</v>
      </c>
      <c r="G24" s="544">
        <f>'Продажи_НЗ 16-1кв20'!E108</f>
        <v>0</v>
      </c>
      <c r="H24" s="544">
        <f>'Продажи_НЗ 16-1кв20'!F108</f>
        <v>38.28</v>
      </c>
    </row>
    <row r="26" spans="2:11">
      <c r="B26" s="545" t="s">
        <v>176</v>
      </c>
      <c r="C26" s="542"/>
    </row>
    <row r="27" spans="2:11" ht="14" thickBot="1"/>
    <row r="28" spans="2:11" ht="14" thickBot="1">
      <c r="B28" s="546" t="s">
        <v>575</v>
      </c>
      <c r="C28" s="560" t="s">
        <v>657</v>
      </c>
      <c r="D28" s="560" t="s">
        <v>658</v>
      </c>
      <c r="E28" s="560" t="s">
        <v>659</v>
      </c>
      <c r="F28" s="560" t="s">
        <v>660</v>
      </c>
      <c r="G28" s="560" t="s">
        <v>661</v>
      </c>
      <c r="H28" s="560" t="s">
        <v>662</v>
      </c>
      <c r="J28" s="794" t="s">
        <v>700</v>
      </c>
      <c r="K28" s="794"/>
    </row>
    <row r="29" spans="2:11" ht="14" thickBot="1">
      <c r="B29" s="541" t="s">
        <v>82</v>
      </c>
      <c r="C29" s="544">
        <f t="shared" ref="C29:C35" si="0">C7+C18</f>
        <v>0</v>
      </c>
      <c r="D29" s="544">
        <f>D7+D18</f>
        <v>0</v>
      </c>
      <c r="E29" s="544">
        <f>E7+E18</f>
        <v>12492</v>
      </c>
      <c r="F29" s="544">
        <f>F7+F18</f>
        <v>12387</v>
      </c>
      <c r="G29" s="544">
        <f>G7+G18</f>
        <v>0</v>
      </c>
      <c r="H29" s="544">
        <f>H7+H18</f>
        <v>0</v>
      </c>
      <c r="J29" s="603">
        <f>E29/(E29+F29)</f>
        <v>0.50211021343301576</v>
      </c>
      <c r="K29" s="603">
        <f>1-J29</f>
        <v>0.49788978656698424</v>
      </c>
    </row>
    <row r="30" spans="2:11">
      <c r="B30" s="541" t="s">
        <v>85</v>
      </c>
      <c r="C30" s="544">
        <f t="shared" si="0"/>
        <v>0</v>
      </c>
      <c r="D30" s="544">
        <f t="shared" ref="D30:H35" si="1">D8+D19</f>
        <v>29.805</v>
      </c>
      <c r="E30" s="544">
        <f t="shared" si="1"/>
        <v>467.24199999999996</v>
      </c>
      <c r="F30" s="544">
        <f t="shared" si="1"/>
        <v>32.302999999999997</v>
      </c>
      <c r="G30" s="544">
        <f t="shared" si="1"/>
        <v>0</v>
      </c>
      <c r="H30" s="544">
        <f t="shared" si="1"/>
        <v>0</v>
      </c>
    </row>
    <row r="31" spans="2:11">
      <c r="B31" s="541" t="s">
        <v>84</v>
      </c>
      <c r="C31" s="544">
        <f t="shared" si="0"/>
        <v>0</v>
      </c>
      <c r="D31" s="544">
        <f t="shared" si="1"/>
        <v>0</v>
      </c>
      <c r="E31" s="544">
        <f t="shared" si="1"/>
        <v>114.65900000000001</v>
      </c>
      <c r="F31" s="544">
        <f t="shared" si="1"/>
        <v>27.345999999999989</v>
      </c>
      <c r="G31" s="544">
        <f t="shared" si="1"/>
        <v>0</v>
      </c>
      <c r="H31" s="544">
        <f t="shared" si="1"/>
        <v>0</v>
      </c>
    </row>
    <row r="32" spans="2:11">
      <c r="B32" s="541" t="s">
        <v>86</v>
      </c>
      <c r="C32" s="544">
        <f t="shared" si="0"/>
        <v>0</v>
      </c>
      <c r="D32" s="544">
        <f t="shared" si="1"/>
        <v>24.960999999999999</v>
      </c>
      <c r="E32" s="544">
        <f t="shared" si="1"/>
        <v>0</v>
      </c>
      <c r="F32" s="544">
        <f t="shared" si="1"/>
        <v>0</v>
      </c>
      <c r="G32" s="544">
        <f t="shared" si="1"/>
        <v>0</v>
      </c>
      <c r="H32" s="544">
        <f t="shared" si="1"/>
        <v>4.54</v>
      </c>
    </row>
    <row r="33" spans="2:8">
      <c r="B33" s="541" t="s">
        <v>87</v>
      </c>
      <c r="C33" s="544">
        <f t="shared" si="0"/>
        <v>0</v>
      </c>
      <c r="D33" s="544">
        <f t="shared" si="1"/>
        <v>0</v>
      </c>
      <c r="E33" s="544">
        <f t="shared" si="1"/>
        <v>2161.6880000000001</v>
      </c>
      <c r="F33" s="544">
        <f t="shared" si="1"/>
        <v>186.4</v>
      </c>
      <c r="G33" s="544">
        <f t="shared" si="1"/>
        <v>0</v>
      </c>
      <c r="H33" s="544">
        <f t="shared" si="1"/>
        <v>0</v>
      </c>
    </row>
    <row r="34" spans="2:8">
      <c r="B34" s="541" t="s">
        <v>699</v>
      </c>
      <c r="C34" s="544">
        <f t="shared" si="0"/>
        <v>0</v>
      </c>
      <c r="D34" s="544">
        <f t="shared" si="1"/>
        <v>3</v>
      </c>
      <c r="E34" s="544">
        <f t="shared" si="1"/>
        <v>0</v>
      </c>
      <c r="F34" s="544">
        <f t="shared" si="1"/>
        <v>95.88</v>
      </c>
      <c r="G34" s="544">
        <f t="shared" si="1"/>
        <v>0</v>
      </c>
      <c r="H34" s="544">
        <f t="shared" si="1"/>
        <v>0</v>
      </c>
    </row>
    <row r="35" spans="2:8">
      <c r="B35" s="541" t="s">
        <v>151</v>
      </c>
      <c r="C35" s="544">
        <f t="shared" si="0"/>
        <v>0</v>
      </c>
      <c r="D35" s="544">
        <f t="shared" si="1"/>
        <v>72.930000000000007</v>
      </c>
      <c r="E35" s="544">
        <f t="shared" si="1"/>
        <v>0</v>
      </c>
      <c r="F35" s="544">
        <f t="shared" si="1"/>
        <v>0</v>
      </c>
      <c r="G35" s="544">
        <f t="shared" si="1"/>
        <v>0</v>
      </c>
      <c r="H35" s="544">
        <f t="shared" si="1"/>
        <v>38.28</v>
      </c>
    </row>
    <row r="36" spans="2:8">
      <c r="C36" s="544"/>
      <c r="D36" s="544"/>
      <c r="E36" s="544"/>
      <c r="F36" s="544"/>
      <c r="G36" s="544"/>
      <c r="H36" s="544"/>
    </row>
  </sheetData>
  <mergeCells count="1">
    <mergeCell ref="J28:K28"/>
  </mergeCells>
  <pageMargins left="0.7" right="0.7" top="0.75" bottom="0.75" header="0.3" footer="0.3"/>
  <pageSetup paperSize="9" orientation="portrait"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pageSetUpPr fitToPage="1"/>
  </sheetPr>
  <dimension ref="B4:R127"/>
  <sheetViews>
    <sheetView topLeftCell="A75" zoomScale="90" zoomScaleNormal="90" workbookViewId="0">
      <pane xSplit="4" topLeftCell="E1" activePane="topRight" state="frozen"/>
      <selection activeCell="B69" sqref="B69"/>
      <selection pane="topRight" activeCell="O84" sqref="O84"/>
    </sheetView>
  </sheetViews>
  <sheetFormatPr baseColWidth="10" defaultColWidth="8.83203125" defaultRowHeight="15"/>
  <cols>
    <col min="1" max="1" width="9.1640625" style="32"/>
    <col min="2" max="2" width="6.1640625" style="32" customWidth="1"/>
    <col min="3" max="3" width="27.5" style="32" customWidth="1"/>
    <col min="4" max="4" width="21.83203125" style="32" customWidth="1"/>
    <col min="5" max="5" width="16.1640625" style="32" customWidth="1"/>
    <col min="6" max="6" width="19.1640625" style="32" customWidth="1"/>
    <col min="7" max="7" width="17.5" style="32" customWidth="1"/>
    <col min="8" max="8" width="19.83203125" style="32" customWidth="1"/>
    <col min="9" max="11" width="20.83203125" style="32" customWidth="1"/>
    <col min="12" max="12" width="5" style="32" customWidth="1"/>
    <col min="13" max="14" width="9.1640625" style="32" customWidth="1"/>
    <col min="15" max="15" width="11" style="32" customWidth="1"/>
    <col min="16" max="17" width="9.1640625" style="32" customWidth="1"/>
    <col min="18" max="18" width="10.1640625" style="32" customWidth="1"/>
    <col min="19" max="259" width="9.1640625" style="32"/>
    <col min="260" max="260" width="6.1640625" style="32" customWidth="1"/>
    <col min="261" max="261" width="27.5" style="32" customWidth="1"/>
    <col min="262" max="262" width="21.83203125" style="32" customWidth="1"/>
    <col min="263" max="263" width="16.1640625" style="32" customWidth="1"/>
    <col min="264" max="264" width="19.1640625" style="32" customWidth="1"/>
    <col min="265" max="265" width="17.5" style="32" customWidth="1"/>
    <col min="266" max="266" width="19.83203125" style="32" customWidth="1"/>
    <col min="267" max="267" width="20.83203125" style="32" customWidth="1"/>
    <col min="268" max="515" width="9.1640625" style="32"/>
    <col min="516" max="516" width="6.1640625" style="32" customWidth="1"/>
    <col min="517" max="517" width="27.5" style="32" customWidth="1"/>
    <col min="518" max="518" width="21.83203125" style="32" customWidth="1"/>
    <col min="519" max="519" width="16.1640625" style="32" customWidth="1"/>
    <col min="520" max="520" width="19.1640625" style="32" customWidth="1"/>
    <col min="521" max="521" width="17.5" style="32" customWidth="1"/>
    <col min="522" max="522" width="19.83203125" style="32" customWidth="1"/>
    <col min="523" max="523" width="20.83203125" style="32" customWidth="1"/>
    <col min="524" max="771" width="9.1640625" style="32"/>
    <col min="772" max="772" width="6.1640625" style="32" customWidth="1"/>
    <col min="773" max="773" width="27.5" style="32" customWidth="1"/>
    <col min="774" max="774" width="21.83203125" style="32" customWidth="1"/>
    <col min="775" max="775" width="16.1640625" style="32" customWidth="1"/>
    <col min="776" max="776" width="19.1640625" style="32" customWidth="1"/>
    <col min="777" max="777" width="17.5" style="32" customWidth="1"/>
    <col min="778" max="778" width="19.83203125" style="32" customWidth="1"/>
    <col min="779" max="779" width="20.83203125" style="32" customWidth="1"/>
    <col min="780" max="1027" width="9.1640625" style="32"/>
    <col min="1028" max="1028" width="6.1640625" style="32" customWidth="1"/>
    <col min="1029" max="1029" width="27.5" style="32" customWidth="1"/>
    <col min="1030" max="1030" width="21.83203125" style="32" customWidth="1"/>
    <col min="1031" max="1031" width="16.1640625" style="32" customWidth="1"/>
    <col min="1032" max="1032" width="19.1640625" style="32" customWidth="1"/>
    <col min="1033" max="1033" width="17.5" style="32" customWidth="1"/>
    <col min="1034" max="1034" width="19.83203125" style="32" customWidth="1"/>
    <col min="1035" max="1035" width="20.83203125" style="32" customWidth="1"/>
    <col min="1036" max="1283" width="9.1640625" style="32"/>
    <col min="1284" max="1284" width="6.1640625" style="32" customWidth="1"/>
    <col min="1285" max="1285" width="27.5" style="32" customWidth="1"/>
    <col min="1286" max="1286" width="21.83203125" style="32" customWidth="1"/>
    <col min="1287" max="1287" width="16.1640625" style="32" customWidth="1"/>
    <col min="1288" max="1288" width="19.1640625" style="32" customWidth="1"/>
    <col min="1289" max="1289" width="17.5" style="32" customWidth="1"/>
    <col min="1290" max="1290" width="19.83203125" style="32" customWidth="1"/>
    <col min="1291" max="1291" width="20.83203125" style="32" customWidth="1"/>
    <col min="1292" max="1539" width="9.1640625" style="32"/>
    <col min="1540" max="1540" width="6.1640625" style="32" customWidth="1"/>
    <col min="1541" max="1541" width="27.5" style="32" customWidth="1"/>
    <col min="1542" max="1542" width="21.83203125" style="32" customWidth="1"/>
    <col min="1543" max="1543" width="16.1640625" style="32" customWidth="1"/>
    <col min="1544" max="1544" width="19.1640625" style="32" customWidth="1"/>
    <col min="1545" max="1545" width="17.5" style="32" customWidth="1"/>
    <col min="1546" max="1546" width="19.83203125" style="32" customWidth="1"/>
    <col min="1547" max="1547" width="20.83203125" style="32" customWidth="1"/>
    <col min="1548" max="1795" width="9.1640625" style="32"/>
    <col min="1796" max="1796" width="6.1640625" style="32" customWidth="1"/>
    <col min="1797" max="1797" width="27.5" style="32" customWidth="1"/>
    <col min="1798" max="1798" width="21.83203125" style="32" customWidth="1"/>
    <col min="1799" max="1799" width="16.1640625" style="32" customWidth="1"/>
    <col min="1800" max="1800" width="19.1640625" style="32" customWidth="1"/>
    <col min="1801" max="1801" width="17.5" style="32" customWidth="1"/>
    <col min="1802" max="1802" width="19.83203125" style="32" customWidth="1"/>
    <col min="1803" max="1803" width="20.83203125" style="32" customWidth="1"/>
    <col min="1804" max="2051" width="9.1640625" style="32"/>
    <col min="2052" max="2052" width="6.1640625" style="32" customWidth="1"/>
    <col min="2053" max="2053" width="27.5" style="32" customWidth="1"/>
    <col min="2054" max="2054" width="21.83203125" style="32" customWidth="1"/>
    <col min="2055" max="2055" width="16.1640625" style="32" customWidth="1"/>
    <col min="2056" max="2056" width="19.1640625" style="32" customWidth="1"/>
    <col min="2057" max="2057" width="17.5" style="32" customWidth="1"/>
    <col min="2058" max="2058" width="19.83203125" style="32" customWidth="1"/>
    <col min="2059" max="2059" width="20.83203125" style="32" customWidth="1"/>
    <col min="2060" max="2307" width="9.1640625" style="32"/>
    <col min="2308" max="2308" width="6.1640625" style="32" customWidth="1"/>
    <col min="2309" max="2309" width="27.5" style="32" customWidth="1"/>
    <col min="2310" max="2310" width="21.83203125" style="32" customWidth="1"/>
    <col min="2311" max="2311" width="16.1640625" style="32" customWidth="1"/>
    <col min="2312" max="2312" width="19.1640625" style="32" customWidth="1"/>
    <col min="2313" max="2313" width="17.5" style="32" customWidth="1"/>
    <col min="2314" max="2314" width="19.83203125" style="32" customWidth="1"/>
    <col min="2315" max="2315" width="20.83203125" style="32" customWidth="1"/>
    <col min="2316" max="2563" width="9.1640625" style="32"/>
    <col min="2564" max="2564" width="6.1640625" style="32" customWidth="1"/>
    <col min="2565" max="2565" width="27.5" style="32" customWidth="1"/>
    <col min="2566" max="2566" width="21.83203125" style="32" customWidth="1"/>
    <col min="2567" max="2567" width="16.1640625" style="32" customWidth="1"/>
    <col min="2568" max="2568" width="19.1640625" style="32" customWidth="1"/>
    <col min="2569" max="2569" width="17.5" style="32" customWidth="1"/>
    <col min="2570" max="2570" width="19.83203125" style="32" customWidth="1"/>
    <col min="2571" max="2571" width="20.83203125" style="32" customWidth="1"/>
    <col min="2572" max="2819" width="9.1640625" style="32"/>
    <col min="2820" max="2820" width="6.1640625" style="32" customWidth="1"/>
    <col min="2821" max="2821" width="27.5" style="32" customWidth="1"/>
    <col min="2822" max="2822" width="21.83203125" style="32" customWidth="1"/>
    <col min="2823" max="2823" width="16.1640625" style="32" customWidth="1"/>
    <col min="2824" max="2824" width="19.1640625" style="32" customWidth="1"/>
    <col min="2825" max="2825" width="17.5" style="32" customWidth="1"/>
    <col min="2826" max="2826" width="19.83203125" style="32" customWidth="1"/>
    <col min="2827" max="2827" width="20.83203125" style="32" customWidth="1"/>
    <col min="2828" max="3075" width="9.1640625" style="32"/>
    <col min="3076" max="3076" width="6.1640625" style="32" customWidth="1"/>
    <col min="3077" max="3077" width="27.5" style="32" customWidth="1"/>
    <col min="3078" max="3078" width="21.83203125" style="32" customWidth="1"/>
    <col min="3079" max="3079" width="16.1640625" style="32" customWidth="1"/>
    <col min="3080" max="3080" width="19.1640625" style="32" customWidth="1"/>
    <col min="3081" max="3081" width="17.5" style="32" customWidth="1"/>
    <col min="3082" max="3082" width="19.83203125" style="32" customWidth="1"/>
    <col min="3083" max="3083" width="20.83203125" style="32" customWidth="1"/>
    <col min="3084" max="3331" width="9.1640625" style="32"/>
    <col min="3332" max="3332" width="6.1640625" style="32" customWidth="1"/>
    <col min="3333" max="3333" width="27.5" style="32" customWidth="1"/>
    <col min="3334" max="3334" width="21.83203125" style="32" customWidth="1"/>
    <col min="3335" max="3335" width="16.1640625" style="32" customWidth="1"/>
    <col min="3336" max="3336" width="19.1640625" style="32" customWidth="1"/>
    <col min="3337" max="3337" width="17.5" style="32" customWidth="1"/>
    <col min="3338" max="3338" width="19.83203125" style="32" customWidth="1"/>
    <col min="3339" max="3339" width="20.83203125" style="32" customWidth="1"/>
    <col min="3340" max="3587" width="9.1640625" style="32"/>
    <col min="3588" max="3588" width="6.1640625" style="32" customWidth="1"/>
    <col min="3589" max="3589" width="27.5" style="32" customWidth="1"/>
    <col min="3590" max="3590" width="21.83203125" style="32" customWidth="1"/>
    <col min="3591" max="3591" width="16.1640625" style="32" customWidth="1"/>
    <col min="3592" max="3592" width="19.1640625" style="32" customWidth="1"/>
    <col min="3593" max="3593" width="17.5" style="32" customWidth="1"/>
    <col min="3594" max="3594" width="19.83203125" style="32" customWidth="1"/>
    <col min="3595" max="3595" width="20.83203125" style="32" customWidth="1"/>
    <col min="3596" max="3843" width="9.1640625" style="32"/>
    <col min="3844" max="3844" width="6.1640625" style="32" customWidth="1"/>
    <col min="3845" max="3845" width="27.5" style="32" customWidth="1"/>
    <col min="3846" max="3846" width="21.83203125" style="32" customWidth="1"/>
    <col min="3847" max="3847" width="16.1640625" style="32" customWidth="1"/>
    <col min="3848" max="3848" width="19.1640625" style="32" customWidth="1"/>
    <col min="3849" max="3849" width="17.5" style="32" customWidth="1"/>
    <col min="3850" max="3850" width="19.83203125" style="32" customWidth="1"/>
    <col min="3851" max="3851" width="20.83203125" style="32" customWidth="1"/>
    <col min="3852" max="4099" width="9.1640625" style="32"/>
    <col min="4100" max="4100" width="6.1640625" style="32" customWidth="1"/>
    <col min="4101" max="4101" width="27.5" style="32" customWidth="1"/>
    <col min="4102" max="4102" width="21.83203125" style="32" customWidth="1"/>
    <col min="4103" max="4103" width="16.1640625" style="32" customWidth="1"/>
    <col min="4104" max="4104" width="19.1640625" style="32" customWidth="1"/>
    <col min="4105" max="4105" width="17.5" style="32" customWidth="1"/>
    <col min="4106" max="4106" width="19.83203125" style="32" customWidth="1"/>
    <col min="4107" max="4107" width="20.83203125" style="32" customWidth="1"/>
    <col min="4108" max="4355" width="9.1640625" style="32"/>
    <col min="4356" max="4356" width="6.1640625" style="32" customWidth="1"/>
    <col min="4357" max="4357" width="27.5" style="32" customWidth="1"/>
    <col min="4358" max="4358" width="21.83203125" style="32" customWidth="1"/>
    <col min="4359" max="4359" width="16.1640625" style="32" customWidth="1"/>
    <col min="4360" max="4360" width="19.1640625" style="32" customWidth="1"/>
    <col min="4361" max="4361" width="17.5" style="32" customWidth="1"/>
    <col min="4362" max="4362" width="19.83203125" style="32" customWidth="1"/>
    <col min="4363" max="4363" width="20.83203125" style="32" customWidth="1"/>
    <col min="4364" max="4611" width="9.1640625" style="32"/>
    <col min="4612" max="4612" width="6.1640625" style="32" customWidth="1"/>
    <col min="4613" max="4613" width="27.5" style="32" customWidth="1"/>
    <col min="4614" max="4614" width="21.83203125" style="32" customWidth="1"/>
    <col min="4615" max="4615" width="16.1640625" style="32" customWidth="1"/>
    <col min="4616" max="4616" width="19.1640625" style="32" customWidth="1"/>
    <col min="4617" max="4617" width="17.5" style="32" customWidth="1"/>
    <col min="4618" max="4618" width="19.83203125" style="32" customWidth="1"/>
    <col min="4619" max="4619" width="20.83203125" style="32" customWidth="1"/>
    <col min="4620" max="4867" width="9.1640625" style="32"/>
    <col min="4868" max="4868" width="6.1640625" style="32" customWidth="1"/>
    <col min="4869" max="4869" width="27.5" style="32" customWidth="1"/>
    <col min="4870" max="4870" width="21.83203125" style="32" customWidth="1"/>
    <col min="4871" max="4871" width="16.1640625" style="32" customWidth="1"/>
    <col min="4872" max="4872" width="19.1640625" style="32" customWidth="1"/>
    <col min="4873" max="4873" width="17.5" style="32" customWidth="1"/>
    <col min="4874" max="4874" width="19.83203125" style="32" customWidth="1"/>
    <col min="4875" max="4875" width="20.83203125" style="32" customWidth="1"/>
    <col min="4876" max="5123" width="9.1640625" style="32"/>
    <col min="5124" max="5124" width="6.1640625" style="32" customWidth="1"/>
    <col min="5125" max="5125" width="27.5" style="32" customWidth="1"/>
    <col min="5126" max="5126" width="21.83203125" style="32" customWidth="1"/>
    <col min="5127" max="5127" width="16.1640625" style="32" customWidth="1"/>
    <col min="5128" max="5128" width="19.1640625" style="32" customWidth="1"/>
    <col min="5129" max="5129" width="17.5" style="32" customWidth="1"/>
    <col min="5130" max="5130" width="19.83203125" style="32" customWidth="1"/>
    <col min="5131" max="5131" width="20.83203125" style="32" customWidth="1"/>
    <col min="5132" max="5379" width="9.1640625" style="32"/>
    <col min="5380" max="5380" width="6.1640625" style="32" customWidth="1"/>
    <col min="5381" max="5381" width="27.5" style="32" customWidth="1"/>
    <col min="5382" max="5382" width="21.83203125" style="32" customWidth="1"/>
    <col min="5383" max="5383" width="16.1640625" style="32" customWidth="1"/>
    <col min="5384" max="5384" width="19.1640625" style="32" customWidth="1"/>
    <col min="5385" max="5385" width="17.5" style="32" customWidth="1"/>
    <col min="5386" max="5386" width="19.83203125" style="32" customWidth="1"/>
    <col min="5387" max="5387" width="20.83203125" style="32" customWidth="1"/>
    <col min="5388" max="5635" width="9.1640625" style="32"/>
    <col min="5636" max="5636" width="6.1640625" style="32" customWidth="1"/>
    <col min="5637" max="5637" width="27.5" style="32" customWidth="1"/>
    <col min="5638" max="5638" width="21.83203125" style="32" customWidth="1"/>
    <col min="5639" max="5639" width="16.1640625" style="32" customWidth="1"/>
    <col min="5640" max="5640" width="19.1640625" style="32" customWidth="1"/>
    <col min="5641" max="5641" width="17.5" style="32" customWidth="1"/>
    <col min="5642" max="5642" width="19.83203125" style="32" customWidth="1"/>
    <col min="5643" max="5643" width="20.83203125" style="32" customWidth="1"/>
    <col min="5644" max="5891" width="9.1640625" style="32"/>
    <col min="5892" max="5892" width="6.1640625" style="32" customWidth="1"/>
    <col min="5893" max="5893" width="27.5" style="32" customWidth="1"/>
    <col min="5894" max="5894" width="21.83203125" style="32" customWidth="1"/>
    <col min="5895" max="5895" width="16.1640625" style="32" customWidth="1"/>
    <col min="5896" max="5896" width="19.1640625" style="32" customWidth="1"/>
    <col min="5897" max="5897" width="17.5" style="32" customWidth="1"/>
    <col min="5898" max="5898" width="19.83203125" style="32" customWidth="1"/>
    <col min="5899" max="5899" width="20.83203125" style="32" customWidth="1"/>
    <col min="5900" max="6147" width="9.1640625" style="32"/>
    <col min="6148" max="6148" width="6.1640625" style="32" customWidth="1"/>
    <col min="6149" max="6149" width="27.5" style="32" customWidth="1"/>
    <col min="6150" max="6150" width="21.83203125" style="32" customWidth="1"/>
    <col min="6151" max="6151" width="16.1640625" style="32" customWidth="1"/>
    <col min="6152" max="6152" width="19.1640625" style="32" customWidth="1"/>
    <col min="6153" max="6153" width="17.5" style="32" customWidth="1"/>
    <col min="6154" max="6154" width="19.83203125" style="32" customWidth="1"/>
    <col min="6155" max="6155" width="20.83203125" style="32" customWidth="1"/>
    <col min="6156" max="6403" width="9.1640625" style="32"/>
    <col min="6404" max="6404" width="6.1640625" style="32" customWidth="1"/>
    <col min="6405" max="6405" width="27.5" style="32" customWidth="1"/>
    <col min="6406" max="6406" width="21.83203125" style="32" customWidth="1"/>
    <col min="6407" max="6407" width="16.1640625" style="32" customWidth="1"/>
    <col min="6408" max="6408" width="19.1640625" style="32" customWidth="1"/>
    <col min="6409" max="6409" width="17.5" style="32" customWidth="1"/>
    <col min="6410" max="6410" width="19.83203125" style="32" customWidth="1"/>
    <col min="6411" max="6411" width="20.83203125" style="32" customWidth="1"/>
    <col min="6412" max="6659" width="9.1640625" style="32"/>
    <col min="6660" max="6660" width="6.1640625" style="32" customWidth="1"/>
    <col min="6661" max="6661" width="27.5" style="32" customWidth="1"/>
    <col min="6662" max="6662" width="21.83203125" style="32" customWidth="1"/>
    <col min="6663" max="6663" width="16.1640625" style="32" customWidth="1"/>
    <col min="6664" max="6664" width="19.1640625" style="32" customWidth="1"/>
    <col min="6665" max="6665" width="17.5" style="32" customWidth="1"/>
    <col min="6666" max="6666" width="19.83203125" style="32" customWidth="1"/>
    <col min="6667" max="6667" width="20.83203125" style="32" customWidth="1"/>
    <col min="6668" max="6915" width="9.1640625" style="32"/>
    <col min="6916" max="6916" width="6.1640625" style="32" customWidth="1"/>
    <col min="6917" max="6917" width="27.5" style="32" customWidth="1"/>
    <col min="6918" max="6918" width="21.83203125" style="32" customWidth="1"/>
    <col min="6919" max="6919" width="16.1640625" style="32" customWidth="1"/>
    <col min="6920" max="6920" width="19.1640625" style="32" customWidth="1"/>
    <col min="6921" max="6921" width="17.5" style="32" customWidth="1"/>
    <col min="6922" max="6922" width="19.83203125" style="32" customWidth="1"/>
    <col min="6923" max="6923" width="20.83203125" style="32" customWidth="1"/>
    <col min="6924" max="7171" width="9.1640625" style="32"/>
    <col min="7172" max="7172" width="6.1640625" style="32" customWidth="1"/>
    <col min="7173" max="7173" width="27.5" style="32" customWidth="1"/>
    <col min="7174" max="7174" width="21.83203125" style="32" customWidth="1"/>
    <col min="7175" max="7175" width="16.1640625" style="32" customWidth="1"/>
    <col min="7176" max="7176" width="19.1640625" style="32" customWidth="1"/>
    <col min="7177" max="7177" width="17.5" style="32" customWidth="1"/>
    <col min="7178" max="7178" width="19.83203125" style="32" customWidth="1"/>
    <col min="7179" max="7179" width="20.83203125" style="32" customWidth="1"/>
    <col min="7180" max="7427" width="9.1640625" style="32"/>
    <col min="7428" max="7428" width="6.1640625" style="32" customWidth="1"/>
    <col min="7429" max="7429" width="27.5" style="32" customWidth="1"/>
    <col min="7430" max="7430" width="21.83203125" style="32" customWidth="1"/>
    <col min="7431" max="7431" width="16.1640625" style="32" customWidth="1"/>
    <col min="7432" max="7432" width="19.1640625" style="32" customWidth="1"/>
    <col min="7433" max="7433" width="17.5" style="32" customWidth="1"/>
    <col min="7434" max="7434" width="19.83203125" style="32" customWidth="1"/>
    <col min="7435" max="7435" width="20.83203125" style="32" customWidth="1"/>
    <col min="7436" max="7683" width="9.1640625" style="32"/>
    <col min="7684" max="7684" width="6.1640625" style="32" customWidth="1"/>
    <col min="7685" max="7685" width="27.5" style="32" customWidth="1"/>
    <col min="7686" max="7686" width="21.83203125" style="32" customWidth="1"/>
    <col min="7687" max="7687" width="16.1640625" style="32" customWidth="1"/>
    <col min="7688" max="7688" width="19.1640625" style="32" customWidth="1"/>
    <col min="7689" max="7689" width="17.5" style="32" customWidth="1"/>
    <col min="7690" max="7690" width="19.83203125" style="32" customWidth="1"/>
    <col min="7691" max="7691" width="20.83203125" style="32" customWidth="1"/>
    <col min="7692" max="7939" width="9.1640625" style="32"/>
    <col min="7940" max="7940" width="6.1640625" style="32" customWidth="1"/>
    <col min="7941" max="7941" width="27.5" style="32" customWidth="1"/>
    <col min="7942" max="7942" width="21.83203125" style="32" customWidth="1"/>
    <col min="7943" max="7943" width="16.1640625" style="32" customWidth="1"/>
    <col min="7944" max="7944" width="19.1640625" style="32" customWidth="1"/>
    <col min="7945" max="7945" width="17.5" style="32" customWidth="1"/>
    <col min="7946" max="7946" width="19.83203125" style="32" customWidth="1"/>
    <col min="7947" max="7947" width="20.83203125" style="32" customWidth="1"/>
    <col min="7948" max="8195" width="9.1640625" style="32"/>
    <col min="8196" max="8196" width="6.1640625" style="32" customWidth="1"/>
    <col min="8197" max="8197" width="27.5" style="32" customWidth="1"/>
    <col min="8198" max="8198" width="21.83203125" style="32" customWidth="1"/>
    <col min="8199" max="8199" width="16.1640625" style="32" customWidth="1"/>
    <col min="8200" max="8200" width="19.1640625" style="32" customWidth="1"/>
    <col min="8201" max="8201" width="17.5" style="32" customWidth="1"/>
    <col min="8202" max="8202" width="19.83203125" style="32" customWidth="1"/>
    <col min="8203" max="8203" width="20.83203125" style="32" customWidth="1"/>
    <col min="8204" max="8451" width="9.1640625" style="32"/>
    <col min="8452" max="8452" width="6.1640625" style="32" customWidth="1"/>
    <col min="8453" max="8453" width="27.5" style="32" customWidth="1"/>
    <col min="8454" max="8454" width="21.83203125" style="32" customWidth="1"/>
    <col min="8455" max="8455" width="16.1640625" style="32" customWidth="1"/>
    <col min="8456" max="8456" width="19.1640625" style="32" customWidth="1"/>
    <col min="8457" max="8457" width="17.5" style="32" customWidth="1"/>
    <col min="8458" max="8458" width="19.83203125" style="32" customWidth="1"/>
    <col min="8459" max="8459" width="20.83203125" style="32" customWidth="1"/>
    <col min="8460" max="8707" width="9.1640625" style="32"/>
    <col min="8708" max="8708" width="6.1640625" style="32" customWidth="1"/>
    <col min="8709" max="8709" width="27.5" style="32" customWidth="1"/>
    <col min="8710" max="8710" width="21.83203125" style="32" customWidth="1"/>
    <col min="8711" max="8711" width="16.1640625" style="32" customWidth="1"/>
    <col min="8712" max="8712" width="19.1640625" style="32" customWidth="1"/>
    <col min="8713" max="8713" width="17.5" style="32" customWidth="1"/>
    <col min="8714" max="8714" width="19.83203125" style="32" customWidth="1"/>
    <col min="8715" max="8715" width="20.83203125" style="32" customWidth="1"/>
    <col min="8716" max="8963" width="9.1640625" style="32"/>
    <col min="8964" max="8964" width="6.1640625" style="32" customWidth="1"/>
    <col min="8965" max="8965" width="27.5" style="32" customWidth="1"/>
    <col min="8966" max="8966" width="21.83203125" style="32" customWidth="1"/>
    <col min="8967" max="8967" width="16.1640625" style="32" customWidth="1"/>
    <col min="8968" max="8968" width="19.1640625" style="32" customWidth="1"/>
    <col min="8969" max="8969" width="17.5" style="32" customWidth="1"/>
    <col min="8970" max="8970" width="19.83203125" style="32" customWidth="1"/>
    <col min="8971" max="8971" width="20.83203125" style="32" customWidth="1"/>
    <col min="8972" max="9219" width="9.1640625" style="32"/>
    <col min="9220" max="9220" width="6.1640625" style="32" customWidth="1"/>
    <col min="9221" max="9221" width="27.5" style="32" customWidth="1"/>
    <col min="9222" max="9222" width="21.83203125" style="32" customWidth="1"/>
    <col min="9223" max="9223" width="16.1640625" style="32" customWidth="1"/>
    <col min="9224" max="9224" width="19.1640625" style="32" customWidth="1"/>
    <col min="9225" max="9225" width="17.5" style="32" customWidth="1"/>
    <col min="9226" max="9226" width="19.83203125" style="32" customWidth="1"/>
    <col min="9227" max="9227" width="20.83203125" style="32" customWidth="1"/>
    <col min="9228" max="9475" width="9.1640625" style="32"/>
    <col min="9476" max="9476" width="6.1640625" style="32" customWidth="1"/>
    <col min="9477" max="9477" width="27.5" style="32" customWidth="1"/>
    <col min="9478" max="9478" width="21.83203125" style="32" customWidth="1"/>
    <col min="9479" max="9479" width="16.1640625" style="32" customWidth="1"/>
    <col min="9480" max="9480" width="19.1640625" style="32" customWidth="1"/>
    <col min="9481" max="9481" width="17.5" style="32" customWidth="1"/>
    <col min="9482" max="9482" width="19.83203125" style="32" customWidth="1"/>
    <col min="9483" max="9483" width="20.83203125" style="32" customWidth="1"/>
    <col min="9484" max="9731" width="9.1640625" style="32"/>
    <col min="9732" max="9732" width="6.1640625" style="32" customWidth="1"/>
    <col min="9733" max="9733" width="27.5" style="32" customWidth="1"/>
    <col min="9734" max="9734" width="21.83203125" style="32" customWidth="1"/>
    <col min="9735" max="9735" width="16.1640625" style="32" customWidth="1"/>
    <col min="9736" max="9736" width="19.1640625" style="32" customWidth="1"/>
    <col min="9737" max="9737" width="17.5" style="32" customWidth="1"/>
    <col min="9738" max="9738" width="19.83203125" style="32" customWidth="1"/>
    <col min="9739" max="9739" width="20.83203125" style="32" customWidth="1"/>
    <col min="9740" max="9987" width="9.1640625" style="32"/>
    <col min="9988" max="9988" width="6.1640625" style="32" customWidth="1"/>
    <col min="9989" max="9989" width="27.5" style="32" customWidth="1"/>
    <col min="9990" max="9990" width="21.83203125" style="32" customWidth="1"/>
    <col min="9991" max="9991" width="16.1640625" style="32" customWidth="1"/>
    <col min="9992" max="9992" width="19.1640625" style="32" customWidth="1"/>
    <col min="9993" max="9993" width="17.5" style="32" customWidth="1"/>
    <col min="9994" max="9994" width="19.83203125" style="32" customWidth="1"/>
    <col min="9995" max="9995" width="20.83203125" style="32" customWidth="1"/>
    <col min="9996" max="10243" width="9.1640625" style="32"/>
    <col min="10244" max="10244" width="6.1640625" style="32" customWidth="1"/>
    <col min="10245" max="10245" width="27.5" style="32" customWidth="1"/>
    <col min="10246" max="10246" width="21.83203125" style="32" customWidth="1"/>
    <col min="10247" max="10247" width="16.1640625" style="32" customWidth="1"/>
    <col min="10248" max="10248" width="19.1640625" style="32" customWidth="1"/>
    <col min="10249" max="10249" width="17.5" style="32" customWidth="1"/>
    <col min="10250" max="10250" width="19.83203125" style="32" customWidth="1"/>
    <col min="10251" max="10251" width="20.83203125" style="32" customWidth="1"/>
    <col min="10252" max="10499" width="9.1640625" style="32"/>
    <col min="10500" max="10500" width="6.1640625" style="32" customWidth="1"/>
    <col min="10501" max="10501" width="27.5" style="32" customWidth="1"/>
    <col min="10502" max="10502" width="21.83203125" style="32" customWidth="1"/>
    <col min="10503" max="10503" width="16.1640625" style="32" customWidth="1"/>
    <col min="10504" max="10504" width="19.1640625" style="32" customWidth="1"/>
    <col min="10505" max="10505" width="17.5" style="32" customWidth="1"/>
    <col min="10506" max="10506" width="19.83203125" style="32" customWidth="1"/>
    <col min="10507" max="10507" width="20.83203125" style="32" customWidth="1"/>
    <col min="10508" max="10755" width="9.1640625" style="32"/>
    <col min="10756" max="10756" width="6.1640625" style="32" customWidth="1"/>
    <col min="10757" max="10757" width="27.5" style="32" customWidth="1"/>
    <col min="10758" max="10758" width="21.83203125" style="32" customWidth="1"/>
    <col min="10759" max="10759" width="16.1640625" style="32" customWidth="1"/>
    <col min="10760" max="10760" width="19.1640625" style="32" customWidth="1"/>
    <col min="10761" max="10761" width="17.5" style="32" customWidth="1"/>
    <col min="10762" max="10762" width="19.83203125" style="32" customWidth="1"/>
    <col min="10763" max="10763" width="20.83203125" style="32" customWidth="1"/>
    <col min="10764" max="11011" width="9.1640625" style="32"/>
    <col min="11012" max="11012" width="6.1640625" style="32" customWidth="1"/>
    <col min="11013" max="11013" width="27.5" style="32" customWidth="1"/>
    <col min="11014" max="11014" width="21.83203125" style="32" customWidth="1"/>
    <col min="11015" max="11015" width="16.1640625" style="32" customWidth="1"/>
    <col min="11016" max="11016" width="19.1640625" style="32" customWidth="1"/>
    <col min="11017" max="11017" width="17.5" style="32" customWidth="1"/>
    <col min="11018" max="11018" width="19.83203125" style="32" customWidth="1"/>
    <col min="11019" max="11019" width="20.83203125" style="32" customWidth="1"/>
    <col min="11020" max="11267" width="9.1640625" style="32"/>
    <col min="11268" max="11268" width="6.1640625" style="32" customWidth="1"/>
    <col min="11269" max="11269" width="27.5" style="32" customWidth="1"/>
    <col min="11270" max="11270" width="21.83203125" style="32" customWidth="1"/>
    <col min="11271" max="11271" width="16.1640625" style="32" customWidth="1"/>
    <col min="11272" max="11272" width="19.1640625" style="32" customWidth="1"/>
    <col min="11273" max="11273" width="17.5" style="32" customWidth="1"/>
    <col min="11274" max="11274" width="19.83203125" style="32" customWidth="1"/>
    <col min="11275" max="11275" width="20.83203125" style="32" customWidth="1"/>
    <col min="11276" max="11523" width="9.1640625" style="32"/>
    <col min="11524" max="11524" width="6.1640625" style="32" customWidth="1"/>
    <col min="11525" max="11525" width="27.5" style="32" customWidth="1"/>
    <col min="11526" max="11526" width="21.83203125" style="32" customWidth="1"/>
    <col min="11527" max="11527" width="16.1640625" style="32" customWidth="1"/>
    <col min="11528" max="11528" width="19.1640625" style="32" customWidth="1"/>
    <col min="11529" max="11529" width="17.5" style="32" customWidth="1"/>
    <col min="11530" max="11530" width="19.83203125" style="32" customWidth="1"/>
    <col min="11531" max="11531" width="20.83203125" style="32" customWidth="1"/>
    <col min="11532" max="11779" width="9.1640625" style="32"/>
    <col min="11780" max="11780" width="6.1640625" style="32" customWidth="1"/>
    <col min="11781" max="11781" width="27.5" style="32" customWidth="1"/>
    <col min="11782" max="11782" width="21.83203125" style="32" customWidth="1"/>
    <col min="11783" max="11783" width="16.1640625" style="32" customWidth="1"/>
    <col min="11784" max="11784" width="19.1640625" style="32" customWidth="1"/>
    <col min="11785" max="11785" width="17.5" style="32" customWidth="1"/>
    <col min="11786" max="11786" width="19.83203125" style="32" customWidth="1"/>
    <col min="11787" max="11787" width="20.83203125" style="32" customWidth="1"/>
    <col min="11788" max="12035" width="9.1640625" style="32"/>
    <col min="12036" max="12036" width="6.1640625" style="32" customWidth="1"/>
    <col min="12037" max="12037" width="27.5" style="32" customWidth="1"/>
    <col min="12038" max="12038" width="21.83203125" style="32" customWidth="1"/>
    <col min="12039" max="12039" width="16.1640625" style="32" customWidth="1"/>
    <col min="12040" max="12040" width="19.1640625" style="32" customWidth="1"/>
    <col min="12041" max="12041" width="17.5" style="32" customWidth="1"/>
    <col min="12042" max="12042" width="19.83203125" style="32" customWidth="1"/>
    <col min="12043" max="12043" width="20.83203125" style="32" customWidth="1"/>
    <col min="12044" max="12291" width="9.1640625" style="32"/>
    <col min="12292" max="12292" width="6.1640625" style="32" customWidth="1"/>
    <col min="12293" max="12293" width="27.5" style="32" customWidth="1"/>
    <col min="12294" max="12294" width="21.83203125" style="32" customWidth="1"/>
    <col min="12295" max="12295" width="16.1640625" style="32" customWidth="1"/>
    <col min="12296" max="12296" width="19.1640625" style="32" customWidth="1"/>
    <col min="12297" max="12297" width="17.5" style="32" customWidth="1"/>
    <col min="12298" max="12298" width="19.83203125" style="32" customWidth="1"/>
    <col min="12299" max="12299" width="20.83203125" style="32" customWidth="1"/>
    <col min="12300" max="12547" width="9.1640625" style="32"/>
    <col min="12548" max="12548" width="6.1640625" style="32" customWidth="1"/>
    <col min="12549" max="12549" width="27.5" style="32" customWidth="1"/>
    <col min="12550" max="12550" width="21.83203125" style="32" customWidth="1"/>
    <col min="12551" max="12551" width="16.1640625" style="32" customWidth="1"/>
    <col min="12552" max="12552" width="19.1640625" style="32" customWidth="1"/>
    <col min="12553" max="12553" width="17.5" style="32" customWidth="1"/>
    <col min="12554" max="12554" width="19.83203125" style="32" customWidth="1"/>
    <col min="12555" max="12555" width="20.83203125" style="32" customWidth="1"/>
    <col min="12556" max="12803" width="9.1640625" style="32"/>
    <col min="12804" max="12804" width="6.1640625" style="32" customWidth="1"/>
    <col min="12805" max="12805" width="27.5" style="32" customWidth="1"/>
    <col min="12806" max="12806" width="21.83203125" style="32" customWidth="1"/>
    <col min="12807" max="12807" width="16.1640625" style="32" customWidth="1"/>
    <col min="12808" max="12808" width="19.1640625" style="32" customWidth="1"/>
    <col min="12809" max="12809" width="17.5" style="32" customWidth="1"/>
    <col min="12810" max="12810" width="19.83203125" style="32" customWidth="1"/>
    <col min="12811" max="12811" width="20.83203125" style="32" customWidth="1"/>
    <col min="12812" max="13059" width="9.1640625" style="32"/>
    <col min="13060" max="13060" width="6.1640625" style="32" customWidth="1"/>
    <col min="13061" max="13061" width="27.5" style="32" customWidth="1"/>
    <col min="13062" max="13062" width="21.83203125" style="32" customWidth="1"/>
    <col min="13063" max="13063" width="16.1640625" style="32" customWidth="1"/>
    <col min="13064" max="13064" width="19.1640625" style="32" customWidth="1"/>
    <col min="13065" max="13065" width="17.5" style="32" customWidth="1"/>
    <col min="13066" max="13066" width="19.83203125" style="32" customWidth="1"/>
    <col min="13067" max="13067" width="20.83203125" style="32" customWidth="1"/>
    <col min="13068" max="13315" width="9.1640625" style="32"/>
    <col min="13316" max="13316" width="6.1640625" style="32" customWidth="1"/>
    <col min="13317" max="13317" width="27.5" style="32" customWidth="1"/>
    <col min="13318" max="13318" width="21.83203125" style="32" customWidth="1"/>
    <col min="13319" max="13319" width="16.1640625" style="32" customWidth="1"/>
    <col min="13320" max="13320" width="19.1640625" style="32" customWidth="1"/>
    <col min="13321" max="13321" width="17.5" style="32" customWidth="1"/>
    <col min="13322" max="13322" width="19.83203125" style="32" customWidth="1"/>
    <col min="13323" max="13323" width="20.83203125" style="32" customWidth="1"/>
    <col min="13324" max="13571" width="9.1640625" style="32"/>
    <col min="13572" max="13572" width="6.1640625" style="32" customWidth="1"/>
    <col min="13573" max="13573" width="27.5" style="32" customWidth="1"/>
    <col min="13574" max="13574" width="21.83203125" style="32" customWidth="1"/>
    <col min="13575" max="13575" width="16.1640625" style="32" customWidth="1"/>
    <col min="13576" max="13576" width="19.1640625" style="32" customWidth="1"/>
    <col min="13577" max="13577" width="17.5" style="32" customWidth="1"/>
    <col min="13578" max="13578" width="19.83203125" style="32" customWidth="1"/>
    <col min="13579" max="13579" width="20.83203125" style="32" customWidth="1"/>
    <col min="13580" max="13827" width="9.1640625" style="32"/>
    <col min="13828" max="13828" width="6.1640625" style="32" customWidth="1"/>
    <col min="13829" max="13829" width="27.5" style="32" customWidth="1"/>
    <col min="13830" max="13830" width="21.83203125" style="32" customWidth="1"/>
    <col min="13831" max="13831" width="16.1640625" style="32" customWidth="1"/>
    <col min="13832" max="13832" width="19.1640625" style="32" customWidth="1"/>
    <col min="13833" max="13833" width="17.5" style="32" customWidth="1"/>
    <col min="13834" max="13834" width="19.83203125" style="32" customWidth="1"/>
    <col min="13835" max="13835" width="20.83203125" style="32" customWidth="1"/>
    <col min="13836" max="14083" width="9.1640625" style="32"/>
    <col min="14084" max="14084" width="6.1640625" style="32" customWidth="1"/>
    <col min="14085" max="14085" width="27.5" style="32" customWidth="1"/>
    <col min="14086" max="14086" width="21.83203125" style="32" customWidth="1"/>
    <col min="14087" max="14087" width="16.1640625" style="32" customWidth="1"/>
    <col min="14088" max="14088" width="19.1640625" style="32" customWidth="1"/>
    <col min="14089" max="14089" width="17.5" style="32" customWidth="1"/>
    <col min="14090" max="14090" width="19.83203125" style="32" customWidth="1"/>
    <col min="14091" max="14091" width="20.83203125" style="32" customWidth="1"/>
    <col min="14092" max="14339" width="9.1640625" style="32"/>
    <col min="14340" max="14340" width="6.1640625" style="32" customWidth="1"/>
    <col min="14341" max="14341" width="27.5" style="32" customWidth="1"/>
    <col min="14342" max="14342" width="21.83203125" style="32" customWidth="1"/>
    <col min="14343" max="14343" width="16.1640625" style="32" customWidth="1"/>
    <col min="14344" max="14344" width="19.1640625" style="32" customWidth="1"/>
    <col min="14345" max="14345" width="17.5" style="32" customWidth="1"/>
    <col min="14346" max="14346" width="19.83203125" style="32" customWidth="1"/>
    <col min="14347" max="14347" width="20.83203125" style="32" customWidth="1"/>
    <col min="14348" max="14595" width="9.1640625" style="32"/>
    <col min="14596" max="14596" width="6.1640625" style="32" customWidth="1"/>
    <col min="14597" max="14597" width="27.5" style="32" customWidth="1"/>
    <col min="14598" max="14598" width="21.83203125" style="32" customWidth="1"/>
    <col min="14599" max="14599" width="16.1640625" style="32" customWidth="1"/>
    <col min="14600" max="14600" width="19.1640625" style="32" customWidth="1"/>
    <col min="14601" max="14601" width="17.5" style="32" customWidth="1"/>
    <col min="14602" max="14602" width="19.83203125" style="32" customWidth="1"/>
    <col min="14603" max="14603" width="20.83203125" style="32" customWidth="1"/>
    <col min="14604" max="14851" width="9.1640625" style="32"/>
    <col min="14852" max="14852" width="6.1640625" style="32" customWidth="1"/>
    <col min="14853" max="14853" width="27.5" style="32" customWidth="1"/>
    <col min="14854" max="14854" width="21.83203125" style="32" customWidth="1"/>
    <col min="14855" max="14855" width="16.1640625" style="32" customWidth="1"/>
    <col min="14856" max="14856" width="19.1640625" style="32" customWidth="1"/>
    <col min="14857" max="14857" width="17.5" style="32" customWidth="1"/>
    <col min="14858" max="14858" width="19.83203125" style="32" customWidth="1"/>
    <col min="14859" max="14859" width="20.83203125" style="32" customWidth="1"/>
    <col min="14860" max="15107" width="9.1640625" style="32"/>
    <col min="15108" max="15108" width="6.1640625" style="32" customWidth="1"/>
    <col min="15109" max="15109" width="27.5" style="32" customWidth="1"/>
    <col min="15110" max="15110" width="21.83203125" style="32" customWidth="1"/>
    <col min="15111" max="15111" width="16.1640625" style="32" customWidth="1"/>
    <col min="15112" max="15112" width="19.1640625" style="32" customWidth="1"/>
    <col min="15113" max="15113" width="17.5" style="32" customWidth="1"/>
    <col min="15114" max="15114" width="19.83203125" style="32" customWidth="1"/>
    <col min="15115" max="15115" width="20.83203125" style="32" customWidth="1"/>
    <col min="15116" max="15363" width="9.1640625" style="32"/>
    <col min="15364" max="15364" width="6.1640625" style="32" customWidth="1"/>
    <col min="15365" max="15365" width="27.5" style="32" customWidth="1"/>
    <col min="15366" max="15366" width="21.83203125" style="32" customWidth="1"/>
    <col min="15367" max="15367" width="16.1640625" style="32" customWidth="1"/>
    <col min="15368" max="15368" width="19.1640625" style="32" customWidth="1"/>
    <col min="15369" max="15369" width="17.5" style="32" customWidth="1"/>
    <col min="15370" max="15370" width="19.83203125" style="32" customWidth="1"/>
    <col min="15371" max="15371" width="20.83203125" style="32" customWidth="1"/>
    <col min="15372" max="15619" width="9.1640625" style="32"/>
    <col min="15620" max="15620" width="6.1640625" style="32" customWidth="1"/>
    <col min="15621" max="15621" width="27.5" style="32" customWidth="1"/>
    <col min="15622" max="15622" width="21.83203125" style="32" customWidth="1"/>
    <col min="15623" max="15623" width="16.1640625" style="32" customWidth="1"/>
    <col min="15624" max="15624" width="19.1640625" style="32" customWidth="1"/>
    <col min="15625" max="15625" width="17.5" style="32" customWidth="1"/>
    <col min="15626" max="15626" width="19.83203125" style="32" customWidth="1"/>
    <col min="15627" max="15627" width="20.83203125" style="32" customWidth="1"/>
    <col min="15628" max="15875" width="9.1640625" style="32"/>
    <col min="15876" max="15876" width="6.1640625" style="32" customWidth="1"/>
    <col min="15877" max="15877" width="27.5" style="32" customWidth="1"/>
    <col min="15878" max="15878" width="21.83203125" style="32" customWidth="1"/>
    <col min="15879" max="15879" width="16.1640625" style="32" customWidth="1"/>
    <col min="15880" max="15880" width="19.1640625" style="32" customWidth="1"/>
    <col min="15881" max="15881" width="17.5" style="32" customWidth="1"/>
    <col min="15882" max="15882" width="19.83203125" style="32" customWidth="1"/>
    <col min="15883" max="15883" width="20.83203125" style="32" customWidth="1"/>
    <col min="15884" max="16131" width="9.1640625" style="32"/>
    <col min="16132" max="16132" width="6.1640625" style="32" customWidth="1"/>
    <col min="16133" max="16133" width="27.5" style="32" customWidth="1"/>
    <col min="16134" max="16134" width="21.83203125" style="32" customWidth="1"/>
    <col min="16135" max="16135" width="16.1640625" style="32" customWidth="1"/>
    <col min="16136" max="16136" width="19.1640625" style="32" customWidth="1"/>
    <col min="16137" max="16137" width="17.5" style="32" customWidth="1"/>
    <col min="16138" max="16138" width="19.83203125" style="32" customWidth="1"/>
    <col min="16139" max="16139" width="20.83203125" style="32" customWidth="1"/>
    <col min="16140" max="16384" width="9.1640625" style="32"/>
  </cols>
  <sheetData>
    <row r="4" spans="2:18">
      <c r="C4" s="167" t="s">
        <v>322</v>
      </c>
    </row>
    <row r="6" spans="2:18">
      <c r="B6" s="166"/>
      <c r="C6" s="166"/>
      <c r="D6" s="166"/>
      <c r="E6" s="106"/>
      <c r="F6" s="106"/>
      <c r="G6" s="106"/>
      <c r="H6" s="106"/>
      <c r="I6" s="106" t="s">
        <v>321</v>
      </c>
      <c r="J6" s="106"/>
      <c r="K6" s="106"/>
    </row>
    <row r="7" spans="2:18">
      <c r="B7" s="164"/>
      <c r="C7" s="164"/>
      <c r="D7" s="164"/>
      <c r="E7" s="164"/>
      <c r="F7" s="164"/>
      <c r="G7" s="164"/>
      <c r="H7" s="164"/>
      <c r="I7" s="164"/>
      <c r="J7" s="106"/>
      <c r="K7" s="106"/>
    </row>
    <row r="8" spans="2:18" ht="16" thickBot="1">
      <c r="B8" s="164"/>
      <c r="C8" s="164"/>
      <c r="D8" s="165"/>
      <c r="E8" s="164"/>
      <c r="F8" s="164"/>
      <c r="G8" s="164"/>
      <c r="H8" s="164"/>
      <c r="I8" s="164"/>
      <c r="J8" s="106"/>
      <c r="K8" s="106"/>
    </row>
    <row r="9" spans="2:18" ht="16" thickBot="1">
      <c r="B9" s="803" t="s">
        <v>315</v>
      </c>
      <c r="C9" s="805" t="s">
        <v>314</v>
      </c>
      <c r="D9" s="806"/>
      <c r="E9" s="809">
        <v>2016</v>
      </c>
      <c r="F9" s="810"/>
      <c r="G9" s="810"/>
      <c r="H9" s="810"/>
      <c r="I9" s="811"/>
      <c r="J9" s="106"/>
      <c r="K9" s="106"/>
      <c r="N9" s="809" t="s">
        <v>320</v>
      </c>
      <c r="O9" s="810"/>
      <c r="P9" s="810"/>
      <c r="Q9" s="810"/>
      <c r="R9" s="811"/>
    </row>
    <row r="10" spans="2:18" ht="16" thickBot="1">
      <c r="B10" s="804"/>
      <c r="C10" s="807"/>
      <c r="D10" s="808"/>
      <c r="E10" s="142" t="s">
        <v>312</v>
      </c>
      <c r="F10" s="142" t="s">
        <v>311</v>
      </c>
      <c r="G10" s="142" t="s">
        <v>310</v>
      </c>
      <c r="H10" s="141" t="s">
        <v>309</v>
      </c>
      <c r="I10" s="140" t="s">
        <v>176</v>
      </c>
      <c r="J10" s="106"/>
      <c r="K10" s="106"/>
      <c r="N10" s="142" t="str">
        <f>E10</f>
        <v xml:space="preserve">1 квартал </v>
      </c>
      <c r="O10" s="142" t="str">
        <f>F10</f>
        <v xml:space="preserve">2 квартал </v>
      </c>
      <c r="P10" s="142" t="str">
        <f>G10</f>
        <v xml:space="preserve">3 квартал </v>
      </c>
      <c r="Q10" s="141" t="str">
        <f>H10</f>
        <v xml:space="preserve">4 квартал </v>
      </c>
      <c r="R10" s="140" t="str">
        <f>I10</f>
        <v>Итого</v>
      </c>
    </row>
    <row r="11" spans="2:18">
      <c r="B11" s="812">
        <v>1</v>
      </c>
      <c r="C11" s="814" t="s">
        <v>177</v>
      </c>
      <c r="D11" s="158" t="s">
        <v>305</v>
      </c>
      <c r="E11" s="136">
        <v>1770.232</v>
      </c>
      <c r="F11" s="135">
        <v>316.95299999999997</v>
      </c>
      <c r="G11" s="135">
        <v>1070.6990000000001</v>
      </c>
      <c r="H11" s="135">
        <v>1870.7539999999999</v>
      </c>
      <c r="I11" s="134">
        <f t="shared" ref="I11:I25" si="0">E11+F11+G11+H11</f>
        <v>5028.6379999999999</v>
      </c>
      <c r="J11" s="106"/>
      <c r="K11" s="106"/>
      <c r="N11" s="136"/>
      <c r="O11" s="135"/>
      <c r="P11" s="135"/>
      <c r="Q11" s="135"/>
      <c r="R11" s="134"/>
    </row>
    <row r="12" spans="2:18">
      <c r="B12" s="813"/>
      <c r="C12" s="815"/>
      <c r="D12" s="155" t="s">
        <v>302</v>
      </c>
      <c r="E12" s="120">
        <v>75108.899999999994</v>
      </c>
      <c r="F12" s="119">
        <v>13062.666000000012</v>
      </c>
      <c r="G12" s="119">
        <v>42252.600999999995</v>
      </c>
      <c r="H12" s="119">
        <v>64457.723799999992</v>
      </c>
      <c r="I12" s="118">
        <f t="shared" si="0"/>
        <v>194881.89079999999</v>
      </c>
      <c r="J12" s="106"/>
      <c r="K12" s="106"/>
      <c r="N12" s="120">
        <f>E12/E11</f>
        <v>42.428845484659632</v>
      </c>
      <c r="O12" s="119">
        <f>F12/F11</f>
        <v>41.213258748142508</v>
      </c>
      <c r="P12" s="119">
        <f>G12/G11</f>
        <v>39.46263235512501</v>
      </c>
      <c r="Q12" s="119">
        <f>H12/H11</f>
        <v>34.455478272397116</v>
      </c>
      <c r="R12" s="118">
        <f>I12/I11</f>
        <v>38.754408410388656</v>
      </c>
    </row>
    <row r="13" spans="2:18">
      <c r="B13" s="816">
        <v>2</v>
      </c>
      <c r="C13" s="817" t="s">
        <v>308</v>
      </c>
      <c r="D13" s="158" t="s">
        <v>305</v>
      </c>
      <c r="E13" s="125">
        <v>511.46899999999999</v>
      </c>
      <c r="F13" s="124">
        <v>15.920999999999992</v>
      </c>
      <c r="G13" s="124">
        <v>542.822</v>
      </c>
      <c r="H13" s="124">
        <v>1570.3200000000002</v>
      </c>
      <c r="I13" s="123">
        <f t="shared" si="0"/>
        <v>2640.5320000000002</v>
      </c>
      <c r="J13" s="106"/>
      <c r="K13" s="106"/>
      <c r="N13" s="125"/>
      <c r="O13" s="124"/>
      <c r="P13" s="124"/>
      <c r="Q13" s="124"/>
      <c r="R13" s="123"/>
    </row>
    <row r="14" spans="2:18">
      <c r="B14" s="813"/>
      <c r="C14" s="815"/>
      <c r="D14" s="155" t="s">
        <v>302</v>
      </c>
      <c r="E14" s="120">
        <v>9843.8389999999999</v>
      </c>
      <c r="F14" s="119">
        <v>159.16100000000006</v>
      </c>
      <c r="G14" s="119">
        <v>3480.24</v>
      </c>
      <c r="H14" s="119">
        <v>9571.3764299999984</v>
      </c>
      <c r="I14" s="118">
        <f t="shared" si="0"/>
        <v>23054.616429999998</v>
      </c>
      <c r="J14" s="106"/>
      <c r="K14" s="106"/>
      <c r="N14" s="120">
        <f>E14/E13</f>
        <v>19.24620847011256</v>
      </c>
      <c r="O14" s="119"/>
      <c r="P14" s="119">
        <f>G14/G13</f>
        <v>6.4113834737722488</v>
      </c>
      <c r="Q14" s="119">
        <f>H14/H13</f>
        <v>6.0951757794589625</v>
      </c>
      <c r="R14" s="118">
        <f>I14/I13</f>
        <v>8.7310498149615299</v>
      </c>
    </row>
    <row r="15" spans="2:18">
      <c r="B15" s="816">
        <v>3</v>
      </c>
      <c r="C15" s="817" t="s">
        <v>178</v>
      </c>
      <c r="D15" s="158" t="s">
        <v>305</v>
      </c>
      <c r="E15" s="125">
        <v>2.1360000000000001</v>
      </c>
      <c r="F15" s="124">
        <v>0</v>
      </c>
      <c r="G15" s="124">
        <v>15.922000000000001</v>
      </c>
      <c r="H15" s="124">
        <v>29.195</v>
      </c>
      <c r="I15" s="123">
        <f t="shared" si="0"/>
        <v>47.253</v>
      </c>
      <c r="J15" s="106"/>
      <c r="K15" s="106"/>
      <c r="N15" s="125"/>
      <c r="O15" s="124"/>
      <c r="P15" s="124"/>
      <c r="Q15" s="124"/>
      <c r="R15" s="123"/>
    </row>
    <row r="16" spans="2:18">
      <c r="B16" s="813"/>
      <c r="C16" s="815"/>
      <c r="D16" s="155" t="s">
        <v>302</v>
      </c>
      <c r="E16" s="120">
        <v>34.176000000000002</v>
      </c>
      <c r="F16" s="119">
        <v>0</v>
      </c>
      <c r="G16" s="119">
        <v>955.17</v>
      </c>
      <c r="H16" s="119">
        <v>1471.5740000000001</v>
      </c>
      <c r="I16" s="118">
        <f t="shared" si="0"/>
        <v>2460.92</v>
      </c>
      <c r="J16" s="106"/>
      <c r="K16" s="106"/>
      <c r="N16" s="120"/>
      <c r="O16" s="119"/>
      <c r="P16" s="119">
        <f>G16/G15</f>
        <v>59.990579072980779</v>
      </c>
      <c r="Q16" s="119">
        <f>H16/H15</f>
        <v>50.405000856311013</v>
      </c>
      <c r="R16" s="118">
        <f>I16/I15</f>
        <v>52.079656318117372</v>
      </c>
    </row>
    <row r="17" spans="2:18">
      <c r="B17" s="816">
        <v>4</v>
      </c>
      <c r="C17" s="817" t="s">
        <v>179</v>
      </c>
      <c r="D17" s="158" t="s">
        <v>305</v>
      </c>
      <c r="E17" s="125">
        <v>0</v>
      </c>
      <c r="F17" s="124">
        <v>0</v>
      </c>
      <c r="G17" s="124">
        <v>139.60599999999999</v>
      </c>
      <c r="H17" s="124">
        <v>19.613</v>
      </c>
      <c r="I17" s="123">
        <f t="shared" si="0"/>
        <v>159.21899999999999</v>
      </c>
      <c r="J17" s="106"/>
      <c r="K17" s="106"/>
      <c r="N17" s="125"/>
      <c r="O17" s="124"/>
      <c r="P17" s="124"/>
      <c r="Q17" s="124"/>
      <c r="R17" s="123"/>
    </row>
    <row r="18" spans="2:18">
      <c r="B18" s="813"/>
      <c r="C18" s="815"/>
      <c r="D18" s="155" t="s">
        <v>302</v>
      </c>
      <c r="E18" s="120">
        <v>0</v>
      </c>
      <c r="F18" s="119">
        <v>0</v>
      </c>
      <c r="G18" s="119">
        <v>4253.57</v>
      </c>
      <c r="H18" s="119">
        <v>784.52000000000044</v>
      </c>
      <c r="I18" s="118">
        <f t="shared" si="0"/>
        <v>5038.09</v>
      </c>
      <c r="J18" s="106"/>
      <c r="K18" s="106"/>
      <c r="N18" s="120"/>
      <c r="O18" s="119"/>
      <c r="P18" s="119">
        <f>G18/G17</f>
        <v>30.468389610761715</v>
      </c>
      <c r="Q18" s="119">
        <f>H18/H17</f>
        <v>40.000000000000021</v>
      </c>
      <c r="R18" s="118">
        <f>I18/I17</f>
        <v>31.642517538735959</v>
      </c>
    </row>
    <row r="19" spans="2:18">
      <c r="B19" s="816">
        <v>5</v>
      </c>
      <c r="C19" s="817" t="s">
        <v>180</v>
      </c>
      <c r="D19" s="158" t="s">
        <v>305</v>
      </c>
      <c r="E19" s="131">
        <v>0</v>
      </c>
      <c r="F19" s="130">
        <v>45.673000000000002</v>
      </c>
      <c r="G19" s="130">
        <v>0</v>
      </c>
      <c r="H19" s="130">
        <v>0</v>
      </c>
      <c r="I19" s="123">
        <f t="shared" si="0"/>
        <v>45.673000000000002</v>
      </c>
      <c r="J19" s="106"/>
      <c r="K19" s="106"/>
      <c r="N19" s="131"/>
      <c r="O19" s="130"/>
      <c r="P19" s="130"/>
      <c r="Q19" s="130"/>
      <c r="R19" s="123"/>
    </row>
    <row r="20" spans="2:18">
      <c r="B20" s="813"/>
      <c r="C20" s="815"/>
      <c r="D20" s="155" t="s">
        <v>302</v>
      </c>
      <c r="E20" s="120">
        <v>0</v>
      </c>
      <c r="F20" s="119">
        <v>8046.73</v>
      </c>
      <c r="G20" s="119">
        <v>0</v>
      </c>
      <c r="H20" s="119">
        <v>1.0000000002037268E-3</v>
      </c>
      <c r="I20" s="118">
        <f t="shared" si="0"/>
        <v>8046.7309999999998</v>
      </c>
      <c r="J20" s="106"/>
      <c r="K20" s="106"/>
      <c r="N20" s="120"/>
      <c r="O20" s="119">
        <f>F20/F19</f>
        <v>176.18133251592843</v>
      </c>
      <c r="P20" s="119"/>
      <c r="Q20" s="119"/>
      <c r="R20" s="118">
        <f>I20/I19</f>
        <v>176.18135441070214</v>
      </c>
    </row>
    <row r="21" spans="2:18">
      <c r="B21" s="816">
        <v>6</v>
      </c>
      <c r="C21" s="817" t="s">
        <v>307</v>
      </c>
      <c r="D21" s="158" t="s">
        <v>305</v>
      </c>
      <c r="E21" s="131">
        <v>0</v>
      </c>
      <c r="F21" s="130">
        <v>0</v>
      </c>
      <c r="G21" s="130">
        <v>561.04999999999995</v>
      </c>
      <c r="H21" s="130">
        <v>0</v>
      </c>
      <c r="I21" s="123">
        <f t="shared" si="0"/>
        <v>561.04999999999995</v>
      </c>
      <c r="J21" s="106"/>
      <c r="K21" s="106"/>
      <c r="N21" s="131"/>
      <c r="O21" s="130"/>
      <c r="P21" s="130"/>
      <c r="Q21" s="130"/>
      <c r="R21" s="123"/>
    </row>
    <row r="22" spans="2:18">
      <c r="B22" s="813"/>
      <c r="C22" s="815"/>
      <c r="D22" s="155" t="s">
        <v>302</v>
      </c>
      <c r="E22" s="120">
        <v>0</v>
      </c>
      <c r="F22" s="119">
        <v>0</v>
      </c>
      <c r="G22" s="119">
        <v>4475.6120000000001</v>
      </c>
      <c r="H22" s="119">
        <v>0</v>
      </c>
      <c r="I22" s="118">
        <f t="shared" si="0"/>
        <v>4475.6120000000001</v>
      </c>
      <c r="J22" s="106"/>
      <c r="K22" s="106"/>
      <c r="N22" s="120"/>
      <c r="O22" s="119"/>
      <c r="P22" s="119">
        <f>G22/G21</f>
        <v>7.9772070225470104</v>
      </c>
      <c r="Q22" s="119"/>
      <c r="R22" s="118">
        <f>I22/I21</f>
        <v>7.9772070225470104</v>
      </c>
    </row>
    <row r="23" spans="2:18">
      <c r="B23" s="816">
        <v>7</v>
      </c>
      <c r="C23" s="817" t="s">
        <v>306</v>
      </c>
      <c r="D23" s="158" t="s">
        <v>305</v>
      </c>
      <c r="E23" s="125">
        <v>0</v>
      </c>
      <c r="F23" s="124">
        <v>0</v>
      </c>
      <c r="G23" s="124">
        <v>435.56200000000001</v>
      </c>
      <c r="H23" s="124">
        <v>0</v>
      </c>
      <c r="I23" s="123">
        <f t="shared" si="0"/>
        <v>435.56200000000001</v>
      </c>
      <c r="J23" s="106"/>
      <c r="K23" s="106"/>
      <c r="N23" s="125"/>
      <c r="O23" s="124"/>
      <c r="P23" s="124"/>
      <c r="Q23" s="124"/>
      <c r="R23" s="123"/>
    </row>
    <row r="24" spans="2:18" ht="16" thickBot="1">
      <c r="B24" s="818"/>
      <c r="C24" s="819"/>
      <c r="D24" s="155" t="s">
        <v>302</v>
      </c>
      <c r="E24" s="120">
        <v>0</v>
      </c>
      <c r="F24" s="119">
        <v>0</v>
      </c>
      <c r="G24" s="119">
        <v>2850.7460000000001</v>
      </c>
      <c r="H24" s="119">
        <v>0</v>
      </c>
      <c r="I24" s="118">
        <f t="shared" si="0"/>
        <v>2850.7460000000001</v>
      </c>
      <c r="J24" s="106"/>
      <c r="K24" s="106"/>
      <c r="N24" s="120"/>
      <c r="O24" s="119"/>
      <c r="P24" s="119">
        <f>G24/G23</f>
        <v>6.5449832630027416</v>
      </c>
      <c r="Q24" s="119"/>
      <c r="R24" s="118">
        <f>I24/I23</f>
        <v>6.5449832630027416</v>
      </c>
    </row>
    <row r="25" spans="2:18" ht="16" thickBot="1">
      <c r="B25" s="157">
        <v>8</v>
      </c>
      <c r="C25" s="156" t="s">
        <v>304</v>
      </c>
      <c r="D25" s="155" t="s">
        <v>302</v>
      </c>
      <c r="E25" s="154">
        <v>38.1</v>
      </c>
      <c r="F25" s="153">
        <v>7652.15</v>
      </c>
      <c r="G25" s="153">
        <v>5604.23</v>
      </c>
      <c r="H25" s="153">
        <v>15478.45</v>
      </c>
      <c r="I25" s="118">
        <f t="shared" si="0"/>
        <v>28772.93</v>
      </c>
      <c r="J25" s="106"/>
      <c r="K25" s="106"/>
    </row>
    <row r="26" spans="2:18" ht="16" thickBot="1">
      <c r="B26" s="152"/>
      <c r="C26" s="151" t="s">
        <v>303</v>
      </c>
      <c r="D26" s="150" t="s">
        <v>302</v>
      </c>
      <c r="E26" s="148">
        <f>E12+E14+E16+E18+E22+E24+E25+E20</f>
        <v>85025.015000000014</v>
      </c>
      <c r="F26" s="148">
        <f>F12+F14+F16+F18+F22+F24+F25+F20</f>
        <v>28920.707000000013</v>
      </c>
      <c r="G26" s="148">
        <f>G12+G14+G16+G18+G22+G24+G25+G20</f>
        <v>63872.168999999994</v>
      </c>
      <c r="H26" s="148">
        <f>H12+H14+H16+H18+H22+H24+H25+H20</f>
        <v>91763.645229999995</v>
      </c>
      <c r="I26" s="148">
        <f>I12+I14+I16+I18+I22+I24+I25+I20</f>
        <v>269581.53622999997</v>
      </c>
      <c r="J26" s="106"/>
      <c r="K26" s="106"/>
    </row>
    <row r="27" spans="2:18">
      <c r="J27" s="106"/>
      <c r="K27" s="106"/>
    </row>
    <row r="28" spans="2:18">
      <c r="J28" s="106"/>
      <c r="K28" s="106"/>
    </row>
    <row r="29" spans="2:18" ht="16" thickBot="1">
      <c r="J29" s="106"/>
      <c r="K29" s="106"/>
    </row>
    <row r="30" spans="2:18" ht="16" thickBot="1">
      <c r="B30" s="803" t="s">
        <v>315</v>
      </c>
      <c r="C30" s="805" t="s">
        <v>314</v>
      </c>
      <c r="D30" s="806"/>
      <c r="E30" s="809">
        <v>2017</v>
      </c>
      <c r="F30" s="810"/>
      <c r="G30" s="810"/>
      <c r="H30" s="810"/>
      <c r="I30" s="811"/>
      <c r="J30" s="106"/>
      <c r="K30" s="106"/>
      <c r="N30" s="809" t="s">
        <v>320</v>
      </c>
      <c r="O30" s="810"/>
      <c r="P30" s="810"/>
      <c r="Q30" s="810"/>
      <c r="R30" s="811"/>
    </row>
    <row r="31" spans="2:18" ht="16" thickBot="1">
      <c r="B31" s="804"/>
      <c r="C31" s="807"/>
      <c r="D31" s="808"/>
      <c r="E31" s="142" t="s">
        <v>312</v>
      </c>
      <c r="F31" s="142" t="s">
        <v>311</v>
      </c>
      <c r="G31" s="142" t="s">
        <v>310</v>
      </c>
      <c r="H31" s="141" t="s">
        <v>309</v>
      </c>
      <c r="I31" s="140" t="s">
        <v>176</v>
      </c>
      <c r="J31" s="106"/>
      <c r="K31" s="106"/>
      <c r="N31" s="142" t="str">
        <f>E31</f>
        <v xml:space="preserve">1 квартал </v>
      </c>
      <c r="O31" s="142" t="str">
        <f>F31</f>
        <v xml:space="preserve">2 квартал </v>
      </c>
      <c r="P31" s="142" t="str">
        <f>G31</f>
        <v xml:space="preserve">3 квартал </v>
      </c>
      <c r="Q31" s="141" t="str">
        <f>H31</f>
        <v xml:space="preserve">4 квартал </v>
      </c>
      <c r="R31" s="140" t="str">
        <f>I31</f>
        <v>Итого</v>
      </c>
    </row>
    <row r="32" spans="2:18">
      <c r="B32" s="812">
        <v>1</v>
      </c>
      <c r="C32" s="814" t="s">
        <v>177</v>
      </c>
      <c r="D32" s="158" t="s">
        <v>305</v>
      </c>
      <c r="E32" s="136">
        <v>669.3</v>
      </c>
      <c r="F32" s="135">
        <v>402.20000000000005</v>
      </c>
      <c r="G32" s="135">
        <v>310.18499999999995</v>
      </c>
      <c r="H32" s="135">
        <v>2157.3150000000001</v>
      </c>
      <c r="I32" s="134">
        <f t="shared" ref="I32:I46" si="1">E32+F32+G32+H32</f>
        <v>3539</v>
      </c>
      <c r="J32" s="106"/>
      <c r="K32" s="106"/>
      <c r="N32" s="136"/>
      <c r="O32" s="135"/>
      <c r="P32" s="135"/>
      <c r="Q32" s="135"/>
      <c r="R32" s="134"/>
    </row>
    <row r="33" spans="2:18">
      <c r="B33" s="813"/>
      <c r="C33" s="815"/>
      <c r="D33" s="155" t="s">
        <v>302</v>
      </c>
      <c r="E33" s="120">
        <v>27753.494999999999</v>
      </c>
      <c r="F33" s="119">
        <v>15730.844999999998</v>
      </c>
      <c r="G33" s="119">
        <v>9730.4950000000026</v>
      </c>
      <c r="H33" s="119">
        <v>80296.494999999995</v>
      </c>
      <c r="I33" s="118">
        <f t="shared" si="1"/>
        <v>133511.32999999999</v>
      </c>
      <c r="J33" s="163"/>
      <c r="K33" s="106"/>
      <c r="N33" s="120">
        <f>E33/E32</f>
        <v>41.466450022411479</v>
      </c>
      <c r="O33" s="119">
        <f>F33/F32</f>
        <v>39.111996519144697</v>
      </c>
      <c r="P33" s="119">
        <f>G33/G32</f>
        <v>31.369972758192706</v>
      </c>
      <c r="Q33" s="119">
        <f>H33/H32</f>
        <v>37.220570477653929</v>
      </c>
      <c r="R33" s="118">
        <f>I33/I32</f>
        <v>37.725721955354615</v>
      </c>
    </row>
    <row r="34" spans="2:18">
      <c r="B34" s="816">
        <v>2</v>
      </c>
      <c r="C34" s="817" t="s">
        <v>308</v>
      </c>
      <c r="D34" s="158" t="s">
        <v>305</v>
      </c>
      <c r="E34" s="125">
        <v>98.486999999999995</v>
      </c>
      <c r="F34" s="124">
        <v>0</v>
      </c>
      <c r="G34" s="124">
        <v>1524.5309999999999</v>
      </c>
      <c r="H34" s="124">
        <v>2119.9969999999998</v>
      </c>
      <c r="I34" s="123">
        <f t="shared" si="1"/>
        <v>3743.0149999999999</v>
      </c>
      <c r="J34" s="106"/>
      <c r="K34" s="106"/>
      <c r="N34" s="125"/>
      <c r="O34" s="124"/>
      <c r="P34" s="124"/>
      <c r="Q34" s="124"/>
      <c r="R34" s="123"/>
    </row>
    <row r="35" spans="2:18">
      <c r="B35" s="813"/>
      <c r="C35" s="815"/>
      <c r="D35" s="155" t="s">
        <v>302</v>
      </c>
      <c r="E35" s="120">
        <v>611.05999999999995</v>
      </c>
      <c r="F35" s="119">
        <v>2.0000000000663931E-3</v>
      </c>
      <c r="G35" s="119">
        <v>13318.062</v>
      </c>
      <c r="H35" s="119">
        <v>8962.9759999999987</v>
      </c>
      <c r="I35" s="118">
        <f t="shared" si="1"/>
        <v>22892.1</v>
      </c>
      <c r="J35" s="106"/>
      <c r="K35" s="106"/>
      <c r="N35" s="120">
        <f>E35/E34</f>
        <v>6.2044736868825323</v>
      </c>
      <c r="O35" s="119"/>
      <c r="P35" s="119">
        <f>G35/G34</f>
        <v>8.7358420392894605</v>
      </c>
      <c r="Q35" s="119">
        <f>H35/H34</f>
        <v>4.2278248506955434</v>
      </c>
      <c r="R35" s="118">
        <f>I35/I34</f>
        <v>6.1159519798878712</v>
      </c>
    </row>
    <row r="36" spans="2:18">
      <c r="B36" s="816">
        <v>3</v>
      </c>
      <c r="C36" s="817" t="s">
        <v>178</v>
      </c>
      <c r="D36" s="158" t="s">
        <v>305</v>
      </c>
      <c r="E36" s="125">
        <v>0</v>
      </c>
      <c r="F36" s="124">
        <v>0</v>
      </c>
      <c r="G36" s="124">
        <v>16.166</v>
      </c>
      <c r="H36" s="124">
        <v>4.759999999999998</v>
      </c>
      <c r="I36" s="123">
        <f t="shared" si="1"/>
        <v>20.925999999999998</v>
      </c>
      <c r="J36" s="106"/>
      <c r="K36" s="106"/>
      <c r="N36" s="125"/>
      <c r="O36" s="124"/>
      <c r="P36" s="124"/>
      <c r="Q36" s="124"/>
      <c r="R36" s="123"/>
    </row>
    <row r="37" spans="2:18">
      <c r="B37" s="813"/>
      <c r="C37" s="815"/>
      <c r="D37" s="155" t="s">
        <v>302</v>
      </c>
      <c r="E37" s="120">
        <v>0</v>
      </c>
      <c r="F37" s="119">
        <v>0</v>
      </c>
      <c r="G37" s="119">
        <v>969.38499999999999</v>
      </c>
      <c r="H37" s="119">
        <v>11.649999999999977</v>
      </c>
      <c r="I37" s="118">
        <f t="shared" si="1"/>
        <v>981.03499999999997</v>
      </c>
      <c r="J37" s="106"/>
      <c r="K37" s="106"/>
      <c r="N37" s="120"/>
      <c r="O37" s="119"/>
      <c r="P37" s="119">
        <f>G37/G36</f>
        <v>59.964431522949397</v>
      </c>
      <c r="Q37" s="119">
        <f>H37/H36</f>
        <v>2.4474789915966348</v>
      </c>
      <c r="R37" s="118">
        <f>I37/I36</f>
        <v>46.881152633088028</v>
      </c>
    </row>
    <row r="38" spans="2:18">
      <c r="B38" s="816">
        <v>4</v>
      </c>
      <c r="C38" s="817" t="s">
        <v>179</v>
      </c>
      <c r="D38" s="158" t="s">
        <v>305</v>
      </c>
      <c r="E38" s="125">
        <v>0</v>
      </c>
      <c r="F38" s="124">
        <v>0</v>
      </c>
      <c r="G38" s="124">
        <v>101.66500000000001</v>
      </c>
      <c r="H38" s="124">
        <v>97.146799999999999</v>
      </c>
      <c r="I38" s="123">
        <f t="shared" si="1"/>
        <v>198.81180000000001</v>
      </c>
      <c r="J38" s="106"/>
      <c r="K38" s="106"/>
      <c r="N38" s="125"/>
      <c r="O38" s="124"/>
      <c r="P38" s="124"/>
      <c r="Q38" s="124"/>
      <c r="R38" s="123"/>
    </row>
    <row r="39" spans="2:18">
      <c r="B39" s="813"/>
      <c r="C39" s="815"/>
      <c r="D39" s="155" t="s">
        <v>302</v>
      </c>
      <c r="E39" s="120">
        <v>0</v>
      </c>
      <c r="F39" s="119">
        <v>0</v>
      </c>
      <c r="G39" s="119">
        <v>2073.48</v>
      </c>
      <c r="H39" s="119">
        <v>354.96000000000004</v>
      </c>
      <c r="I39" s="118">
        <f t="shared" si="1"/>
        <v>2428.44</v>
      </c>
      <c r="J39" s="106"/>
      <c r="K39" s="106"/>
      <c r="N39" s="120"/>
      <c r="O39" s="119"/>
      <c r="P39" s="119">
        <f>G39/G38</f>
        <v>20.39521959376383</v>
      </c>
      <c r="Q39" s="119">
        <f>H39/H38</f>
        <v>3.6538516966076089</v>
      </c>
      <c r="R39" s="118">
        <f>I39/I38</f>
        <v>12.214767936309615</v>
      </c>
    </row>
    <row r="40" spans="2:18">
      <c r="B40" s="816">
        <v>5</v>
      </c>
      <c r="C40" s="817" t="s">
        <v>180</v>
      </c>
      <c r="D40" s="158" t="s">
        <v>305</v>
      </c>
      <c r="E40" s="131">
        <v>0</v>
      </c>
      <c r="F40" s="130">
        <v>20.722000000000001</v>
      </c>
      <c r="G40" s="130">
        <v>13.902999999999999</v>
      </c>
      <c r="H40" s="130">
        <v>0</v>
      </c>
      <c r="I40" s="123">
        <f t="shared" si="1"/>
        <v>34.625</v>
      </c>
      <c r="J40" s="106"/>
      <c r="K40" s="106"/>
      <c r="N40" s="131"/>
      <c r="O40" s="130"/>
      <c r="P40" s="130"/>
      <c r="Q40" s="130"/>
      <c r="R40" s="123"/>
    </row>
    <row r="41" spans="2:18">
      <c r="B41" s="813"/>
      <c r="C41" s="815"/>
      <c r="D41" s="155" t="s">
        <v>302</v>
      </c>
      <c r="E41" s="120">
        <v>0</v>
      </c>
      <c r="F41" s="119">
        <v>1961.95</v>
      </c>
      <c r="G41" s="119">
        <v>695.14999999999986</v>
      </c>
      <c r="H41" s="119">
        <v>0</v>
      </c>
      <c r="I41" s="118">
        <f t="shared" si="1"/>
        <v>2657.1</v>
      </c>
      <c r="J41" s="106"/>
      <c r="K41" s="106"/>
      <c r="N41" s="120"/>
      <c r="O41" s="119">
        <f>F41/F40</f>
        <v>94.679567609304115</v>
      </c>
      <c r="P41" s="119">
        <f>G41/G40</f>
        <v>49.999999999999993</v>
      </c>
      <c r="Q41" s="119"/>
      <c r="R41" s="118">
        <f>I41/I40</f>
        <v>76.739350180505411</v>
      </c>
    </row>
    <row r="42" spans="2:18">
      <c r="B42" s="816">
        <v>6</v>
      </c>
      <c r="C42" s="817" t="s">
        <v>307</v>
      </c>
      <c r="D42" s="158" t="s">
        <v>305</v>
      </c>
      <c r="E42" s="131">
        <v>0</v>
      </c>
      <c r="F42" s="130">
        <v>0</v>
      </c>
      <c r="G42" s="130">
        <v>602.08000000000004</v>
      </c>
      <c r="H42" s="130">
        <v>0</v>
      </c>
      <c r="I42" s="123">
        <f t="shared" si="1"/>
        <v>602.08000000000004</v>
      </c>
      <c r="J42" s="106"/>
      <c r="K42" s="106"/>
      <c r="N42" s="131"/>
      <c r="O42" s="130"/>
      <c r="P42" s="130"/>
      <c r="Q42" s="130"/>
      <c r="R42" s="123"/>
    </row>
    <row r="43" spans="2:18">
      <c r="B43" s="813"/>
      <c r="C43" s="815"/>
      <c r="D43" s="155" t="s">
        <v>302</v>
      </c>
      <c r="E43" s="120">
        <v>0</v>
      </c>
      <c r="F43" s="119">
        <v>0</v>
      </c>
      <c r="G43" s="119">
        <v>5238.0959999999995</v>
      </c>
      <c r="H43" s="119">
        <v>0</v>
      </c>
      <c r="I43" s="118">
        <f t="shared" si="1"/>
        <v>5238.0959999999995</v>
      </c>
      <c r="J43" s="106"/>
      <c r="K43" s="106"/>
      <c r="N43" s="120"/>
      <c r="O43" s="119"/>
      <c r="P43" s="119">
        <f>G43/G42</f>
        <v>8.6999999999999993</v>
      </c>
      <c r="Q43" s="119"/>
      <c r="R43" s="118">
        <f>I43/I42</f>
        <v>8.6999999999999993</v>
      </c>
    </row>
    <row r="44" spans="2:18">
      <c r="B44" s="816">
        <v>7</v>
      </c>
      <c r="C44" s="817" t="s">
        <v>306</v>
      </c>
      <c r="D44" s="158" t="s">
        <v>305</v>
      </c>
      <c r="E44" s="125">
        <v>0</v>
      </c>
      <c r="F44" s="124">
        <v>0</v>
      </c>
      <c r="G44" s="124">
        <v>424.33100000000002</v>
      </c>
      <c r="H44" s="124">
        <v>0</v>
      </c>
      <c r="I44" s="123">
        <f t="shared" si="1"/>
        <v>424.33100000000002</v>
      </c>
      <c r="J44" s="106"/>
      <c r="K44" s="106"/>
      <c r="N44" s="125"/>
      <c r="O44" s="124"/>
      <c r="P44" s="124"/>
      <c r="Q44" s="124"/>
      <c r="R44" s="123"/>
    </row>
    <row r="45" spans="2:18" ht="16" thickBot="1">
      <c r="B45" s="818"/>
      <c r="C45" s="819"/>
      <c r="D45" s="155" t="s">
        <v>302</v>
      </c>
      <c r="E45" s="120">
        <v>0</v>
      </c>
      <c r="F45" s="119">
        <v>0</v>
      </c>
      <c r="G45" s="119">
        <v>2568.66</v>
      </c>
      <c r="H45" s="119">
        <v>0</v>
      </c>
      <c r="I45" s="118">
        <f t="shared" si="1"/>
        <v>2568.66</v>
      </c>
      <c r="J45" s="106"/>
      <c r="K45" s="106"/>
      <c r="N45" s="120"/>
      <c r="O45" s="119"/>
      <c r="P45" s="119">
        <f>G45/G44</f>
        <v>6.053434700740695</v>
      </c>
      <c r="Q45" s="119"/>
      <c r="R45" s="118">
        <f>I45/I44</f>
        <v>6.053434700740695</v>
      </c>
    </row>
    <row r="46" spans="2:18" ht="16" thickBot="1">
      <c r="B46" s="157">
        <v>8</v>
      </c>
      <c r="C46" s="156" t="s">
        <v>304</v>
      </c>
      <c r="D46" s="155" t="s">
        <v>302</v>
      </c>
      <c r="E46" s="154">
        <v>2386.66</v>
      </c>
      <c r="F46" s="153">
        <v>1415.9100000000003</v>
      </c>
      <c r="G46" s="153">
        <v>750.50999999999976</v>
      </c>
      <c r="H46" s="153">
        <v>202.67000000000007</v>
      </c>
      <c r="I46" s="118">
        <f t="shared" si="1"/>
        <v>4755.75</v>
      </c>
      <c r="J46" s="106"/>
      <c r="K46" s="106"/>
    </row>
    <row r="47" spans="2:18" ht="16" thickBot="1">
      <c r="B47" s="152"/>
      <c r="C47" s="151" t="s">
        <v>303</v>
      </c>
      <c r="D47" s="150" t="s">
        <v>302</v>
      </c>
      <c r="E47" s="148">
        <f>E33+E35+E37+E39+E43+E45+E46+E41</f>
        <v>30751.215</v>
      </c>
      <c r="F47" s="148">
        <f>F33+F35+F37+F39+F43+F45+F46+F41</f>
        <v>19108.706999999999</v>
      </c>
      <c r="G47" s="148">
        <f>G33+G35+G37+G39+G43+G45+G46+G41</f>
        <v>35343.838000000003</v>
      </c>
      <c r="H47" s="148">
        <f>H33+H35+H37+H39+H43+H45+H46+H41</f>
        <v>89828.750999999989</v>
      </c>
      <c r="I47" s="148">
        <f>I33+I35+I37+I39+I43+I45+I46+I41</f>
        <v>175032.511</v>
      </c>
      <c r="J47" s="106"/>
      <c r="K47" s="106"/>
    </row>
    <row r="48" spans="2:18">
      <c r="J48" s="106"/>
      <c r="K48" s="106"/>
    </row>
    <row r="49" spans="2:18">
      <c r="J49" s="106"/>
      <c r="K49" s="106"/>
    </row>
    <row r="50" spans="2:18" ht="16" thickBot="1">
      <c r="J50" s="106"/>
      <c r="K50" s="106"/>
    </row>
    <row r="51" spans="2:18" ht="16" hidden="1" thickBot="1">
      <c r="J51" s="106"/>
      <c r="K51" s="106"/>
    </row>
    <row r="52" spans="2:18" ht="16" hidden="1" thickBot="1">
      <c r="J52" s="106"/>
      <c r="K52" s="106"/>
    </row>
    <row r="53" spans="2:18" ht="16" hidden="1" thickBot="1">
      <c r="C53" s="162"/>
      <c r="D53" s="161"/>
      <c r="E53" s="161"/>
      <c r="J53" s="106"/>
      <c r="K53" s="106"/>
    </row>
    <row r="54" spans="2:18" ht="16" thickBot="1">
      <c r="B54" s="803" t="s">
        <v>315</v>
      </c>
      <c r="C54" s="805" t="s">
        <v>314</v>
      </c>
      <c r="D54" s="806"/>
      <c r="E54" s="809">
        <v>2018</v>
      </c>
      <c r="F54" s="810"/>
      <c r="G54" s="810"/>
      <c r="H54" s="810"/>
      <c r="I54" s="811"/>
      <c r="J54" s="106"/>
      <c r="K54" s="106"/>
      <c r="N54" s="809" t="s">
        <v>319</v>
      </c>
      <c r="O54" s="810"/>
      <c r="P54" s="810"/>
      <c r="Q54" s="810"/>
      <c r="R54" s="811"/>
    </row>
    <row r="55" spans="2:18" ht="16" thickBot="1">
      <c r="B55" s="804"/>
      <c r="C55" s="807"/>
      <c r="D55" s="808"/>
      <c r="E55" s="142" t="s">
        <v>312</v>
      </c>
      <c r="F55" s="142" t="s">
        <v>311</v>
      </c>
      <c r="G55" s="142" t="s">
        <v>310</v>
      </c>
      <c r="H55" s="141" t="s">
        <v>309</v>
      </c>
      <c r="I55" s="140" t="s">
        <v>176</v>
      </c>
      <c r="J55" s="106"/>
      <c r="K55" s="106"/>
      <c r="N55" s="142" t="str">
        <f>E55</f>
        <v xml:space="preserve">1 квартал </v>
      </c>
      <c r="O55" s="142" t="str">
        <f>F55</f>
        <v xml:space="preserve">2 квартал </v>
      </c>
      <c r="P55" s="142" t="str">
        <f>G55</f>
        <v xml:space="preserve">3 квартал </v>
      </c>
      <c r="Q55" s="141" t="str">
        <f>H55</f>
        <v xml:space="preserve">4 квартал </v>
      </c>
      <c r="R55" s="140" t="str">
        <f>I55</f>
        <v>Итого</v>
      </c>
    </row>
    <row r="56" spans="2:18">
      <c r="B56" s="812">
        <v>1</v>
      </c>
      <c r="C56" s="814" t="s">
        <v>177</v>
      </c>
      <c r="D56" s="158" t="s">
        <v>305</v>
      </c>
      <c r="E56" s="136">
        <v>2751.3879999999999</v>
      </c>
      <c r="F56" s="135">
        <v>1675.9520000000002</v>
      </c>
      <c r="G56" s="135">
        <v>559.74400000000003</v>
      </c>
      <c r="H56" s="135">
        <v>3289.2190000000001</v>
      </c>
      <c r="I56" s="134">
        <f t="shared" ref="I56:I70" si="2">E56+F56+G56+H56</f>
        <v>8276.3029999999999</v>
      </c>
      <c r="J56" s="106"/>
      <c r="K56" s="106"/>
      <c r="N56" s="136"/>
      <c r="O56" s="135"/>
      <c r="P56" s="135"/>
      <c r="Q56" s="135"/>
      <c r="R56" s="134"/>
    </row>
    <row r="57" spans="2:18">
      <c r="B57" s="813"/>
      <c r="C57" s="815"/>
      <c r="D57" s="155" t="s">
        <v>302</v>
      </c>
      <c r="E57" s="120">
        <v>128788.72500000001</v>
      </c>
      <c r="F57" s="119">
        <v>96419.945000000007</v>
      </c>
      <c r="G57" s="119">
        <v>14551.973</v>
      </c>
      <c r="H57" s="119">
        <v>93939.395000000004</v>
      </c>
      <c r="I57" s="118">
        <f t="shared" si="2"/>
        <v>333700.038</v>
      </c>
      <c r="J57" s="106"/>
      <c r="K57" s="106"/>
      <c r="N57" s="120">
        <f>E57/E56</f>
        <v>46.80863804014556</v>
      </c>
      <c r="O57" s="119">
        <f>F57/F56</f>
        <v>57.531447798027628</v>
      </c>
      <c r="P57" s="119">
        <f>G57/G56</f>
        <v>25.99755066601875</v>
      </c>
      <c r="Q57" s="119">
        <f>H57/H56</f>
        <v>28.559787292971372</v>
      </c>
      <c r="R57" s="118">
        <f>I57/I56</f>
        <v>40.319939712212083</v>
      </c>
    </row>
    <row r="58" spans="2:18">
      <c r="B58" s="816">
        <v>2</v>
      </c>
      <c r="C58" s="817" t="s">
        <v>308</v>
      </c>
      <c r="D58" s="158" t="s">
        <v>305</v>
      </c>
      <c r="E58" s="125">
        <v>424.71899999999999</v>
      </c>
      <c r="F58" s="124">
        <v>604.10099999999989</v>
      </c>
      <c r="G58" s="124">
        <v>2688.299</v>
      </c>
      <c r="H58" s="124">
        <v>1901.019</v>
      </c>
      <c r="I58" s="123">
        <f t="shared" si="2"/>
        <v>5618.1379999999999</v>
      </c>
      <c r="J58" s="106"/>
      <c r="K58" s="106"/>
      <c r="N58" s="125"/>
      <c r="O58" s="124"/>
      <c r="P58" s="124"/>
      <c r="Q58" s="124"/>
      <c r="R58" s="123"/>
    </row>
    <row r="59" spans="2:18">
      <c r="B59" s="813"/>
      <c r="C59" s="815"/>
      <c r="D59" s="155" t="s">
        <v>302</v>
      </c>
      <c r="E59" s="120">
        <v>1857.9</v>
      </c>
      <c r="F59" s="119">
        <v>3180.0399999999995</v>
      </c>
      <c r="G59" s="119">
        <v>13344.573</v>
      </c>
      <c r="H59" s="119">
        <v>7097.0940000000001</v>
      </c>
      <c r="I59" s="118">
        <f t="shared" si="2"/>
        <v>25479.607</v>
      </c>
      <c r="J59" s="106"/>
      <c r="K59" s="106"/>
      <c r="N59" s="120">
        <f>E59/E58</f>
        <v>4.3744216764496056</v>
      </c>
      <c r="O59" s="119">
        <f>F59/F58</f>
        <v>5.2640866345197246</v>
      </c>
      <c r="P59" s="119">
        <f>G59/G58</f>
        <v>4.963946718724368</v>
      </c>
      <c r="Q59" s="119">
        <f>H59/H58</f>
        <v>3.7333103982653513</v>
      </c>
      <c r="R59" s="118">
        <f>I59/I58</f>
        <v>4.5352405013903185</v>
      </c>
    </row>
    <row r="60" spans="2:18">
      <c r="B60" s="816">
        <v>3</v>
      </c>
      <c r="C60" s="817" t="s">
        <v>178</v>
      </c>
      <c r="D60" s="158" t="s">
        <v>305</v>
      </c>
      <c r="E60" s="125">
        <v>0</v>
      </c>
      <c r="F60" s="124">
        <v>0</v>
      </c>
      <c r="G60" s="124">
        <v>153.13800000000001</v>
      </c>
      <c r="H60" s="124">
        <v>20.8</v>
      </c>
      <c r="I60" s="123">
        <f t="shared" si="2"/>
        <v>173.93800000000002</v>
      </c>
      <c r="J60" s="106"/>
      <c r="K60" s="106"/>
      <c r="N60" s="125"/>
      <c r="O60" s="124"/>
      <c r="P60" s="124"/>
      <c r="Q60" s="124"/>
      <c r="R60" s="123"/>
    </row>
    <row r="61" spans="2:18">
      <c r="B61" s="813"/>
      <c r="C61" s="815"/>
      <c r="D61" s="155" t="s">
        <v>302</v>
      </c>
      <c r="E61" s="120">
        <v>0</v>
      </c>
      <c r="F61" s="119">
        <v>0</v>
      </c>
      <c r="G61" s="119">
        <v>3823.0810000000001</v>
      </c>
      <c r="H61" s="119">
        <v>1138.2199999999998</v>
      </c>
      <c r="I61" s="118">
        <f t="shared" si="2"/>
        <v>4961.3009999999995</v>
      </c>
      <c r="J61" s="106"/>
      <c r="K61" s="106"/>
      <c r="N61" s="120"/>
      <c r="O61" s="119"/>
      <c r="P61" s="119">
        <f>G61/G60</f>
        <v>24.964940119369459</v>
      </c>
      <c r="Q61" s="119">
        <f>H61/H60</f>
        <v>54.722115384615371</v>
      </c>
      <c r="R61" s="118">
        <f>I61/I60</f>
        <v>28.5233876438731</v>
      </c>
    </row>
    <row r="62" spans="2:18">
      <c r="B62" s="816">
        <v>4</v>
      </c>
      <c r="C62" s="817" t="s">
        <v>179</v>
      </c>
      <c r="D62" s="158" t="s">
        <v>305</v>
      </c>
      <c r="E62" s="125">
        <v>0</v>
      </c>
      <c r="F62" s="124">
        <v>0</v>
      </c>
      <c r="G62" s="124">
        <v>138.00200000000001</v>
      </c>
      <c r="H62" s="124">
        <v>8.8330000000000002</v>
      </c>
      <c r="I62" s="123">
        <f t="shared" si="2"/>
        <v>146.83500000000001</v>
      </c>
      <c r="J62" s="106"/>
      <c r="K62" s="106"/>
      <c r="N62" s="125"/>
      <c r="O62" s="124"/>
      <c r="P62" s="124"/>
      <c r="Q62" s="124"/>
      <c r="R62" s="123"/>
    </row>
    <row r="63" spans="2:18">
      <c r="B63" s="813"/>
      <c r="C63" s="815"/>
      <c r="D63" s="155" t="s">
        <v>302</v>
      </c>
      <c r="E63" s="120">
        <v>0</v>
      </c>
      <c r="F63" s="119">
        <v>0</v>
      </c>
      <c r="G63" s="119">
        <v>1837.4070000000002</v>
      </c>
      <c r="H63" s="119">
        <v>44.164999999999999</v>
      </c>
      <c r="I63" s="118">
        <f t="shared" si="2"/>
        <v>1881.5720000000001</v>
      </c>
      <c r="J63" s="106"/>
      <c r="K63" s="106"/>
      <c r="N63" s="120"/>
      <c r="O63" s="119"/>
      <c r="P63" s="119">
        <f>G63/G62</f>
        <v>13.314350516659179</v>
      </c>
      <c r="Q63" s="119">
        <f>H63/H62</f>
        <v>5</v>
      </c>
      <c r="R63" s="118">
        <f>I63/I62</f>
        <v>12.814192801443797</v>
      </c>
    </row>
    <row r="64" spans="2:18">
      <c r="B64" s="816">
        <v>5</v>
      </c>
      <c r="C64" s="817" t="s">
        <v>180</v>
      </c>
      <c r="D64" s="158" t="s">
        <v>305</v>
      </c>
      <c r="E64" s="131">
        <v>0</v>
      </c>
      <c r="F64" s="130">
        <v>10.95</v>
      </c>
      <c r="G64" s="130">
        <v>12.634</v>
      </c>
      <c r="H64" s="130"/>
      <c r="I64" s="123">
        <f t="shared" si="2"/>
        <v>23.584</v>
      </c>
      <c r="J64" s="106"/>
      <c r="K64" s="106"/>
      <c r="N64" s="131"/>
      <c r="O64" s="130"/>
      <c r="P64" s="130"/>
      <c r="Q64" s="130"/>
      <c r="R64" s="123"/>
    </row>
    <row r="65" spans="2:18">
      <c r="B65" s="813"/>
      <c r="C65" s="815"/>
      <c r="D65" s="155" t="s">
        <v>302</v>
      </c>
      <c r="E65" s="120">
        <v>0</v>
      </c>
      <c r="F65" s="119">
        <v>547.20000000000005</v>
      </c>
      <c r="G65" s="119">
        <v>530.20000000000005</v>
      </c>
      <c r="H65" s="119"/>
      <c r="I65" s="118">
        <f t="shared" si="2"/>
        <v>1077.4000000000001</v>
      </c>
      <c r="J65" s="106"/>
      <c r="K65" s="106"/>
      <c r="N65" s="120"/>
      <c r="O65" s="119">
        <f>F65/F64</f>
        <v>49.972602739726035</v>
      </c>
      <c r="P65" s="119">
        <f>G65/G64</f>
        <v>41.966123159727722</v>
      </c>
      <c r="Q65" s="119"/>
      <c r="R65" s="118">
        <f>I65/I64</f>
        <v>45.683514246947084</v>
      </c>
    </row>
    <row r="66" spans="2:18">
      <c r="B66" s="816">
        <v>6</v>
      </c>
      <c r="C66" s="817" t="s">
        <v>307</v>
      </c>
      <c r="D66" s="158" t="s">
        <v>305</v>
      </c>
      <c r="E66" s="131">
        <v>0</v>
      </c>
      <c r="F66" s="130">
        <v>0</v>
      </c>
      <c r="G66" s="130">
        <v>544.05999999999995</v>
      </c>
      <c r="H66" s="130"/>
      <c r="I66" s="123">
        <f t="shared" si="2"/>
        <v>544.05999999999995</v>
      </c>
      <c r="J66" s="106"/>
      <c r="K66" s="106"/>
      <c r="N66" s="131"/>
      <c r="O66" s="130"/>
      <c r="P66" s="130"/>
      <c r="Q66" s="130"/>
      <c r="R66" s="123"/>
    </row>
    <row r="67" spans="2:18">
      <c r="B67" s="813"/>
      <c r="C67" s="815"/>
      <c r="D67" s="155" t="s">
        <v>302</v>
      </c>
      <c r="E67" s="120">
        <v>0</v>
      </c>
      <c r="F67" s="119">
        <v>0</v>
      </c>
      <c r="G67" s="119">
        <v>4386.4650000000001</v>
      </c>
      <c r="H67" s="119"/>
      <c r="I67" s="118">
        <f t="shared" si="2"/>
        <v>4386.4650000000001</v>
      </c>
      <c r="J67" s="106"/>
      <c r="K67" s="106"/>
      <c r="N67" s="120"/>
      <c r="O67" s="119"/>
      <c r="P67" s="119">
        <f>G67/G66</f>
        <v>8.0624655368893148</v>
      </c>
      <c r="Q67" s="119"/>
      <c r="R67" s="118">
        <f>I67/I66</f>
        <v>8.0624655368893148</v>
      </c>
    </row>
    <row r="68" spans="2:18">
      <c r="B68" s="816">
        <v>7</v>
      </c>
      <c r="C68" s="817" t="s">
        <v>306</v>
      </c>
      <c r="D68" s="158" t="s">
        <v>305</v>
      </c>
      <c r="E68" s="125">
        <v>0</v>
      </c>
      <c r="F68" s="124">
        <v>0</v>
      </c>
      <c r="G68" s="124">
        <v>266.07</v>
      </c>
      <c r="H68" s="124"/>
      <c r="I68" s="123">
        <f t="shared" si="2"/>
        <v>266.07</v>
      </c>
      <c r="J68" s="106"/>
      <c r="K68" s="106"/>
      <c r="N68" s="125"/>
      <c r="O68" s="124"/>
      <c r="P68" s="124">
        <f>P44</f>
        <v>0</v>
      </c>
      <c r="Q68" s="124">
        <f>Q44</f>
        <v>0</v>
      </c>
      <c r="R68" s="123"/>
    </row>
    <row r="69" spans="2:18" ht="16" thickBot="1">
      <c r="B69" s="818"/>
      <c r="C69" s="819"/>
      <c r="D69" s="155" t="s">
        <v>302</v>
      </c>
      <c r="E69" s="120">
        <v>0</v>
      </c>
      <c r="F69" s="119">
        <v>0</v>
      </c>
      <c r="G69" s="119">
        <v>1862.49</v>
      </c>
      <c r="H69" s="119"/>
      <c r="I69" s="118">
        <f t="shared" si="2"/>
        <v>1862.49</v>
      </c>
      <c r="J69" s="106"/>
      <c r="K69" s="106"/>
      <c r="N69" s="120"/>
      <c r="O69" s="119"/>
      <c r="P69" s="119">
        <f>G69/G68</f>
        <v>7</v>
      </c>
      <c r="Q69" s="119"/>
      <c r="R69" s="118">
        <f>I69/I68</f>
        <v>7</v>
      </c>
    </row>
    <row r="70" spans="2:18" ht="16" thickBot="1">
      <c r="B70" s="157">
        <v>8</v>
      </c>
      <c r="C70" s="156" t="s">
        <v>304</v>
      </c>
      <c r="D70" s="155" t="s">
        <v>302</v>
      </c>
      <c r="E70" s="154">
        <v>54</v>
      </c>
      <c r="F70" s="153">
        <v>2911</v>
      </c>
      <c r="G70" s="153">
        <v>185.86</v>
      </c>
      <c r="H70" s="153">
        <v>183.02</v>
      </c>
      <c r="I70" s="118">
        <f t="shared" si="2"/>
        <v>3333.88</v>
      </c>
      <c r="J70" s="106"/>
      <c r="K70" s="106"/>
    </row>
    <row r="71" spans="2:18" ht="16" thickBot="1">
      <c r="B71" s="152"/>
      <c r="C71" s="151" t="s">
        <v>303</v>
      </c>
      <c r="D71" s="150" t="s">
        <v>302</v>
      </c>
      <c r="E71" s="148">
        <f>E57+E59+E61+E63+E67+E69+E70+E65</f>
        <v>130700.625</v>
      </c>
      <c r="F71" s="148">
        <f>F57+F59+F61+F63+F67+F69+F70+F65</f>
        <v>103058.185</v>
      </c>
      <c r="G71" s="148">
        <f>G57+G59+G61+G63+G67+G69+G70+G65</f>
        <v>40522.048999999992</v>
      </c>
      <c r="H71" s="148">
        <f>H57+H59+H61+H63+H67+H69+H70+H65</f>
        <v>102401.894</v>
      </c>
      <c r="I71" s="148">
        <f>I57+I59+I61+I63+I67+I69+I70+I65</f>
        <v>376682.75300000003</v>
      </c>
      <c r="J71" s="106"/>
      <c r="K71" s="106"/>
    </row>
    <row r="72" spans="2:18">
      <c r="E72" s="160">
        <f t="shared" ref="E72:H73" si="3">E56+E58</f>
        <v>3176.107</v>
      </c>
      <c r="F72" s="160">
        <f t="shared" si="3"/>
        <v>2280.0529999999999</v>
      </c>
      <c r="G72" s="160">
        <f t="shared" si="3"/>
        <v>3248.0430000000001</v>
      </c>
      <c r="H72" s="160">
        <f t="shared" si="3"/>
        <v>5190.2380000000003</v>
      </c>
      <c r="J72" s="106"/>
      <c r="K72" s="106"/>
    </row>
    <row r="73" spans="2:18">
      <c r="E73" s="160">
        <f t="shared" si="3"/>
        <v>130646.625</v>
      </c>
      <c r="F73" s="160">
        <f t="shared" si="3"/>
        <v>99599.985000000001</v>
      </c>
      <c r="G73" s="160">
        <f t="shared" si="3"/>
        <v>27896.546000000002</v>
      </c>
      <c r="H73" s="160">
        <f t="shared" si="3"/>
        <v>101036.489</v>
      </c>
      <c r="J73" s="106"/>
      <c r="K73" s="106"/>
    </row>
    <row r="74" spans="2:18" ht="16" thickBot="1">
      <c r="H74" s="159">
        <v>5090</v>
      </c>
      <c r="J74" s="106"/>
      <c r="K74" s="106"/>
    </row>
    <row r="75" spans="2:18" ht="16" thickBot="1">
      <c r="B75" s="803" t="s">
        <v>315</v>
      </c>
      <c r="C75" s="805" t="s">
        <v>314</v>
      </c>
      <c r="D75" s="806"/>
      <c r="E75" s="809">
        <v>2019</v>
      </c>
      <c r="F75" s="810"/>
      <c r="G75" s="810"/>
      <c r="H75" s="810"/>
      <c r="I75" s="811"/>
      <c r="J75" s="106"/>
      <c r="K75" s="106"/>
      <c r="N75" s="809" t="s">
        <v>318</v>
      </c>
      <c r="O75" s="810"/>
      <c r="P75" s="810"/>
      <c r="Q75" s="810"/>
      <c r="R75" s="811"/>
    </row>
    <row r="76" spans="2:18" ht="16" thickBot="1">
      <c r="B76" s="804"/>
      <c r="C76" s="807"/>
      <c r="D76" s="808"/>
      <c r="E76" s="142" t="s">
        <v>312</v>
      </c>
      <c r="F76" s="142" t="s">
        <v>317</v>
      </c>
      <c r="G76" s="142" t="s">
        <v>310</v>
      </c>
      <c r="H76" s="141" t="s">
        <v>309</v>
      </c>
      <c r="I76" s="140" t="s">
        <v>176</v>
      </c>
      <c r="J76" s="106"/>
      <c r="K76" s="106"/>
      <c r="N76" s="142" t="str">
        <f>E76</f>
        <v xml:space="preserve">1 квартал </v>
      </c>
      <c r="O76" s="142" t="str">
        <f>F76</f>
        <v>2 квартал *</v>
      </c>
      <c r="P76" s="142" t="str">
        <f>G76</f>
        <v xml:space="preserve">3 квартал </v>
      </c>
      <c r="Q76" s="141" t="str">
        <f>H76</f>
        <v xml:space="preserve">4 квартал </v>
      </c>
      <c r="R76" s="140" t="str">
        <f>I76</f>
        <v>Итого</v>
      </c>
    </row>
    <row r="77" spans="2:18">
      <c r="B77" s="812">
        <v>1</v>
      </c>
      <c r="C77" s="814" t="s">
        <v>177</v>
      </c>
      <c r="D77" s="158" t="s">
        <v>305</v>
      </c>
      <c r="E77" s="136">
        <v>2112.0100000000002</v>
      </c>
      <c r="F77" s="135">
        <v>1785.9719999999998</v>
      </c>
      <c r="G77" s="135">
        <v>913.62899999999991</v>
      </c>
      <c r="H77" s="135">
        <v>4304.5209999999997</v>
      </c>
      <c r="I77" s="134">
        <f t="shared" ref="I77:I91" si="4">E77+F77+G77+H77</f>
        <v>9116.1319999999996</v>
      </c>
      <c r="J77" s="106"/>
      <c r="K77" s="106"/>
      <c r="N77" s="136"/>
      <c r="O77" s="135"/>
      <c r="P77" s="135"/>
      <c r="Q77" s="135"/>
      <c r="R77" s="134"/>
    </row>
    <row r="78" spans="2:18">
      <c r="B78" s="813"/>
      <c r="C78" s="815"/>
      <c r="D78" s="155" t="s">
        <v>302</v>
      </c>
      <c r="E78" s="120">
        <v>75503.641666666663</v>
      </c>
      <c r="F78" s="119">
        <v>51981.253333333341</v>
      </c>
      <c r="G78" s="119">
        <v>35773.46</v>
      </c>
      <c r="H78" s="119">
        <v>169915.50899999999</v>
      </c>
      <c r="I78" s="118">
        <f t="shared" si="4"/>
        <v>333173.864</v>
      </c>
      <c r="J78" s="106"/>
      <c r="K78" s="106"/>
      <c r="N78" s="120">
        <f>E78/E77</f>
        <v>35.749661065367427</v>
      </c>
      <c r="O78" s="119">
        <f>F78/F77</f>
        <v>29.105301389570133</v>
      </c>
      <c r="P78" s="119">
        <f>G78/G77</f>
        <v>39.155346426175178</v>
      </c>
      <c r="Q78" s="119">
        <f>H78/H77</f>
        <v>39.473732152776115</v>
      </c>
      <c r="R78" s="119">
        <f>I78/I77</f>
        <v>36.547722652546057</v>
      </c>
    </row>
    <row r="79" spans="2:18">
      <c r="B79" s="816">
        <v>2</v>
      </c>
      <c r="C79" s="817" t="s">
        <v>308</v>
      </c>
      <c r="D79" s="158" t="s">
        <v>305</v>
      </c>
      <c r="E79" s="125">
        <v>9.16</v>
      </c>
      <c r="F79" s="124">
        <v>815.57500000000005</v>
      </c>
      <c r="G79" s="124">
        <v>3376.8820000000001</v>
      </c>
      <c r="H79" s="124">
        <v>6121.2750000000015</v>
      </c>
      <c r="I79" s="123">
        <f t="shared" si="4"/>
        <v>10322.892000000002</v>
      </c>
      <c r="J79" s="106"/>
      <c r="K79" s="106"/>
      <c r="N79" s="125"/>
      <c r="O79" s="124"/>
      <c r="P79" s="124"/>
      <c r="Q79" s="124"/>
      <c r="R79" s="123"/>
    </row>
    <row r="80" spans="2:18">
      <c r="B80" s="813"/>
      <c r="C80" s="815"/>
      <c r="D80" s="155" t="s">
        <v>302</v>
      </c>
      <c r="E80" s="120">
        <v>34.550000000000004</v>
      </c>
      <c r="F80" s="119">
        <v>4917.8150000000005</v>
      </c>
      <c r="G80" s="119">
        <v>25516.832999999999</v>
      </c>
      <c r="H80" s="119">
        <v>42692.701000000015</v>
      </c>
      <c r="I80" s="118">
        <f t="shared" si="4"/>
        <v>73161.899000000019</v>
      </c>
      <c r="J80" s="106"/>
      <c r="K80" s="106"/>
      <c r="N80" s="120">
        <f>E80/E79</f>
        <v>3.7718340611353716</v>
      </c>
      <c r="O80" s="119">
        <f>F80/F79</f>
        <v>6.029874628329706</v>
      </c>
      <c r="P80" s="119">
        <f>G80/G79</f>
        <v>7.5563294779029881</v>
      </c>
      <c r="Q80" s="119">
        <f>H80/H79</f>
        <v>6.9744785195894652</v>
      </c>
      <c r="R80" s="119">
        <f>I80/I79</f>
        <v>7.0873451935755991</v>
      </c>
    </row>
    <row r="81" spans="2:18">
      <c r="B81" s="816">
        <v>3</v>
      </c>
      <c r="C81" s="817" t="s">
        <v>178</v>
      </c>
      <c r="D81" s="158" t="s">
        <v>305</v>
      </c>
      <c r="E81" s="125">
        <v>0</v>
      </c>
      <c r="F81" s="124">
        <v>0</v>
      </c>
      <c r="G81" s="124">
        <v>114.65900000000001</v>
      </c>
      <c r="H81" s="124">
        <v>27.345999999999989</v>
      </c>
      <c r="I81" s="123">
        <f t="shared" si="4"/>
        <v>142.005</v>
      </c>
      <c r="J81" s="106"/>
      <c r="K81" s="106"/>
      <c r="N81" s="125"/>
      <c r="O81" s="124"/>
      <c r="P81" s="124"/>
      <c r="Q81" s="124"/>
      <c r="R81" s="123"/>
    </row>
    <row r="82" spans="2:18">
      <c r="B82" s="813"/>
      <c r="C82" s="815"/>
      <c r="D82" s="155" t="s">
        <v>302</v>
      </c>
      <c r="E82" s="120">
        <v>0</v>
      </c>
      <c r="F82" s="119">
        <v>0</v>
      </c>
      <c r="G82" s="119">
        <v>4764.9880000000003</v>
      </c>
      <c r="H82" s="119">
        <v>24.859999999999673</v>
      </c>
      <c r="I82" s="118">
        <f t="shared" si="4"/>
        <v>4789.848</v>
      </c>
      <c r="J82" s="106"/>
      <c r="K82" s="106"/>
      <c r="N82" s="120"/>
      <c r="O82" s="119"/>
      <c r="P82" s="119">
        <f>G82/G81</f>
        <v>41.557906487933785</v>
      </c>
      <c r="Q82" s="119">
        <f>H82/H81</f>
        <v>0.90909090909089751</v>
      </c>
      <c r="R82" s="118">
        <f>I82/I81</f>
        <v>33.730136262807648</v>
      </c>
    </row>
    <row r="83" spans="2:18">
      <c r="B83" s="816">
        <v>4</v>
      </c>
      <c r="C83" s="817" t="s">
        <v>179</v>
      </c>
      <c r="D83" s="158" t="s">
        <v>305</v>
      </c>
      <c r="E83" s="125">
        <v>0</v>
      </c>
      <c r="F83" s="124">
        <v>29.805</v>
      </c>
      <c r="G83" s="124">
        <v>282.072</v>
      </c>
      <c r="H83" s="124">
        <v>32.113</v>
      </c>
      <c r="I83" s="123">
        <f t="shared" si="4"/>
        <v>343.99</v>
      </c>
      <c r="J83" s="106"/>
      <c r="K83" s="106"/>
      <c r="N83" s="125"/>
      <c r="O83" s="124"/>
      <c r="P83" s="124"/>
      <c r="Q83" s="124"/>
      <c r="R83" s="123"/>
    </row>
    <row r="84" spans="2:18">
      <c r="B84" s="813"/>
      <c r="C84" s="815"/>
      <c r="D84" s="155" t="s">
        <v>302</v>
      </c>
      <c r="E84" s="120">
        <v>0</v>
      </c>
      <c r="F84" s="119">
        <v>620.93700000000001</v>
      </c>
      <c r="G84" s="119">
        <v>5941.87</v>
      </c>
      <c r="H84" s="119">
        <v>283.94599999999991</v>
      </c>
      <c r="I84" s="118">
        <f t="shared" si="4"/>
        <v>6846.7529999999997</v>
      </c>
      <c r="J84" s="106"/>
      <c r="K84" s="106"/>
      <c r="N84" s="120"/>
      <c r="O84" s="119">
        <f>F84/F83</f>
        <v>20.83331655762456</v>
      </c>
      <c r="P84" s="119">
        <f>G84/G83</f>
        <v>21.065082673927222</v>
      </c>
      <c r="Q84" s="119">
        <f>H84/H83</f>
        <v>8.8420888736648688</v>
      </c>
      <c r="R84" s="118">
        <f>I84/I83</f>
        <v>19.903930346812405</v>
      </c>
    </row>
    <row r="85" spans="2:18">
      <c r="B85" s="816">
        <v>5</v>
      </c>
      <c r="C85" s="817" t="s">
        <v>180</v>
      </c>
      <c r="D85" s="158" t="s">
        <v>305</v>
      </c>
      <c r="E85" s="131">
        <v>0</v>
      </c>
      <c r="F85" s="130">
        <v>24.960999999999999</v>
      </c>
      <c r="G85" s="130">
        <v>0</v>
      </c>
      <c r="H85" s="130">
        <v>0</v>
      </c>
      <c r="I85" s="123">
        <f t="shared" si="4"/>
        <v>24.960999999999999</v>
      </c>
      <c r="J85" s="106"/>
      <c r="K85" s="106"/>
      <c r="N85" s="131"/>
      <c r="O85" s="130"/>
      <c r="P85" s="130"/>
      <c r="Q85" s="130"/>
      <c r="R85" s="123"/>
    </row>
    <row r="86" spans="2:18">
      <c r="B86" s="813"/>
      <c r="C86" s="815"/>
      <c r="D86" s="155" t="s">
        <v>302</v>
      </c>
      <c r="E86" s="120">
        <v>0</v>
      </c>
      <c r="F86" s="119">
        <v>2280.86</v>
      </c>
      <c r="G86" s="119">
        <v>0</v>
      </c>
      <c r="H86" s="119">
        <v>0</v>
      </c>
      <c r="I86" s="118">
        <f t="shared" si="4"/>
        <v>2280.86</v>
      </c>
      <c r="J86" s="106"/>
      <c r="K86" s="106"/>
      <c r="N86" s="120"/>
      <c r="O86" s="119">
        <f>F86/F85</f>
        <v>91.376948038940753</v>
      </c>
      <c r="P86" s="119"/>
      <c r="Q86" s="119"/>
      <c r="R86" s="118">
        <f>I86/I85</f>
        <v>91.376948038940753</v>
      </c>
    </row>
    <row r="87" spans="2:18">
      <c r="B87" s="816">
        <v>6</v>
      </c>
      <c r="C87" s="817" t="s">
        <v>307</v>
      </c>
      <c r="D87" s="158" t="s">
        <v>305</v>
      </c>
      <c r="E87" s="131">
        <v>0</v>
      </c>
      <c r="F87" s="130">
        <v>0</v>
      </c>
      <c r="G87" s="130">
        <v>1321.6479999999999</v>
      </c>
      <c r="H87" s="130">
        <v>0</v>
      </c>
      <c r="I87" s="123">
        <f t="shared" si="4"/>
        <v>1321.6479999999999</v>
      </c>
      <c r="J87" s="106"/>
      <c r="K87" s="106"/>
      <c r="N87" s="131"/>
      <c r="O87" s="130"/>
      <c r="P87" s="130"/>
      <c r="Q87" s="130"/>
      <c r="R87" s="123"/>
    </row>
    <row r="88" spans="2:18">
      <c r="B88" s="813"/>
      <c r="C88" s="815"/>
      <c r="D88" s="155" t="s">
        <v>302</v>
      </c>
      <c r="E88" s="120">
        <v>0</v>
      </c>
      <c r="F88" s="119">
        <v>0</v>
      </c>
      <c r="G88" s="119">
        <v>12074.755999999999</v>
      </c>
      <c r="H88" s="119">
        <v>0</v>
      </c>
      <c r="I88" s="118">
        <f t="shared" si="4"/>
        <v>12074.755999999999</v>
      </c>
      <c r="J88" s="106"/>
      <c r="K88" s="106"/>
      <c r="N88" s="120"/>
      <c r="O88" s="119"/>
      <c r="P88" s="119">
        <f>G88/G87</f>
        <v>9.1361360967519349</v>
      </c>
      <c r="Q88" s="119"/>
      <c r="R88" s="118">
        <f>I88/I87</f>
        <v>9.1361360967519349</v>
      </c>
    </row>
    <row r="89" spans="2:18">
      <c r="B89" s="816">
        <v>7</v>
      </c>
      <c r="C89" s="817" t="s">
        <v>306</v>
      </c>
      <c r="D89" s="158" t="s">
        <v>305</v>
      </c>
      <c r="E89" s="125">
        <v>0</v>
      </c>
      <c r="F89" s="124">
        <v>0</v>
      </c>
      <c r="G89" s="124">
        <v>0</v>
      </c>
      <c r="H89" s="124">
        <v>0</v>
      </c>
      <c r="I89" s="123">
        <f t="shared" si="4"/>
        <v>0</v>
      </c>
      <c r="J89" s="106"/>
      <c r="K89" s="106"/>
      <c r="N89" s="125"/>
      <c r="O89" s="124"/>
      <c r="P89" s="124"/>
      <c r="Q89" s="124">
        <f>Q65</f>
        <v>0</v>
      </c>
      <c r="R89" s="123"/>
    </row>
    <row r="90" spans="2:18" ht="16" thickBot="1">
      <c r="B90" s="818"/>
      <c r="C90" s="819"/>
      <c r="D90" s="155" t="s">
        <v>302</v>
      </c>
      <c r="E90" s="120">
        <v>0</v>
      </c>
      <c r="F90" s="119">
        <v>0</v>
      </c>
      <c r="G90" s="119">
        <v>0</v>
      </c>
      <c r="H90" s="119">
        <v>0</v>
      </c>
      <c r="I90" s="118">
        <f t="shared" si="4"/>
        <v>0</v>
      </c>
      <c r="J90" s="106"/>
      <c r="K90" s="106"/>
      <c r="N90" s="120"/>
      <c r="O90" s="119"/>
      <c r="P90" s="119"/>
      <c r="Q90" s="119"/>
      <c r="R90" s="118"/>
    </row>
    <row r="91" spans="2:18" ht="16" thickBot="1">
      <c r="B91" s="157">
        <v>8</v>
      </c>
      <c r="C91" s="156" t="s">
        <v>304</v>
      </c>
      <c r="D91" s="155" t="s">
        <v>302</v>
      </c>
      <c r="E91" s="154">
        <v>123.94166666666666</v>
      </c>
      <c r="F91" s="153">
        <v>121.47433333333333</v>
      </c>
      <c r="G91" s="153">
        <v>78.69</v>
      </c>
      <c r="H91" s="153">
        <v>187.50599999999997</v>
      </c>
      <c r="I91" s="118">
        <f t="shared" si="4"/>
        <v>511.61199999999997</v>
      </c>
      <c r="J91" s="106"/>
      <c r="K91" s="106"/>
    </row>
    <row r="92" spans="2:18" ht="16" thickBot="1">
      <c r="B92" s="152"/>
      <c r="C92" s="151" t="s">
        <v>303</v>
      </c>
      <c r="D92" s="150" t="s">
        <v>302</v>
      </c>
      <c r="E92" s="148">
        <f>E78+E80+E82+E84+E88+E90+E91+E86</f>
        <v>75662.133333333331</v>
      </c>
      <c r="F92" s="148">
        <f>F78+F80+F82+F84+F88+F90+F91+F86</f>
        <v>59922.339666666674</v>
      </c>
      <c r="G92" s="149">
        <f>G78+G80+G82+G84+G88+G90+G91+G86</f>
        <v>84150.596999999994</v>
      </c>
      <c r="H92" s="148">
        <f>H78+H80+H82+H84+H88+H90+H91+H86</f>
        <v>213104.522</v>
      </c>
      <c r="I92" s="148">
        <f>I78+I80+I82+I84+I88+I90+I91+I86</f>
        <v>432839.59200000006</v>
      </c>
      <c r="J92" s="106"/>
      <c r="K92" s="106"/>
      <c r="N92" s="32" t="s">
        <v>316</v>
      </c>
    </row>
    <row r="93" spans="2:18">
      <c r="B93" s="147"/>
      <c r="C93" s="147"/>
      <c r="D93" s="147"/>
      <c r="E93" s="146"/>
      <c r="F93" s="146"/>
      <c r="G93" s="146"/>
      <c r="H93" s="146"/>
      <c r="I93" s="146"/>
      <c r="J93" s="106"/>
      <c r="K93" s="106"/>
    </row>
    <row r="94" spans="2:18">
      <c r="B94" s="147"/>
      <c r="C94" s="147"/>
      <c r="D94" s="147"/>
      <c r="E94" s="146"/>
      <c r="F94" s="146"/>
      <c r="G94" s="146"/>
      <c r="H94" s="146"/>
      <c r="I94" s="146"/>
      <c r="J94" s="106"/>
      <c r="K94" s="106"/>
    </row>
    <row r="95" spans="2:18">
      <c r="J95" s="106"/>
      <c r="K95" s="106"/>
    </row>
    <row r="96" spans="2:18" ht="16" thickBot="1">
      <c r="J96" s="106"/>
      <c r="K96" s="106"/>
    </row>
    <row r="97" spans="2:18" ht="16" thickBot="1">
      <c r="B97" s="820" t="s">
        <v>315</v>
      </c>
      <c r="C97" s="822" t="s">
        <v>314</v>
      </c>
      <c r="D97" s="823"/>
      <c r="E97" s="826">
        <v>2020</v>
      </c>
      <c r="F97" s="827"/>
      <c r="G97" s="827"/>
      <c r="H97" s="827"/>
      <c r="I97" s="828"/>
      <c r="J97" s="106"/>
      <c r="K97" s="106"/>
      <c r="N97" s="809" t="s">
        <v>313</v>
      </c>
      <c r="O97" s="810"/>
      <c r="P97" s="810"/>
      <c r="Q97" s="810"/>
      <c r="R97" s="811"/>
    </row>
    <row r="98" spans="2:18" ht="16" thickBot="1">
      <c r="B98" s="821"/>
      <c r="C98" s="824"/>
      <c r="D98" s="825"/>
      <c r="E98" s="145" t="s">
        <v>312</v>
      </c>
      <c r="F98" s="145" t="s">
        <v>311</v>
      </c>
      <c r="G98" s="145" t="s">
        <v>310</v>
      </c>
      <c r="H98" s="144" t="s">
        <v>309</v>
      </c>
      <c r="I98" s="143" t="s">
        <v>176</v>
      </c>
      <c r="J98" s="106"/>
      <c r="K98" s="106"/>
      <c r="N98" s="142" t="str">
        <f>E98</f>
        <v xml:space="preserve">1 квартал </v>
      </c>
      <c r="O98" s="142" t="str">
        <f>F98</f>
        <v xml:space="preserve">2 квартал </v>
      </c>
      <c r="P98" s="142" t="str">
        <f>G98</f>
        <v xml:space="preserve">3 квартал </v>
      </c>
      <c r="Q98" s="141" t="str">
        <f>H98</f>
        <v xml:space="preserve">4 квартал </v>
      </c>
      <c r="R98" s="140" t="str">
        <f>I98</f>
        <v>Итого</v>
      </c>
    </row>
    <row r="99" spans="2:18">
      <c r="B99" s="801">
        <v>1</v>
      </c>
      <c r="C99" s="802" t="s">
        <v>177</v>
      </c>
      <c r="D99" s="129" t="s">
        <v>305</v>
      </c>
      <c r="E99" s="139">
        <v>3818.3</v>
      </c>
      <c r="F99" s="138">
        <v>1110.8599999999997</v>
      </c>
      <c r="G99" s="138"/>
      <c r="H99" s="138"/>
      <c r="I99" s="137">
        <f t="shared" ref="I99:I114" si="5">SUM(E99:H99)</f>
        <v>4929.16</v>
      </c>
      <c r="J99" s="106"/>
      <c r="K99" s="106"/>
      <c r="N99" s="136"/>
      <c r="O99" s="135"/>
      <c r="P99" s="135"/>
      <c r="Q99" s="135"/>
      <c r="R99" s="134"/>
    </row>
    <row r="100" spans="2:18">
      <c r="B100" s="799"/>
      <c r="C100" s="800"/>
      <c r="D100" s="115" t="s">
        <v>302</v>
      </c>
      <c r="E100" s="122">
        <v>174239.86</v>
      </c>
      <c r="F100" s="121">
        <v>68295.960000000021</v>
      </c>
      <c r="G100" s="121"/>
      <c r="H100" s="121"/>
      <c r="I100" s="112">
        <f t="shared" si="5"/>
        <v>242535.82</v>
      </c>
      <c r="J100" s="106"/>
      <c r="K100" s="106"/>
      <c r="N100" s="120">
        <f>E100/E99</f>
        <v>45.632836602676576</v>
      </c>
      <c r="O100" s="119"/>
      <c r="P100" s="119"/>
      <c r="Q100" s="119"/>
      <c r="R100" s="119">
        <f>I100/I99</f>
        <v>49.204290386191566</v>
      </c>
    </row>
    <row r="101" spans="2:18">
      <c r="B101" s="795">
        <v>2</v>
      </c>
      <c r="C101" s="797" t="s">
        <v>308</v>
      </c>
      <c r="D101" s="129" t="s">
        <v>305</v>
      </c>
      <c r="E101" s="128">
        <v>583.4</v>
      </c>
      <c r="F101" s="127">
        <v>219.60000000000002</v>
      </c>
      <c r="G101" s="127"/>
      <c r="H101" s="127"/>
      <c r="I101" s="126">
        <f t="shared" si="5"/>
        <v>803</v>
      </c>
      <c r="J101" s="106"/>
      <c r="K101" s="106"/>
      <c r="N101" s="125"/>
      <c r="O101" s="124"/>
      <c r="P101" s="124"/>
      <c r="Q101" s="124"/>
      <c r="R101" s="123"/>
    </row>
    <row r="102" spans="2:18">
      <c r="B102" s="799"/>
      <c r="C102" s="800"/>
      <c r="D102" s="115" t="s">
        <v>302</v>
      </c>
      <c r="E102" s="122">
        <v>1591.02</v>
      </c>
      <c r="F102" s="121">
        <v>1107.5100000000002</v>
      </c>
      <c r="G102" s="121"/>
      <c r="H102" s="121"/>
      <c r="I102" s="112">
        <f t="shared" si="5"/>
        <v>2698.53</v>
      </c>
      <c r="J102" s="106"/>
      <c r="K102" s="106"/>
      <c r="N102" s="120">
        <f>E102/E101</f>
        <v>2.7271511827219745</v>
      </c>
      <c r="O102" s="119"/>
      <c r="P102" s="119"/>
      <c r="Q102" s="119"/>
      <c r="R102" s="119">
        <f>I102/I101</f>
        <v>3.3605603985056041</v>
      </c>
    </row>
    <row r="103" spans="2:18">
      <c r="B103" s="795">
        <v>3</v>
      </c>
      <c r="C103" s="797" t="s">
        <v>178</v>
      </c>
      <c r="D103" s="129" t="s">
        <v>305</v>
      </c>
      <c r="E103" s="128">
        <v>0</v>
      </c>
      <c r="F103" s="127">
        <v>0</v>
      </c>
      <c r="G103" s="127"/>
      <c r="H103" s="127"/>
      <c r="I103" s="126">
        <f t="shared" si="5"/>
        <v>0</v>
      </c>
      <c r="J103" s="106"/>
      <c r="K103" s="106"/>
      <c r="N103" s="125"/>
      <c r="O103" s="124"/>
      <c r="P103" s="124"/>
      <c r="Q103" s="124"/>
      <c r="R103" s="123"/>
    </row>
    <row r="104" spans="2:18">
      <c r="B104" s="799"/>
      <c r="C104" s="800"/>
      <c r="D104" s="115" t="s">
        <v>302</v>
      </c>
      <c r="E104" s="122">
        <v>0</v>
      </c>
      <c r="F104" s="121">
        <v>0</v>
      </c>
      <c r="G104" s="121"/>
      <c r="H104" s="121"/>
      <c r="I104" s="112">
        <f t="shared" si="5"/>
        <v>0</v>
      </c>
      <c r="J104" s="106"/>
      <c r="K104" s="106"/>
      <c r="N104" s="120"/>
      <c r="O104" s="119"/>
      <c r="P104" s="119"/>
      <c r="Q104" s="119"/>
      <c r="R104" s="118"/>
    </row>
    <row r="105" spans="2:18">
      <c r="B105" s="795">
        <v>4</v>
      </c>
      <c r="C105" s="797" t="s">
        <v>179</v>
      </c>
      <c r="D105" s="129" t="s">
        <v>305</v>
      </c>
      <c r="E105" s="128">
        <v>0</v>
      </c>
      <c r="F105" s="127">
        <v>0</v>
      </c>
      <c r="G105" s="127"/>
      <c r="H105" s="127"/>
      <c r="I105" s="126">
        <f t="shared" si="5"/>
        <v>0</v>
      </c>
      <c r="J105" s="106"/>
      <c r="K105" s="106"/>
      <c r="N105" s="125"/>
      <c r="O105" s="124"/>
      <c r="P105" s="124"/>
      <c r="Q105" s="124"/>
      <c r="R105" s="123"/>
    </row>
    <row r="106" spans="2:18">
      <c r="B106" s="799"/>
      <c r="C106" s="800"/>
      <c r="D106" s="115" t="s">
        <v>302</v>
      </c>
      <c r="E106" s="122">
        <v>0</v>
      </c>
      <c r="F106" s="121">
        <v>0</v>
      </c>
      <c r="G106" s="121"/>
      <c r="H106" s="121"/>
      <c r="I106" s="112">
        <f t="shared" si="5"/>
        <v>0</v>
      </c>
      <c r="J106" s="106"/>
      <c r="K106" s="106"/>
      <c r="N106" s="120"/>
      <c r="O106" s="119"/>
      <c r="P106" s="119"/>
      <c r="Q106" s="119"/>
      <c r="R106" s="118"/>
    </row>
    <row r="107" spans="2:18">
      <c r="B107" s="795">
        <v>5</v>
      </c>
      <c r="C107" s="797" t="s">
        <v>180</v>
      </c>
      <c r="D107" s="129" t="s">
        <v>305</v>
      </c>
      <c r="E107" s="133">
        <v>0</v>
      </c>
      <c r="F107" s="132">
        <v>4.54</v>
      </c>
      <c r="G107" s="132"/>
      <c r="H107" s="132"/>
      <c r="I107" s="126">
        <f t="shared" si="5"/>
        <v>4.54</v>
      </c>
      <c r="J107" s="106"/>
      <c r="K107" s="106"/>
      <c r="N107" s="131"/>
      <c r="O107" s="130"/>
      <c r="P107" s="130"/>
      <c r="Q107" s="130"/>
      <c r="R107" s="123"/>
    </row>
    <row r="108" spans="2:18">
      <c r="B108" s="799"/>
      <c r="C108" s="800"/>
      <c r="D108" s="115" t="s">
        <v>302</v>
      </c>
      <c r="E108" s="122">
        <v>0</v>
      </c>
      <c r="F108" s="121">
        <v>227.13</v>
      </c>
      <c r="G108" s="121"/>
      <c r="H108" s="121"/>
      <c r="I108" s="112">
        <f t="shared" si="5"/>
        <v>227.13</v>
      </c>
      <c r="J108" s="106"/>
      <c r="K108" s="106"/>
      <c r="N108" s="120"/>
      <c r="O108" s="119"/>
      <c r="P108" s="119"/>
      <c r="Q108" s="119"/>
      <c r="R108" s="118"/>
    </row>
    <row r="109" spans="2:18">
      <c r="B109" s="795">
        <v>6</v>
      </c>
      <c r="C109" s="797" t="s">
        <v>307</v>
      </c>
      <c r="D109" s="129" t="s">
        <v>305</v>
      </c>
      <c r="E109" s="133">
        <v>0</v>
      </c>
      <c r="F109" s="132">
        <v>0</v>
      </c>
      <c r="G109" s="132"/>
      <c r="H109" s="132"/>
      <c r="I109" s="126">
        <f t="shared" si="5"/>
        <v>0</v>
      </c>
      <c r="J109" s="106"/>
      <c r="K109" s="106"/>
      <c r="N109" s="131"/>
      <c r="O109" s="130"/>
      <c r="P109" s="130"/>
      <c r="Q109" s="130"/>
      <c r="R109" s="123"/>
    </row>
    <row r="110" spans="2:18">
      <c r="B110" s="799"/>
      <c r="C110" s="800"/>
      <c r="D110" s="115" t="s">
        <v>302</v>
      </c>
      <c r="E110" s="122">
        <v>0</v>
      </c>
      <c r="F110" s="121">
        <v>0</v>
      </c>
      <c r="G110" s="121"/>
      <c r="H110" s="121"/>
      <c r="I110" s="112">
        <f t="shared" si="5"/>
        <v>0</v>
      </c>
      <c r="J110" s="106"/>
      <c r="K110" s="106"/>
      <c r="N110" s="120"/>
      <c r="O110" s="119"/>
      <c r="P110" s="119"/>
      <c r="Q110" s="119"/>
      <c r="R110" s="118"/>
    </row>
    <row r="111" spans="2:18">
      <c r="B111" s="795">
        <v>7</v>
      </c>
      <c r="C111" s="797" t="s">
        <v>306</v>
      </c>
      <c r="D111" s="129" t="s">
        <v>305</v>
      </c>
      <c r="E111" s="128">
        <v>0</v>
      </c>
      <c r="F111" s="127">
        <v>0</v>
      </c>
      <c r="G111" s="127"/>
      <c r="H111" s="127"/>
      <c r="I111" s="126">
        <f t="shared" si="5"/>
        <v>0</v>
      </c>
      <c r="J111" s="106"/>
      <c r="K111" s="106"/>
      <c r="N111" s="125"/>
      <c r="O111" s="124"/>
      <c r="P111" s="124"/>
      <c r="Q111" s="124">
        <f>Q87</f>
        <v>0</v>
      </c>
      <c r="R111" s="123"/>
    </row>
    <row r="112" spans="2:18" ht="16" thickBot="1">
      <c r="B112" s="796"/>
      <c r="C112" s="798"/>
      <c r="D112" s="115" t="s">
        <v>302</v>
      </c>
      <c r="E112" s="122">
        <v>0</v>
      </c>
      <c r="F112" s="121">
        <v>0</v>
      </c>
      <c r="G112" s="121"/>
      <c r="H112" s="121"/>
      <c r="I112" s="112">
        <f t="shared" si="5"/>
        <v>0</v>
      </c>
      <c r="J112" s="106"/>
      <c r="K112" s="106"/>
      <c r="N112" s="120"/>
      <c r="O112" s="119"/>
      <c r="P112" s="119"/>
      <c r="Q112" s="119"/>
      <c r="R112" s="118"/>
    </row>
    <row r="113" spans="2:11" ht="16" thickBot="1">
      <c r="B113" s="117">
        <v>8</v>
      </c>
      <c r="C113" s="116" t="s">
        <v>304</v>
      </c>
      <c r="D113" s="115" t="s">
        <v>302</v>
      </c>
      <c r="E113" s="114">
        <v>157.55000000000001</v>
      </c>
      <c r="F113" s="113">
        <v>156.32999999999998</v>
      </c>
      <c r="G113" s="113"/>
      <c r="H113" s="113"/>
      <c r="I113" s="112">
        <f t="shared" si="5"/>
        <v>313.88</v>
      </c>
      <c r="J113" s="106"/>
      <c r="K113" s="106"/>
    </row>
    <row r="114" spans="2:11" ht="16" thickBot="1">
      <c r="B114" s="111"/>
      <c r="C114" s="110" t="s">
        <v>303</v>
      </c>
      <c r="D114" s="109" t="s">
        <v>302</v>
      </c>
      <c r="E114" s="108">
        <f>E100+E102+E104+E106+E110+E112+E113+E108</f>
        <v>175988.42999999996</v>
      </c>
      <c r="F114" s="108">
        <f>F100+F102+F104+F106+F110+F112+F113+F108</f>
        <v>69786.930000000022</v>
      </c>
      <c r="G114" s="108">
        <f>G100+G102+G104+G106+G110+G112+G113+G108</f>
        <v>0</v>
      </c>
      <c r="H114" s="108">
        <f>H100+H102+H104+H106+H110+H112+H113+H108</f>
        <v>0</v>
      </c>
      <c r="I114" s="108">
        <f t="shared" si="5"/>
        <v>245775.35999999999</v>
      </c>
      <c r="J114" s="106"/>
      <c r="K114" s="106"/>
    </row>
    <row r="115" spans="2:11">
      <c r="J115" s="106"/>
      <c r="K115" s="106"/>
    </row>
    <row r="116" spans="2:11">
      <c r="J116" s="106"/>
      <c r="K116" s="106"/>
    </row>
    <row r="117" spans="2:11">
      <c r="C117" s="36" t="s">
        <v>341</v>
      </c>
      <c r="E117" s="107"/>
      <c r="J117" s="106"/>
      <c r="K117" s="106"/>
    </row>
    <row r="118" spans="2:11">
      <c r="C118" s="32">
        <v>2016</v>
      </c>
      <c r="E118" s="191">
        <f>E13/(E13+E11)</f>
        <v>0.22416127266456035</v>
      </c>
      <c r="F118" s="191">
        <f t="shared" ref="F118:I122" si="6">F13/(F13+F11)</f>
        <v>4.782890823554857E-2</v>
      </c>
      <c r="G118" s="191">
        <f t="shared" si="6"/>
        <v>0.33642078411126969</v>
      </c>
      <c r="H118" s="191">
        <f t="shared" si="6"/>
        <v>0.45634589665900827</v>
      </c>
      <c r="I118" s="191">
        <f t="shared" si="6"/>
        <v>0.34430479439104883</v>
      </c>
      <c r="J118" s="106"/>
      <c r="K118" s="106"/>
    </row>
    <row r="119" spans="2:11">
      <c r="C119" s="32">
        <v>2017</v>
      </c>
      <c r="E119" s="191">
        <f>E34/(E34+E32)</f>
        <v>0.12827385720258352</v>
      </c>
      <c r="F119" s="191">
        <f>F34/(F34+F32)</f>
        <v>0</v>
      </c>
      <c r="G119" s="191">
        <f>G34/(G34+G32)</f>
        <v>0.8309356870491128</v>
      </c>
      <c r="H119" s="191">
        <f>H34/(H34+H32)</f>
        <v>0.49563768086125115</v>
      </c>
      <c r="I119" s="191">
        <f>I34/(I34+I32)</f>
        <v>0.51400814197718625</v>
      </c>
      <c r="J119" s="106"/>
      <c r="K119" s="106"/>
    </row>
    <row r="120" spans="2:11">
      <c r="C120" s="32">
        <v>2018</v>
      </c>
      <c r="E120" s="191">
        <f>E58/(E58+E56)</f>
        <v>0.13372313968011784</v>
      </c>
      <c r="F120" s="191">
        <f>F58/(F58+F56)</f>
        <v>0.26495042001216634</v>
      </c>
      <c r="G120" s="191">
        <f>G58/(G58+G56)</f>
        <v>0.82766730612864414</v>
      </c>
      <c r="H120" s="191">
        <f>H58/(H58+H56)</f>
        <v>0.36626817498542452</v>
      </c>
      <c r="I120" s="191">
        <f>I58/(I58+I56)</f>
        <v>0.40434429855796289</v>
      </c>
      <c r="J120" s="106"/>
      <c r="K120" s="106"/>
    </row>
    <row r="121" spans="2:11">
      <c r="C121" s="32">
        <v>2019</v>
      </c>
      <c r="E121" s="191">
        <f>E16/(E16+E14)</f>
        <v>3.4598044242694511E-3</v>
      </c>
      <c r="F121" s="191">
        <f t="shared" si="6"/>
        <v>0</v>
      </c>
      <c r="G121" s="191">
        <f t="shared" si="6"/>
        <v>0.21535100475491556</v>
      </c>
      <c r="H121" s="191">
        <f t="shared" si="6"/>
        <v>0.13325913299422465</v>
      </c>
      <c r="I121" s="191">
        <f t="shared" si="6"/>
        <v>9.6447903682188044E-2</v>
      </c>
    </row>
    <row r="122" spans="2:11">
      <c r="C122" s="32">
        <v>2020</v>
      </c>
      <c r="E122" s="191">
        <f>E17/(E17+E15)</f>
        <v>0</v>
      </c>
      <c r="F122" s="191" t="e">
        <f t="shared" si="6"/>
        <v>#DIV/0!</v>
      </c>
      <c r="G122" s="191">
        <f t="shared" si="6"/>
        <v>0.89762615091816267</v>
      </c>
      <c r="H122" s="191">
        <f t="shared" si="6"/>
        <v>0.40183986231765284</v>
      </c>
      <c r="I122" s="191">
        <f t="shared" si="6"/>
        <v>0.77114088108799261</v>
      </c>
    </row>
    <row r="125" spans="2:11">
      <c r="C125" s="32" t="s">
        <v>344</v>
      </c>
    </row>
    <row r="126" spans="2:11">
      <c r="C126" s="32" t="s">
        <v>342</v>
      </c>
    </row>
    <row r="127" spans="2:11">
      <c r="C127" s="32" t="s">
        <v>343</v>
      </c>
    </row>
  </sheetData>
  <mergeCells count="90">
    <mergeCell ref="N97:R97"/>
    <mergeCell ref="B85:B86"/>
    <mergeCell ref="C85:C86"/>
    <mergeCell ref="B87:B88"/>
    <mergeCell ref="C87:C88"/>
    <mergeCell ref="B89:B90"/>
    <mergeCell ref="C89:C90"/>
    <mergeCell ref="B97:B98"/>
    <mergeCell ref="C97:D98"/>
    <mergeCell ref="E97:I97"/>
    <mergeCell ref="B79:B80"/>
    <mergeCell ref="C79:C80"/>
    <mergeCell ref="B81:B82"/>
    <mergeCell ref="C81:C82"/>
    <mergeCell ref="B83:B84"/>
    <mergeCell ref="C83:C84"/>
    <mergeCell ref="B75:B76"/>
    <mergeCell ref="C75:D76"/>
    <mergeCell ref="E75:I75"/>
    <mergeCell ref="N75:R75"/>
    <mergeCell ref="B77:B78"/>
    <mergeCell ref="C77:C78"/>
    <mergeCell ref="B64:B65"/>
    <mergeCell ref="C64:C65"/>
    <mergeCell ref="B66:B67"/>
    <mergeCell ref="C66:C67"/>
    <mergeCell ref="B68:B69"/>
    <mergeCell ref="C68:C69"/>
    <mergeCell ref="B58:B59"/>
    <mergeCell ref="C58:C59"/>
    <mergeCell ref="B60:B61"/>
    <mergeCell ref="C60:C61"/>
    <mergeCell ref="B62:B63"/>
    <mergeCell ref="C62:C63"/>
    <mergeCell ref="B54:B55"/>
    <mergeCell ref="C54:D55"/>
    <mergeCell ref="E54:I54"/>
    <mergeCell ref="N54:R54"/>
    <mergeCell ref="B56:B57"/>
    <mergeCell ref="C56:C57"/>
    <mergeCell ref="B40:B41"/>
    <mergeCell ref="C40:C41"/>
    <mergeCell ref="B42:B43"/>
    <mergeCell ref="C42:C43"/>
    <mergeCell ref="B44:B45"/>
    <mergeCell ref="C44:C45"/>
    <mergeCell ref="B34:B35"/>
    <mergeCell ref="C34:C35"/>
    <mergeCell ref="B36:B37"/>
    <mergeCell ref="C36:C37"/>
    <mergeCell ref="B38:B39"/>
    <mergeCell ref="C38:C39"/>
    <mergeCell ref="B30:B31"/>
    <mergeCell ref="C30:D31"/>
    <mergeCell ref="E30:I30"/>
    <mergeCell ref="N30:R30"/>
    <mergeCell ref="B32:B33"/>
    <mergeCell ref="C32:C33"/>
    <mergeCell ref="B19:B20"/>
    <mergeCell ref="C19:C20"/>
    <mergeCell ref="B21:B22"/>
    <mergeCell ref="C21:C22"/>
    <mergeCell ref="B23:B24"/>
    <mergeCell ref="C23:C24"/>
    <mergeCell ref="B13:B14"/>
    <mergeCell ref="C13:C14"/>
    <mergeCell ref="B15:B16"/>
    <mergeCell ref="C15:C16"/>
    <mergeCell ref="B17:B18"/>
    <mergeCell ref="C17:C18"/>
    <mergeCell ref="B9:B10"/>
    <mergeCell ref="C9:D10"/>
    <mergeCell ref="E9:I9"/>
    <mergeCell ref="N9:R9"/>
    <mergeCell ref="B11:B12"/>
    <mergeCell ref="C11:C12"/>
    <mergeCell ref="B99:B100"/>
    <mergeCell ref="C99:C100"/>
    <mergeCell ref="B101:B102"/>
    <mergeCell ref="C101:C102"/>
    <mergeCell ref="B103:B104"/>
    <mergeCell ref="C103:C104"/>
    <mergeCell ref="B111:B112"/>
    <mergeCell ref="C111:C112"/>
    <mergeCell ref="B105:B106"/>
    <mergeCell ref="C105:C106"/>
    <mergeCell ref="B107:B108"/>
    <mergeCell ref="C107:C108"/>
    <mergeCell ref="B109:B110"/>
    <mergeCell ref="C109:C110"/>
  </mergeCells>
  <pageMargins left="0.7" right="0.7" top="0.75" bottom="0.75" header="0.3" footer="0.3"/>
  <pageSetup paperSize="9" scale="53" fitToHeight="0" orientation="landscape" r:id="rId1"/>
  <rowBreaks count="1" manualBreakCount="1">
    <brk id="4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pageSetUpPr fitToPage="1"/>
  </sheetPr>
  <dimension ref="B4:R145"/>
  <sheetViews>
    <sheetView topLeftCell="A69" zoomScale="75" zoomScaleNormal="75" zoomScaleSheetLayoutView="75" workbookViewId="0">
      <pane xSplit="4" topLeftCell="E1" activePane="topRight" state="frozen"/>
      <selection activeCell="B69" sqref="B69"/>
      <selection pane="topRight" activeCell="L93" sqref="L93"/>
    </sheetView>
  </sheetViews>
  <sheetFormatPr baseColWidth="10" defaultColWidth="8.83203125" defaultRowHeight="15"/>
  <cols>
    <col min="1" max="1" width="9.1640625" style="32"/>
    <col min="2" max="2" width="6.1640625" style="32" customWidth="1"/>
    <col min="3" max="3" width="27.5" style="32" customWidth="1"/>
    <col min="4" max="4" width="18.5" style="32" customWidth="1"/>
    <col min="5" max="5" width="16.1640625" style="32" customWidth="1"/>
    <col min="6" max="6" width="19.1640625" style="32" customWidth="1"/>
    <col min="7" max="7" width="17.5" style="32" customWidth="1"/>
    <col min="8" max="8" width="19.83203125" style="32" customWidth="1"/>
    <col min="9" max="11" width="20.83203125" style="32" customWidth="1"/>
    <col min="12" max="13" width="12.5" style="32" bestFit="1" customWidth="1"/>
    <col min="14" max="14" width="9.1640625" style="32" customWidth="1"/>
    <col min="15" max="15" width="11" style="32" customWidth="1"/>
    <col min="16" max="17" width="9.1640625" style="32" customWidth="1"/>
    <col min="18" max="18" width="10.1640625" style="32" customWidth="1"/>
    <col min="19" max="259" width="9.1640625" style="32"/>
    <col min="260" max="260" width="6.1640625" style="32" customWidth="1"/>
    <col min="261" max="261" width="27.5" style="32" customWidth="1"/>
    <col min="262" max="262" width="21.83203125" style="32" customWidth="1"/>
    <col min="263" max="263" width="16.1640625" style="32" customWidth="1"/>
    <col min="264" max="264" width="19.1640625" style="32" customWidth="1"/>
    <col min="265" max="265" width="17.5" style="32" customWidth="1"/>
    <col min="266" max="266" width="19.83203125" style="32" customWidth="1"/>
    <col min="267" max="267" width="20.83203125" style="32" customWidth="1"/>
    <col min="268" max="515" width="9.1640625" style="32"/>
    <col min="516" max="516" width="6.1640625" style="32" customWidth="1"/>
    <col min="517" max="517" width="27.5" style="32" customWidth="1"/>
    <col min="518" max="518" width="21.83203125" style="32" customWidth="1"/>
    <col min="519" max="519" width="16.1640625" style="32" customWidth="1"/>
    <col min="520" max="520" width="19.1640625" style="32" customWidth="1"/>
    <col min="521" max="521" width="17.5" style="32" customWidth="1"/>
    <col min="522" max="522" width="19.83203125" style="32" customWidth="1"/>
    <col min="523" max="523" width="20.83203125" style="32" customWidth="1"/>
    <col min="524" max="771" width="9.1640625" style="32"/>
    <col min="772" max="772" width="6.1640625" style="32" customWidth="1"/>
    <col min="773" max="773" width="27.5" style="32" customWidth="1"/>
    <col min="774" max="774" width="21.83203125" style="32" customWidth="1"/>
    <col min="775" max="775" width="16.1640625" style="32" customWidth="1"/>
    <col min="776" max="776" width="19.1640625" style="32" customWidth="1"/>
    <col min="777" max="777" width="17.5" style="32" customWidth="1"/>
    <col min="778" max="778" width="19.83203125" style="32" customWidth="1"/>
    <col min="779" max="779" width="20.83203125" style="32" customWidth="1"/>
    <col min="780" max="1027" width="9.1640625" style="32"/>
    <col min="1028" max="1028" width="6.1640625" style="32" customWidth="1"/>
    <col min="1029" max="1029" width="27.5" style="32" customWidth="1"/>
    <col min="1030" max="1030" width="21.83203125" style="32" customWidth="1"/>
    <col min="1031" max="1031" width="16.1640625" style="32" customWidth="1"/>
    <col min="1032" max="1032" width="19.1640625" style="32" customWidth="1"/>
    <col min="1033" max="1033" width="17.5" style="32" customWidth="1"/>
    <col min="1034" max="1034" width="19.83203125" style="32" customWidth="1"/>
    <col min="1035" max="1035" width="20.83203125" style="32" customWidth="1"/>
    <col min="1036" max="1283" width="9.1640625" style="32"/>
    <col min="1284" max="1284" width="6.1640625" style="32" customWidth="1"/>
    <col min="1285" max="1285" width="27.5" style="32" customWidth="1"/>
    <col min="1286" max="1286" width="21.83203125" style="32" customWidth="1"/>
    <col min="1287" max="1287" width="16.1640625" style="32" customWidth="1"/>
    <col min="1288" max="1288" width="19.1640625" style="32" customWidth="1"/>
    <col min="1289" max="1289" width="17.5" style="32" customWidth="1"/>
    <col min="1290" max="1290" width="19.83203125" style="32" customWidth="1"/>
    <col min="1291" max="1291" width="20.83203125" style="32" customWidth="1"/>
    <col min="1292" max="1539" width="9.1640625" style="32"/>
    <col min="1540" max="1540" width="6.1640625" style="32" customWidth="1"/>
    <col min="1541" max="1541" width="27.5" style="32" customWidth="1"/>
    <col min="1542" max="1542" width="21.83203125" style="32" customWidth="1"/>
    <col min="1543" max="1543" width="16.1640625" style="32" customWidth="1"/>
    <col min="1544" max="1544" width="19.1640625" style="32" customWidth="1"/>
    <col min="1545" max="1545" width="17.5" style="32" customWidth="1"/>
    <col min="1546" max="1546" width="19.83203125" style="32" customWidth="1"/>
    <col min="1547" max="1547" width="20.83203125" style="32" customWidth="1"/>
    <col min="1548" max="1795" width="9.1640625" style="32"/>
    <col min="1796" max="1796" width="6.1640625" style="32" customWidth="1"/>
    <col min="1797" max="1797" width="27.5" style="32" customWidth="1"/>
    <col min="1798" max="1798" width="21.83203125" style="32" customWidth="1"/>
    <col min="1799" max="1799" width="16.1640625" style="32" customWidth="1"/>
    <col min="1800" max="1800" width="19.1640625" style="32" customWidth="1"/>
    <col min="1801" max="1801" width="17.5" style="32" customWidth="1"/>
    <col min="1802" max="1802" width="19.83203125" style="32" customWidth="1"/>
    <col min="1803" max="1803" width="20.83203125" style="32" customWidth="1"/>
    <col min="1804" max="2051" width="9.1640625" style="32"/>
    <col min="2052" max="2052" width="6.1640625" style="32" customWidth="1"/>
    <col min="2053" max="2053" width="27.5" style="32" customWidth="1"/>
    <col min="2054" max="2054" width="21.83203125" style="32" customWidth="1"/>
    <col min="2055" max="2055" width="16.1640625" style="32" customWidth="1"/>
    <col min="2056" max="2056" width="19.1640625" style="32" customWidth="1"/>
    <col min="2057" max="2057" width="17.5" style="32" customWidth="1"/>
    <col min="2058" max="2058" width="19.83203125" style="32" customWidth="1"/>
    <col min="2059" max="2059" width="20.83203125" style="32" customWidth="1"/>
    <col min="2060" max="2307" width="9.1640625" style="32"/>
    <col min="2308" max="2308" width="6.1640625" style="32" customWidth="1"/>
    <col min="2309" max="2309" width="27.5" style="32" customWidth="1"/>
    <col min="2310" max="2310" width="21.83203125" style="32" customWidth="1"/>
    <col min="2311" max="2311" width="16.1640625" style="32" customWidth="1"/>
    <col min="2312" max="2312" width="19.1640625" style="32" customWidth="1"/>
    <col min="2313" max="2313" width="17.5" style="32" customWidth="1"/>
    <col min="2314" max="2314" width="19.83203125" style="32" customWidth="1"/>
    <col min="2315" max="2315" width="20.83203125" style="32" customWidth="1"/>
    <col min="2316" max="2563" width="9.1640625" style="32"/>
    <col min="2564" max="2564" width="6.1640625" style="32" customWidth="1"/>
    <col min="2565" max="2565" width="27.5" style="32" customWidth="1"/>
    <col min="2566" max="2566" width="21.83203125" style="32" customWidth="1"/>
    <col min="2567" max="2567" width="16.1640625" style="32" customWidth="1"/>
    <col min="2568" max="2568" width="19.1640625" style="32" customWidth="1"/>
    <col min="2569" max="2569" width="17.5" style="32" customWidth="1"/>
    <col min="2570" max="2570" width="19.83203125" style="32" customWidth="1"/>
    <col min="2571" max="2571" width="20.83203125" style="32" customWidth="1"/>
    <col min="2572" max="2819" width="9.1640625" style="32"/>
    <col min="2820" max="2820" width="6.1640625" style="32" customWidth="1"/>
    <col min="2821" max="2821" width="27.5" style="32" customWidth="1"/>
    <col min="2822" max="2822" width="21.83203125" style="32" customWidth="1"/>
    <col min="2823" max="2823" width="16.1640625" style="32" customWidth="1"/>
    <col min="2824" max="2824" width="19.1640625" style="32" customWidth="1"/>
    <col min="2825" max="2825" width="17.5" style="32" customWidth="1"/>
    <col min="2826" max="2826" width="19.83203125" style="32" customWidth="1"/>
    <col min="2827" max="2827" width="20.83203125" style="32" customWidth="1"/>
    <col min="2828" max="3075" width="9.1640625" style="32"/>
    <col min="3076" max="3076" width="6.1640625" style="32" customWidth="1"/>
    <col min="3077" max="3077" width="27.5" style="32" customWidth="1"/>
    <col min="3078" max="3078" width="21.83203125" style="32" customWidth="1"/>
    <col min="3079" max="3079" width="16.1640625" style="32" customWidth="1"/>
    <col min="3080" max="3080" width="19.1640625" style="32" customWidth="1"/>
    <col min="3081" max="3081" width="17.5" style="32" customWidth="1"/>
    <col min="3082" max="3082" width="19.83203125" style="32" customWidth="1"/>
    <col min="3083" max="3083" width="20.83203125" style="32" customWidth="1"/>
    <col min="3084" max="3331" width="9.1640625" style="32"/>
    <col min="3332" max="3332" width="6.1640625" style="32" customWidth="1"/>
    <col min="3333" max="3333" width="27.5" style="32" customWidth="1"/>
    <col min="3334" max="3334" width="21.83203125" style="32" customWidth="1"/>
    <col min="3335" max="3335" width="16.1640625" style="32" customWidth="1"/>
    <col min="3336" max="3336" width="19.1640625" style="32" customWidth="1"/>
    <col min="3337" max="3337" width="17.5" style="32" customWidth="1"/>
    <col min="3338" max="3338" width="19.83203125" style="32" customWidth="1"/>
    <col min="3339" max="3339" width="20.83203125" style="32" customWidth="1"/>
    <col min="3340" max="3587" width="9.1640625" style="32"/>
    <col min="3588" max="3588" width="6.1640625" style="32" customWidth="1"/>
    <col min="3589" max="3589" width="27.5" style="32" customWidth="1"/>
    <col min="3590" max="3590" width="21.83203125" style="32" customWidth="1"/>
    <col min="3591" max="3591" width="16.1640625" style="32" customWidth="1"/>
    <col min="3592" max="3592" width="19.1640625" style="32" customWidth="1"/>
    <col min="3593" max="3593" width="17.5" style="32" customWidth="1"/>
    <col min="3594" max="3594" width="19.83203125" style="32" customWidth="1"/>
    <col min="3595" max="3595" width="20.83203125" style="32" customWidth="1"/>
    <col min="3596" max="3843" width="9.1640625" style="32"/>
    <col min="3844" max="3844" width="6.1640625" style="32" customWidth="1"/>
    <col min="3845" max="3845" width="27.5" style="32" customWidth="1"/>
    <col min="3846" max="3846" width="21.83203125" style="32" customWidth="1"/>
    <col min="3847" max="3847" width="16.1640625" style="32" customWidth="1"/>
    <col min="3848" max="3848" width="19.1640625" style="32" customWidth="1"/>
    <col min="3849" max="3849" width="17.5" style="32" customWidth="1"/>
    <col min="3850" max="3850" width="19.83203125" style="32" customWidth="1"/>
    <col min="3851" max="3851" width="20.83203125" style="32" customWidth="1"/>
    <col min="3852" max="4099" width="9.1640625" style="32"/>
    <col min="4100" max="4100" width="6.1640625" style="32" customWidth="1"/>
    <col min="4101" max="4101" width="27.5" style="32" customWidth="1"/>
    <col min="4102" max="4102" width="21.83203125" style="32" customWidth="1"/>
    <col min="4103" max="4103" width="16.1640625" style="32" customWidth="1"/>
    <col min="4104" max="4104" width="19.1640625" style="32" customWidth="1"/>
    <col min="4105" max="4105" width="17.5" style="32" customWidth="1"/>
    <col min="4106" max="4106" width="19.83203125" style="32" customWidth="1"/>
    <col min="4107" max="4107" width="20.83203125" style="32" customWidth="1"/>
    <col min="4108" max="4355" width="9.1640625" style="32"/>
    <col min="4356" max="4356" width="6.1640625" style="32" customWidth="1"/>
    <col min="4357" max="4357" width="27.5" style="32" customWidth="1"/>
    <col min="4358" max="4358" width="21.83203125" style="32" customWidth="1"/>
    <col min="4359" max="4359" width="16.1640625" style="32" customWidth="1"/>
    <col min="4360" max="4360" width="19.1640625" style="32" customWidth="1"/>
    <col min="4361" max="4361" width="17.5" style="32" customWidth="1"/>
    <col min="4362" max="4362" width="19.83203125" style="32" customWidth="1"/>
    <col min="4363" max="4363" width="20.83203125" style="32" customWidth="1"/>
    <col min="4364" max="4611" width="9.1640625" style="32"/>
    <col min="4612" max="4612" width="6.1640625" style="32" customWidth="1"/>
    <col min="4613" max="4613" width="27.5" style="32" customWidth="1"/>
    <col min="4614" max="4614" width="21.83203125" style="32" customWidth="1"/>
    <col min="4615" max="4615" width="16.1640625" style="32" customWidth="1"/>
    <col min="4616" max="4616" width="19.1640625" style="32" customWidth="1"/>
    <col min="4617" max="4617" width="17.5" style="32" customWidth="1"/>
    <col min="4618" max="4618" width="19.83203125" style="32" customWidth="1"/>
    <col min="4619" max="4619" width="20.83203125" style="32" customWidth="1"/>
    <col min="4620" max="4867" width="9.1640625" style="32"/>
    <col min="4868" max="4868" width="6.1640625" style="32" customWidth="1"/>
    <col min="4869" max="4869" width="27.5" style="32" customWidth="1"/>
    <col min="4870" max="4870" width="21.83203125" style="32" customWidth="1"/>
    <col min="4871" max="4871" width="16.1640625" style="32" customWidth="1"/>
    <col min="4872" max="4872" width="19.1640625" style="32" customWidth="1"/>
    <col min="4873" max="4873" width="17.5" style="32" customWidth="1"/>
    <col min="4874" max="4874" width="19.83203125" style="32" customWidth="1"/>
    <col min="4875" max="4875" width="20.83203125" style="32" customWidth="1"/>
    <col min="4876" max="5123" width="9.1640625" style="32"/>
    <col min="5124" max="5124" width="6.1640625" style="32" customWidth="1"/>
    <col min="5125" max="5125" width="27.5" style="32" customWidth="1"/>
    <col min="5126" max="5126" width="21.83203125" style="32" customWidth="1"/>
    <col min="5127" max="5127" width="16.1640625" style="32" customWidth="1"/>
    <col min="5128" max="5128" width="19.1640625" style="32" customWidth="1"/>
    <col min="5129" max="5129" width="17.5" style="32" customWidth="1"/>
    <col min="5130" max="5130" width="19.83203125" style="32" customWidth="1"/>
    <col min="5131" max="5131" width="20.83203125" style="32" customWidth="1"/>
    <col min="5132" max="5379" width="9.1640625" style="32"/>
    <col min="5380" max="5380" width="6.1640625" style="32" customWidth="1"/>
    <col min="5381" max="5381" width="27.5" style="32" customWidth="1"/>
    <col min="5382" max="5382" width="21.83203125" style="32" customWidth="1"/>
    <col min="5383" max="5383" width="16.1640625" style="32" customWidth="1"/>
    <col min="5384" max="5384" width="19.1640625" style="32" customWidth="1"/>
    <col min="5385" max="5385" width="17.5" style="32" customWidth="1"/>
    <col min="5386" max="5386" width="19.83203125" style="32" customWidth="1"/>
    <col min="5387" max="5387" width="20.83203125" style="32" customWidth="1"/>
    <col min="5388" max="5635" width="9.1640625" style="32"/>
    <col min="5636" max="5636" width="6.1640625" style="32" customWidth="1"/>
    <col min="5637" max="5637" width="27.5" style="32" customWidth="1"/>
    <col min="5638" max="5638" width="21.83203125" style="32" customWidth="1"/>
    <col min="5639" max="5639" width="16.1640625" style="32" customWidth="1"/>
    <col min="5640" max="5640" width="19.1640625" style="32" customWidth="1"/>
    <col min="5641" max="5641" width="17.5" style="32" customWidth="1"/>
    <col min="5642" max="5642" width="19.83203125" style="32" customWidth="1"/>
    <col min="5643" max="5643" width="20.83203125" style="32" customWidth="1"/>
    <col min="5644" max="5891" width="9.1640625" style="32"/>
    <col min="5892" max="5892" width="6.1640625" style="32" customWidth="1"/>
    <col min="5893" max="5893" width="27.5" style="32" customWidth="1"/>
    <col min="5894" max="5894" width="21.83203125" style="32" customWidth="1"/>
    <col min="5895" max="5895" width="16.1640625" style="32" customWidth="1"/>
    <col min="5896" max="5896" width="19.1640625" style="32" customWidth="1"/>
    <col min="5897" max="5897" width="17.5" style="32" customWidth="1"/>
    <col min="5898" max="5898" width="19.83203125" style="32" customWidth="1"/>
    <col min="5899" max="5899" width="20.83203125" style="32" customWidth="1"/>
    <col min="5900" max="6147" width="9.1640625" style="32"/>
    <col min="6148" max="6148" width="6.1640625" style="32" customWidth="1"/>
    <col min="6149" max="6149" width="27.5" style="32" customWidth="1"/>
    <col min="6150" max="6150" width="21.83203125" style="32" customWidth="1"/>
    <col min="6151" max="6151" width="16.1640625" style="32" customWidth="1"/>
    <col min="6152" max="6152" width="19.1640625" style="32" customWidth="1"/>
    <col min="6153" max="6153" width="17.5" style="32" customWidth="1"/>
    <col min="6154" max="6154" width="19.83203125" style="32" customWidth="1"/>
    <col min="6155" max="6155" width="20.83203125" style="32" customWidth="1"/>
    <col min="6156" max="6403" width="9.1640625" style="32"/>
    <col min="6404" max="6404" width="6.1640625" style="32" customWidth="1"/>
    <col min="6405" max="6405" width="27.5" style="32" customWidth="1"/>
    <col min="6406" max="6406" width="21.83203125" style="32" customWidth="1"/>
    <col min="6407" max="6407" width="16.1640625" style="32" customWidth="1"/>
    <col min="6408" max="6408" width="19.1640625" style="32" customWidth="1"/>
    <col min="6409" max="6409" width="17.5" style="32" customWidth="1"/>
    <col min="6410" max="6410" width="19.83203125" style="32" customWidth="1"/>
    <col min="6411" max="6411" width="20.83203125" style="32" customWidth="1"/>
    <col min="6412" max="6659" width="9.1640625" style="32"/>
    <col min="6660" max="6660" width="6.1640625" style="32" customWidth="1"/>
    <col min="6661" max="6661" width="27.5" style="32" customWidth="1"/>
    <col min="6662" max="6662" width="21.83203125" style="32" customWidth="1"/>
    <col min="6663" max="6663" width="16.1640625" style="32" customWidth="1"/>
    <col min="6664" max="6664" width="19.1640625" style="32" customWidth="1"/>
    <col min="6665" max="6665" width="17.5" style="32" customWidth="1"/>
    <col min="6666" max="6666" width="19.83203125" style="32" customWidth="1"/>
    <col min="6667" max="6667" width="20.83203125" style="32" customWidth="1"/>
    <col min="6668" max="6915" width="9.1640625" style="32"/>
    <col min="6916" max="6916" width="6.1640625" style="32" customWidth="1"/>
    <col min="6917" max="6917" width="27.5" style="32" customWidth="1"/>
    <col min="6918" max="6918" width="21.83203125" style="32" customWidth="1"/>
    <col min="6919" max="6919" width="16.1640625" style="32" customWidth="1"/>
    <col min="6920" max="6920" width="19.1640625" style="32" customWidth="1"/>
    <col min="6921" max="6921" width="17.5" style="32" customWidth="1"/>
    <col min="6922" max="6922" width="19.83203125" style="32" customWidth="1"/>
    <col min="6923" max="6923" width="20.83203125" style="32" customWidth="1"/>
    <col min="6924" max="7171" width="9.1640625" style="32"/>
    <col min="7172" max="7172" width="6.1640625" style="32" customWidth="1"/>
    <col min="7173" max="7173" width="27.5" style="32" customWidth="1"/>
    <col min="7174" max="7174" width="21.83203125" style="32" customWidth="1"/>
    <col min="7175" max="7175" width="16.1640625" style="32" customWidth="1"/>
    <col min="7176" max="7176" width="19.1640625" style="32" customWidth="1"/>
    <col min="7177" max="7177" width="17.5" style="32" customWidth="1"/>
    <col min="7178" max="7178" width="19.83203125" style="32" customWidth="1"/>
    <col min="7179" max="7179" width="20.83203125" style="32" customWidth="1"/>
    <col min="7180" max="7427" width="9.1640625" style="32"/>
    <col min="7428" max="7428" width="6.1640625" style="32" customWidth="1"/>
    <col min="7429" max="7429" width="27.5" style="32" customWidth="1"/>
    <col min="7430" max="7430" width="21.83203125" style="32" customWidth="1"/>
    <col min="7431" max="7431" width="16.1640625" style="32" customWidth="1"/>
    <col min="7432" max="7432" width="19.1640625" style="32" customWidth="1"/>
    <col min="7433" max="7433" width="17.5" style="32" customWidth="1"/>
    <col min="7434" max="7434" width="19.83203125" style="32" customWidth="1"/>
    <col min="7435" max="7435" width="20.83203125" style="32" customWidth="1"/>
    <col min="7436" max="7683" width="9.1640625" style="32"/>
    <col min="7684" max="7684" width="6.1640625" style="32" customWidth="1"/>
    <col min="7685" max="7685" width="27.5" style="32" customWidth="1"/>
    <col min="7686" max="7686" width="21.83203125" style="32" customWidth="1"/>
    <col min="7687" max="7687" width="16.1640625" style="32" customWidth="1"/>
    <col min="7688" max="7688" width="19.1640625" style="32" customWidth="1"/>
    <col min="7689" max="7689" width="17.5" style="32" customWidth="1"/>
    <col min="7690" max="7690" width="19.83203125" style="32" customWidth="1"/>
    <col min="7691" max="7691" width="20.83203125" style="32" customWidth="1"/>
    <col min="7692" max="7939" width="9.1640625" style="32"/>
    <col min="7940" max="7940" width="6.1640625" style="32" customWidth="1"/>
    <col min="7941" max="7941" width="27.5" style="32" customWidth="1"/>
    <col min="7942" max="7942" width="21.83203125" style="32" customWidth="1"/>
    <col min="7943" max="7943" width="16.1640625" style="32" customWidth="1"/>
    <col min="7944" max="7944" width="19.1640625" style="32" customWidth="1"/>
    <col min="7945" max="7945" width="17.5" style="32" customWidth="1"/>
    <col min="7946" max="7946" width="19.83203125" style="32" customWidth="1"/>
    <col min="7947" max="7947" width="20.83203125" style="32" customWidth="1"/>
    <col min="7948" max="8195" width="9.1640625" style="32"/>
    <col min="8196" max="8196" width="6.1640625" style="32" customWidth="1"/>
    <col min="8197" max="8197" width="27.5" style="32" customWidth="1"/>
    <col min="8198" max="8198" width="21.83203125" style="32" customWidth="1"/>
    <col min="8199" max="8199" width="16.1640625" style="32" customWidth="1"/>
    <col min="8200" max="8200" width="19.1640625" style="32" customWidth="1"/>
    <col min="8201" max="8201" width="17.5" style="32" customWidth="1"/>
    <col min="8202" max="8202" width="19.83203125" style="32" customWidth="1"/>
    <col min="8203" max="8203" width="20.83203125" style="32" customWidth="1"/>
    <col min="8204" max="8451" width="9.1640625" style="32"/>
    <col min="8452" max="8452" width="6.1640625" style="32" customWidth="1"/>
    <col min="8453" max="8453" width="27.5" style="32" customWidth="1"/>
    <col min="8454" max="8454" width="21.83203125" style="32" customWidth="1"/>
    <col min="8455" max="8455" width="16.1640625" style="32" customWidth="1"/>
    <col min="8456" max="8456" width="19.1640625" style="32" customWidth="1"/>
    <col min="8457" max="8457" width="17.5" style="32" customWidth="1"/>
    <col min="8458" max="8458" width="19.83203125" style="32" customWidth="1"/>
    <col min="8459" max="8459" width="20.83203125" style="32" customWidth="1"/>
    <col min="8460" max="8707" width="9.1640625" style="32"/>
    <col min="8708" max="8708" width="6.1640625" style="32" customWidth="1"/>
    <col min="8709" max="8709" width="27.5" style="32" customWidth="1"/>
    <col min="8710" max="8710" width="21.83203125" style="32" customWidth="1"/>
    <col min="8711" max="8711" width="16.1640625" style="32" customWidth="1"/>
    <col min="8712" max="8712" width="19.1640625" style="32" customWidth="1"/>
    <col min="8713" max="8713" width="17.5" style="32" customWidth="1"/>
    <col min="8714" max="8714" width="19.83203125" style="32" customWidth="1"/>
    <col min="8715" max="8715" width="20.83203125" style="32" customWidth="1"/>
    <col min="8716" max="8963" width="9.1640625" style="32"/>
    <col min="8964" max="8964" width="6.1640625" style="32" customWidth="1"/>
    <col min="8965" max="8965" width="27.5" style="32" customWidth="1"/>
    <col min="8966" max="8966" width="21.83203125" style="32" customWidth="1"/>
    <col min="8967" max="8967" width="16.1640625" style="32" customWidth="1"/>
    <col min="8968" max="8968" width="19.1640625" style="32" customWidth="1"/>
    <col min="8969" max="8969" width="17.5" style="32" customWidth="1"/>
    <col min="8970" max="8970" width="19.83203125" style="32" customWidth="1"/>
    <col min="8971" max="8971" width="20.83203125" style="32" customWidth="1"/>
    <col min="8972" max="9219" width="9.1640625" style="32"/>
    <col min="9220" max="9220" width="6.1640625" style="32" customWidth="1"/>
    <col min="9221" max="9221" width="27.5" style="32" customWidth="1"/>
    <col min="9222" max="9222" width="21.83203125" style="32" customWidth="1"/>
    <col min="9223" max="9223" width="16.1640625" style="32" customWidth="1"/>
    <col min="9224" max="9224" width="19.1640625" style="32" customWidth="1"/>
    <col min="9225" max="9225" width="17.5" style="32" customWidth="1"/>
    <col min="9226" max="9226" width="19.83203125" style="32" customWidth="1"/>
    <col min="9227" max="9227" width="20.83203125" style="32" customWidth="1"/>
    <col min="9228" max="9475" width="9.1640625" style="32"/>
    <col min="9476" max="9476" width="6.1640625" style="32" customWidth="1"/>
    <col min="9477" max="9477" width="27.5" style="32" customWidth="1"/>
    <col min="9478" max="9478" width="21.83203125" style="32" customWidth="1"/>
    <col min="9479" max="9479" width="16.1640625" style="32" customWidth="1"/>
    <col min="9480" max="9480" width="19.1640625" style="32" customWidth="1"/>
    <col min="9481" max="9481" width="17.5" style="32" customWidth="1"/>
    <col min="9482" max="9482" width="19.83203125" style="32" customWidth="1"/>
    <col min="9483" max="9483" width="20.83203125" style="32" customWidth="1"/>
    <col min="9484" max="9731" width="9.1640625" style="32"/>
    <col min="9732" max="9732" width="6.1640625" style="32" customWidth="1"/>
    <col min="9733" max="9733" width="27.5" style="32" customWidth="1"/>
    <col min="9734" max="9734" width="21.83203125" style="32" customWidth="1"/>
    <col min="9735" max="9735" width="16.1640625" style="32" customWidth="1"/>
    <col min="9736" max="9736" width="19.1640625" style="32" customWidth="1"/>
    <col min="9737" max="9737" width="17.5" style="32" customWidth="1"/>
    <col min="9738" max="9738" width="19.83203125" style="32" customWidth="1"/>
    <col min="9739" max="9739" width="20.83203125" style="32" customWidth="1"/>
    <col min="9740" max="9987" width="9.1640625" style="32"/>
    <col min="9988" max="9988" width="6.1640625" style="32" customWidth="1"/>
    <col min="9989" max="9989" width="27.5" style="32" customWidth="1"/>
    <col min="9990" max="9990" width="21.83203125" style="32" customWidth="1"/>
    <col min="9991" max="9991" width="16.1640625" style="32" customWidth="1"/>
    <col min="9992" max="9992" width="19.1640625" style="32" customWidth="1"/>
    <col min="9993" max="9993" width="17.5" style="32" customWidth="1"/>
    <col min="9994" max="9994" width="19.83203125" style="32" customWidth="1"/>
    <col min="9995" max="9995" width="20.83203125" style="32" customWidth="1"/>
    <col min="9996" max="10243" width="9.1640625" style="32"/>
    <col min="10244" max="10244" width="6.1640625" style="32" customWidth="1"/>
    <col min="10245" max="10245" width="27.5" style="32" customWidth="1"/>
    <col min="10246" max="10246" width="21.83203125" style="32" customWidth="1"/>
    <col min="10247" max="10247" width="16.1640625" style="32" customWidth="1"/>
    <col min="10248" max="10248" width="19.1640625" style="32" customWidth="1"/>
    <col min="10249" max="10249" width="17.5" style="32" customWidth="1"/>
    <col min="10250" max="10250" width="19.83203125" style="32" customWidth="1"/>
    <col min="10251" max="10251" width="20.83203125" style="32" customWidth="1"/>
    <col min="10252" max="10499" width="9.1640625" style="32"/>
    <col min="10500" max="10500" width="6.1640625" style="32" customWidth="1"/>
    <col min="10501" max="10501" width="27.5" style="32" customWidth="1"/>
    <col min="10502" max="10502" width="21.83203125" style="32" customWidth="1"/>
    <col min="10503" max="10503" width="16.1640625" style="32" customWidth="1"/>
    <col min="10504" max="10504" width="19.1640625" style="32" customWidth="1"/>
    <col min="10505" max="10505" width="17.5" style="32" customWidth="1"/>
    <col min="10506" max="10506" width="19.83203125" style="32" customWidth="1"/>
    <col min="10507" max="10507" width="20.83203125" style="32" customWidth="1"/>
    <col min="10508" max="10755" width="9.1640625" style="32"/>
    <col min="10756" max="10756" width="6.1640625" style="32" customWidth="1"/>
    <col min="10757" max="10757" width="27.5" style="32" customWidth="1"/>
    <col min="10758" max="10758" width="21.83203125" style="32" customWidth="1"/>
    <col min="10759" max="10759" width="16.1640625" style="32" customWidth="1"/>
    <col min="10760" max="10760" width="19.1640625" style="32" customWidth="1"/>
    <col min="10761" max="10761" width="17.5" style="32" customWidth="1"/>
    <col min="10762" max="10762" width="19.83203125" style="32" customWidth="1"/>
    <col min="10763" max="10763" width="20.83203125" style="32" customWidth="1"/>
    <col min="10764" max="11011" width="9.1640625" style="32"/>
    <col min="11012" max="11012" width="6.1640625" style="32" customWidth="1"/>
    <col min="11013" max="11013" width="27.5" style="32" customWidth="1"/>
    <col min="11014" max="11014" width="21.83203125" style="32" customWidth="1"/>
    <col min="11015" max="11015" width="16.1640625" style="32" customWidth="1"/>
    <col min="11016" max="11016" width="19.1640625" style="32" customWidth="1"/>
    <col min="11017" max="11017" width="17.5" style="32" customWidth="1"/>
    <col min="11018" max="11018" width="19.83203125" style="32" customWidth="1"/>
    <col min="11019" max="11019" width="20.83203125" style="32" customWidth="1"/>
    <col min="11020" max="11267" width="9.1640625" style="32"/>
    <col min="11268" max="11268" width="6.1640625" style="32" customWidth="1"/>
    <col min="11269" max="11269" width="27.5" style="32" customWidth="1"/>
    <col min="11270" max="11270" width="21.83203125" style="32" customWidth="1"/>
    <col min="11271" max="11271" width="16.1640625" style="32" customWidth="1"/>
    <col min="11272" max="11272" width="19.1640625" style="32" customWidth="1"/>
    <col min="11273" max="11273" width="17.5" style="32" customWidth="1"/>
    <col min="11274" max="11274" width="19.83203125" style="32" customWidth="1"/>
    <col min="11275" max="11275" width="20.83203125" style="32" customWidth="1"/>
    <col min="11276" max="11523" width="9.1640625" style="32"/>
    <col min="11524" max="11524" width="6.1640625" style="32" customWidth="1"/>
    <col min="11525" max="11525" width="27.5" style="32" customWidth="1"/>
    <col min="11526" max="11526" width="21.83203125" style="32" customWidth="1"/>
    <col min="11527" max="11527" width="16.1640625" style="32" customWidth="1"/>
    <col min="11528" max="11528" width="19.1640625" style="32" customWidth="1"/>
    <col min="11529" max="11529" width="17.5" style="32" customWidth="1"/>
    <col min="11530" max="11530" width="19.83203125" style="32" customWidth="1"/>
    <col min="11531" max="11531" width="20.83203125" style="32" customWidth="1"/>
    <col min="11532" max="11779" width="9.1640625" style="32"/>
    <col min="11780" max="11780" width="6.1640625" style="32" customWidth="1"/>
    <col min="11781" max="11781" width="27.5" style="32" customWidth="1"/>
    <col min="11782" max="11782" width="21.83203125" style="32" customWidth="1"/>
    <col min="11783" max="11783" width="16.1640625" style="32" customWidth="1"/>
    <col min="11784" max="11784" width="19.1640625" style="32" customWidth="1"/>
    <col min="11785" max="11785" width="17.5" style="32" customWidth="1"/>
    <col min="11786" max="11786" width="19.83203125" style="32" customWidth="1"/>
    <col min="11787" max="11787" width="20.83203125" style="32" customWidth="1"/>
    <col min="11788" max="12035" width="9.1640625" style="32"/>
    <col min="12036" max="12036" width="6.1640625" style="32" customWidth="1"/>
    <col min="12037" max="12037" width="27.5" style="32" customWidth="1"/>
    <col min="12038" max="12038" width="21.83203125" style="32" customWidth="1"/>
    <col min="12039" max="12039" width="16.1640625" style="32" customWidth="1"/>
    <col min="12040" max="12040" width="19.1640625" style="32" customWidth="1"/>
    <col min="12041" max="12041" width="17.5" style="32" customWidth="1"/>
    <col min="12042" max="12042" width="19.83203125" style="32" customWidth="1"/>
    <col min="12043" max="12043" width="20.83203125" style="32" customWidth="1"/>
    <col min="12044" max="12291" width="9.1640625" style="32"/>
    <col min="12292" max="12292" width="6.1640625" style="32" customWidth="1"/>
    <col min="12293" max="12293" width="27.5" style="32" customWidth="1"/>
    <col min="12294" max="12294" width="21.83203125" style="32" customWidth="1"/>
    <col min="12295" max="12295" width="16.1640625" style="32" customWidth="1"/>
    <col min="12296" max="12296" width="19.1640625" style="32" customWidth="1"/>
    <col min="12297" max="12297" width="17.5" style="32" customWidth="1"/>
    <col min="12298" max="12298" width="19.83203125" style="32" customWidth="1"/>
    <col min="12299" max="12299" width="20.83203125" style="32" customWidth="1"/>
    <col min="12300" max="12547" width="9.1640625" style="32"/>
    <col min="12548" max="12548" width="6.1640625" style="32" customWidth="1"/>
    <col min="12549" max="12549" width="27.5" style="32" customWidth="1"/>
    <col min="12550" max="12550" width="21.83203125" style="32" customWidth="1"/>
    <col min="12551" max="12551" width="16.1640625" style="32" customWidth="1"/>
    <col min="12552" max="12552" width="19.1640625" style="32" customWidth="1"/>
    <col min="12553" max="12553" width="17.5" style="32" customWidth="1"/>
    <col min="12554" max="12554" width="19.83203125" style="32" customWidth="1"/>
    <col min="12555" max="12555" width="20.83203125" style="32" customWidth="1"/>
    <col min="12556" max="12803" width="9.1640625" style="32"/>
    <col min="12804" max="12804" width="6.1640625" style="32" customWidth="1"/>
    <col min="12805" max="12805" width="27.5" style="32" customWidth="1"/>
    <col min="12806" max="12806" width="21.83203125" style="32" customWidth="1"/>
    <col min="12807" max="12807" width="16.1640625" style="32" customWidth="1"/>
    <col min="12808" max="12808" width="19.1640625" style="32" customWidth="1"/>
    <col min="12809" max="12809" width="17.5" style="32" customWidth="1"/>
    <col min="12810" max="12810" width="19.83203125" style="32" customWidth="1"/>
    <col min="12811" max="12811" width="20.83203125" style="32" customWidth="1"/>
    <col min="12812" max="13059" width="9.1640625" style="32"/>
    <col min="13060" max="13060" width="6.1640625" style="32" customWidth="1"/>
    <col min="13061" max="13061" width="27.5" style="32" customWidth="1"/>
    <col min="13062" max="13062" width="21.83203125" style="32" customWidth="1"/>
    <col min="13063" max="13063" width="16.1640625" style="32" customWidth="1"/>
    <col min="13064" max="13064" width="19.1640625" style="32" customWidth="1"/>
    <col min="13065" max="13065" width="17.5" style="32" customWidth="1"/>
    <col min="13066" max="13066" width="19.83203125" style="32" customWidth="1"/>
    <col min="13067" max="13067" width="20.83203125" style="32" customWidth="1"/>
    <col min="13068" max="13315" width="9.1640625" style="32"/>
    <col min="13316" max="13316" width="6.1640625" style="32" customWidth="1"/>
    <col min="13317" max="13317" width="27.5" style="32" customWidth="1"/>
    <col min="13318" max="13318" width="21.83203125" style="32" customWidth="1"/>
    <col min="13319" max="13319" width="16.1640625" style="32" customWidth="1"/>
    <col min="13320" max="13320" width="19.1640625" style="32" customWidth="1"/>
    <col min="13321" max="13321" width="17.5" style="32" customWidth="1"/>
    <col min="13322" max="13322" width="19.83203125" style="32" customWidth="1"/>
    <col min="13323" max="13323" width="20.83203125" style="32" customWidth="1"/>
    <col min="13324" max="13571" width="9.1640625" style="32"/>
    <col min="13572" max="13572" width="6.1640625" style="32" customWidth="1"/>
    <col min="13573" max="13573" width="27.5" style="32" customWidth="1"/>
    <col min="13574" max="13574" width="21.83203125" style="32" customWidth="1"/>
    <col min="13575" max="13575" width="16.1640625" style="32" customWidth="1"/>
    <col min="13576" max="13576" width="19.1640625" style="32" customWidth="1"/>
    <col min="13577" max="13577" width="17.5" style="32" customWidth="1"/>
    <col min="13578" max="13578" width="19.83203125" style="32" customWidth="1"/>
    <col min="13579" max="13579" width="20.83203125" style="32" customWidth="1"/>
    <col min="13580" max="13827" width="9.1640625" style="32"/>
    <col min="13828" max="13828" width="6.1640625" style="32" customWidth="1"/>
    <col min="13829" max="13829" width="27.5" style="32" customWidth="1"/>
    <col min="13830" max="13830" width="21.83203125" style="32" customWidth="1"/>
    <col min="13831" max="13831" width="16.1640625" style="32" customWidth="1"/>
    <col min="13832" max="13832" width="19.1640625" style="32" customWidth="1"/>
    <col min="13833" max="13833" width="17.5" style="32" customWidth="1"/>
    <col min="13834" max="13834" width="19.83203125" style="32" customWidth="1"/>
    <col min="13835" max="13835" width="20.83203125" style="32" customWidth="1"/>
    <col min="13836" max="14083" width="9.1640625" style="32"/>
    <col min="14084" max="14084" width="6.1640625" style="32" customWidth="1"/>
    <col min="14085" max="14085" width="27.5" style="32" customWidth="1"/>
    <col min="14086" max="14086" width="21.83203125" style="32" customWidth="1"/>
    <col min="14087" max="14087" width="16.1640625" style="32" customWidth="1"/>
    <col min="14088" max="14088" width="19.1640625" style="32" customWidth="1"/>
    <col min="14089" max="14089" width="17.5" style="32" customWidth="1"/>
    <col min="14090" max="14090" width="19.83203125" style="32" customWidth="1"/>
    <col min="14091" max="14091" width="20.83203125" style="32" customWidth="1"/>
    <col min="14092" max="14339" width="9.1640625" style="32"/>
    <col min="14340" max="14340" width="6.1640625" style="32" customWidth="1"/>
    <col min="14341" max="14341" width="27.5" style="32" customWidth="1"/>
    <col min="14342" max="14342" width="21.83203125" style="32" customWidth="1"/>
    <col min="14343" max="14343" width="16.1640625" style="32" customWidth="1"/>
    <col min="14344" max="14344" width="19.1640625" style="32" customWidth="1"/>
    <col min="14345" max="14345" width="17.5" style="32" customWidth="1"/>
    <col min="14346" max="14346" width="19.83203125" style="32" customWidth="1"/>
    <col min="14347" max="14347" width="20.83203125" style="32" customWidth="1"/>
    <col min="14348" max="14595" width="9.1640625" style="32"/>
    <col min="14596" max="14596" width="6.1640625" style="32" customWidth="1"/>
    <col min="14597" max="14597" width="27.5" style="32" customWidth="1"/>
    <col min="14598" max="14598" width="21.83203125" style="32" customWidth="1"/>
    <col min="14599" max="14599" width="16.1640625" style="32" customWidth="1"/>
    <col min="14600" max="14600" width="19.1640625" style="32" customWidth="1"/>
    <col min="14601" max="14601" width="17.5" style="32" customWidth="1"/>
    <col min="14602" max="14602" width="19.83203125" style="32" customWidth="1"/>
    <col min="14603" max="14603" width="20.83203125" style="32" customWidth="1"/>
    <col min="14604" max="14851" width="9.1640625" style="32"/>
    <col min="14852" max="14852" width="6.1640625" style="32" customWidth="1"/>
    <col min="14853" max="14853" width="27.5" style="32" customWidth="1"/>
    <col min="14854" max="14854" width="21.83203125" style="32" customWidth="1"/>
    <col min="14855" max="14855" width="16.1640625" style="32" customWidth="1"/>
    <col min="14856" max="14856" width="19.1640625" style="32" customWidth="1"/>
    <col min="14857" max="14857" width="17.5" style="32" customWidth="1"/>
    <col min="14858" max="14858" width="19.83203125" style="32" customWidth="1"/>
    <col min="14859" max="14859" width="20.83203125" style="32" customWidth="1"/>
    <col min="14860" max="15107" width="9.1640625" style="32"/>
    <col min="15108" max="15108" width="6.1640625" style="32" customWidth="1"/>
    <col min="15109" max="15109" width="27.5" style="32" customWidth="1"/>
    <col min="15110" max="15110" width="21.83203125" style="32" customWidth="1"/>
    <col min="15111" max="15111" width="16.1640625" style="32" customWidth="1"/>
    <col min="15112" max="15112" width="19.1640625" style="32" customWidth="1"/>
    <col min="15113" max="15113" width="17.5" style="32" customWidth="1"/>
    <col min="15114" max="15114" width="19.83203125" style="32" customWidth="1"/>
    <col min="15115" max="15115" width="20.83203125" style="32" customWidth="1"/>
    <col min="15116" max="15363" width="9.1640625" style="32"/>
    <col min="15364" max="15364" width="6.1640625" style="32" customWidth="1"/>
    <col min="15365" max="15365" width="27.5" style="32" customWidth="1"/>
    <col min="15366" max="15366" width="21.83203125" style="32" customWidth="1"/>
    <col min="15367" max="15367" width="16.1640625" style="32" customWidth="1"/>
    <col min="15368" max="15368" width="19.1640625" style="32" customWidth="1"/>
    <col min="15369" max="15369" width="17.5" style="32" customWidth="1"/>
    <col min="15370" max="15370" width="19.83203125" style="32" customWidth="1"/>
    <col min="15371" max="15371" width="20.83203125" style="32" customWidth="1"/>
    <col min="15372" max="15619" width="9.1640625" style="32"/>
    <col min="15620" max="15620" width="6.1640625" style="32" customWidth="1"/>
    <col min="15621" max="15621" width="27.5" style="32" customWidth="1"/>
    <col min="15622" max="15622" width="21.83203125" style="32" customWidth="1"/>
    <col min="15623" max="15623" width="16.1640625" style="32" customWidth="1"/>
    <col min="15624" max="15624" width="19.1640625" style="32" customWidth="1"/>
    <col min="15625" max="15625" width="17.5" style="32" customWidth="1"/>
    <col min="15626" max="15626" width="19.83203125" style="32" customWidth="1"/>
    <col min="15627" max="15627" width="20.83203125" style="32" customWidth="1"/>
    <col min="15628" max="15875" width="9.1640625" style="32"/>
    <col min="15876" max="15876" width="6.1640625" style="32" customWidth="1"/>
    <col min="15877" max="15877" width="27.5" style="32" customWidth="1"/>
    <col min="15878" max="15878" width="21.83203125" style="32" customWidth="1"/>
    <col min="15879" max="15879" width="16.1640625" style="32" customWidth="1"/>
    <col min="15880" max="15880" width="19.1640625" style="32" customWidth="1"/>
    <col min="15881" max="15881" width="17.5" style="32" customWidth="1"/>
    <col min="15882" max="15882" width="19.83203125" style="32" customWidth="1"/>
    <col min="15883" max="15883" width="20.83203125" style="32" customWidth="1"/>
    <col min="15884" max="16131" width="9.1640625" style="32"/>
    <col min="16132" max="16132" width="6.1640625" style="32" customWidth="1"/>
    <col min="16133" max="16133" width="27.5" style="32" customWidth="1"/>
    <col min="16134" max="16134" width="21.83203125" style="32" customWidth="1"/>
    <col min="16135" max="16135" width="16.1640625" style="32" customWidth="1"/>
    <col min="16136" max="16136" width="19.1640625" style="32" customWidth="1"/>
    <col min="16137" max="16137" width="17.5" style="32" customWidth="1"/>
    <col min="16138" max="16138" width="19.83203125" style="32" customWidth="1"/>
    <col min="16139" max="16139" width="20.83203125" style="32" customWidth="1"/>
    <col min="16140" max="16384" width="9.1640625" style="32"/>
  </cols>
  <sheetData>
    <row r="4" spans="2:18">
      <c r="C4" s="167" t="s">
        <v>334</v>
      </c>
    </row>
    <row r="6" spans="2:18">
      <c r="B6" s="166"/>
      <c r="C6" s="166"/>
      <c r="D6" s="166"/>
      <c r="E6" s="106"/>
      <c r="F6" s="106"/>
      <c r="G6" s="106"/>
      <c r="H6" s="106"/>
      <c r="I6" s="106" t="s">
        <v>321</v>
      </c>
      <c r="J6" s="106"/>
      <c r="K6" s="106"/>
    </row>
    <row r="7" spans="2:18">
      <c r="B7" s="164"/>
      <c r="C7" s="164"/>
      <c r="D7" s="164"/>
      <c r="E7" s="164"/>
      <c r="F7" s="164"/>
      <c r="G7" s="164"/>
      <c r="H7" s="164"/>
      <c r="I7" s="164"/>
      <c r="J7" s="106"/>
      <c r="K7" s="106"/>
    </row>
    <row r="8" spans="2:18" ht="16" thickBot="1">
      <c r="B8" s="164"/>
      <c r="C8" s="164"/>
      <c r="D8" s="165"/>
      <c r="E8" s="164"/>
      <c r="F8" s="164"/>
      <c r="G8" s="164"/>
      <c r="H8" s="164"/>
      <c r="I8" s="164"/>
      <c r="J8" s="106"/>
      <c r="K8" s="106"/>
    </row>
    <row r="9" spans="2:18" ht="15" customHeight="1" thickBot="1">
      <c r="B9" s="803" t="s">
        <v>315</v>
      </c>
      <c r="C9" s="805" t="s">
        <v>314</v>
      </c>
      <c r="D9" s="806"/>
      <c r="E9" s="809">
        <v>2016</v>
      </c>
      <c r="F9" s="810"/>
      <c r="G9" s="810"/>
      <c r="H9" s="810"/>
      <c r="I9" s="811"/>
      <c r="J9" s="106"/>
      <c r="K9" s="106"/>
      <c r="N9" s="809" t="s">
        <v>320</v>
      </c>
      <c r="O9" s="810"/>
      <c r="P9" s="810"/>
      <c r="Q9" s="810"/>
      <c r="R9" s="811"/>
    </row>
    <row r="10" spans="2:18" ht="16" thickBot="1">
      <c r="B10" s="804"/>
      <c r="C10" s="807"/>
      <c r="D10" s="808"/>
      <c r="E10" s="142" t="s">
        <v>312</v>
      </c>
      <c r="F10" s="142" t="s">
        <v>311</v>
      </c>
      <c r="G10" s="142" t="s">
        <v>310</v>
      </c>
      <c r="H10" s="141" t="s">
        <v>309</v>
      </c>
      <c r="I10" s="140" t="s">
        <v>176</v>
      </c>
      <c r="J10" s="106"/>
      <c r="K10" s="106"/>
      <c r="N10" s="142" t="str">
        <f>E10</f>
        <v xml:space="preserve">1 квартал </v>
      </c>
      <c r="O10" s="142" t="str">
        <f>F10</f>
        <v xml:space="preserve">2 квартал </v>
      </c>
      <c r="P10" s="142" t="str">
        <f>G10</f>
        <v xml:space="preserve">3 квартал </v>
      </c>
      <c r="Q10" s="141" t="str">
        <f>H10</f>
        <v xml:space="preserve">4 квартал </v>
      </c>
      <c r="R10" s="140" t="str">
        <f>I10</f>
        <v>Итого</v>
      </c>
    </row>
    <row r="11" spans="2:18">
      <c r="B11" s="812">
        <v>1</v>
      </c>
      <c r="C11" s="829" t="s">
        <v>177</v>
      </c>
      <c r="D11" s="189" t="s">
        <v>305</v>
      </c>
      <c r="E11" s="136">
        <v>478</v>
      </c>
      <c r="F11" s="135">
        <v>316</v>
      </c>
      <c r="G11" s="135">
        <v>198</v>
      </c>
      <c r="H11" s="135">
        <v>1277</v>
      </c>
      <c r="I11" s="134">
        <f t="shared" ref="I11:I25" si="0">E11+F11+G11+H11</f>
        <v>2269</v>
      </c>
      <c r="J11" s="106"/>
      <c r="K11" s="106"/>
      <c r="N11" s="136"/>
      <c r="O11" s="135"/>
      <c r="P11" s="135"/>
      <c r="Q11" s="135"/>
      <c r="R11" s="134"/>
    </row>
    <row r="12" spans="2:18">
      <c r="B12" s="813"/>
      <c r="C12" s="830"/>
      <c r="D12" s="185" t="s">
        <v>302</v>
      </c>
      <c r="E12" s="120">
        <v>19922</v>
      </c>
      <c r="F12" s="119">
        <v>8254</v>
      </c>
      <c r="G12" s="119">
        <v>6012</v>
      </c>
      <c r="H12" s="119">
        <v>56961</v>
      </c>
      <c r="I12" s="118">
        <f t="shared" si="0"/>
        <v>91149</v>
      </c>
      <c r="J12" s="106"/>
      <c r="K12" s="106"/>
      <c r="N12" s="120">
        <f>E12/E11</f>
        <v>41.677824267782427</v>
      </c>
      <c r="O12" s="119">
        <f>F12/F11</f>
        <v>26.120253164556964</v>
      </c>
      <c r="P12" s="119">
        <f>G12/G11</f>
        <v>30.363636363636363</v>
      </c>
      <c r="Q12" s="119">
        <f>H12/H11</f>
        <v>44.605324980422864</v>
      </c>
      <c r="R12" s="118">
        <f>I12/I11</f>
        <v>40.171441163508156</v>
      </c>
    </row>
    <row r="13" spans="2:18">
      <c r="B13" s="816">
        <v>2</v>
      </c>
      <c r="C13" s="831" t="s">
        <v>308</v>
      </c>
      <c r="D13" s="189" t="s">
        <v>305</v>
      </c>
      <c r="E13" s="125">
        <v>0</v>
      </c>
      <c r="F13" s="124">
        <v>160</v>
      </c>
      <c r="G13" s="124">
        <v>293</v>
      </c>
      <c r="H13" s="124">
        <v>73</v>
      </c>
      <c r="I13" s="123">
        <f t="shared" si="0"/>
        <v>526</v>
      </c>
      <c r="J13" s="106"/>
      <c r="K13" s="106"/>
      <c r="N13" s="125"/>
      <c r="O13" s="124"/>
      <c r="P13" s="124"/>
      <c r="Q13" s="124"/>
      <c r="R13" s="123"/>
    </row>
    <row r="14" spans="2:18">
      <c r="B14" s="813"/>
      <c r="C14" s="830"/>
      <c r="D14" s="185" t="s">
        <v>302</v>
      </c>
      <c r="E14" s="120">
        <v>0</v>
      </c>
      <c r="F14" s="119">
        <v>933</v>
      </c>
      <c r="G14" s="119">
        <v>1767</v>
      </c>
      <c r="H14" s="119">
        <v>464</v>
      </c>
      <c r="I14" s="118">
        <f t="shared" si="0"/>
        <v>3164</v>
      </c>
      <c r="J14" s="106"/>
      <c r="K14" s="106"/>
      <c r="N14" s="120"/>
      <c r="O14" s="119">
        <f>F14/F13</f>
        <v>5.8312499999999998</v>
      </c>
      <c r="P14" s="119">
        <f>G14/G13</f>
        <v>6.0307167235494878</v>
      </c>
      <c r="Q14" s="119">
        <f>H14/H13</f>
        <v>6.3561643835616435</v>
      </c>
      <c r="R14" s="118">
        <f>I14/I13</f>
        <v>6.0152091254752849</v>
      </c>
    </row>
    <row r="15" spans="2:18">
      <c r="B15" s="816">
        <v>3</v>
      </c>
      <c r="C15" s="831" t="s">
        <v>331</v>
      </c>
      <c r="D15" s="189" t="s">
        <v>305</v>
      </c>
      <c r="E15" s="125">
        <v>8</v>
      </c>
      <c r="F15" s="124">
        <v>644</v>
      </c>
      <c r="G15" s="124">
        <v>165</v>
      </c>
      <c r="H15" s="124">
        <v>2758</v>
      </c>
      <c r="I15" s="123">
        <f t="shared" si="0"/>
        <v>3575</v>
      </c>
      <c r="J15" s="106"/>
      <c r="K15" s="106"/>
      <c r="N15" s="125"/>
      <c r="O15" s="124"/>
      <c r="P15" s="124"/>
      <c r="Q15" s="124"/>
      <c r="R15" s="123"/>
    </row>
    <row r="16" spans="2:18">
      <c r="B16" s="813"/>
      <c r="C16" s="830"/>
      <c r="D16" s="185" t="s">
        <v>302</v>
      </c>
      <c r="E16" s="120">
        <v>101</v>
      </c>
      <c r="F16" s="119">
        <v>6690</v>
      </c>
      <c r="G16" s="119">
        <v>1191</v>
      </c>
      <c r="H16" s="119">
        <v>40936</v>
      </c>
      <c r="I16" s="118">
        <f t="shared" si="0"/>
        <v>48918</v>
      </c>
      <c r="J16" s="106"/>
      <c r="K16" s="106"/>
      <c r="N16" s="120">
        <f>E16/E15</f>
        <v>12.625</v>
      </c>
      <c r="O16" s="119">
        <f>F16/F15</f>
        <v>10.388198757763975</v>
      </c>
      <c r="P16" s="119">
        <f>G16/G15</f>
        <v>7.2181818181818178</v>
      </c>
      <c r="Q16" s="119">
        <f>H16/H15</f>
        <v>14.842639593908629</v>
      </c>
      <c r="R16" s="118">
        <f>I16/I15</f>
        <v>13.683356643356642</v>
      </c>
    </row>
    <row r="17" spans="2:18">
      <c r="B17" s="816">
        <v>4</v>
      </c>
      <c r="C17" s="831" t="s">
        <v>333</v>
      </c>
      <c r="D17" s="189" t="s">
        <v>305</v>
      </c>
      <c r="E17" s="125">
        <v>0</v>
      </c>
      <c r="F17" s="124">
        <v>28</v>
      </c>
      <c r="G17" s="124">
        <v>0</v>
      </c>
      <c r="H17" s="124">
        <v>0</v>
      </c>
      <c r="I17" s="123">
        <f t="shared" si="0"/>
        <v>28</v>
      </c>
      <c r="J17" s="106"/>
      <c r="K17" s="106"/>
      <c r="N17" s="125"/>
      <c r="O17" s="124"/>
      <c r="P17" s="124"/>
      <c r="Q17" s="124"/>
      <c r="R17" s="123"/>
    </row>
    <row r="18" spans="2:18">
      <c r="B18" s="813"/>
      <c r="C18" s="830"/>
      <c r="D18" s="185" t="s">
        <v>302</v>
      </c>
      <c r="E18" s="120">
        <v>0</v>
      </c>
      <c r="F18" s="119">
        <v>682</v>
      </c>
      <c r="G18" s="119">
        <v>0</v>
      </c>
      <c r="H18" s="119">
        <v>0</v>
      </c>
      <c r="I18" s="118">
        <f t="shared" si="0"/>
        <v>682</v>
      </c>
      <c r="J18" s="106"/>
      <c r="K18" s="106"/>
      <c r="N18" s="120"/>
      <c r="O18" s="119">
        <f>F18/F17</f>
        <v>24.357142857142858</v>
      </c>
      <c r="P18" s="119"/>
      <c r="Q18" s="119"/>
      <c r="R18" s="118">
        <f>I18/I17</f>
        <v>24.357142857142858</v>
      </c>
    </row>
    <row r="19" spans="2:18">
      <c r="B19" s="816">
        <v>5</v>
      </c>
      <c r="C19" s="831" t="s">
        <v>332</v>
      </c>
      <c r="D19" s="189" t="s">
        <v>305</v>
      </c>
      <c r="E19" s="131">
        <v>136</v>
      </c>
      <c r="F19" s="130">
        <v>369</v>
      </c>
      <c r="G19" s="130">
        <v>0</v>
      </c>
      <c r="H19" s="130">
        <v>0</v>
      </c>
      <c r="I19" s="123">
        <f t="shared" si="0"/>
        <v>505</v>
      </c>
      <c r="J19" s="106"/>
      <c r="K19" s="106"/>
      <c r="N19" s="131"/>
      <c r="O19" s="130"/>
      <c r="P19" s="130"/>
      <c r="Q19" s="130"/>
      <c r="R19" s="123"/>
    </row>
    <row r="20" spans="2:18">
      <c r="B20" s="813"/>
      <c r="C20" s="830"/>
      <c r="D20" s="185" t="s">
        <v>302</v>
      </c>
      <c r="E20" s="120">
        <v>1589</v>
      </c>
      <c r="F20" s="119">
        <v>2225</v>
      </c>
      <c r="G20" s="119">
        <v>0</v>
      </c>
      <c r="H20" s="119">
        <v>0</v>
      </c>
      <c r="I20" s="118">
        <f t="shared" si="0"/>
        <v>3814</v>
      </c>
      <c r="J20" s="106"/>
      <c r="K20" s="106"/>
      <c r="N20" s="120">
        <f>E20/E19</f>
        <v>11.683823529411764</v>
      </c>
      <c r="O20" s="119">
        <f>F20/F19</f>
        <v>6.0298102981029809</v>
      </c>
      <c r="P20" s="119"/>
      <c r="Q20" s="119"/>
      <c r="R20" s="118">
        <f>I20/I19</f>
        <v>7.5524752475247521</v>
      </c>
    </row>
    <row r="21" spans="2:18">
      <c r="B21" s="816">
        <v>6</v>
      </c>
      <c r="C21" s="831" t="s">
        <v>307</v>
      </c>
      <c r="D21" s="189" t="s">
        <v>305</v>
      </c>
      <c r="E21" s="131">
        <v>0</v>
      </c>
      <c r="F21" s="130">
        <v>6</v>
      </c>
      <c r="G21" s="130">
        <v>486</v>
      </c>
      <c r="H21" s="130">
        <v>1781</v>
      </c>
      <c r="I21" s="123">
        <f t="shared" si="0"/>
        <v>2273</v>
      </c>
      <c r="J21" s="106"/>
      <c r="K21" s="106"/>
      <c r="N21" s="131"/>
      <c r="O21" s="130"/>
      <c r="P21" s="130"/>
      <c r="Q21" s="130"/>
      <c r="R21" s="123"/>
    </row>
    <row r="22" spans="2:18">
      <c r="B22" s="813"/>
      <c r="C22" s="830"/>
      <c r="D22" s="185" t="s">
        <v>302</v>
      </c>
      <c r="E22" s="120">
        <v>0</v>
      </c>
      <c r="F22" s="119">
        <v>56</v>
      </c>
      <c r="G22" s="119">
        <v>4075</v>
      </c>
      <c r="H22" s="119">
        <v>13887</v>
      </c>
      <c r="I22" s="118">
        <f t="shared" si="0"/>
        <v>18018</v>
      </c>
      <c r="J22" s="106"/>
      <c r="K22" s="106"/>
      <c r="N22" s="120"/>
      <c r="O22" s="119">
        <f>F22/F21</f>
        <v>9.3333333333333339</v>
      </c>
      <c r="P22" s="119">
        <f>G22/G21</f>
        <v>8.3847736625514404</v>
      </c>
      <c r="Q22" s="119">
        <f>H22/H21</f>
        <v>7.7973048848961257</v>
      </c>
      <c r="R22" s="118">
        <f>I22/I21</f>
        <v>7.9269687637483504</v>
      </c>
    </row>
    <row r="23" spans="2:18">
      <c r="B23" s="816">
        <v>7</v>
      </c>
      <c r="C23" s="831" t="s">
        <v>324</v>
      </c>
      <c r="D23" s="189" t="s">
        <v>305</v>
      </c>
      <c r="E23" s="125">
        <v>5</v>
      </c>
      <c r="F23" s="124">
        <v>11</v>
      </c>
      <c r="G23" s="124">
        <v>50</v>
      </c>
      <c r="H23" s="124">
        <v>1016</v>
      </c>
      <c r="I23" s="123">
        <f t="shared" si="0"/>
        <v>1082</v>
      </c>
      <c r="J23" s="106"/>
      <c r="K23" s="106"/>
      <c r="N23" s="125"/>
      <c r="O23" s="124"/>
      <c r="P23" s="124"/>
      <c r="Q23" s="124"/>
      <c r="R23" s="123"/>
    </row>
    <row r="24" spans="2:18" ht="16" thickBot="1">
      <c r="B24" s="818"/>
      <c r="C24" s="832"/>
      <c r="D24" s="185" t="s">
        <v>302</v>
      </c>
      <c r="E24" s="120">
        <v>41</v>
      </c>
      <c r="F24" s="119">
        <v>112</v>
      </c>
      <c r="G24" s="119">
        <v>360</v>
      </c>
      <c r="H24" s="119">
        <v>8107</v>
      </c>
      <c r="I24" s="118">
        <f t="shared" si="0"/>
        <v>8620</v>
      </c>
      <c r="J24" s="106"/>
      <c r="K24" s="106"/>
      <c r="N24" s="120">
        <f>E24/E23</f>
        <v>8.1999999999999993</v>
      </c>
      <c r="O24" s="119">
        <f>F24/F23</f>
        <v>10.181818181818182</v>
      </c>
      <c r="P24" s="119">
        <f>G24/G23</f>
        <v>7.2</v>
      </c>
      <c r="Q24" s="119">
        <f>H24/H23</f>
        <v>7.9793307086614176</v>
      </c>
      <c r="R24" s="118">
        <f>I24/I23</f>
        <v>7.966728280961183</v>
      </c>
    </row>
    <row r="25" spans="2:18" ht="16" thickBot="1">
      <c r="B25" s="157">
        <v>8</v>
      </c>
      <c r="C25" s="186" t="s">
        <v>304</v>
      </c>
      <c r="D25" s="185" t="s">
        <v>302</v>
      </c>
      <c r="E25" s="154">
        <v>1295</v>
      </c>
      <c r="F25" s="153">
        <v>1496</v>
      </c>
      <c r="G25" s="153">
        <v>1640</v>
      </c>
      <c r="H25" s="153">
        <v>1540</v>
      </c>
      <c r="I25" s="118">
        <f t="shared" si="0"/>
        <v>5971</v>
      </c>
      <c r="J25" s="106"/>
      <c r="K25" s="106"/>
    </row>
    <row r="26" spans="2:18" ht="16" thickBot="1">
      <c r="B26" s="152"/>
      <c r="C26" s="151" t="s">
        <v>303</v>
      </c>
      <c r="D26" s="150" t="s">
        <v>302</v>
      </c>
      <c r="E26" s="148">
        <f>E12+E14+E16+E18+E22+E24+E25+E20</f>
        <v>22948</v>
      </c>
      <c r="F26" s="148">
        <f>F12+F14+F16+F18+F22+F24+F25+F20</f>
        <v>20448</v>
      </c>
      <c r="G26" s="148">
        <f>G12+G14+G16+G18+G22+G24+G25+G20</f>
        <v>15045</v>
      </c>
      <c r="H26" s="148">
        <f>H12+H14+H16+H18+H22+H24+H25+H20</f>
        <v>121895</v>
      </c>
      <c r="I26" s="148">
        <f>I12+I14+I16+I18+I22+I24+I25+I20</f>
        <v>180336</v>
      </c>
      <c r="J26" s="106"/>
      <c r="K26" s="106"/>
    </row>
    <row r="27" spans="2:18">
      <c r="J27" s="106"/>
      <c r="K27" s="106"/>
    </row>
    <row r="28" spans="2:18">
      <c r="J28" s="106"/>
      <c r="K28" s="106"/>
    </row>
    <row r="29" spans="2:18" ht="16" thickBot="1">
      <c r="J29" s="106"/>
      <c r="K29" s="106"/>
    </row>
    <row r="30" spans="2:18" ht="16" thickBot="1">
      <c r="B30" s="803" t="s">
        <v>315</v>
      </c>
      <c r="C30" s="805" t="s">
        <v>314</v>
      </c>
      <c r="D30" s="806"/>
      <c r="E30" s="809">
        <v>2017</v>
      </c>
      <c r="F30" s="810"/>
      <c r="G30" s="810"/>
      <c r="H30" s="810"/>
      <c r="I30" s="811"/>
      <c r="J30" s="106"/>
      <c r="K30" s="106"/>
      <c r="N30" s="809" t="s">
        <v>320</v>
      </c>
      <c r="O30" s="810"/>
      <c r="P30" s="810"/>
      <c r="Q30" s="810"/>
      <c r="R30" s="811"/>
    </row>
    <row r="31" spans="2:18" ht="16" thickBot="1">
      <c r="B31" s="804"/>
      <c r="C31" s="807"/>
      <c r="D31" s="808"/>
      <c r="E31" s="142" t="s">
        <v>312</v>
      </c>
      <c r="F31" s="142" t="s">
        <v>311</v>
      </c>
      <c r="G31" s="142" t="s">
        <v>310</v>
      </c>
      <c r="H31" s="141" t="s">
        <v>309</v>
      </c>
      <c r="I31" s="140" t="s">
        <v>176</v>
      </c>
      <c r="J31" s="106"/>
      <c r="K31" s="106"/>
      <c r="N31" s="142" t="str">
        <f>E31</f>
        <v xml:space="preserve">1 квартал </v>
      </c>
      <c r="O31" s="142" t="str">
        <f>F31</f>
        <v xml:space="preserve">2 квартал </v>
      </c>
      <c r="P31" s="142" t="str">
        <f>G31</f>
        <v xml:space="preserve">3 квартал </v>
      </c>
      <c r="Q31" s="141" t="str">
        <f>H31</f>
        <v xml:space="preserve">4 квартал </v>
      </c>
      <c r="R31" s="140" t="str">
        <f>I31</f>
        <v>Итого</v>
      </c>
    </row>
    <row r="32" spans="2:18">
      <c r="B32" s="812">
        <v>1</v>
      </c>
      <c r="C32" s="829" t="s">
        <v>177</v>
      </c>
      <c r="D32" s="189" t="s">
        <v>305</v>
      </c>
      <c r="E32" s="136">
        <v>1033</v>
      </c>
      <c r="F32" s="135">
        <v>484</v>
      </c>
      <c r="G32" s="135">
        <v>124</v>
      </c>
      <c r="H32" s="135">
        <v>2023</v>
      </c>
      <c r="I32" s="134">
        <f t="shared" ref="I32:I46" si="1">E32+F32+G32+H32</f>
        <v>3664</v>
      </c>
      <c r="J32" s="106"/>
      <c r="K32" s="106"/>
      <c r="N32" s="136"/>
      <c r="O32" s="135"/>
      <c r="P32" s="135"/>
      <c r="Q32" s="135"/>
      <c r="R32" s="134"/>
    </row>
    <row r="33" spans="2:18">
      <c r="B33" s="813"/>
      <c r="C33" s="830"/>
      <c r="D33" s="185" t="s">
        <v>302</v>
      </c>
      <c r="E33" s="120">
        <v>35820</v>
      </c>
      <c r="F33" s="119">
        <v>15075</v>
      </c>
      <c r="G33" s="119">
        <v>3839</v>
      </c>
      <c r="H33" s="119">
        <v>64675</v>
      </c>
      <c r="I33" s="118">
        <f t="shared" si="1"/>
        <v>119409</v>
      </c>
      <c r="J33" s="106"/>
      <c r="K33" s="106"/>
      <c r="N33" s="120">
        <f>E33/E32</f>
        <v>34.675701839303002</v>
      </c>
      <c r="O33" s="119">
        <f>F33/F32</f>
        <v>31.146694214876032</v>
      </c>
      <c r="P33" s="119">
        <f>G33/G32</f>
        <v>30.95967741935484</v>
      </c>
      <c r="Q33" s="119">
        <f>H33/H32</f>
        <v>31.969846762234305</v>
      </c>
      <c r="R33" s="118">
        <f>I33/I32</f>
        <v>32.589792576419214</v>
      </c>
    </row>
    <row r="34" spans="2:18">
      <c r="B34" s="816">
        <v>2</v>
      </c>
      <c r="C34" s="831" t="s">
        <v>308</v>
      </c>
      <c r="D34" s="189" t="s">
        <v>305</v>
      </c>
      <c r="E34" s="125">
        <v>243</v>
      </c>
      <c r="F34" s="124">
        <v>78</v>
      </c>
      <c r="G34" s="124">
        <v>187</v>
      </c>
      <c r="H34" s="124">
        <v>0</v>
      </c>
      <c r="I34" s="123">
        <f t="shared" si="1"/>
        <v>508</v>
      </c>
      <c r="J34" s="106"/>
      <c r="K34" s="106"/>
      <c r="N34" s="125"/>
      <c r="O34" s="124"/>
      <c r="P34" s="124"/>
      <c r="Q34" s="124"/>
      <c r="R34" s="123"/>
    </row>
    <row r="35" spans="2:18">
      <c r="B35" s="813"/>
      <c r="C35" s="830"/>
      <c r="D35" s="185" t="s">
        <v>302</v>
      </c>
      <c r="E35" s="120">
        <v>1360</v>
      </c>
      <c r="F35" s="119">
        <v>400</v>
      </c>
      <c r="G35" s="119">
        <v>1739</v>
      </c>
      <c r="H35" s="119">
        <v>0</v>
      </c>
      <c r="I35" s="118">
        <f t="shared" si="1"/>
        <v>3499</v>
      </c>
      <c r="J35" s="106"/>
      <c r="K35" s="106"/>
      <c r="N35" s="119">
        <f>E35/E34</f>
        <v>5.5967078189300414</v>
      </c>
      <c r="O35" s="119">
        <f>F35/F34</f>
        <v>5.1282051282051286</v>
      </c>
      <c r="P35" s="119">
        <f>G35/G34</f>
        <v>9.2994652406417107</v>
      </c>
      <c r="Q35" s="119"/>
      <c r="R35" s="119">
        <f>I35/I34</f>
        <v>6.8877952755905509</v>
      </c>
    </row>
    <row r="36" spans="2:18">
      <c r="B36" s="816">
        <v>3</v>
      </c>
      <c r="C36" s="831" t="s">
        <v>331</v>
      </c>
      <c r="D36" s="189" t="s">
        <v>305</v>
      </c>
      <c r="E36" s="125">
        <v>41</v>
      </c>
      <c r="F36" s="124">
        <v>141</v>
      </c>
      <c r="G36" s="124">
        <v>91</v>
      </c>
      <c r="H36" s="124">
        <v>418</v>
      </c>
      <c r="I36" s="123">
        <f t="shared" si="1"/>
        <v>691</v>
      </c>
      <c r="J36" s="106"/>
      <c r="K36" s="106"/>
      <c r="N36" s="125"/>
      <c r="O36" s="124"/>
      <c r="P36" s="124"/>
      <c r="Q36" s="124"/>
      <c r="R36" s="123"/>
    </row>
    <row r="37" spans="2:18">
      <c r="B37" s="813"/>
      <c r="C37" s="830"/>
      <c r="D37" s="185" t="s">
        <v>302</v>
      </c>
      <c r="E37" s="120">
        <v>478</v>
      </c>
      <c r="F37" s="119">
        <v>1798</v>
      </c>
      <c r="G37" s="119">
        <v>705</v>
      </c>
      <c r="H37" s="119">
        <v>2816</v>
      </c>
      <c r="I37" s="118">
        <f t="shared" si="1"/>
        <v>5797</v>
      </c>
      <c r="J37" s="106"/>
      <c r="K37" s="106"/>
      <c r="N37" s="120">
        <f>E37/E36</f>
        <v>11.658536585365853</v>
      </c>
      <c r="O37" s="119">
        <f>F37/F36</f>
        <v>12.75177304964539</v>
      </c>
      <c r="P37" s="119">
        <f>G37/G36</f>
        <v>7.7472527472527473</v>
      </c>
      <c r="Q37" s="119">
        <f>H37/H36</f>
        <v>6.7368421052631575</v>
      </c>
      <c r="R37" s="118">
        <f>I37/I36</f>
        <v>8.3892908827785817</v>
      </c>
    </row>
    <row r="38" spans="2:18">
      <c r="B38" s="816">
        <v>4</v>
      </c>
      <c r="C38" s="831" t="s">
        <v>333</v>
      </c>
      <c r="D38" s="189" t="s">
        <v>305</v>
      </c>
      <c r="E38" s="125">
        <v>48</v>
      </c>
      <c r="F38" s="124">
        <v>0</v>
      </c>
      <c r="G38" s="124">
        <v>0</v>
      </c>
      <c r="H38" s="124">
        <v>0</v>
      </c>
      <c r="I38" s="123">
        <f t="shared" si="1"/>
        <v>48</v>
      </c>
      <c r="J38" s="106"/>
      <c r="K38" s="106"/>
      <c r="N38" s="125"/>
      <c r="O38" s="124"/>
      <c r="P38" s="124"/>
      <c r="Q38" s="124"/>
      <c r="R38" s="123">
        <f t="shared" ref="R38:R45" si="2">I38/I37</f>
        <v>8.2801449025357941E-3</v>
      </c>
    </row>
    <row r="39" spans="2:18">
      <c r="B39" s="813"/>
      <c r="C39" s="830"/>
      <c r="D39" s="185" t="s">
        <v>302</v>
      </c>
      <c r="E39" s="120">
        <v>619</v>
      </c>
      <c r="F39" s="119">
        <v>0</v>
      </c>
      <c r="G39" s="119">
        <v>0</v>
      </c>
      <c r="H39" s="119">
        <v>0</v>
      </c>
      <c r="I39" s="118">
        <f t="shared" si="1"/>
        <v>619</v>
      </c>
      <c r="J39" s="106"/>
      <c r="K39" s="106"/>
      <c r="N39" s="119">
        <f>E39/E38</f>
        <v>12.895833333333334</v>
      </c>
      <c r="O39" s="119"/>
      <c r="P39" s="119"/>
      <c r="Q39" s="119"/>
      <c r="R39" s="118">
        <f t="shared" si="2"/>
        <v>12.895833333333334</v>
      </c>
    </row>
    <row r="40" spans="2:18">
      <c r="B40" s="816">
        <v>5</v>
      </c>
      <c r="C40" s="831" t="s">
        <v>332</v>
      </c>
      <c r="D40" s="189" t="s">
        <v>305</v>
      </c>
      <c r="E40" s="131"/>
      <c r="F40" s="130">
        <v>0</v>
      </c>
      <c r="G40" s="130">
        <v>45</v>
      </c>
      <c r="H40" s="130">
        <v>26</v>
      </c>
      <c r="I40" s="123">
        <f t="shared" si="1"/>
        <v>71</v>
      </c>
      <c r="J40" s="106"/>
      <c r="K40" s="106"/>
      <c r="N40" s="123"/>
      <c r="O40" s="123"/>
      <c r="P40" s="123"/>
      <c r="Q40" s="123"/>
      <c r="R40" s="123">
        <f t="shared" si="2"/>
        <v>0.1147011308562197</v>
      </c>
    </row>
    <row r="41" spans="2:18">
      <c r="B41" s="813"/>
      <c r="C41" s="830"/>
      <c r="D41" s="185" t="s">
        <v>302</v>
      </c>
      <c r="E41" s="120"/>
      <c r="F41" s="119">
        <v>0</v>
      </c>
      <c r="G41" s="119">
        <v>1500</v>
      </c>
      <c r="H41" s="119">
        <v>982</v>
      </c>
      <c r="I41" s="118">
        <f t="shared" si="1"/>
        <v>2482</v>
      </c>
      <c r="J41" s="106"/>
      <c r="K41" s="106"/>
      <c r="N41" s="118"/>
      <c r="O41" s="118"/>
      <c r="P41" s="118">
        <f>G41/G40</f>
        <v>33.333333333333336</v>
      </c>
      <c r="Q41" s="118">
        <f>H41/H40</f>
        <v>37.769230769230766</v>
      </c>
      <c r="R41" s="118">
        <f t="shared" si="2"/>
        <v>34.95774647887324</v>
      </c>
    </row>
    <row r="42" spans="2:18">
      <c r="B42" s="816">
        <v>6</v>
      </c>
      <c r="C42" s="831" t="s">
        <v>307</v>
      </c>
      <c r="D42" s="189" t="s">
        <v>305</v>
      </c>
      <c r="E42" s="131"/>
      <c r="F42" s="130">
        <v>0</v>
      </c>
      <c r="G42" s="130">
        <v>1275</v>
      </c>
      <c r="H42" s="130">
        <v>0</v>
      </c>
      <c r="I42" s="123">
        <f t="shared" si="1"/>
        <v>1275</v>
      </c>
      <c r="J42" s="106"/>
      <c r="K42" s="106"/>
      <c r="N42" s="123"/>
      <c r="O42" s="123"/>
      <c r="P42" s="123"/>
      <c r="Q42" s="123"/>
      <c r="R42" s="123">
        <f t="shared" si="2"/>
        <v>0.51369863013698636</v>
      </c>
    </row>
    <row r="43" spans="2:18">
      <c r="B43" s="813"/>
      <c r="C43" s="830"/>
      <c r="D43" s="185" t="s">
        <v>302</v>
      </c>
      <c r="E43" s="120"/>
      <c r="F43" s="119">
        <v>0</v>
      </c>
      <c r="G43" s="119">
        <v>8994</v>
      </c>
      <c r="H43" s="119">
        <v>0</v>
      </c>
      <c r="I43" s="118">
        <f t="shared" si="1"/>
        <v>8994</v>
      </c>
      <c r="J43" s="106"/>
      <c r="K43" s="106"/>
      <c r="N43" s="118"/>
      <c r="O43" s="118"/>
      <c r="P43" s="118">
        <f>G43/G42</f>
        <v>7.0541176470588232</v>
      </c>
      <c r="Q43" s="118"/>
      <c r="R43" s="118">
        <f t="shared" si="2"/>
        <v>7.0541176470588232</v>
      </c>
    </row>
    <row r="44" spans="2:18">
      <c r="B44" s="816">
        <v>7</v>
      </c>
      <c r="C44" s="831" t="s">
        <v>324</v>
      </c>
      <c r="D44" s="189" t="s">
        <v>305</v>
      </c>
      <c r="E44" s="125"/>
      <c r="F44" s="124">
        <v>0</v>
      </c>
      <c r="G44" s="124">
        <v>0</v>
      </c>
      <c r="H44" s="124">
        <v>373</v>
      </c>
      <c r="I44" s="123">
        <f t="shared" si="1"/>
        <v>373</v>
      </c>
      <c r="J44" s="106"/>
      <c r="K44" s="106"/>
      <c r="N44" s="123"/>
      <c r="O44" s="123"/>
      <c r="P44" s="123"/>
      <c r="Q44" s="123"/>
      <c r="R44" s="123">
        <f t="shared" si="2"/>
        <v>4.1472092506115187E-2</v>
      </c>
    </row>
    <row r="45" spans="2:18" ht="16" thickBot="1">
      <c r="B45" s="818"/>
      <c r="C45" s="832"/>
      <c r="D45" s="185" t="s">
        <v>302</v>
      </c>
      <c r="E45" s="120"/>
      <c r="F45" s="119">
        <v>0</v>
      </c>
      <c r="G45" s="119">
        <v>0</v>
      </c>
      <c r="H45" s="119">
        <v>5317</v>
      </c>
      <c r="I45" s="118">
        <f t="shared" si="1"/>
        <v>5317</v>
      </c>
      <c r="J45" s="106"/>
      <c r="K45" s="106"/>
      <c r="N45" s="118"/>
      <c r="O45" s="118"/>
      <c r="P45" s="118"/>
      <c r="Q45" s="118">
        <f>H45/H44</f>
        <v>14.254691689008043</v>
      </c>
      <c r="R45" s="118">
        <f t="shared" si="2"/>
        <v>14.254691689008043</v>
      </c>
    </row>
    <row r="46" spans="2:18" ht="16" thickBot="1">
      <c r="B46" s="157">
        <v>8</v>
      </c>
      <c r="C46" s="186" t="s">
        <v>304</v>
      </c>
      <c r="D46" s="185" t="s">
        <v>302</v>
      </c>
      <c r="E46" s="154">
        <v>1369</v>
      </c>
      <c r="F46" s="153">
        <v>1674</v>
      </c>
      <c r="G46" s="153">
        <v>1706</v>
      </c>
      <c r="H46" s="153">
        <v>2580</v>
      </c>
      <c r="I46" s="118">
        <f t="shared" si="1"/>
        <v>7329</v>
      </c>
      <c r="J46" s="106"/>
      <c r="K46" s="106"/>
    </row>
    <row r="47" spans="2:18" ht="16" thickBot="1">
      <c r="B47" s="152"/>
      <c r="C47" s="151" t="s">
        <v>303</v>
      </c>
      <c r="D47" s="150" t="s">
        <v>302</v>
      </c>
      <c r="E47" s="148">
        <f>E33+E35+E37+E39+E43+E45+E46+E41</f>
        <v>39646</v>
      </c>
      <c r="F47" s="148">
        <f>F33+F35+F37+F39+F43+F45+F46+F41</f>
        <v>18947</v>
      </c>
      <c r="G47" s="148">
        <f>G33+G35+G37+G39+G43+G45+G46+G41</f>
        <v>18483</v>
      </c>
      <c r="H47" s="148">
        <f>H33+H35+H37+H39+H43+H45+H46+H41</f>
        <v>76370</v>
      </c>
      <c r="I47" s="148">
        <f>I33+I35+I37+I39+I43+I45+I46+I41</f>
        <v>153446</v>
      </c>
      <c r="J47" s="106"/>
      <c r="K47" s="106"/>
    </row>
    <row r="48" spans="2:18">
      <c r="J48" s="106"/>
      <c r="K48" s="106"/>
    </row>
    <row r="49" spans="2:18">
      <c r="J49" s="106"/>
      <c r="K49" s="106"/>
    </row>
    <row r="50" spans="2:18" ht="16" thickBot="1">
      <c r="J50" s="106"/>
      <c r="K50" s="106"/>
    </row>
    <row r="51" spans="2:18" ht="16" hidden="1" thickBot="1">
      <c r="J51" s="106"/>
      <c r="K51" s="106"/>
    </row>
    <row r="52" spans="2:18" ht="16" hidden="1" thickBot="1">
      <c r="J52" s="106"/>
      <c r="K52" s="106"/>
    </row>
    <row r="53" spans="2:18" ht="16" hidden="1" thickBot="1">
      <c r="C53" s="162"/>
      <c r="D53" s="161"/>
      <c r="E53" s="161"/>
      <c r="J53" s="106"/>
      <c r="K53" s="106"/>
    </row>
    <row r="54" spans="2:18" ht="16" thickBot="1">
      <c r="B54" s="803" t="s">
        <v>315</v>
      </c>
      <c r="C54" s="805" t="s">
        <v>314</v>
      </c>
      <c r="D54" s="806"/>
      <c r="E54" s="809">
        <v>2018</v>
      </c>
      <c r="F54" s="810"/>
      <c r="G54" s="810"/>
      <c r="H54" s="810"/>
      <c r="I54" s="811"/>
      <c r="J54" s="106"/>
      <c r="K54" s="106"/>
      <c r="N54" s="809" t="s">
        <v>319</v>
      </c>
      <c r="O54" s="810"/>
      <c r="P54" s="810"/>
      <c r="Q54" s="810"/>
      <c r="R54" s="811"/>
    </row>
    <row r="55" spans="2:18" ht="16" thickBot="1">
      <c r="B55" s="804"/>
      <c r="C55" s="807"/>
      <c r="D55" s="808"/>
      <c r="E55" s="142" t="s">
        <v>312</v>
      </c>
      <c r="F55" s="142" t="s">
        <v>311</v>
      </c>
      <c r="G55" s="142" t="s">
        <v>310</v>
      </c>
      <c r="H55" s="141" t="s">
        <v>309</v>
      </c>
      <c r="I55" s="140" t="s">
        <v>176</v>
      </c>
      <c r="J55" s="106"/>
      <c r="K55" s="106"/>
      <c r="N55" s="142" t="str">
        <f>E55</f>
        <v xml:space="preserve">1 квартал </v>
      </c>
      <c r="O55" s="142" t="str">
        <f>F55</f>
        <v xml:space="preserve">2 квартал </v>
      </c>
      <c r="P55" s="142" t="str">
        <f>G55</f>
        <v xml:space="preserve">3 квартал </v>
      </c>
      <c r="Q55" s="141" t="str">
        <f>H55</f>
        <v xml:space="preserve">4 квартал </v>
      </c>
      <c r="R55" s="140" t="str">
        <f>I55</f>
        <v>Итого</v>
      </c>
    </row>
    <row r="56" spans="2:18">
      <c r="B56" s="812">
        <v>1</v>
      </c>
      <c r="C56" s="829" t="s">
        <v>177</v>
      </c>
      <c r="D56" s="189" t="s">
        <v>305</v>
      </c>
      <c r="E56" s="136">
        <v>551</v>
      </c>
      <c r="F56" s="135">
        <v>12</v>
      </c>
      <c r="G56" s="135">
        <v>287</v>
      </c>
      <c r="H56" s="135">
        <v>1983</v>
      </c>
      <c r="I56" s="134">
        <f t="shared" ref="I56:I70" si="3">E56+F56+G56+H56</f>
        <v>2833</v>
      </c>
      <c r="J56" s="106"/>
      <c r="K56" s="106"/>
      <c r="N56" s="136"/>
      <c r="O56" s="135"/>
      <c r="P56" s="135"/>
      <c r="Q56" s="135"/>
      <c r="R56" s="134"/>
    </row>
    <row r="57" spans="2:18">
      <c r="B57" s="813"/>
      <c r="C57" s="830"/>
      <c r="D57" s="185" t="s">
        <v>302</v>
      </c>
      <c r="E57" s="120">
        <v>22802</v>
      </c>
      <c r="F57" s="119">
        <v>467</v>
      </c>
      <c r="G57" s="119">
        <v>7119</v>
      </c>
      <c r="H57" s="119">
        <v>61054</v>
      </c>
      <c r="I57" s="118">
        <f t="shared" si="3"/>
        <v>91442</v>
      </c>
      <c r="J57" s="106"/>
      <c r="K57" s="106"/>
      <c r="N57" s="120">
        <f>E57/E56</f>
        <v>41.382940108892925</v>
      </c>
      <c r="O57" s="119">
        <f>F57/F56</f>
        <v>38.916666666666664</v>
      </c>
      <c r="P57" s="119">
        <f>G57/G56</f>
        <v>24.804878048780488</v>
      </c>
      <c r="Q57" s="119">
        <f>H57/H56</f>
        <v>30.788703983862835</v>
      </c>
      <c r="R57" s="118">
        <f>I57/I56</f>
        <v>32.277444405224145</v>
      </c>
    </row>
    <row r="58" spans="2:18">
      <c r="B58" s="816">
        <v>2</v>
      </c>
      <c r="C58" s="831" t="s">
        <v>308</v>
      </c>
      <c r="D58" s="189" t="s">
        <v>305</v>
      </c>
      <c r="E58" s="125">
        <v>0</v>
      </c>
      <c r="F58" s="124">
        <v>214</v>
      </c>
      <c r="G58" s="124">
        <v>0</v>
      </c>
      <c r="H58" s="124">
        <v>164</v>
      </c>
      <c r="I58" s="123">
        <f t="shared" si="3"/>
        <v>378</v>
      </c>
      <c r="J58" s="106"/>
      <c r="K58" s="106"/>
      <c r="N58" s="125"/>
      <c r="O58" s="124"/>
      <c r="P58" s="124"/>
      <c r="Q58" s="124"/>
      <c r="R58" s="123"/>
    </row>
    <row r="59" spans="2:18">
      <c r="B59" s="813"/>
      <c r="C59" s="830"/>
      <c r="D59" s="185" t="s">
        <v>302</v>
      </c>
      <c r="E59" s="120">
        <v>0</v>
      </c>
      <c r="F59" s="119">
        <v>1923</v>
      </c>
      <c r="G59" s="119">
        <v>0</v>
      </c>
      <c r="H59" s="119">
        <v>867</v>
      </c>
      <c r="I59" s="118">
        <f t="shared" si="3"/>
        <v>2790</v>
      </c>
      <c r="J59" s="106"/>
      <c r="K59" s="106"/>
      <c r="N59" s="120"/>
      <c r="O59" s="119">
        <f>F59/F58</f>
        <v>8.9859813084112155</v>
      </c>
      <c r="P59" s="119"/>
      <c r="Q59" s="119">
        <f>H59/H58</f>
        <v>5.2865853658536581</v>
      </c>
      <c r="R59" s="118">
        <f>I59/I58</f>
        <v>7.3809523809523814</v>
      </c>
    </row>
    <row r="60" spans="2:18">
      <c r="B60" s="816">
        <v>3</v>
      </c>
      <c r="C60" s="831" t="s">
        <v>331</v>
      </c>
      <c r="D60" s="189" t="s">
        <v>305</v>
      </c>
      <c r="E60" s="125">
        <v>156</v>
      </c>
      <c r="F60" s="124">
        <v>893</v>
      </c>
      <c r="G60" s="124">
        <v>0</v>
      </c>
      <c r="H60" s="124">
        <v>0</v>
      </c>
      <c r="I60" s="123">
        <f t="shared" si="3"/>
        <v>1049</v>
      </c>
      <c r="J60" s="106"/>
      <c r="K60" s="106"/>
      <c r="N60" s="125"/>
      <c r="O60" s="124"/>
      <c r="P60" s="124"/>
      <c r="Q60" s="124"/>
      <c r="R60" s="123"/>
    </row>
    <row r="61" spans="2:18">
      <c r="B61" s="813"/>
      <c r="C61" s="830"/>
      <c r="D61" s="185" t="s">
        <v>302</v>
      </c>
      <c r="E61" s="120">
        <v>1419</v>
      </c>
      <c r="F61" s="119">
        <v>6977</v>
      </c>
      <c r="G61" s="119">
        <v>0</v>
      </c>
      <c r="H61" s="119">
        <v>0</v>
      </c>
      <c r="I61" s="118">
        <f t="shared" si="3"/>
        <v>8396</v>
      </c>
      <c r="J61" s="106"/>
      <c r="K61" s="106"/>
      <c r="N61" s="120">
        <f>E61/E60</f>
        <v>9.0961538461538467</v>
      </c>
      <c r="O61" s="119">
        <f>F61/F60</f>
        <v>7.8129899216125418</v>
      </c>
      <c r="P61" s="119"/>
      <c r="Q61" s="119"/>
      <c r="R61" s="118">
        <f>I61/I60</f>
        <v>8.0038131553860818</v>
      </c>
    </row>
    <row r="62" spans="2:18">
      <c r="B62" s="816">
        <v>4</v>
      </c>
      <c r="C62" s="797" t="s">
        <v>179</v>
      </c>
      <c r="D62" s="189" t="s">
        <v>305</v>
      </c>
      <c r="E62" s="125">
        <v>0</v>
      </c>
      <c r="F62" s="124">
        <v>0</v>
      </c>
      <c r="G62" s="124">
        <v>60</v>
      </c>
      <c r="H62" s="124">
        <v>41</v>
      </c>
      <c r="I62" s="123">
        <f t="shared" si="3"/>
        <v>101</v>
      </c>
      <c r="J62" s="106"/>
      <c r="K62" s="106"/>
      <c r="N62" s="125"/>
      <c r="O62" s="124"/>
      <c r="P62" s="124"/>
      <c r="Q62" s="124"/>
      <c r="R62" s="123"/>
    </row>
    <row r="63" spans="2:18">
      <c r="B63" s="813"/>
      <c r="C63" s="800"/>
      <c r="D63" s="185" t="s">
        <v>302</v>
      </c>
      <c r="E63" s="120">
        <v>0</v>
      </c>
      <c r="F63" s="119">
        <v>0</v>
      </c>
      <c r="G63" s="119">
        <v>1061</v>
      </c>
      <c r="H63" s="119">
        <v>330</v>
      </c>
      <c r="I63" s="118">
        <f t="shared" si="3"/>
        <v>1391</v>
      </c>
      <c r="J63" s="106"/>
      <c r="K63" s="106"/>
      <c r="N63" s="120"/>
      <c r="O63" s="119"/>
      <c r="P63" s="119">
        <f>G63/G62</f>
        <v>17.683333333333334</v>
      </c>
      <c r="Q63" s="119">
        <f>H63/H62</f>
        <v>8.0487804878048781</v>
      </c>
      <c r="R63" s="118">
        <f>I63/I62</f>
        <v>13.772277227722773</v>
      </c>
    </row>
    <row r="64" spans="2:18">
      <c r="B64" s="816">
        <v>5</v>
      </c>
      <c r="C64" s="797" t="s">
        <v>325</v>
      </c>
      <c r="D64" s="189" t="s">
        <v>305</v>
      </c>
      <c r="E64" s="131">
        <v>0</v>
      </c>
      <c r="F64" s="130">
        <v>81</v>
      </c>
      <c r="G64" s="130">
        <v>0</v>
      </c>
      <c r="H64" s="130">
        <v>0</v>
      </c>
      <c r="I64" s="123">
        <f t="shared" si="3"/>
        <v>81</v>
      </c>
      <c r="J64" s="106"/>
      <c r="K64" s="106"/>
      <c r="N64" s="131"/>
      <c r="O64" s="130"/>
      <c r="P64" s="130"/>
      <c r="Q64" s="130"/>
      <c r="R64" s="123"/>
    </row>
    <row r="65" spans="2:18">
      <c r="B65" s="813"/>
      <c r="C65" s="800"/>
      <c r="D65" s="185" t="s">
        <v>302</v>
      </c>
      <c r="E65" s="120">
        <v>0</v>
      </c>
      <c r="F65" s="119">
        <v>8513</v>
      </c>
      <c r="G65" s="119">
        <v>0</v>
      </c>
      <c r="H65" s="119">
        <v>0</v>
      </c>
      <c r="I65" s="118">
        <f t="shared" si="3"/>
        <v>8513</v>
      </c>
      <c r="J65" s="106"/>
      <c r="K65" s="106"/>
      <c r="N65" s="120"/>
      <c r="O65" s="119"/>
      <c r="P65" s="119"/>
      <c r="Q65" s="119"/>
      <c r="R65" s="118">
        <f>I65/I64</f>
        <v>105.09876543209876</v>
      </c>
    </row>
    <row r="66" spans="2:18">
      <c r="B66" s="816">
        <v>6</v>
      </c>
      <c r="C66" s="797" t="s">
        <v>307</v>
      </c>
      <c r="D66" s="189" t="s">
        <v>305</v>
      </c>
      <c r="E66" s="131">
        <v>0</v>
      </c>
      <c r="F66" s="130">
        <v>0</v>
      </c>
      <c r="G66" s="130">
        <v>1738</v>
      </c>
      <c r="H66" s="130">
        <v>2</v>
      </c>
      <c r="I66" s="123">
        <f t="shared" si="3"/>
        <v>1740</v>
      </c>
      <c r="J66" s="106"/>
      <c r="K66" s="106"/>
      <c r="N66" s="131"/>
      <c r="O66" s="130"/>
      <c r="P66" s="130"/>
      <c r="Q66" s="130"/>
      <c r="R66" s="123"/>
    </row>
    <row r="67" spans="2:18">
      <c r="B67" s="813"/>
      <c r="C67" s="800"/>
      <c r="D67" s="185" t="s">
        <v>302</v>
      </c>
      <c r="E67" s="120">
        <v>0</v>
      </c>
      <c r="F67" s="119">
        <v>0</v>
      </c>
      <c r="G67" s="119">
        <v>14435</v>
      </c>
      <c r="H67" s="119">
        <v>15</v>
      </c>
      <c r="I67" s="118">
        <f t="shared" si="3"/>
        <v>14450</v>
      </c>
      <c r="J67" s="106"/>
      <c r="K67" s="106"/>
      <c r="N67" s="120"/>
      <c r="O67" s="119"/>
      <c r="P67" s="119">
        <f>G67/G66</f>
        <v>8.305523590333717</v>
      </c>
      <c r="Q67" s="119">
        <f>H67/H66</f>
        <v>7.5</v>
      </c>
      <c r="R67" s="118">
        <f>I67/I66</f>
        <v>8.3045977011494259</v>
      </c>
    </row>
    <row r="68" spans="2:18">
      <c r="B68" s="816">
        <v>7</v>
      </c>
      <c r="C68" s="797" t="s">
        <v>324</v>
      </c>
      <c r="D68" s="189" t="s">
        <v>305</v>
      </c>
      <c r="E68" s="125">
        <v>0</v>
      </c>
      <c r="F68" s="124">
        <v>0</v>
      </c>
      <c r="G68" s="124">
        <v>0</v>
      </c>
      <c r="H68" s="124">
        <v>240</v>
      </c>
      <c r="I68" s="123">
        <f t="shared" si="3"/>
        <v>240</v>
      </c>
      <c r="J68" s="106"/>
      <c r="K68" s="106"/>
      <c r="N68" s="125"/>
      <c r="O68" s="124"/>
      <c r="P68" s="124"/>
      <c r="Q68" s="124"/>
      <c r="R68" s="123"/>
    </row>
    <row r="69" spans="2:18" ht="16" thickBot="1">
      <c r="B69" s="818"/>
      <c r="C69" s="798"/>
      <c r="D69" s="185" t="s">
        <v>302</v>
      </c>
      <c r="E69" s="120">
        <v>0</v>
      </c>
      <c r="F69" s="119">
        <v>0</v>
      </c>
      <c r="G69" s="119">
        <v>0</v>
      </c>
      <c r="H69" s="119">
        <v>2252</v>
      </c>
      <c r="I69" s="118">
        <f t="shared" si="3"/>
        <v>2252</v>
      </c>
      <c r="J69" s="106"/>
      <c r="K69" s="106"/>
      <c r="N69" s="120"/>
      <c r="O69" s="119"/>
      <c r="P69" s="119"/>
      <c r="Q69" s="119">
        <f>H69/H68</f>
        <v>9.3833333333333329</v>
      </c>
      <c r="R69" s="118">
        <f>I69/I68</f>
        <v>9.3833333333333329</v>
      </c>
    </row>
    <row r="70" spans="2:18" ht="16" thickBot="1">
      <c r="B70" s="157">
        <v>8</v>
      </c>
      <c r="C70" s="186" t="s">
        <v>304</v>
      </c>
      <c r="D70" s="185" t="s">
        <v>302</v>
      </c>
      <c r="E70" s="154">
        <v>367</v>
      </c>
      <c r="F70" s="153">
        <v>60</v>
      </c>
      <c r="G70" s="153">
        <v>540</v>
      </c>
      <c r="H70" s="153">
        <v>310</v>
      </c>
      <c r="I70" s="118">
        <f t="shared" si="3"/>
        <v>1277</v>
      </c>
      <c r="J70" s="106"/>
      <c r="K70" s="106"/>
    </row>
    <row r="71" spans="2:18" ht="16" thickBot="1">
      <c r="B71" s="152"/>
      <c r="C71" s="151" t="s">
        <v>303</v>
      </c>
      <c r="D71" s="150" t="s">
        <v>302</v>
      </c>
      <c r="E71" s="148">
        <f>E57+E59+E61+E63+E67+E69+E70+E65</f>
        <v>24588</v>
      </c>
      <c r="F71" s="148">
        <f>F57+F59+F61+F63+F67+F69+F70+F65</f>
        <v>17940</v>
      </c>
      <c r="G71" s="148">
        <f>G57+G59+G61+G63+G67+G69+G70+G65</f>
        <v>23155</v>
      </c>
      <c r="H71" s="148">
        <f>H57+H59+H61+H63+H67+H69+H70+H65</f>
        <v>64828</v>
      </c>
      <c r="I71" s="148">
        <f>I57+I59+I61+I63+I67+I69+I70+I65</f>
        <v>130511</v>
      </c>
      <c r="J71" s="106"/>
      <c r="K71" s="106"/>
    </row>
    <row r="72" spans="2:18">
      <c r="E72" s="160">
        <f t="shared" ref="E72:H73" si="4">E56+E58</f>
        <v>551</v>
      </c>
      <c r="F72" s="160">
        <f t="shared" si="4"/>
        <v>226</v>
      </c>
      <c r="G72" s="160">
        <f t="shared" si="4"/>
        <v>287</v>
      </c>
      <c r="H72" s="160">
        <f t="shared" si="4"/>
        <v>2147</v>
      </c>
      <c r="J72" s="106"/>
      <c r="K72" s="106"/>
    </row>
    <row r="73" spans="2:18">
      <c r="E73" s="160">
        <f t="shared" si="4"/>
        <v>22802</v>
      </c>
      <c r="F73" s="160">
        <f t="shared" si="4"/>
        <v>2390</v>
      </c>
      <c r="G73" s="160">
        <f t="shared" si="4"/>
        <v>7119</v>
      </c>
      <c r="H73" s="160">
        <f t="shared" si="4"/>
        <v>61921</v>
      </c>
      <c r="J73" s="106"/>
      <c r="K73" s="106"/>
    </row>
    <row r="74" spans="2:18" ht="16" thickBot="1">
      <c r="H74" s="159">
        <v>5090</v>
      </c>
      <c r="J74" s="106"/>
      <c r="K74" s="106"/>
    </row>
    <row r="75" spans="2:18" ht="16" thickBot="1">
      <c r="B75" s="803" t="s">
        <v>315</v>
      </c>
      <c r="C75" s="805" t="s">
        <v>314</v>
      </c>
      <c r="D75" s="806"/>
      <c r="E75" s="809">
        <v>2019</v>
      </c>
      <c r="F75" s="810"/>
      <c r="G75" s="810"/>
      <c r="H75" s="810"/>
      <c r="I75" s="811"/>
      <c r="J75" s="106"/>
      <c r="K75" s="106"/>
      <c r="N75" s="809" t="s">
        <v>318</v>
      </c>
      <c r="O75" s="810"/>
      <c r="P75" s="810"/>
      <c r="Q75" s="810"/>
      <c r="R75" s="811"/>
    </row>
    <row r="76" spans="2:18" ht="16" thickBot="1">
      <c r="B76" s="804"/>
      <c r="C76" s="807"/>
      <c r="D76" s="808"/>
      <c r="E76" s="142" t="s">
        <v>312</v>
      </c>
      <c r="F76" s="142" t="s">
        <v>317</v>
      </c>
      <c r="G76" s="142" t="s">
        <v>310</v>
      </c>
      <c r="H76" s="141" t="s">
        <v>309</v>
      </c>
      <c r="I76" s="140" t="s">
        <v>176</v>
      </c>
      <c r="J76" s="106"/>
      <c r="K76" s="106"/>
      <c r="N76" s="142" t="str">
        <f>E76</f>
        <v xml:space="preserve">1 квартал </v>
      </c>
      <c r="O76" s="142" t="str">
        <f>F76</f>
        <v>2 квартал *</v>
      </c>
      <c r="P76" s="142" t="str">
        <f>G76</f>
        <v xml:space="preserve">3 квартал </v>
      </c>
      <c r="Q76" s="141" t="str">
        <f>H76</f>
        <v xml:space="preserve">4 квартал </v>
      </c>
      <c r="R76" s="140" t="str">
        <f>I76</f>
        <v>Итого</v>
      </c>
    </row>
    <row r="77" spans="2:18">
      <c r="B77" s="812">
        <v>1</v>
      </c>
      <c r="C77" s="829" t="s">
        <v>177</v>
      </c>
      <c r="D77" s="189" t="s">
        <v>305</v>
      </c>
      <c r="E77" s="136">
        <v>431.1</v>
      </c>
      <c r="F77" s="135">
        <v>53.4</v>
      </c>
      <c r="G77" s="135">
        <v>453.75</v>
      </c>
      <c r="H77" s="135">
        <v>1428.59</v>
      </c>
      <c r="I77" s="134">
        <f t="shared" ref="I77:I93" si="5">E77+F77+G77+H77</f>
        <v>2366.84</v>
      </c>
      <c r="J77" s="106"/>
      <c r="K77" s="106"/>
      <c r="N77" s="136"/>
      <c r="O77" s="135"/>
      <c r="P77" s="135"/>
      <c r="Q77" s="135"/>
      <c r="R77" s="134"/>
    </row>
    <row r="78" spans="2:18">
      <c r="B78" s="813"/>
      <c r="C78" s="830"/>
      <c r="D78" s="185" t="s">
        <v>302</v>
      </c>
      <c r="E78" s="120">
        <v>13321.65</v>
      </c>
      <c r="F78" s="119">
        <v>1616.64</v>
      </c>
      <c r="G78" s="119">
        <v>13159.94</v>
      </c>
      <c r="H78" s="119">
        <v>41063.86</v>
      </c>
      <c r="I78" s="118">
        <f t="shared" si="5"/>
        <v>69162.09</v>
      </c>
      <c r="J78" s="106"/>
      <c r="K78" s="106"/>
      <c r="N78" s="120">
        <f>E78/E77</f>
        <v>30.90153096729297</v>
      </c>
      <c r="O78" s="119">
        <f>F78/F77</f>
        <v>30.274157303370789</v>
      </c>
      <c r="P78" s="119">
        <f>G78/G77</f>
        <v>29.002622589531683</v>
      </c>
      <c r="Q78" s="119">
        <f>H78/H77</f>
        <v>28.744328323731793</v>
      </c>
      <c r="R78" s="118">
        <f>I78/I77</f>
        <v>29.221278159909414</v>
      </c>
    </row>
    <row r="79" spans="2:18">
      <c r="B79" s="816">
        <v>2</v>
      </c>
      <c r="C79" s="831" t="s">
        <v>308</v>
      </c>
      <c r="D79" s="189" t="s">
        <v>305</v>
      </c>
      <c r="E79" s="125">
        <v>0</v>
      </c>
      <c r="F79" s="124">
        <v>0</v>
      </c>
      <c r="G79" s="124">
        <v>220.36</v>
      </c>
      <c r="H79" s="124">
        <v>686.44</v>
      </c>
      <c r="I79" s="123">
        <f t="shared" si="5"/>
        <v>906.80000000000007</v>
      </c>
      <c r="J79" s="106"/>
      <c r="K79" s="106"/>
      <c r="N79" s="125"/>
      <c r="O79" s="124"/>
      <c r="P79" s="124"/>
      <c r="Q79" s="124"/>
      <c r="R79" s="123"/>
    </row>
    <row r="80" spans="2:18">
      <c r="B80" s="813"/>
      <c r="C80" s="830"/>
      <c r="D80" s="185" t="s">
        <v>302</v>
      </c>
      <c r="E80" s="120">
        <v>0</v>
      </c>
      <c r="F80" s="119">
        <v>0</v>
      </c>
      <c r="G80" s="119">
        <v>1549.92</v>
      </c>
      <c r="H80" s="119">
        <v>6103.15</v>
      </c>
      <c r="I80" s="118">
        <f t="shared" si="5"/>
        <v>7653.07</v>
      </c>
      <c r="J80" s="106"/>
      <c r="K80" s="106"/>
      <c r="N80" s="120"/>
      <c r="O80" s="119"/>
      <c r="P80" s="119">
        <f>G80/G79</f>
        <v>7.0335814122345255</v>
      </c>
      <c r="Q80" s="119">
        <f>H80/H79</f>
        <v>8.8910174232270833</v>
      </c>
      <c r="R80" s="118">
        <f>I80/I79</f>
        <v>8.4396449051610052</v>
      </c>
    </row>
    <row r="81" spans="2:18">
      <c r="B81" s="816">
        <v>3</v>
      </c>
      <c r="C81" s="831" t="s">
        <v>331</v>
      </c>
      <c r="D81" s="189" t="s">
        <v>305</v>
      </c>
      <c r="E81" s="125">
        <v>0</v>
      </c>
      <c r="F81" s="124"/>
      <c r="G81" s="124"/>
      <c r="H81" s="124"/>
      <c r="I81" s="123">
        <f t="shared" si="5"/>
        <v>0</v>
      </c>
      <c r="J81" s="106"/>
      <c r="K81" s="106"/>
      <c r="N81" s="125"/>
      <c r="O81" s="124"/>
      <c r="P81" s="124"/>
      <c r="Q81" s="124"/>
      <c r="R81" s="123"/>
    </row>
    <row r="82" spans="2:18">
      <c r="B82" s="813"/>
      <c r="C82" s="830"/>
      <c r="D82" s="185" t="s">
        <v>302</v>
      </c>
      <c r="E82" s="120">
        <v>0</v>
      </c>
      <c r="F82" s="119"/>
      <c r="G82" s="119"/>
      <c r="H82" s="119"/>
      <c r="I82" s="118">
        <f t="shared" si="5"/>
        <v>0</v>
      </c>
      <c r="J82" s="106"/>
      <c r="K82" s="106"/>
      <c r="N82" s="120"/>
      <c r="O82" s="119"/>
      <c r="P82" s="119"/>
      <c r="Q82" s="119"/>
      <c r="R82" s="118"/>
    </row>
    <row r="83" spans="2:18">
      <c r="B83" s="816">
        <v>4</v>
      </c>
      <c r="C83" s="797" t="s">
        <v>179</v>
      </c>
      <c r="D83" s="189" t="s">
        <v>305</v>
      </c>
      <c r="E83" s="125">
        <v>0</v>
      </c>
      <c r="F83" s="124"/>
      <c r="G83" s="124">
        <v>185.17</v>
      </c>
      <c r="H83" s="124">
        <v>0.19</v>
      </c>
      <c r="I83" s="123">
        <f t="shared" si="5"/>
        <v>185.35999999999999</v>
      </c>
      <c r="J83" s="106"/>
      <c r="K83" s="106"/>
      <c r="N83" s="125"/>
      <c r="O83" s="124"/>
      <c r="P83" s="124"/>
      <c r="Q83" s="124"/>
      <c r="R83" s="123"/>
    </row>
    <row r="84" spans="2:18">
      <c r="B84" s="813"/>
      <c r="C84" s="800"/>
      <c r="D84" s="185" t="s">
        <v>302</v>
      </c>
      <c r="E84" s="120">
        <v>0</v>
      </c>
      <c r="F84" s="119"/>
      <c r="G84" s="119">
        <v>4350.82</v>
      </c>
      <c r="H84" s="119">
        <v>5.29</v>
      </c>
      <c r="I84" s="118">
        <f t="shared" si="5"/>
        <v>4356.1099999999997</v>
      </c>
      <c r="J84" s="106"/>
      <c r="K84" s="106"/>
      <c r="N84" s="120"/>
      <c r="O84" s="119"/>
      <c r="P84" s="119">
        <f>G84/G83</f>
        <v>23.49635470108549</v>
      </c>
      <c r="Q84" s="119">
        <f>H84/H83</f>
        <v>27.842105263157894</v>
      </c>
      <c r="R84" s="118">
        <f>I84/I83</f>
        <v>23.500809236081139</v>
      </c>
    </row>
    <row r="85" spans="2:18">
      <c r="B85" s="816">
        <v>5</v>
      </c>
      <c r="C85" s="797" t="s">
        <v>325</v>
      </c>
      <c r="D85" s="189" t="s">
        <v>305</v>
      </c>
      <c r="E85" s="131">
        <v>0</v>
      </c>
      <c r="F85" s="130">
        <v>72.930000000000007</v>
      </c>
      <c r="G85" s="130">
        <v>0</v>
      </c>
      <c r="H85" s="130"/>
      <c r="I85" s="123">
        <f t="shared" si="5"/>
        <v>72.930000000000007</v>
      </c>
      <c r="J85" s="106"/>
      <c r="K85" s="106"/>
      <c r="N85" s="131"/>
      <c r="O85" s="130"/>
      <c r="P85" s="130"/>
      <c r="Q85" s="130"/>
      <c r="R85" s="123"/>
    </row>
    <row r="86" spans="2:18">
      <c r="B86" s="813"/>
      <c r="C86" s="800"/>
      <c r="D86" s="185" t="s">
        <v>302</v>
      </c>
      <c r="E86" s="120">
        <v>0</v>
      </c>
      <c r="F86" s="119">
        <v>5251.99</v>
      </c>
      <c r="G86" s="119">
        <v>0</v>
      </c>
      <c r="H86" s="119"/>
      <c r="I86" s="118">
        <f t="shared" si="5"/>
        <v>5251.99</v>
      </c>
      <c r="J86" s="106"/>
      <c r="K86" s="106"/>
      <c r="N86" s="120"/>
      <c r="O86" s="119">
        <f>F86/F85</f>
        <v>72.014123131770177</v>
      </c>
      <c r="P86" s="119"/>
      <c r="Q86" s="119"/>
      <c r="R86" s="118">
        <f>I86/I85</f>
        <v>72.014123131770177</v>
      </c>
    </row>
    <row r="87" spans="2:18">
      <c r="B87" s="816">
        <v>6</v>
      </c>
      <c r="C87" s="797" t="s">
        <v>307</v>
      </c>
      <c r="D87" s="189" t="s">
        <v>305</v>
      </c>
      <c r="E87" s="131">
        <v>0</v>
      </c>
      <c r="F87" s="130"/>
      <c r="G87" s="130">
        <v>840.04</v>
      </c>
      <c r="H87" s="130">
        <v>186.4</v>
      </c>
      <c r="I87" s="123">
        <f t="shared" si="5"/>
        <v>1026.44</v>
      </c>
      <c r="J87" s="106"/>
      <c r="K87" s="106"/>
      <c r="N87" s="131"/>
      <c r="O87" s="130"/>
      <c r="P87" s="130"/>
      <c r="Q87" s="130"/>
      <c r="R87" s="123"/>
    </row>
    <row r="88" spans="2:18">
      <c r="B88" s="813"/>
      <c r="C88" s="800"/>
      <c r="D88" s="185" t="s">
        <v>302</v>
      </c>
      <c r="E88" s="120">
        <v>0</v>
      </c>
      <c r="F88" s="119"/>
      <c r="G88" s="119">
        <v>8270.7999999999993</v>
      </c>
      <c r="H88" s="119">
        <v>1807.38</v>
      </c>
      <c r="I88" s="118">
        <f t="shared" si="5"/>
        <v>10078.18</v>
      </c>
      <c r="J88" s="106"/>
      <c r="K88" s="106"/>
      <c r="N88" s="120"/>
      <c r="O88" s="119"/>
      <c r="P88" s="119">
        <f>G88/G87</f>
        <v>9.8457216323032224</v>
      </c>
      <c r="Q88" s="119">
        <f>H88/H87</f>
        <v>9.6962446351931337</v>
      </c>
      <c r="R88" s="118">
        <f>I88/I87</f>
        <v>9.8185768286504818</v>
      </c>
    </row>
    <row r="89" spans="2:18">
      <c r="B89" s="816">
        <v>7</v>
      </c>
      <c r="C89" s="797" t="s">
        <v>324</v>
      </c>
      <c r="D89" s="189" t="s">
        <v>305</v>
      </c>
      <c r="E89" s="125">
        <v>0</v>
      </c>
      <c r="F89" s="124">
        <v>3</v>
      </c>
      <c r="G89" s="124"/>
      <c r="H89" s="124"/>
      <c r="I89" s="123">
        <f t="shared" si="5"/>
        <v>3</v>
      </c>
      <c r="J89" s="106"/>
      <c r="K89" s="106"/>
      <c r="N89" s="125"/>
      <c r="O89" s="124"/>
      <c r="P89" s="124"/>
      <c r="Q89" s="124"/>
      <c r="R89" s="123"/>
    </row>
    <row r="90" spans="2:18" ht="16" thickBot="1">
      <c r="B90" s="818"/>
      <c r="C90" s="798"/>
      <c r="D90" s="185" t="s">
        <v>302</v>
      </c>
      <c r="E90" s="120">
        <v>0</v>
      </c>
      <c r="F90" s="119">
        <v>23.75</v>
      </c>
      <c r="G90" s="119"/>
      <c r="H90" s="119"/>
      <c r="I90" s="118">
        <f t="shared" si="5"/>
        <v>23.75</v>
      </c>
      <c r="J90" s="106"/>
      <c r="K90" s="106"/>
      <c r="N90" s="120"/>
      <c r="O90" s="119">
        <f>F90/F89</f>
        <v>7.916666666666667</v>
      </c>
      <c r="P90" s="119"/>
      <c r="Q90" s="119"/>
      <c r="R90" s="118">
        <f>I90/I89</f>
        <v>7.916666666666667</v>
      </c>
    </row>
    <row r="91" spans="2:18">
      <c r="B91" s="816">
        <v>7</v>
      </c>
      <c r="C91" s="831" t="s">
        <v>166</v>
      </c>
      <c r="D91" s="189" t="s">
        <v>305</v>
      </c>
      <c r="E91" s="188"/>
      <c r="F91" s="188"/>
      <c r="G91" s="188"/>
      <c r="H91" s="188">
        <v>95.88</v>
      </c>
      <c r="I91" s="188">
        <f t="shared" si="5"/>
        <v>95.88</v>
      </c>
      <c r="J91" s="106"/>
      <c r="K91" s="106"/>
      <c r="N91" s="136"/>
      <c r="O91" s="135"/>
      <c r="P91" s="135"/>
      <c r="Q91" s="135"/>
      <c r="R91" s="134"/>
    </row>
    <row r="92" spans="2:18" ht="16" thickBot="1">
      <c r="B92" s="818"/>
      <c r="C92" s="832"/>
      <c r="D92" s="185" t="s">
        <v>302</v>
      </c>
      <c r="E92" s="187"/>
      <c r="F92" s="187"/>
      <c r="G92" s="187"/>
      <c r="H92" s="187">
        <v>1351.04</v>
      </c>
      <c r="I92" s="187">
        <f t="shared" si="5"/>
        <v>1351.04</v>
      </c>
      <c r="J92" s="106"/>
      <c r="K92" s="106"/>
      <c r="N92" s="120"/>
      <c r="O92" s="119"/>
      <c r="P92" s="119"/>
      <c r="Q92" s="118">
        <f>H92/H91</f>
        <v>14.090947017104714</v>
      </c>
      <c r="R92" s="118">
        <f>I92/I91</f>
        <v>14.090947017104714</v>
      </c>
    </row>
    <row r="93" spans="2:18" ht="16" thickBot="1">
      <c r="B93" s="157">
        <v>8</v>
      </c>
      <c r="C93" s="186" t="s">
        <v>304</v>
      </c>
      <c r="D93" s="185" t="s">
        <v>302</v>
      </c>
      <c r="E93" s="184">
        <v>6.07</v>
      </c>
      <c r="F93" s="183">
        <v>26.85</v>
      </c>
      <c r="G93" s="183">
        <v>68.52</v>
      </c>
      <c r="H93" s="183">
        <v>886.28</v>
      </c>
      <c r="I93" s="182">
        <f t="shared" si="5"/>
        <v>987.72</v>
      </c>
      <c r="J93" s="106"/>
      <c r="K93" s="106"/>
    </row>
    <row r="94" spans="2:18" ht="16" thickBot="1">
      <c r="B94" s="152"/>
      <c r="C94" s="151" t="s">
        <v>303</v>
      </c>
      <c r="D94" s="150" t="s">
        <v>302</v>
      </c>
      <c r="E94" s="148">
        <f>E78+E80+E82+E84+E88+E90+E93+E86+E92</f>
        <v>13327.72</v>
      </c>
      <c r="F94" s="148">
        <f>F78+F80+F82+F84+F88+F90+F93+F86+F92</f>
        <v>6919.23</v>
      </c>
      <c r="G94" s="148">
        <f>G78+G80+G82+G84+G88+G90+G93+G86+G92</f>
        <v>27400</v>
      </c>
      <c r="H94" s="148">
        <f>H78+H80+H82+H84+H88+H90+H93+H86+H92</f>
        <v>51217</v>
      </c>
      <c r="I94" s="148">
        <f>I78+I80+I82+I84+I88+I90+I93+I86+I92</f>
        <v>98863.950000000012</v>
      </c>
      <c r="J94" s="106"/>
      <c r="K94" s="106"/>
    </row>
    <row r="95" spans="2:18">
      <c r="J95" s="106"/>
      <c r="K95" s="106"/>
    </row>
    <row r="96" spans="2:18">
      <c r="C96" s="181"/>
      <c r="J96" s="106"/>
      <c r="K96" s="106"/>
    </row>
    <row r="97" spans="2:12" ht="16" thickBot="1">
      <c r="E97" s="107"/>
    </row>
    <row r="98" spans="2:12" ht="16" thickBot="1">
      <c r="B98" s="820" t="s">
        <v>315</v>
      </c>
      <c r="C98" s="833" t="s">
        <v>314</v>
      </c>
      <c r="D98" s="834"/>
      <c r="E98" s="826">
        <v>2020</v>
      </c>
      <c r="F98" s="827"/>
      <c r="G98" s="827"/>
      <c r="H98" s="827"/>
      <c r="I98" s="827"/>
      <c r="J98" s="180"/>
      <c r="K98" s="180"/>
      <c r="L98" s="180"/>
    </row>
    <row r="99" spans="2:12" ht="16" thickBot="1">
      <c r="B99" s="821"/>
      <c r="C99" s="835"/>
      <c r="D99" s="836"/>
      <c r="E99" s="175" t="s">
        <v>329</v>
      </c>
      <c r="F99" s="175" t="s">
        <v>328</v>
      </c>
      <c r="G99" s="174" t="s">
        <v>327</v>
      </c>
      <c r="H99" s="144" t="s">
        <v>326</v>
      </c>
      <c r="I99" s="179" t="s">
        <v>176</v>
      </c>
      <c r="J99" s="178"/>
      <c r="K99" s="178"/>
      <c r="L99" s="178"/>
    </row>
    <row r="100" spans="2:12">
      <c r="B100" s="801">
        <v>1</v>
      </c>
      <c r="C100" s="802" t="s">
        <v>177</v>
      </c>
      <c r="D100" s="129" t="s">
        <v>305</v>
      </c>
      <c r="E100" s="135">
        <v>909.89900000000011</v>
      </c>
      <c r="F100" s="135">
        <v>334.03</v>
      </c>
      <c r="G100" s="135"/>
      <c r="H100" s="135"/>
      <c r="I100" s="134">
        <f t="shared" ref="I100:I116" si="6">E100+F100+G100+H100</f>
        <v>1243.9290000000001</v>
      </c>
    </row>
    <row r="101" spans="2:12">
      <c r="B101" s="799"/>
      <c r="C101" s="800"/>
      <c r="D101" s="115" t="s">
        <v>302</v>
      </c>
      <c r="E101" s="119">
        <v>43355.006000000001</v>
      </c>
      <c r="F101" s="119">
        <v>9913.08</v>
      </c>
      <c r="G101" s="119"/>
      <c r="H101" s="119"/>
      <c r="I101" s="118">
        <f t="shared" si="6"/>
        <v>53268.086000000003</v>
      </c>
    </row>
    <row r="102" spans="2:12">
      <c r="B102" s="795">
        <v>2</v>
      </c>
      <c r="C102" s="797" t="s">
        <v>308</v>
      </c>
      <c r="D102" s="129" t="s">
        <v>305</v>
      </c>
      <c r="E102" s="124">
        <v>222.96000000000004</v>
      </c>
      <c r="F102" s="124">
        <v>12.22</v>
      </c>
      <c r="G102" s="124"/>
      <c r="H102" s="124"/>
      <c r="I102" s="123">
        <f t="shared" si="6"/>
        <v>235.18000000000004</v>
      </c>
    </row>
    <row r="103" spans="2:12">
      <c r="B103" s="799"/>
      <c r="C103" s="800"/>
      <c r="D103" s="115" t="s">
        <v>302</v>
      </c>
      <c r="E103" s="119">
        <v>2179.384</v>
      </c>
      <c r="F103" s="119">
        <v>125.54</v>
      </c>
      <c r="G103" s="119"/>
      <c r="H103" s="119"/>
      <c r="I103" s="118">
        <f t="shared" si="6"/>
        <v>2304.924</v>
      </c>
    </row>
    <row r="104" spans="2:12">
      <c r="B104" s="795">
        <v>3</v>
      </c>
      <c r="C104" s="797" t="s">
        <v>331</v>
      </c>
      <c r="D104" s="129" t="s">
        <v>305</v>
      </c>
      <c r="E104" s="124"/>
      <c r="F104" s="124"/>
      <c r="G104" s="124"/>
      <c r="H104" s="124"/>
      <c r="I104" s="123">
        <f t="shared" si="6"/>
        <v>0</v>
      </c>
    </row>
    <row r="105" spans="2:12">
      <c r="B105" s="799"/>
      <c r="C105" s="800"/>
      <c r="D105" s="115" t="s">
        <v>302</v>
      </c>
      <c r="E105" s="119"/>
      <c r="F105" s="119"/>
      <c r="G105" s="119"/>
      <c r="H105" s="119"/>
      <c r="I105" s="118">
        <f t="shared" si="6"/>
        <v>0</v>
      </c>
    </row>
    <row r="106" spans="2:12">
      <c r="B106" s="795">
        <v>4</v>
      </c>
      <c r="C106" s="797" t="s">
        <v>179</v>
      </c>
      <c r="D106" s="129" t="s">
        <v>305</v>
      </c>
      <c r="E106" s="124"/>
      <c r="F106" s="124"/>
      <c r="G106" s="124"/>
      <c r="H106" s="124"/>
      <c r="I106" s="123">
        <f t="shared" si="6"/>
        <v>0</v>
      </c>
    </row>
    <row r="107" spans="2:12">
      <c r="B107" s="799"/>
      <c r="C107" s="800"/>
      <c r="D107" s="115" t="s">
        <v>302</v>
      </c>
      <c r="E107" s="119"/>
      <c r="F107" s="119"/>
      <c r="G107" s="119"/>
      <c r="H107" s="119"/>
      <c r="I107" s="118">
        <f t="shared" si="6"/>
        <v>0</v>
      </c>
    </row>
    <row r="108" spans="2:12">
      <c r="B108" s="795">
        <v>5</v>
      </c>
      <c r="C108" s="797" t="s">
        <v>325</v>
      </c>
      <c r="D108" s="129" t="s">
        <v>305</v>
      </c>
      <c r="E108" s="130"/>
      <c r="F108" s="130">
        <v>38.28</v>
      </c>
      <c r="G108" s="130"/>
      <c r="H108" s="130"/>
      <c r="I108" s="123">
        <f t="shared" si="6"/>
        <v>38.28</v>
      </c>
    </row>
    <row r="109" spans="2:12">
      <c r="B109" s="799"/>
      <c r="C109" s="800"/>
      <c r="D109" s="115" t="s">
        <v>302</v>
      </c>
      <c r="E109" s="119"/>
      <c r="F109" s="119">
        <v>4329.4699999999993</v>
      </c>
      <c r="G109" s="119"/>
      <c r="H109" s="119"/>
      <c r="I109" s="118">
        <f t="shared" si="6"/>
        <v>4329.4699999999993</v>
      </c>
    </row>
    <row r="110" spans="2:12">
      <c r="B110" s="795">
        <v>6</v>
      </c>
      <c r="C110" s="797" t="s">
        <v>307</v>
      </c>
      <c r="D110" s="129" t="s">
        <v>305</v>
      </c>
      <c r="E110" s="130">
        <v>1.02</v>
      </c>
      <c r="F110" s="130"/>
      <c r="G110" s="130"/>
      <c r="H110" s="130"/>
      <c r="I110" s="123">
        <f t="shared" si="6"/>
        <v>1.02</v>
      </c>
    </row>
    <row r="111" spans="2:12">
      <c r="B111" s="799"/>
      <c r="C111" s="800"/>
      <c r="D111" s="115" t="s">
        <v>302</v>
      </c>
      <c r="E111" s="119">
        <v>9.2729999999999997</v>
      </c>
      <c r="F111" s="119"/>
      <c r="G111" s="119"/>
      <c r="H111" s="119"/>
      <c r="I111" s="118">
        <f t="shared" si="6"/>
        <v>9.2729999999999997</v>
      </c>
    </row>
    <row r="112" spans="2:12">
      <c r="B112" s="795">
        <v>7</v>
      </c>
      <c r="C112" s="797" t="s">
        <v>324</v>
      </c>
      <c r="D112" s="129" t="s">
        <v>305</v>
      </c>
      <c r="E112" s="124"/>
      <c r="F112" s="124"/>
      <c r="G112" s="124"/>
      <c r="H112" s="124"/>
      <c r="I112" s="123">
        <f t="shared" si="6"/>
        <v>0</v>
      </c>
    </row>
    <row r="113" spans="2:13" ht="16" thickBot="1">
      <c r="B113" s="796"/>
      <c r="C113" s="798"/>
      <c r="D113" s="115" t="s">
        <v>302</v>
      </c>
      <c r="E113" s="119"/>
      <c r="F113" s="119"/>
      <c r="G113" s="119"/>
      <c r="H113" s="119"/>
      <c r="I113" s="118">
        <f t="shared" si="6"/>
        <v>0</v>
      </c>
    </row>
    <row r="114" spans="2:13">
      <c r="B114" s="801">
        <v>8</v>
      </c>
      <c r="C114" s="802" t="s">
        <v>330</v>
      </c>
      <c r="D114" s="115"/>
      <c r="E114" s="173"/>
      <c r="F114" s="173"/>
      <c r="G114" s="173"/>
      <c r="H114" s="173"/>
      <c r="I114" s="172">
        <f t="shared" si="6"/>
        <v>0</v>
      </c>
    </row>
    <row r="115" spans="2:13" ht="16" thickBot="1">
      <c r="B115" s="796"/>
      <c r="C115" s="798"/>
      <c r="D115" s="115"/>
      <c r="E115" s="119"/>
      <c r="F115" s="119"/>
      <c r="G115" s="119"/>
      <c r="H115" s="119"/>
      <c r="I115" s="118">
        <f t="shared" si="6"/>
        <v>0</v>
      </c>
    </row>
    <row r="116" spans="2:13" ht="16" thickBot="1">
      <c r="B116" s="117">
        <v>9</v>
      </c>
      <c r="C116" s="116" t="s">
        <v>304</v>
      </c>
      <c r="D116" s="115" t="s">
        <v>302</v>
      </c>
      <c r="E116" s="119">
        <v>472.76299999999998</v>
      </c>
      <c r="F116" s="119">
        <v>182.51000000000002</v>
      </c>
      <c r="G116" s="119"/>
      <c r="H116" s="119"/>
      <c r="I116" s="118">
        <f t="shared" si="6"/>
        <v>655.27300000000002</v>
      </c>
    </row>
    <row r="117" spans="2:13" ht="16" thickBot="1">
      <c r="B117" s="111"/>
      <c r="C117" s="110" t="s">
        <v>303</v>
      </c>
      <c r="D117" s="109" t="s">
        <v>302</v>
      </c>
      <c r="E117" s="171">
        <f>E101+E103+E107+E109+E111+E116</f>
        <v>46016.425999999999</v>
      </c>
      <c r="F117" s="171">
        <f>F101+F103+F107+F109+F111+F116</f>
        <v>14550.6</v>
      </c>
      <c r="G117" s="171">
        <f>G101+G103+G116+G115</f>
        <v>0</v>
      </c>
      <c r="H117" s="171">
        <f>H101+H103+H116+H115</f>
        <v>0</v>
      </c>
      <c r="I117" s="148">
        <f>I101+I103+I105+I107+I111+I113+I116+I109+I115</f>
        <v>60567.026000000005</v>
      </c>
    </row>
    <row r="118" spans="2:13">
      <c r="E118" s="107"/>
    </row>
    <row r="119" spans="2:13">
      <c r="E119" s="107"/>
    </row>
    <row r="120" spans="2:13">
      <c r="E120" s="107"/>
    </row>
    <row r="121" spans="2:13">
      <c r="E121" s="107"/>
    </row>
    <row r="122" spans="2:13">
      <c r="E122" s="107"/>
    </row>
    <row r="123" spans="2:13" ht="16" thickBot="1"/>
    <row r="124" spans="2:13" ht="16" thickBot="1">
      <c r="C124" s="820" t="s">
        <v>315</v>
      </c>
      <c r="D124" s="833" t="s">
        <v>314</v>
      </c>
      <c r="E124" s="834"/>
      <c r="F124" s="826">
        <v>2020</v>
      </c>
      <c r="G124" s="827"/>
      <c r="H124" s="827"/>
      <c r="I124" s="827"/>
      <c r="J124" s="827"/>
      <c r="K124" s="827"/>
      <c r="L124" s="827"/>
      <c r="M124" s="828"/>
    </row>
    <row r="125" spans="2:13" ht="16" thickBot="1">
      <c r="C125" s="821"/>
      <c r="D125" s="835"/>
      <c r="E125" s="836"/>
      <c r="F125" s="177">
        <v>43831</v>
      </c>
      <c r="G125" s="176">
        <v>43862</v>
      </c>
      <c r="H125" s="176">
        <v>43891</v>
      </c>
      <c r="I125" s="175" t="s">
        <v>329</v>
      </c>
      <c r="J125" s="175" t="s">
        <v>328</v>
      </c>
      <c r="K125" s="174" t="s">
        <v>327</v>
      </c>
      <c r="L125" s="144" t="s">
        <v>326</v>
      </c>
      <c r="M125" s="143" t="s">
        <v>176</v>
      </c>
    </row>
    <row r="126" spans="2:13">
      <c r="C126" s="801">
        <v>1</v>
      </c>
      <c r="D126" s="802" t="s">
        <v>177</v>
      </c>
      <c r="E126" s="129" t="s">
        <v>305</v>
      </c>
      <c r="F126" s="136">
        <v>284.35399999999998</v>
      </c>
      <c r="G126" s="135">
        <v>448.41300000000001</v>
      </c>
      <c r="H126" s="135">
        <v>177.13200000000001</v>
      </c>
      <c r="I126" s="135">
        <f>SUM(F126:H126)</f>
        <v>909.89900000000011</v>
      </c>
      <c r="J126" s="135"/>
      <c r="K126" s="135"/>
      <c r="L126" s="135"/>
      <c r="M126" s="134">
        <f t="shared" ref="M126:M142" si="7">I126+J126+K126+L126</f>
        <v>909.89900000000011</v>
      </c>
    </row>
    <row r="127" spans="2:13">
      <c r="C127" s="799"/>
      <c r="D127" s="800"/>
      <c r="E127" s="115" t="s">
        <v>302</v>
      </c>
      <c r="F127" s="120">
        <v>12408.339</v>
      </c>
      <c r="G127" s="119">
        <v>21190.87</v>
      </c>
      <c r="H127" s="119">
        <v>9755.7970000000005</v>
      </c>
      <c r="I127" s="119">
        <f>SUM(F127:H127)</f>
        <v>43355.006000000001</v>
      </c>
      <c r="J127" s="119"/>
      <c r="K127" s="119"/>
      <c r="L127" s="119"/>
      <c r="M127" s="118">
        <f t="shared" si="7"/>
        <v>43355.006000000001</v>
      </c>
    </row>
    <row r="128" spans="2:13">
      <c r="C128" s="795">
        <v>2</v>
      </c>
      <c r="D128" s="797" t="s">
        <v>308</v>
      </c>
      <c r="E128" s="129" t="s">
        <v>305</v>
      </c>
      <c r="F128" s="125">
        <v>25.3</v>
      </c>
      <c r="G128" s="124">
        <v>117.12</v>
      </c>
      <c r="H128" s="124">
        <v>80.540000000000006</v>
      </c>
      <c r="I128" s="124">
        <f>SUM(F128:H128)</f>
        <v>222.96000000000004</v>
      </c>
      <c r="J128" s="124"/>
      <c r="K128" s="124"/>
      <c r="L128" s="124"/>
      <c r="M128" s="123">
        <f t="shared" si="7"/>
        <v>222.96000000000004</v>
      </c>
    </row>
    <row r="129" spans="3:13">
      <c r="C129" s="799"/>
      <c r="D129" s="800"/>
      <c r="E129" s="115" t="s">
        <v>302</v>
      </c>
      <c r="F129" s="120">
        <v>218.5</v>
      </c>
      <c r="G129" s="119">
        <v>1155.4839999999999</v>
      </c>
      <c r="H129" s="119">
        <v>805.4</v>
      </c>
      <c r="I129" s="119">
        <f>SUM(F129:H129)</f>
        <v>2179.384</v>
      </c>
      <c r="J129" s="119"/>
      <c r="K129" s="119"/>
      <c r="L129" s="119"/>
      <c r="M129" s="118">
        <f t="shared" si="7"/>
        <v>2179.384</v>
      </c>
    </row>
    <row r="130" spans="3:13">
      <c r="C130" s="795">
        <v>3</v>
      </c>
      <c r="D130" s="797" t="s">
        <v>224</v>
      </c>
      <c r="E130" s="129" t="s">
        <v>305</v>
      </c>
      <c r="F130" s="125"/>
      <c r="G130" s="124"/>
      <c r="H130" s="124"/>
      <c r="I130" s="124"/>
      <c r="J130" s="124"/>
      <c r="K130" s="124"/>
      <c r="L130" s="124"/>
      <c r="M130" s="123">
        <f t="shared" si="7"/>
        <v>0</v>
      </c>
    </row>
    <row r="131" spans="3:13">
      <c r="C131" s="799"/>
      <c r="D131" s="800"/>
      <c r="E131" s="115" t="s">
        <v>302</v>
      </c>
      <c r="F131" s="120"/>
      <c r="G131" s="119"/>
      <c r="H131" s="119"/>
      <c r="I131" s="119"/>
      <c r="J131" s="119"/>
      <c r="K131" s="119"/>
      <c r="L131" s="119"/>
      <c r="M131" s="118">
        <f t="shared" si="7"/>
        <v>0</v>
      </c>
    </row>
    <row r="132" spans="3:13">
      <c r="C132" s="795">
        <v>4</v>
      </c>
      <c r="D132" s="797" t="s">
        <v>179</v>
      </c>
      <c r="E132" s="129" t="s">
        <v>305</v>
      </c>
      <c r="F132" s="125"/>
      <c r="G132" s="124"/>
      <c r="H132" s="124"/>
      <c r="I132" s="124"/>
      <c r="J132" s="124"/>
      <c r="K132" s="124"/>
      <c r="L132" s="124"/>
      <c r="M132" s="123">
        <f t="shared" si="7"/>
        <v>0</v>
      </c>
    </row>
    <row r="133" spans="3:13">
      <c r="C133" s="799"/>
      <c r="D133" s="800"/>
      <c r="E133" s="115" t="s">
        <v>302</v>
      </c>
      <c r="F133" s="120"/>
      <c r="G133" s="119"/>
      <c r="H133" s="119"/>
      <c r="I133" s="119"/>
      <c r="J133" s="119"/>
      <c r="K133" s="119"/>
      <c r="L133" s="119"/>
      <c r="M133" s="118">
        <f t="shared" si="7"/>
        <v>0</v>
      </c>
    </row>
    <row r="134" spans="3:13">
      <c r="C134" s="795">
        <v>5</v>
      </c>
      <c r="D134" s="797" t="s">
        <v>325</v>
      </c>
      <c r="E134" s="129" t="s">
        <v>305</v>
      </c>
      <c r="F134" s="131"/>
      <c r="G134" s="130"/>
      <c r="H134" s="130"/>
      <c r="I134" s="130"/>
      <c r="J134" s="130"/>
      <c r="K134" s="130"/>
      <c r="L134" s="130"/>
      <c r="M134" s="123">
        <f t="shared" si="7"/>
        <v>0</v>
      </c>
    </row>
    <row r="135" spans="3:13">
      <c r="C135" s="799"/>
      <c r="D135" s="800"/>
      <c r="E135" s="115" t="s">
        <v>302</v>
      </c>
      <c r="F135" s="120"/>
      <c r="G135" s="119"/>
      <c r="H135" s="119"/>
      <c r="I135" s="119"/>
      <c r="J135" s="119"/>
      <c r="K135" s="119"/>
      <c r="L135" s="119"/>
      <c r="M135" s="118">
        <f t="shared" si="7"/>
        <v>0</v>
      </c>
    </row>
    <row r="136" spans="3:13">
      <c r="C136" s="795">
        <v>6</v>
      </c>
      <c r="D136" s="797" t="s">
        <v>307</v>
      </c>
      <c r="E136" s="129" t="s">
        <v>305</v>
      </c>
      <c r="F136" s="131">
        <v>1.02</v>
      </c>
      <c r="G136" s="130"/>
      <c r="H136" s="130"/>
      <c r="I136" s="130">
        <f>SUM(F136:H136)</f>
        <v>1.02</v>
      </c>
      <c r="J136" s="130"/>
      <c r="K136" s="130"/>
      <c r="L136" s="130"/>
      <c r="M136" s="123">
        <f t="shared" si="7"/>
        <v>1.02</v>
      </c>
    </row>
    <row r="137" spans="3:13">
      <c r="C137" s="799"/>
      <c r="D137" s="800"/>
      <c r="E137" s="115" t="s">
        <v>302</v>
      </c>
      <c r="F137" s="120">
        <v>9.2729999999999997</v>
      </c>
      <c r="G137" s="119"/>
      <c r="H137" s="119"/>
      <c r="I137" s="119">
        <f>SUM(F137:H137)</f>
        <v>9.2729999999999997</v>
      </c>
      <c r="J137" s="119"/>
      <c r="K137" s="119"/>
      <c r="L137" s="119"/>
      <c r="M137" s="118">
        <f t="shared" si="7"/>
        <v>9.2729999999999997</v>
      </c>
    </row>
    <row r="138" spans="3:13">
      <c r="C138" s="795">
        <v>7</v>
      </c>
      <c r="D138" s="797" t="s">
        <v>324</v>
      </c>
      <c r="E138" s="129" t="s">
        <v>305</v>
      </c>
      <c r="F138" s="125"/>
      <c r="G138" s="124"/>
      <c r="H138" s="124"/>
      <c r="I138" s="124"/>
      <c r="J138" s="124"/>
      <c r="K138" s="124"/>
      <c r="L138" s="124"/>
      <c r="M138" s="123">
        <f t="shared" si="7"/>
        <v>0</v>
      </c>
    </row>
    <row r="139" spans="3:13" ht="16" thickBot="1">
      <c r="C139" s="796"/>
      <c r="D139" s="798"/>
      <c r="E139" s="115" t="s">
        <v>302</v>
      </c>
      <c r="F139" s="120"/>
      <c r="G139" s="119"/>
      <c r="H139" s="119"/>
      <c r="I139" s="119"/>
      <c r="J139" s="119"/>
      <c r="K139" s="119"/>
      <c r="L139" s="119"/>
      <c r="M139" s="118">
        <f t="shared" si="7"/>
        <v>0</v>
      </c>
    </row>
    <row r="140" spans="3:13">
      <c r="C140" s="801">
        <v>8</v>
      </c>
      <c r="D140" s="802" t="s">
        <v>224</v>
      </c>
      <c r="E140" s="115"/>
      <c r="F140" s="173"/>
      <c r="G140" s="173"/>
      <c r="H140" s="173"/>
      <c r="I140" s="173"/>
      <c r="J140" s="173"/>
      <c r="K140" s="173"/>
      <c r="L140" s="173"/>
      <c r="M140" s="172">
        <f t="shared" si="7"/>
        <v>0</v>
      </c>
    </row>
    <row r="141" spans="3:13" ht="16" thickBot="1">
      <c r="C141" s="796"/>
      <c r="D141" s="798"/>
      <c r="E141" s="115"/>
      <c r="F141" s="119"/>
      <c r="G141" s="119"/>
      <c r="H141" s="119"/>
      <c r="I141" s="119"/>
      <c r="J141" s="119"/>
      <c r="K141" s="119"/>
      <c r="L141" s="119"/>
      <c r="M141" s="118">
        <f t="shared" si="7"/>
        <v>0</v>
      </c>
    </row>
    <row r="142" spans="3:13" ht="16" thickBot="1">
      <c r="C142" s="117">
        <v>9</v>
      </c>
      <c r="D142" s="116" t="s">
        <v>304</v>
      </c>
      <c r="E142" s="115" t="s">
        <v>302</v>
      </c>
      <c r="F142" s="119">
        <f>426.191+9.837</f>
        <v>436.02799999999996</v>
      </c>
      <c r="G142" s="119">
        <v>27.637</v>
      </c>
      <c r="H142" s="119">
        <f>4.598+4.5</f>
        <v>9.097999999999999</v>
      </c>
      <c r="I142" s="119">
        <f>SUM(F142:H142)</f>
        <v>472.76299999999998</v>
      </c>
      <c r="J142" s="119"/>
      <c r="K142" s="119"/>
      <c r="L142" s="119"/>
      <c r="M142" s="118">
        <f t="shared" si="7"/>
        <v>472.76299999999998</v>
      </c>
    </row>
    <row r="143" spans="3:13" ht="16" thickBot="1">
      <c r="C143" s="111"/>
      <c r="D143" s="110" t="s">
        <v>303</v>
      </c>
      <c r="E143" s="109" t="s">
        <v>302</v>
      </c>
      <c r="F143" s="171">
        <f>F127+F129+F131+F133+F137+F139+F142+F135</f>
        <v>13072.14</v>
      </c>
      <c r="G143" s="171">
        <f>G127+G129+G131+G133+G137+G139+G142+G135</f>
        <v>22373.990999999998</v>
      </c>
      <c r="H143" s="171">
        <f>H127+H129+H131+H133+H137+H139+H142+H135</f>
        <v>10570.295</v>
      </c>
      <c r="I143" s="171">
        <f>I127+I129+I133+I137+I142</f>
        <v>46016.425999999999</v>
      </c>
      <c r="J143" s="171">
        <f>J127+J137+J142</f>
        <v>0</v>
      </c>
      <c r="K143" s="171">
        <f>K127+K129+K142+K141</f>
        <v>0</v>
      </c>
      <c r="L143" s="171">
        <f>SUM(I143:K143)</f>
        <v>46016.425999999999</v>
      </c>
      <c r="M143" s="148">
        <f>M127+M129+M131+M133+M137+M139+M142+M135+M141</f>
        <v>46016.425999999999</v>
      </c>
    </row>
    <row r="145" spans="4:9">
      <c r="D145" s="170" t="s">
        <v>323</v>
      </c>
      <c r="E145" s="169"/>
      <c r="F145" s="168">
        <f>F127/F126</f>
        <v>43.636941980770452</v>
      </c>
      <c r="G145" s="168">
        <f>G127/G126</f>
        <v>47.257483614435799</v>
      </c>
      <c r="H145" s="168">
        <f>H127/H126</f>
        <v>55.076423232391662</v>
      </c>
      <c r="I145" s="168">
        <f>I127/I126</f>
        <v>47.648152157547152</v>
      </c>
    </row>
  </sheetData>
  <mergeCells count="112">
    <mergeCell ref="C138:C139"/>
    <mergeCell ref="D138:D139"/>
    <mergeCell ref="C140:C141"/>
    <mergeCell ref="D140:D141"/>
    <mergeCell ref="C132:C133"/>
    <mergeCell ref="D132:D133"/>
    <mergeCell ref="C134:C135"/>
    <mergeCell ref="D134:D135"/>
    <mergeCell ref="C136:C137"/>
    <mergeCell ref="D136:D137"/>
    <mergeCell ref="C126:C127"/>
    <mergeCell ref="D126:D127"/>
    <mergeCell ref="C128:C129"/>
    <mergeCell ref="D128:D129"/>
    <mergeCell ref="C130:C131"/>
    <mergeCell ref="D130:D131"/>
    <mergeCell ref="B104:B105"/>
    <mergeCell ref="C104:C105"/>
    <mergeCell ref="B106:B107"/>
    <mergeCell ref="C106:C107"/>
    <mergeCell ref="B98:B99"/>
    <mergeCell ref="C98:D99"/>
    <mergeCell ref="B100:B101"/>
    <mergeCell ref="C100:C101"/>
    <mergeCell ref="C124:C125"/>
    <mergeCell ref="D124:E125"/>
    <mergeCell ref="B91:B92"/>
    <mergeCell ref="C91:C92"/>
    <mergeCell ref="B114:B115"/>
    <mergeCell ref="C114:C115"/>
    <mergeCell ref="E98:I98"/>
    <mergeCell ref="F124:M124"/>
    <mergeCell ref="B102:B103"/>
    <mergeCell ref="C102:C103"/>
    <mergeCell ref="B108:B109"/>
    <mergeCell ref="C108:C109"/>
    <mergeCell ref="B110:B111"/>
    <mergeCell ref="C110:C111"/>
    <mergeCell ref="B112:B113"/>
    <mergeCell ref="C112:C113"/>
    <mergeCell ref="B85:B86"/>
    <mergeCell ref="C85:C86"/>
    <mergeCell ref="B87:B88"/>
    <mergeCell ref="C87:C88"/>
    <mergeCell ref="B89:B90"/>
    <mergeCell ref="C89:C90"/>
    <mergeCell ref="B79:B80"/>
    <mergeCell ref="C79:C80"/>
    <mergeCell ref="B81:B82"/>
    <mergeCell ref="C81:C82"/>
    <mergeCell ref="B83:B84"/>
    <mergeCell ref="C83:C84"/>
    <mergeCell ref="B75:B76"/>
    <mergeCell ref="C75:D76"/>
    <mergeCell ref="E75:I75"/>
    <mergeCell ref="N75:R75"/>
    <mergeCell ref="B77:B78"/>
    <mergeCell ref="C77:C78"/>
    <mergeCell ref="B64:B65"/>
    <mergeCell ref="C64:C65"/>
    <mergeCell ref="B66:B67"/>
    <mergeCell ref="C66:C67"/>
    <mergeCell ref="B68:B69"/>
    <mergeCell ref="C68:C69"/>
    <mergeCell ref="B58:B59"/>
    <mergeCell ref="C58:C59"/>
    <mergeCell ref="B60:B61"/>
    <mergeCell ref="C60:C61"/>
    <mergeCell ref="B62:B63"/>
    <mergeCell ref="C62:C63"/>
    <mergeCell ref="B54:B55"/>
    <mergeCell ref="C54:D55"/>
    <mergeCell ref="E54:I54"/>
    <mergeCell ref="N54:R54"/>
    <mergeCell ref="B56:B57"/>
    <mergeCell ref="C56:C57"/>
    <mergeCell ref="N30:R30"/>
    <mergeCell ref="B32:B33"/>
    <mergeCell ref="C32:C33"/>
    <mergeCell ref="B34:B35"/>
    <mergeCell ref="C34:C35"/>
    <mergeCell ref="B36:B37"/>
    <mergeCell ref="C36:C37"/>
    <mergeCell ref="B42:B43"/>
    <mergeCell ref="C42:C43"/>
    <mergeCell ref="B44:B45"/>
    <mergeCell ref="C44:C45"/>
    <mergeCell ref="B40:B41"/>
    <mergeCell ref="C40:C41"/>
    <mergeCell ref="B38:B39"/>
    <mergeCell ref="C38:C39"/>
    <mergeCell ref="N9:R9"/>
    <mergeCell ref="B11:B12"/>
    <mergeCell ref="C11:C12"/>
    <mergeCell ref="B13:B14"/>
    <mergeCell ref="C13:C14"/>
    <mergeCell ref="B15:B16"/>
    <mergeCell ref="B23:B24"/>
    <mergeCell ref="C23:C24"/>
    <mergeCell ref="B30:B31"/>
    <mergeCell ref="C30:D31"/>
    <mergeCell ref="E30:I30"/>
    <mergeCell ref="B9:B10"/>
    <mergeCell ref="C9:D10"/>
    <mergeCell ref="E9:I9"/>
    <mergeCell ref="B19:B20"/>
    <mergeCell ref="C19:C20"/>
    <mergeCell ref="B21:B22"/>
    <mergeCell ref="C21:C22"/>
    <mergeCell ref="C15:C16"/>
    <mergeCell ref="B17:B18"/>
    <mergeCell ref="C17:C18"/>
  </mergeCells>
  <pageMargins left="0.7" right="0.7" top="0.75" bottom="0.75" header="0.3" footer="0.3"/>
  <pageSetup paperSize="9" scale="53" fitToHeight="0" orientation="landscape" r:id="rId1"/>
  <rowBreaks count="1" manualBreakCount="1">
    <brk id="4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7"/>
  <sheetViews>
    <sheetView workbookViewId="0">
      <selection activeCell="D19" sqref="D19"/>
    </sheetView>
  </sheetViews>
  <sheetFormatPr baseColWidth="10" defaultColWidth="8.83203125" defaultRowHeight="15"/>
  <cols>
    <col min="3" max="3" width="10.5" customWidth="1"/>
    <col min="4" max="5" width="13.5" customWidth="1"/>
    <col min="6" max="6" width="21.5" customWidth="1"/>
    <col min="7" max="7" width="16" customWidth="1"/>
    <col min="8" max="8" width="35.1640625" customWidth="1"/>
    <col min="9" max="9" width="22.5" customWidth="1"/>
    <col min="10" max="10" width="26.5" customWidth="1"/>
    <col min="11" max="11" width="22.5" customWidth="1"/>
    <col min="12" max="12" width="26.5" customWidth="1"/>
    <col min="13" max="13" width="22.5" customWidth="1"/>
    <col min="14" max="14" width="26.5" customWidth="1"/>
  </cols>
  <sheetData>
    <row r="1" spans="1:14">
      <c r="A1" t="s">
        <v>181</v>
      </c>
      <c r="B1" t="s">
        <v>182</v>
      </c>
      <c r="C1" t="s">
        <v>183</v>
      </c>
      <c r="D1" t="s">
        <v>184</v>
      </c>
      <c r="E1" t="s">
        <v>185</v>
      </c>
      <c r="F1" t="s">
        <v>186</v>
      </c>
      <c r="G1" t="s">
        <v>187</v>
      </c>
      <c r="H1" t="s">
        <v>188</v>
      </c>
      <c r="I1" t="s">
        <v>189</v>
      </c>
      <c r="J1" t="s">
        <v>190</v>
      </c>
      <c r="K1" t="s">
        <v>191</v>
      </c>
      <c r="L1" t="s">
        <v>192</v>
      </c>
      <c r="M1" t="s">
        <v>193</v>
      </c>
      <c r="N1" t="s">
        <v>194</v>
      </c>
    </row>
    <row r="2" spans="1:14">
      <c r="A2" t="s">
        <v>208</v>
      </c>
      <c r="B2" t="s">
        <v>91</v>
      </c>
      <c r="C2" t="s">
        <v>177</v>
      </c>
      <c r="D2">
        <v>2008</v>
      </c>
      <c r="E2">
        <v>11.2</v>
      </c>
      <c r="F2">
        <v>17064</v>
      </c>
      <c r="G2" t="s">
        <v>195</v>
      </c>
      <c r="H2">
        <v>1515</v>
      </c>
      <c r="I2">
        <v>414.36500000000001</v>
      </c>
      <c r="J2">
        <v>36.6</v>
      </c>
      <c r="K2">
        <v>340</v>
      </c>
      <c r="L2">
        <v>30.4</v>
      </c>
      <c r="M2">
        <v>476</v>
      </c>
      <c r="N2">
        <v>42.5</v>
      </c>
    </row>
    <row r="3" spans="1:14">
      <c r="A3" t="s">
        <v>202</v>
      </c>
      <c r="B3" t="s">
        <v>91</v>
      </c>
      <c r="C3" t="s">
        <v>177</v>
      </c>
      <c r="D3">
        <v>2008</v>
      </c>
      <c r="E3">
        <v>4.2</v>
      </c>
      <c r="F3">
        <v>6363</v>
      </c>
      <c r="G3" t="s">
        <v>195</v>
      </c>
      <c r="H3">
        <v>1515</v>
      </c>
      <c r="I3">
        <v>191.22499999999999</v>
      </c>
      <c r="J3">
        <v>42.3</v>
      </c>
      <c r="K3">
        <v>130</v>
      </c>
      <c r="L3">
        <v>31</v>
      </c>
      <c r="M3">
        <v>194.5</v>
      </c>
      <c r="N3">
        <v>46.30952380952381</v>
      </c>
    </row>
    <row r="4" spans="1:14">
      <c r="A4">
        <v>4</v>
      </c>
      <c r="B4" t="s">
        <v>91</v>
      </c>
      <c r="C4" t="s">
        <v>177</v>
      </c>
      <c r="D4">
        <v>2009</v>
      </c>
      <c r="E4">
        <v>2.4</v>
      </c>
      <c r="F4">
        <v>3495</v>
      </c>
      <c r="G4" t="s">
        <v>195</v>
      </c>
      <c r="H4">
        <v>1515</v>
      </c>
      <c r="I4">
        <v>122.661</v>
      </c>
      <c r="J4">
        <v>51.1</v>
      </c>
      <c r="K4">
        <v>76.67</v>
      </c>
      <c r="L4">
        <v>32</v>
      </c>
      <c r="M4">
        <v>144.30000000000001</v>
      </c>
      <c r="N4">
        <v>60.125000000000007</v>
      </c>
    </row>
    <row r="5" spans="1:14">
      <c r="A5" t="s">
        <v>211</v>
      </c>
      <c r="B5" t="s">
        <v>91</v>
      </c>
      <c r="C5" t="s">
        <v>177</v>
      </c>
      <c r="D5">
        <v>2009</v>
      </c>
      <c r="E5">
        <v>17.3</v>
      </c>
      <c r="F5">
        <v>26276</v>
      </c>
      <c r="G5" t="s">
        <v>195</v>
      </c>
      <c r="H5">
        <v>1515</v>
      </c>
      <c r="I5">
        <v>545.84199999999998</v>
      </c>
      <c r="J5">
        <v>31.6</v>
      </c>
      <c r="K5">
        <v>526.67200000000003</v>
      </c>
      <c r="L5">
        <v>30.4</v>
      </c>
      <c r="M5">
        <v>715.4</v>
      </c>
      <c r="N5">
        <v>41.352601156069362</v>
      </c>
    </row>
    <row r="6" spans="1:14">
      <c r="A6">
        <v>5</v>
      </c>
      <c r="B6" t="s">
        <v>91</v>
      </c>
      <c r="C6" t="s">
        <v>177</v>
      </c>
      <c r="D6">
        <v>2009</v>
      </c>
      <c r="E6">
        <v>23.1</v>
      </c>
      <c r="F6">
        <v>34929</v>
      </c>
      <c r="G6" t="s">
        <v>195</v>
      </c>
      <c r="H6">
        <v>1515</v>
      </c>
      <c r="I6">
        <v>751.53</v>
      </c>
      <c r="J6">
        <v>32.700000000000003</v>
      </c>
      <c r="K6">
        <v>813.87</v>
      </c>
      <c r="L6">
        <v>35.200000000000003</v>
      </c>
      <c r="M6">
        <v>1209.0999999999999</v>
      </c>
      <c r="N6">
        <v>52.341991341991331</v>
      </c>
    </row>
    <row r="7" spans="1:14">
      <c r="A7">
        <v>17</v>
      </c>
      <c r="B7" t="s">
        <v>91</v>
      </c>
      <c r="C7" t="s">
        <v>177</v>
      </c>
      <c r="D7">
        <v>2011</v>
      </c>
      <c r="E7">
        <v>2.2000000000000002</v>
      </c>
      <c r="F7">
        <v>2040</v>
      </c>
      <c r="G7" t="s">
        <v>212</v>
      </c>
      <c r="H7">
        <v>816</v>
      </c>
      <c r="I7">
        <v>19.12</v>
      </c>
      <c r="J7">
        <v>8.6999999999999993</v>
      </c>
      <c r="K7">
        <v>57.18</v>
      </c>
      <c r="L7">
        <v>25.990909090909089</v>
      </c>
      <c r="M7">
        <v>80</v>
      </c>
      <c r="N7">
        <v>36.36363636363636</v>
      </c>
    </row>
    <row r="8" spans="1:14">
      <c r="A8">
        <v>7</v>
      </c>
      <c r="B8" t="s">
        <v>91</v>
      </c>
      <c r="C8" t="s">
        <v>177</v>
      </c>
      <c r="D8">
        <v>2011</v>
      </c>
      <c r="E8">
        <v>14.5</v>
      </c>
      <c r="F8">
        <v>21970</v>
      </c>
      <c r="G8" t="s">
        <v>195</v>
      </c>
      <c r="H8">
        <v>1515</v>
      </c>
      <c r="I8">
        <v>513.69000000000005</v>
      </c>
      <c r="J8">
        <v>35.4</v>
      </c>
      <c r="K8">
        <v>554.69000000000005</v>
      </c>
      <c r="L8">
        <v>38.299999999999997</v>
      </c>
      <c r="M8">
        <v>937.3</v>
      </c>
      <c r="N8">
        <v>64.641379310344831</v>
      </c>
    </row>
    <row r="9" spans="1:14">
      <c r="A9">
        <v>16</v>
      </c>
      <c r="B9" t="s">
        <v>91</v>
      </c>
      <c r="C9" t="s">
        <v>177</v>
      </c>
      <c r="D9">
        <v>2012</v>
      </c>
      <c r="E9">
        <v>38</v>
      </c>
      <c r="F9">
        <v>31062</v>
      </c>
      <c r="G9" t="s">
        <v>212</v>
      </c>
      <c r="H9">
        <v>816</v>
      </c>
      <c r="I9">
        <v>583.84299999999996</v>
      </c>
      <c r="J9">
        <v>15.4</v>
      </c>
      <c r="K9">
        <v>1003.2</v>
      </c>
      <c r="L9">
        <v>26.4</v>
      </c>
      <c r="M9">
        <v>1262.2</v>
      </c>
      <c r="N9">
        <v>33.215789473684211</v>
      </c>
    </row>
    <row r="10" spans="1:14">
      <c r="B10" t="s">
        <v>91</v>
      </c>
      <c r="C10" t="s">
        <v>177</v>
      </c>
      <c r="D10">
        <v>2015</v>
      </c>
      <c r="E10">
        <v>5.5</v>
      </c>
      <c r="F10">
        <v>4118</v>
      </c>
      <c r="G10" t="s">
        <v>212</v>
      </c>
      <c r="H10">
        <v>816</v>
      </c>
      <c r="M10">
        <v>43.5</v>
      </c>
      <c r="N10">
        <v>7.9090909090909092</v>
      </c>
    </row>
    <row r="11" spans="1:14">
      <c r="B11" t="s">
        <v>91</v>
      </c>
      <c r="C11" t="s">
        <v>177</v>
      </c>
      <c r="D11">
        <v>2015</v>
      </c>
      <c r="E11">
        <v>9.1999999999999993</v>
      </c>
      <c r="F11">
        <v>9120</v>
      </c>
      <c r="G11" t="s">
        <v>196</v>
      </c>
      <c r="H11">
        <v>1000</v>
      </c>
      <c r="J11">
        <v>0</v>
      </c>
      <c r="K11">
        <v>16.600000000000001</v>
      </c>
      <c r="L11">
        <v>1.8043478260869568</v>
      </c>
      <c r="M11">
        <v>29.6</v>
      </c>
      <c r="N11">
        <v>3.2173913043478266</v>
      </c>
    </row>
    <row r="12" spans="1:14">
      <c r="A12" t="s">
        <v>209</v>
      </c>
      <c r="B12" t="s">
        <v>210</v>
      </c>
      <c r="C12" t="s">
        <v>177</v>
      </c>
      <c r="D12">
        <v>2008</v>
      </c>
      <c r="E12">
        <v>9.9</v>
      </c>
      <c r="F12">
        <v>15036</v>
      </c>
      <c r="G12" t="s">
        <v>195</v>
      </c>
      <c r="H12">
        <v>1515</v>
      </c>
      <c r="I12">
        <v>355.685</v>
      </c>
      <c r="J12">
        <v>35.9</v>
      </c>
      <c r="K12">
        <v>300</v>
      </c>
      <c r="L12">
        <v>30.3</v>
      </c>
      <c r="M12">
        <v>438.1</v>
      </c>
      <c r="N12">
        <v>44.252525252525253</v>
      </c>
    </row>
    <row r="13" spans="1:14">
      <c r="A13">
        <v>13</v>
      </c>
      <c r="B13" t="s">
        <v>210</v>
      </c>
      <c r="C13" t="s">
        <v>177</v>
      </c>
      <c r="D13">
        <v>2009</v>
      </c>
      <c r="E13">
        <v>22.5</v>
      </c>
      <c r="F13">
        <v>18380</v>
      </c>
      <c r="G13" t="s">
        <v>212</v>
      </c>
      <c r="H13">
        <v>816</v>
      </c>
      <c r="I13">
        <v>701.45500000000004</v>
      </c>
      <c r="J13">
        <v>31.1</v>
      </c>
      <c r="K13">
        <v>865.76</v>
      </c>
      <c r="L13">
        <v>38.5</v>
      </c>
      <c r="M13">
        <v>844.4</v>
      </c>
      <c r="N13">
        <v>37.528888888888886</v>
      </c>
    </row>
    <row r="14" spans="1:14">
      <c r="A14">
        <v>14</v>
      </c>
      <c r="B14" t="s">
        <v>210</v>
      </c>
      <c r="C14" t="s">
        <v>177</v>
      </c>
      <c r="D14">
        <v>2012</v>
      </c>
      <c r="E14">
        <v>28.4</v>
      </c>
      <c r="F14">
        <v>23184</v>
      </c>
      <c r="G14" t="s">
        <v>212</v>
      </c>
      <c r="H14">
        <v>816</v>
      </c>
      <c r="I14">
        <v>335.93299999999999</v>
      </c>
      <c r="J14">
        <v>11.8</v>
      </c>
      <c r="K14">
        <v>494.18</v>
      </c>
      <c r="L14">
        <v>17.399999999999999</v>
      </c>
      <c r="M14">
        <v>661.4</v>
      </c>
      <c r="N14">
        <v>23.288732394366196</v>
      </c>
    </row>
    <row r="15" spans="1:14" ht="240">
      <c r="A15" s="55" t="s">
        <v>222</v>
      </c>
      <c r="B15" t="s">
        <v>210</v>
      </c>
      <c r="C15" t="s">
        <v>177</v>
      </c>
      <c r="D15">
        <v>2013</v>
      </c>
      <c r="E15">
        <v>37.479999999999997</v>
      </c>
      <c r="F15">
        <v>30584</v>
      </c>
      <c r="G15" t="s">
        <v>212</v>
      </c>
      <c r="H15">
        <v>816</v>
      </c>
      <c r="K15">
        <v>426</v>
      </c>
      <c r="L15">
        <v>11.366061899679829</v>
      </c>
      <c r="M15">
        <v>240</v>
      </c>
      <c r="N15">
        <v>6.4034151547492</v>
      </c>
    </row>
    <row r="16" spans="1:14">
      <c r="B16" t="s">
        <v>210</v>
      </c>
      <c r="C16" t="s">
        <v>177</v>
      </c>
      <c r="D16">
        <v>2015</v>
      </c>
      <c r="E16">
        <v>10</v>
      </c>
      <c r="F16">
        <v>8160</v>
      </c>
      <c r="G16" t="s">
        <v>212</v>
      </c>
      <c r="H16">
        <v>816</v>
      </c>
      <c r="K16">
        <v>60</v>
      </c>
      <c r="L16">
        <v>6</v>
      </c>
      <c r="M16">
        <v>57</v>
      </c>
      <c r="N16">
        <v>5.7</v>
      </c>
    </row>
    <row r="17" spans="5:13">
      <c r="E17">
        <f>SUM(Таблица4[Площадь, га])</f>
        <v>235.88</v>
      </c>
      <c r="I17">
        <f>SUM(Таблица4[Валовый сбор 2017 г, т])</f>
        <v>4535.3490000000002</v>
      </c>
      <c r="K17">
        <f>SUM(Таблица4[Валовый сбор 2018 г, т])</f>
        <v>5664.8220000000001</v>
      </c>
      <c r="M17">
        <f>SUM(Таблица4[Валовый сбор 2019 г, т])</f>
        <v>7332.7999999999993</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sheetPr>
  <dimension ref="B3:AA47"/>
  <sheetViews>
    <sheetView topLeftCell="F1" workbookViewId="0">
      <pane ySplit="3" topLeftCell="A10" activePane="bottomLeft" state="frozen"/>
      <selection pane="bottomLeft" activeCell="R19" sqref="R19"/>
    </sheetView>
  </sheetViews>
  <sheetFormatPr baseColWidth="10" defaultColWidth="9.1640625" defaultRowHeight="15"/>
  <cols>
    <col min="1" max="1" width="9.1640625" style="90"/>
    <col min="2" max="2" width="23.33203125" style="90" customWidth="1"/>
    <col min="3" max="3" width="9.1640625" style="90"/>
    <col min="4" max="4" width="9.5" style="90" bestFit="1" customWidth="1"/>
    <col min="5" max="5" width="9.33203125" style="90" bestFit="1" customWidth="1"/>
    <col min="6" max="6" width="9.1640625" style="90"/>
    <col min="7" max="7" width="9.33203125" style="90" bestFit="1" customWidth="1"/>
    <col min="8" max="8" width="9.1640625" style="90"/>
    <col min="9" max="9" width="9.33203125" style="90" bestFit="1" customWidth="1"/>
    <col min="10" max="10" width="9.1640625" style="90"/>
    <col min="11" max="11" width="9.33203125" style="90" bestFit="1" customWidth="1"/>
    <col min="12" max="12" width="9.1640625" style="90"/>
    <col min="13" max="13" width="9.33203125" style="90" bestFit="1" customWidth="1"/>
    <col min="14" max="14" width="9.1640625" style="90"/>
    <col min="15" max="15" width="9.33203125" style="90" bestFit="1" customWidth="1"/>
    <col min="16" max="16" width="9.1640625" style="90"/>
    <col min="17" max="17" width="9.33203125" style="90" bestFit="1" customWidth="1"/>
    <col min="18" max="18" width="9.1640625" style="90"/>
    <col min="19" max="19" width="10.1640625" style="90" bestFit="1" customWidth="1"/>
    <col min="20" max="20" width="9.1640625" style="90"/>
    <col min="21" max="21" width="11.5" style="90" bestFit="1" customWidth="1"/>
    <col min="22" max="26" width="8.6640625" style="90" customWidth="1"/>
    <col min="27" max="27" width="10.83203125" style="90" customWidth="1"/>
    <col min="28" max="16384" width="9.1640625" style="90"/>
  </cols>
  <sheetData>
    <row r="3" spans="2:24" ht="17">
      <c r="B3" s="98"/>
      <c r="D3" s="98" t="s">
        <v>345</v>
      </c>
      <c r="E3" s="98" t="s">
        <v>346</v>
      </c>
      <c r="F3" s="98" t="s">
        <v>347</v>
      </c>
      <c r="G3" s="98" t="s">
        <v>348</v>
      </c>
      <c r="H3" s="98" t="s">
        <v>349</v>
      </c>
      <c r="I3" s="98" t="s">
        <v>350</v>
      </c>
      <c r="J3" s="98" t="s">
        <v>351</v>
      </c>
      <c r="K3" s="98" t="s">
        <v>352</v>
      </c>
      <c r="L3" s="98" t="s">
        <v>353</v>
      </c>
      <c r="M3" s="98" t="s">
        <v>354</v>
      </c>
      <c r="N3" s="98" t="s">
        <v>355</v>
      </c>
      <c r="O3" s="98" t="s">
        <v>356</v>
      </c>
      <c r="P3" s="98" t="s">
        <v>357</v>
      </c>
      <c r="Q3" s="98" t="s">
        <v>358</v>
      </c>
      <c r="R3" s="98" t="s">
        <v>359</v>
      </c>
      <c r="S3" s="98" t="s">
        <v>360</v>
      </c>
      <c r="T3" s="98" t="s">
        <v>361</v>
      </c>
      <c r="U3" s="98" t="s">
        <v>638</v>
      </c>
      <c r="V3" s="98" t="s">
        <v>336</v>
      </c>
      <c r="W3" s="98" t="s">
        <v>335</v>
      </c>
      <c r="X3" s="98" t="s">
        <v>23</v>
      </c>
    </row>
    <row r="5" spans="2:24">
      <c r="B5" s="190" t="s">
        <v>57</v>
      </c>
    </row>
    <row r="6" spans="2:24">
      <c r="B6" s="90" t="s">
        <v>362</v>
      </c>
      <c r="D6" s="96">
        <f>'Продажи_ИИ 16-1кв20'!E11</f>
        <v>1770.232</v>
      </c>
      <c r="E6" s="96">
        <f>'Продажи_ИИ 16-1кв20'!F11</f>
        <v>316.95299999999997</v>
      </c>
      <c r="F6" s="96">
        <f>'Продажи_ИИ 16-1кв20'!G11</f>
        <v>1070.6990000000001</v>
      </c>
      <c r="G6" s="96">
        <f>'Продажи_ИИ 16-1кв20'!H11</f>
        <v>1870.7539999999999</v>
      </c>
      <c r="H6" s="96">
        <f>'Продажи_ИИ 16-1кв20'!E32</f>
        <v>669.3</v>
      </c>
      <c r="I6" s="96">
        <f>'Продажи_ИИ 16-1кв20'!F32</f>
        <v>402.20000000000005</v>
      </c>
      <c r="J6" s="96">
        <f>'Продажи_ИИ 16-1кв20'!G32</f>
        <v>310.18499999999995</v>
      </c>
      <c r="K6" s="96">
        <f>'Продажи_ИИ 16-1кв20'!H32</f>
        <v>2157.3150000000001</v>
      </c>
      <c r="L6" s="96">
        <f>'Продажи_ИИ 16-1кв20'!E56</f>
        <v>2751.3879999999999</v>
      </c>
      <c r="M6" s="96">
        <f>'Продажи_ИИ 16-1кв20'!F56</f>
        <v>1675.9520000000002</v>
      </c>
      <c r="N6" s="96">
        <f>'Продажи_ИИ 16-1кв20'!G56</f>
        <v>559.74400000000003</v>
      </c>
      <c r="O6" s="96">
        <f>'Продажи_ИИ 16-1кв20'!H56</f>
        <v>3289.2190000000001</v>
      </c>
      <c r="P6" s="96">
        <f>'Продажи_ИИ 16-1кв20'!E77</f>
        <v>2112.0100000000002</v>
      </c>
      <c r="Q6" s="96">
        <f>'Продажи_ИИ 16-1кв20'!F77</f>
        <v>1785.9719999999998</v>
      </c>
      <c r="R6" s="96">
        <f>'Продажи_ИИ 16-1кв20'!G77</f>
        <v>913.62899999999991</v>
      </c>
      <c r="S6" s="96">
        <f>'Продажи_ИИ 16-1кв20'!H77</f>
        <v>4304.5209999999997</v>
      </c>
      <c r="T6" s="96">
        <f>'Продажи_ИИ 16-1кв20'!E99</f>
        <v>3818.3</v>
      </c>
      <c r="U6" s="96">
        <f>'Продажи_ИИ 16-1кв20'!F99</f>
        <v>1110.8599999999997</v>
      </c>
      <c r="V6" s="96"/>
      <c r="W6" s="96"/>
    </row>
    <row r="7" spans="2:24">
      <c r="B7" s="90" t="s">
        <v>363</v>
      </c>
      <c r="D7" s="96">
        <f>'Продажи_ИИ 16-1кв20'!E12</f>
        <v>75108.899999999994</v>
      </c>
      <c r="E7" s="96">
        <f>'Продажи_ИИ 16-1кв20'!F12</f>
        <v>13062.666000000012</v>
      </c>
      <c r="F7" s="96">
        <f>'Продажи_ИИ 16-1кв20'!G12</f>
        <v>42252.600999999995</v>
      </c>
      <c r="G7" s="96">
        <f>'Продажи_ИИ 16-1кв20'!H12</f>
        <v>64457.723799999992</v>
      </c>
      <c r="H7" s="96">
        <f>'Продажи_ИИ 16-1кв20'!E33</f>
        <v>27753.494999999999</v>
      </c>
      <c r="I7" s="96">
        <f>'Продажи_ИИ 16-1кв20'!F33</f>
        <v>15730.844999999998</v>
      </c>
      <c r="J7" s="96">
        <f>'Продажи_ИИ 16-1кв20'!G33</f>
        <v>9730.4950000000026</v>
      </c>
      <c r="K7" s="96">
        <f>'Продажи_ИИ 16-1кв20'!H33</f>
        <v>80296.494999999995</v>
      </c>
      <c r="L7" s="96">
        <f>'Продажи_ИИ 16-1кв20'!E57</f>
        <v>128788.72500000001</v>
      </c>
      <c r="M7" s="96">
        <f>'Продажи_ИИ 16-1кв20'!F57</f>
        <v>96419.945000000007</v>
      </c>
      <c r="N7" s="96">
        <f>'Продажи_ИИ 16-1кв20'!G57</f>
        <v>14551.973</v>
      </c>
      <c r="O7" s="96">
        <f>'Продажи_ИИ 16-1кв20'!H57</f>
        <v>93939.395000000004</v>
      </c>
      <c r="P7" s="96">
        <f>'Продажи_ИИ 16-1кв20'!E78</f>
        <v>75503.641666666663</v>
      </c>
      <c r="Q7" s="96">
        <f>'Продажи_ИИ 16-1кв20'!F78</f>
        <v>51981.253333333341</v>
      </c>
      <c r="R7" s="96">
        <f>'Продажи_ИИ 16-1кв20'!G78</f>
        <v>35773.46</v>
      </c>
      <c r="S7" s="96">
        <f>'Продажи_ИИ 16-1кв20'!H78</f>
        <v>169915.50899999999</v>
      </c>
      <c r="T7" s="96">
        <f>'Продажи_ИИ 16-1кв20'!E100</f>
        <v>174239.86</v>
      </c>
      <c r="U7" s="96">
        <f>'Продажи_ИИ 16-1кв20'!F100</f>
        <v>68295.960000000021</v>
      </c>
      <c r="V7" s="96"/>
      <c r="W7" s="96"/>
    </row>
    <row r="8" spans="2:24">
      <c r="B8" s="90" t="s">
        <v>364</v>
      </c>
      <c r="D8" s="96">
        <f>'Продажи_ИИ 16-1кв20'!E13</f>
        <v>511.46899999999999</v>
      </c>
      <c r="E8" s="96">
        <f>'Продажи_ИИ 16-1кв20'!F13</f>
        <v>15.920999999999992</v>
      </c>
      <c r="F8" s="96">
        <f>'Продажи_ИИ 16-1кв20'!G13</f>
        <v>542.822</v>
      </c>
      <c r="G8" s="96">
        <f>'Продажи_ИИ 16-1кв20'!H13</f>
        <v>1570.3200000000002</v>
      </c>
      <c r="H8" s="96">
        <f>'Продажи_ИИ 16-1кв20'!E34</f>
        <v>98.486999999999995</v>
      </c>
      <c r="I8" s="96">
        <f>'Продажи_ИИ 16-1кв20'!F34</f>
        <v>0</v>
      </c>
      <c r="J8" s="96">
        <f>'Продажи_ИИ 16-1кв20'!G34</f>
        <v>1524.5309999999999</v>
      </c>
      <c r="K8" s="96">
        <f>'Продажи_ИИ 16-1кв20'!H34</f>
        <v>2119.9969999999998</v>
      </c>
      <c r="L8" s="96">
        <f>'Продажи_ИИ 16-1кв20'!E58</f>
        <v>424.71899999999999</v>
      </c>
      <c r="M8" s="96">
        <f>'Продажи_ИИ 16-1кв20'!F58</f>
        <v>604.10099999999989</v>
      </c>
      <c r="N8" s="96">
        <f>'Продажи_ИИ 16-1кв20'!G58</f>
        <v>2688.299</v>
      </c>
      <c r="O8" s="96">
        <f>'Продажи_ИИ 16-1кв20'!H58</f>
        <v>1901.019</v>
      </c>
      <c r="P8" s="96">
        <f>'Продажи_ИИ 16-1кв20'!E79</f>
        <v>9.16</v>
      </c>
      <c r="Q8" s="96">
        <f>'Продажи_ИИ 16-1кв20'!F79</f>
        <v>815.57500000000005</v>
      </c>
      <c r="R8" s="96">
        <f>'Продажи_ИИ 16-1кв20'!G79</f>
        <v>3376.8820000000001</v>
      </c>
      <c r="S8" s="96">
        <f>'Продажи_ИИ 16-1кв20'!H79</f>
        <v>6121.2750000000015</v>
      </c>
      <c r="T8" s="96">
        <f>'Продажи_ИИ 16-1кв20'!E101</f>
        <v>583.4</v>
      </c>
      <c r="U8" s="96">
        <f>'Продажи_ИИ 16-1кв20'!F101</f>
        <v>219.60000000000002</v>
      </c>
      <c r="V8" s="96"/>
      <c r="W8" s="96"/>
    </row>
    <row r="9" spans="2:24">
      <c r="B9" s="90" t="s">
        <v>365</v>
      </c>
      <c r="D9" s="96">
        <f>'Продажи_ИИ 16-1кв20'!E14</f>
        <v>9843.8389999999999</v>
      </c>
      <c r="E9" s="96">
        <f>'Продажи_ИИ 16-1кв20'!F14</f>
        <v>159.16100000000006</v>
      </c>
      <c r="F9" s="96">
        <f>'Продажи_ИИ 16-1кв20'!G14</f>
        <v>3480.24</v>
      </c>
      <c r="G9" s="96">
        <f>'Продажи_ИИ 16-1кв20'!H14</f>
        <v>9571.3764299999984</v>
      </c>
      <c r="H9" s="96">
        <f>'Продажи_ИИ 16-1кв20'!E35</f>
        <v>611.05999999999995</v>
      </c>
      <c r="I9" s="96">
        <f>'Продажи_ИИ 16-1кв20'!F35</f>
        <v>2.0000000000663931E-3</v>
      </c>
      <c r="J9" s="96">
        <f>'Продажи_ИИ 16-1кв20'!G35</f>
        <v>13318.062</v>
      </c>
      <c r="K9" s="96">
        <f>'Продажи_ИИ 16-1кв20'!H35</f>
        <v>8962.9759999999987</v>
      </c>
      <c r="L9" s="96">
        <f>'Продажи_ИИ 16-1кв20'!E59</f>
        <v>1857.9</v>
      </c>
      <c r="M9" s="96">
        <f>'Продажи_ИИ 16-1кв20'!F59</f>
        <v>3180.0399999999995</v>
      </c>
      <c r="N9" s="96">
        <f>'Продажи_ИИ 16-1кв20'!G59</f>
        <v>13344.573</v>
      </c>
      <c r="O9" s="96">
        <f>'Продажи_ИИ 16-1кв20'!H59</f>
        <v>7097.0940000000001</v>
      </c>
      <c r="P9" s="96">
        <f>'Продажи_ИИ 16-1кв20'!E80</f>
        <v>34.550000000000004</v>
      </c>
      <c r="Q9" s="96">
        <f>'Продажи_ИИ 16-1кв20'!F80</f>
        <v>4917.8150000000005</v>
      </c>
      <c r="R9" s="96">
        <f>'Продажи_ИИ 16-1кв20'!G80</f>
        <v>25516.832999999999</v>
      </c>
      <c r="S9" s="96">
        <f>'Продажи_ИИ 16-1кв20'!H80</f>
        <v>42692.701000000015</v>
      </c>
      <c r="T9" s="96">
        <f>'Продажи_ИИ 16-1кв20'!E102</f>
        <v>1591.02</v>
      </c>
      <c r="U9" s="96">
        <f>'Продажи_ИИ 16-1кв20'!F102</f>
        <v>1107.5100000000002</v>
      </c>
      <c r="V9" s="96"/>
      <c r="W9" s="96"/>
    </row>
    <row r="10" spans="2:24">
      <c r="D10" s="96"/>
      <c r="E10" s="96"/>
      <c r="F10" s="96"/>
      <c r="G10" s="96"/>
    </row>
    <row r="11" spans="2:24">
      <c r="B11" s="190" t="s">
        <v>20</v>
      </c>
    </row>
    <row r="12" spans="2:24">
      <c r="B12" s="90" t="s">
        <v>362</v>
      </c>
      <c r="D12" s="96">
        <f>'Продажи_НЗ 16-1кв20'!E11</f>
        <v>478</v>
      </c>
      <c r="E12" s="96">
        <f>'Продажи_НЗ 16-1кв20'!F11</f>
        <v>316</v>
      </c>
      <c r="F12" s="96">
        <f>'Продажи_НЗ 16-1кв20'!G11</f>
        <v>198</v>
      </c>
      <c r="G12" s="96">
        <f>'Продажи_НЗ 16-1кв20'!H11</f>
        <v>1277</v>
      </c>
      <c r="H12" s="96">
        <f>'Продажи_НЗ 16-1кв20'!E32</f>
        <v>1033</v>
      </c>
      <c r="I12" s="96">
        <f>'Продажи_НЗ 16-1кв20'!F32</f>
        <v>484</v>
      </c>
      <c r="J12" s="96">
        <f>'Продажи_НЗ 16-1кв20'!G32</f>
        <v>124</v>
      </c>
      <c r="K12" s="96">
        <f>'Продажи_НЗ 16-1кв20'!H32</f>
        <v>2023</v>
      </c>
      <c r="L12" s="96">
        <f>'Продажи_НЗ 16-1кв20'!E56</f>
        <v>551</v>
      </c>
      <c r="M12" s="96">
        <f>'Продажи_НЗ 16-1кв20'!F56</f>
        <v>12</v>
      </c>
      <c r="N12" s="96">
        <f>'Продажи_НЗ 16-1кв20'!G56</f>
        <v>287</v>
      </c>
      <c r="O12" s="96">
        <f>'Продажи_НЗ 16-1кв20'!H56</f>
        <v>1983</v>
      </c>
      <c r="P12" s="96">
        <f>'Продажи_НЗ 16-1кв20'!E77</f>
        <v>431.1</v>
      </c>
      <c r="Q12" s="96">
        <f>'Продажи_НЗ 16-1кв20'!F77</f>
        <v>53.4</v>
      </c>
      <c r="R12" s="96">
        <f>'Продажи_НЗ 16-1кв20'!G77</f>
        <v>453.75</v>
      </c>
      <c r="S12" s="96">
        <f>'Продажи_НЗ 16-1кв20'!H77</f>
        <v>1428.59</v>
      </c>
      <c r="T12" s="96">
        <f>'Продажи_НЗ 16-1кв20'!E100</f>
        <v>909.89900000000011</v>
      </c>
      <c r="U12" s="96">
        <f>'Продажи_НЗ 16-1кв20'!F100</f>
        <v>334.03</v>
      </c>
      <c r="V12" s="96"/>
      <c r="W12" s="96"/>
    </row>
    <row r="13" spans="2:24">
      <c r="B13" s="90" t="s">
        <v>363</v>
      </c>
      <c r="D13" s="96">
        <f>'Продажи_НЗ 16-1кв20'!E12</f>
        <v>19922</v>
      </c>
      <c r="E13" s="96">
        <f>'Продажи_НЗ 16-1кв20'!F12</f>
        <v>8254</v>
      </c>
      <c r="F13" s="96">
        <f>'Продажи_НЗ 16-1кв20'!G12</f>
        <v>6012</v>
      </c>
      <c r="G13" s="96">
        <f>'Продажи_НЗ 16-1кв20'!H12</f>
        <v>56961</v>
      </c>
      <c r="H13" s="96">
        <f>'Продажи_НЗ 16-1кв20'!E33</f>
        <v>35820</v>
      </c>
      <c r="I13" s="96">
        <f>'Продажи_НЗ 16-1кв20'!F33</f>
        <v>15075</v>
      </c>
      <c r="J13" s="96">
        <f>'Продажи_НЗ 16-1кв20'!G33</f>
        <v>3839</v>
      </c>
      <c r="K13" s="96">
        <f>'Продажи_НЗ 16-1кв20'!H33</f>
        <v>64675</v>
      </c>
      <c r="L13" s="96">
        <f>'Продажи_НЗ 16-1кв20'!E57</f>
        <v>22802</v>
      </c>
      <c r="M13" s="96">
        <f>'Продажи_НЗ 16-1кв20'!F57</f>
        <v>467</v>
      </c>
      <c r="N13" s="96">
        <f>'Продажи_НЗ 16-1кв20'!G57</f>
        <v>7119</v>
      </c>
      <c r="O13" s="96">
        <f>'Продажи_НЗ 16-1кв20'!H57</f>
        <v>61054</v>
      </c>
      <c r="P13" s="96">
        <f>'Продажи_НЗ 16-1кв20'!E78</f>
        <v>13321.65</v>
      </c>
      <c r="Q13" s="96">
        <f>'Продажи_НЗ 16-1кв20'!F78</f>
        <v>1616.64</v>
      </c>
      <c r="R13" s="96">
        <f>'Продажи_НЗ 16-1кв20'!G78</f>
        <v>13159.94</v>
      </c>
      <c r="S13" s="96">
        <f>'Продажи_НЗ 16-1кв20'!H78</f>
        <v>41063.86</v>
      </c>
      <c r="T13" s="96">
        <f>'Продажи_НЗ 16-1кв20'!E101</f>
        <v>43355.006000000001</v>
      </c>
      <c r="U13" s="96">
        <f>'Продажи_НЗ 16-1кв20'!F101</f>
        <v>9913.08</v>
      </c>
      <c r="V13" s="96"/>
      <c r="W13" s="96"/>
    </row>
    <row r="14" spans="2:24">
      <c r="B14" s="90" t="s">
        <v>364</v>
      </c>
      <c r="D14" s="96">
        <f>'Продажи_НЗ 16-1кв20'!E13</f>
        <v>0</v>
      </c>
      <c r="E14" s="96">
        <f>'Продажи_НЗ 16-1кв20'!F13</f>
        <v>160</v>
      </c>
      <c r="F14" s="96">
        <f>'Продажи_НЗ 16-1кв20'!G13</f>
        <v>293</v>
      </c>
      <c r="G14" s="96">
        <f>'Продажи_НЗ 16-1кв20'!H13</f>
        <v>73</v>
      </c>
      <c r="H14" s="96">
        <f>'Продажи_НЗ 16-1кв20'!E34</f>
        <v>243</v>
      </c>
      <c r="I14" s="96">
        <f>'Продажи_НЗ 16-1кв20'!F34</f>
        <v>78</v>
      </c>
      <c r="J14" s="96">
        <f>'Продажи_НЗ 16-1кв20'!G34</f>
        <v>187</v>
      </c>
      <c r="K14" s="96">
        <f>'Продажи_НЗ 16-1кв20'!H34</f>
        <v>0</v>
      </c>
      <c r="L14" s="96">
        <f>'Продажи_НЗ 16-1кв20'!E58</f>
        <v>0</v>
      </c>
      <c r="M14" s="96">
        <f>'Продажи_НЗ 16-1кв20'!F58</f>
        <v>214</v>
      </c>
      <c r="N14" s="96">
        <f>'Продажи_НЗ 16-1кв20'!G58</f>
        <v>0</v>
      </c>
      <c r="O14" s="96">
        <f>'Продажи_НЗ 16-1кв20'!H58</f>
        <v>164</v>
      </c>
      <c r="P14" s="96">
        <f>'Продажи_НЗ 16-1кв20'!E79</f>
        <v>0</v>
      </c>
      <c r="Q14" s="96">
        <f>'Продажи_НЗ 16-1кв20'!F79</f>
        <v>0</v>
      </c>
      <c r="R14" s="96">
        <f>'Продажи_НЗ 16-1кв20'!G79</f>
        <v>220.36</v>
      </c>
      <c r="S14" s="96">
        <f>'Продажи_НЗ 16-1кв20'!H79</f>
        <v>686.44</v>
      </c>
      <c r="T14" s="96">
        <f>'Продажи_НЗ 16-1кв20'!E102</f>
        <v>222.96000000000004</v>
      </c>
      <c r="U14" s="96">
        <f>'Продажи_НЗ 16-1кв20'!F102</f>
        <v>12.22</v>
      </c>
      <c r="V14" s="96"/>
      <c r="W14" s="96"/>
    </row>
    <row r="15" spans="2:24">
      <c r="B15" s="90" t="s">
        <v>365</v>
      </c>
      <c r="D15" s="96">
        <f>'Продажи_НЗ 16-1кв20'!E14</f>
        <v>0</v>
      </c>
      <c r="E15" s="96">
        <f>'Продажи_НЗ 16-1кв20'!F14</f>
        <v>933</v>
      </c>
      <c r="F15" s="96">
        <f>'Продажи_НЗ 16-1кв20'!G14</f>
        <v>1767</v>
      </c>
      <c r="G15" s="96">
        <f>'Продажи_НЗ 16-1кв20'!H14</f>
        <v>464</v>
      </c>
      <c r="H15" s="96">
        <f>'Продажи_НЗ 16-1кв20'!E35</f>
        <v>1360</v>
      </c>
      <c r="I15" s="96">
        <f>'Продажи_НЗ 16-1кв20'!F35</f>
        <v>400</v>
      </c>
      <c r="J15" s="96">
        <f>'Продажи_НЗ 16-1кв20'!G35</f>
        <v>1739</v>
      </c>
      <c r="K15" s="96">
        <f>'Продажи_НЗ 16-1кв20'!H35</f>
        <v>0</v>
      </c>
      <c r="L15" s="96">
        <f>'Продажи_НЗ 16-1кв20'!E59</f>
        <v>0</v>
      </c>
      <c r="M15" s="96">
        <f>'Продажи_НЗ 16-1кв20'!F59</f>
        <v>1923</v>
      </c>
      <c r="N15" s="96">
        <f>'Продажи_НЗ 16-1кв20'!G59</f>
        <v>0</v>
      </c>
      <c r="O15" s="96">
        <f>'Продажи_НЗ 16-1кв20'!H59</f>
        <v>867</v>
      </c>
      <c r="P15" s="96">
        <f>'Продажи_НЗ 16-1кв20'!E80</f>
        <v>0</v>
      </c>
      <c r="Q15" s="96">
        <f>'Продажи_НЗ 16-1кв20'!F80</f>
        <v>0</v>
      </c>
      <c r="R15" s="96">
        <f>'Продажи_НЗ 16-1кв20'!G80</f>
        <v>1549.92</v>
      </c>
      <c r="S15" s="96">
        <f>'Продажи_НЗ 16-1кв20'!H80</f>
        <v>6103.15</v>
      </c>
      <c r="T15" s="96">
        <f>'Продажи_НЗ 16-1кв20'!E103</f>
        <v>2179.384</v>
      </c>
      <c r="U15" s="96">
        <f>'Продажи_НЗ 16-1кв20'!F103</f>
        <v>125.54</v>
      </c>
      <c r="V15" s="96"/>
      <c r="W15" s="96"/>
    </row>
    <row r="17" spans="2:27" ht="16" thickBot="1">
      <c r="E17" s="535">
        <f>SUM(D19:E19)</f>
        <v>2881.1849999999999</v>
      </c>
      <c r="F17" s="536"/>
      <c r="G17" s="537">
        <f>SUM(F19:G19)</f>
        <v>4416.4529999999995</v>
      </c>
      <c r="H17" s="536"/>
      <c r="I17" s="535">
        <f>SUM(H19:I19)</f>
        <v>2588.5</v>
      </c>
      <c r="J17" s="536"/>
      <c r="K17" s="537">
        <f>SUM(J19:K19)</f>
        <v>4614.5</v>
      </c>
      <c r="L17" s="536"/>
      <c r="M17" s="535">
        <f>SUM(L19:M19)</f>
        <v>4990.34</v>
      </c>
      <c r="N17" s="536"/>
      <c r="O17" s="537">
        <f>SUM(N19:O19)</f>
        <v>6118.9629999999997</v>
      </c>
      <c r="P17" s="536"/>
      <c r="Q17" s="535">
        <f>SUM(P19:Q19)</f>
        <v>4382.482</v>
      </c>
      <c r="R17" s="536"/>
      <c r="S17" s="537">
        <f>SUM(R19:S19)</f>
        <v>7100.49</v>
      </c>
      <c r="T17" s="536"/>
      <c r="U17" s="535">
        <f>SUM(T19:U19)</f>
        <v>6173.0889999999999</v>
      </c>
      <c r="V17" s="606" t="s">
        <v>692</v>
      </c>
      <c r="W17" s="607" t="s">
        <v>693</v>
      </c>
      <c r="X17" s="606" t="s">
        <v>694</v>
      </c>
      <c r="Y17" s="607" t="s">
        <v>695</v>
      </c>
    </row>
    <row r="18" spans="2:27" ht="16" thickBot="1">
      <c r="B18" s="190" t="s">
        <v>175</v>
      </c>
      <c r="D18" s="538">
        <f>D19/$E$17</f>
        <v>0.78031504398363871</v>
      </c>
      <c r="E18" s="538">
        <f>E19/$E$17</f>
        <v>0.21968495601636132</v>
      </c>
      <c r="F18" s="538">
        <f>F19/$G$17</f>
        <v>0.28726650096808459</v>
      </c>
      <c r="G18" s="538">
        <f>G19/$G$17</f>
        <v>0.71273349903191552</v>
      </c>
      <c r="H18" s="538">
        <f>H19/$I$17</f>
        <v>0.65763955959049636</v>
      </c>
      <c r="I18" s="538">
        <f>I19/$I$17</f>
        <v>0.34236044040950359</v>
      </c>
      <c r="J18" s="538">
        <f>J19/$K$17</f>
        <v>9.4091450861415099E-2</v>
      </c>
      <c r="K18" s="538">
        <f>K19/$K$17</f>
        <v>0.90590854913858498</v>
      </c>
      <c r="L18" s="538">
        <f>L19/$M$17</f>
        <v>0.66175611280994884</v>
      </c>
      <c r="M18" s="538">
        <f>M19/$M$17</f>
        <v>0.33824388719005122</v>
      </c>
      <c r="N18" s="538">
        <f>N19/$O$17</f>
        <v>0.13838031051993616</v>
      </c>
      <c r="O18" s="538">
        <f>O19/$O$17</f>
        <v>0.86161968948006395</v>
      </c>
      <c r="P18" s="538">
        <f>P19/$Q$17</f>
        <v>0.58028989052322411</v>
      </c>
      <c r="Q18" s="538">
        <f>Q19/$Q$17</f>
        <v>0.41971010947677589</v>
      </c>
      <c r="R18" s="538">
        <f>R19/$S$17</f>
        <v>0.19257530114118884</v>
      </c>
      <c r="S18" s="538">
        <f>S19/$S$17</f>
        <v>0.80742469885881119</v>
      </c>
      <c r="T18" s="538">
        <f>T19/$U$17</f>
        <v>0.76593728034700304</v>
      </c>
      <c r="U18" s="538">
        <f>U19/$U$17</f>
        <v>0.23406271965299702</v>
      </c>
      <c r="V18" s="610">
        <f>AVERAGE(D18,H18,L18,P18,T18)</f>
        <v>0.68918757745086223</v>
      </c>
      <c r="W18" s="610">
        <f>AVERAGE(E18,I18,M18,Q18,U18)</f>
        <v>0.31081242254913782</v>
      </c>
      <c r="X18" s="610">
        <f>AVERAGE(F18,J18,N18,R18)</f>
        <v>0.17807839087265617</v>
      </c>
      <c r="Y18" s="610">
        <f>AVERAGE(G18,K18,O18,S18)</f>
        <v>0.8219216091273438</v>
      </c>
    </row>
    <row r="19" spans="2:27">
      <c r="B19" s="90" t="s">
        <v>362</v>
      </c>
      <c r="D19" s="193">
        <f>D6+D12</f>
        <v>2248.232</v>
      </c>
      <c r="E19" s="193">
        <f t="shared" ref="E19:T20" si="0">E6+E12</f>
        <v>632.95299999999997</v>
      </c>
      <c r="F19" s="193">
        <f t="shared" si="0"/>
        <v>1268.6990000000001</v>
      </c>
      <c r="G19" s="193">
        <f t="shared" si="0"/>
        <v>3147.7539999999999</v>
      </c>
      <c r="H19" s="193">
        <f t="shared" si="0"/>
        <v>1702.3</v>
      </c>
      <c r="I19" s="193">
        <f t="shared" si="0"/>
        <v>886.2</v>
      </c>
      <c r="J19" s="193">
        <f t="shared" si="0"/>
        <v>434.18499999999995</v>
      </c>
      <c r="K19" s="193">
        <f t="shared" si="0"/>
        <v>4180.3150000000005</v>
      </c>
      <c r="L19" s="193">
        <f t="shared" si="0"/>
        <v>3302.3879999999999</v>
      </c>
      <c r="M19" s="193">
        <f t="shared" si="0"/>
        <v>1687.9520000000002</v>
      </c>
      <c r="N19" s="193">
        <f t="shared" si="0"/>
        <v>846.74400000000003</v>
      </c>
      <c r="O19" s="193">
        <f t="shared" si="0"/>
        <v>5272.2190000000001</v>
      </c>
      <c r="P19" s="193">
        <f t="shared" si="0"/>
        <v>2543.11</v>
      </c>
      <c r="Q19" s="193">
        <f t="shared" si="0"/>
        <v>1839.3719999999998</v>
      </c>
      <c r="R19" s="193">
        <f t="shared" si="0"/>
        <v>1367.3789999999999</v>
      </c>
      <c r="S19" s="193">
        <f t="shared" si="0"/>
        <v>5733.1109999999999</v>
      </c>
      <c r="T19" s="193">
        <f t="shared" si="0"/>
        <v>4728.1990000000005</v>
      </c>
      <c r="U19" s="193">
        <f>U6+U12</f>
        <v>1444.8899999999996</v>
      </c>
      <c r="V19" s="430">
        <f>SUM(R19:S19)</f>
        <v>7100.49</v>
      </c>
      <c r="W19" s="430">
        <f>SUM(T19:U19)</f>
        <v>6173.0889999999999</v>
      </c>
      <c r="X19" s="430">
        <f>SUM(R19:U19)</f>
        <v>13273.579</v>
      </c>
      <c r="Y19" s="193">
        <f>T19+U19</f>
        <v>6173.0889999999999</v>
      </c>
      <c r="Z19" s="193">
        <f>Y19+2/3*S19</f>
        <v>9995.1630000000005</v>
      </c>
      <c r="AA19" s="193">
        <f>R19+S19</f>
        <v>7100.49</v>
      </c>
    </row>
    <row r="20" spans="2:27">
      <c r="B20" s="90" t="s">
        <v>363</v>
      </c>
      <c r="D20" s="193">
        <f>D7+D13</f>
        <v>95030.9</v>
      </c>
      <c r="E20" s="193">
        <f t="shared" ref="E20:S20" si="1">E7+E13</f>
        <v>21316.666000000012</v>
      </c>
      <c r="F20" s="193">
        <f t="shared" si="1"/>
        <v>48264.600999999995</v>
      </c>
      <c r="G20" s="193">
        <f t="shared" si="1"/>
        <v>121418.72379999999</v>
      </c>
      <c r="H20" s="193">
        <f t="shared" si="1"/>
        <v>63573.494999999995</v>
      </c>
      <c r="I20" s="193">
        <f t="shared" si="1"/>
        <v>30805.844999999998</v>
      </c>
      <c r="J20" s="193">
        <f t="shared" si="1"/>
        <v>13569.495000000003</v>
      </c>
      <c r="K20" s="193">
        <f t="shared" si="1"/>
        <v>144971.495</v>
      </c>
      <c r="L20" s="193">
        <f t="shared" si="1"/>
        <v>151590.72500000001</v>
      </c>
      <c r="M20" s="193">
        <f t="shared" si="1"/>
        <v>96886.945000000007</v>
      </c>
      <c r="N20" s="193">
        <f t="shared" si="1"/>
        <v>21670.972999999998</v>
      </c>
      <c r="O20" s="193">
        <f t="shared" si="1"/>
        <v>154993.39500000002</v>
      </c>
      <c r="P20" s="193">
        <f t="shared" si="1"/>
        <v>88825.291666666657</v>
      </c>
      <c r="Q20" s="193">
        <f t="shared" si="1"/>
        <v>53597.893333333341</v>
      </c>
      <c r="R20" s="193">
        <f t="shared" si="1"/>
        <v>48933.4</v>
      </c>
      <c r="S20" s="193">
        <f t="shared" si="1"/>
        <v>210979.36900000001</v>
      </c>
      <c r="T20" s="193">
        <f t="shared" si="0"/>
        <v>217594.86599999998</v>
      </c>
      <c r="U20" s="193">
        <f>U7+U13</f>
        <v>78209.040000000023</v>
      </c>
      <c r="V20" s="430">
        <f>SUM(R20:S20)</f>
        <v>259912.769</v>
      </c>
      <c r="W20" s="430">
        <f>SUM(T20:U20)</f>
        <v>295803.90600000002</v>
      </c>
      <c r="X20" s="193">
        <f>SUM(R20:U20)</f>
        <v>555716.67500000005</v>
      </c>
      <c r="Z20" s="193">
        <f>Y19+Y25</f>
        <v>7211.2690000000002</v>
      </c>
      <c r="AA20" s="193">
        <f>R25+S25</f>
        <v>10404.957000000002</v>
      </c>
    </row>
    <row r="21" spans="2:27">
      <c r="D21" s="193"/>
      <c r="E21" s="193"/>
      <c r="F21" s="193"/>
      <c r="G21" s="193"/>
      <c r="H21" s="193"/>
      <c r="I21" s="193"/>
      <c r="J21" s="193"/>
      <c r="K21" s="193"/>
      <c r="L21" s="193"/>
      <c r="M21" s="193"/>
      <c r="N21" s="193"/>
      <c r="O21" s="193"/>
      <c r="P21" s="193"/>
      <c r="Q21" s="193"/>
      <c r="R21" s="193"/>
      <c r="S21" s="193"/>
      <c r="T21" s="193"/>
      <c r="U21" s="193"/>
      <c r="V21" s="430"/>
      <c r="W21" s="430"/>
      <c r="X21" s="193"/>
      <c r="Z21" s="193"/>
      <c r="AA21" s="193"/>
    </row>
    <row r="22" spans="2:27">
      <c r="D22" s="193"/>
      <c r="E22" s="535"/>
      <c r="F22" s="535"/>
      <c r="G22" s="535"/>
      <c r="H22" s="535"/>
      <c r="I22" s="535"/>
      <c r="J22" s="535"/>
      <c r="K22" s="535"/>
      <c r="L22" s="535"/>
      <c r="M22" s="535"/>
      <c r="N22" s="535"/>
      <c r="O22" s="535"/>
      <c r="P22" s="535"/>
      <c r="Q22" s="535"/>
      <c r="R22" s="535"/>
      <c r="S22" s="535"/>
      <c r="T22" s="535"/>
      <c r="U22" s="535"/>
      <c r="Z22" s="193"/>
      <c r="AA22" s="193"/>
    </row>
    <row r="23" spans="2:27" ht="16" thickBot="1">
      <c r="D23" s="193"/>
      <c r="E23" s="538"/>
      <c r="F23" s="538"/>
      <c r="G23" s="535">
        <f>AVERAGE(SUM(F25:G25))</f>
        <v>2479.1420000000003</v>
      </c>
      <c r="H23" s="538"/>
      <c r="I23" s="538"/>
      <c r="J23" s="538"/>
      <c r="K23" s="535">
        <f>AVERAGE(SUM(J25:K25))</f>
        <v>3831.5279999999998</v>
      </c>
      <c r="L23" s="538"/>
      <c r="M23" s="538"/>
      <c r="N23" s="538"/>
      <c r="O23" s="535">
        <f>AVERAGE(SUM(N25:O25))</f>
        <v>4753.3180000000002</v>
      </c>
      <c r="P23" s="538"/>
      <c r="Q23" s="538"/>
      <c r="R23" s="538"/>
      <c r="S23" s="535">
        <f>AVERAGE(SUM(R25:S25))</f>
        <v>10404.957000000002</v>
      </c>
      <c r="T23" s="538"/>
      <c r="U23" s="538"/>
      <c r="V23" s="558" t="s">
        <v>692</v>
      </c>
      <c r="W23" s="559" t="s">
        <v>693</v>
      </c>
      <c r="X23" s="606" t="s">
        <v>694</v>
      </c>
      <c r="Y23" s="607" t="s">
        <v>695</v>
      </c>
      <c r="Z23" s="193"/>
      <c r="AA23" s="193"/>
    </row>
    <row r="24" spans="2:27" ht="16" thickBot="1">
      <c r="D24" s="193"/>
      <c r="E24" s="193"/>
      <c r="F24" s="538">
        <f>F25/G23</f>
        <v>0.33714164013194886</v>
      </c>
      <c r="G24" s="538">
        <f>G25/G23</f>
        <v>0.66285835986805108</v>
      </c>
      <c r="H24" s="193"/>
      <c r="I24" s="193"/>
      <c r="J24" s="538">
        <f>J25/K23</f>
        <v>0.44669672256081649</v>
      </c>
      <c r="K24" s="538">
        <f>K25/K23</f>
        <v>0.55330327743918351</v>
      </c>
      <c r="L24" s="193"/>
      <c r="M24" s="193"/>
      <c r="N24" s="538">
        <f>N25/O23</f>
        <v>0.56556262383455091</v>
      </c>
      <c r="O24" s="538">
        <f>O25/O23</f>
        <v>0.43443737616544909</v>
      </c>
      <c r="P24" s="193"/>
      <c r="Q24" s="193"/>
      <c r="R24" s="538">
        <f>R25/S23</f>
        <v>0.34572386988240311</v>
      </c>
      <c r="S24" s="538">
        <f>S25/S23</f>
        <v>0.65427613011759689</v>
      </c>
      <c r="T24" s="193"/>
      <c r="U24" s="193"/>
      <c r="V24" s="193"/>
      <c r="W24" s="193"/>
      <c r="X24" s="608">
        <f>AVERAGE(F24,J24,N24,R24)</f>
        <v>0.42378121410242986</v>
      </c>
      <c r="Y24" s="609">
        <f>AVERAGE(G24,K24,O24,S24)</f>
        <v>0.57621878589757014</v>
      </c>
      <c r="Z24" s="193"/>
      <c r="AA24" s="193"/>
    </row>
    <row r="25" spans="2:27">
      <c r="B25" s="90" t="s">
        <v>364</v>
      </c>
      <c r="D25" s="193">
        <f t="shared" ref="D25:T25" si="2">D8+D14</f>
        <v>511.46899999999999</v>
      </c>
      <c r="E25" s="193">
        <f t="shared" si="2"/>
        <v>175.92099999999999</v>
      </c>
      <c r="F25" s="556">
        <f t="shared" si="2"/>
        <v>835.822</v>
      </c>
      <c r="G25" s="556">
        <f t="shared" si="2"/>
        <v>1643.3200000000002</v>
      </c>
      <c r="H25" s="556">
        <f t="shared" si="2"/>
        <v>341.48699999999997</v>
      </c>
      <c r="I25" s="556">
        <f t="shared" si="2"/>
        <v>78</v>
      </c>
      <c r="J25" s="556">
        <f t="shared" si="2"/>
        <v>1711.5309999999999</v>
      </c>
      <c r="K25" s="556">
        <f t="shared" si="2"/>
        <v>2119.9969999999998</v>
      </c>
      <c r="L25" s="556">
        <f t="shared" si="2"/>
        <v>424.71899999999999</v>
      </c>
      <c r="M25" s="556">
        <f t="shared" si="2"/>
        <v>818.10099999999989</v>
      </c>
      <c r="N25" s="556">
        <f t="shared" si="2"/>
        <v>2688.299</v>
      </c>
      <c r="O25" s="556">
        <f t="shared" si="2"/>
        <v>2065.0190000000002</v>
      </c>
      <c r="P25" s="556">
        <f t="shared" si="2"/>
        <v>9.16</v>
      </c>
      <c r="Q25" s="557">
        <f t="shared" si="2"/>
        <v>815.57500000000005</v>
      </c>
      <c r="R25" s="557">
        <f t="shared" si="2"/>
        <v>3597.2420000000002</v>
      </c>
      <c r="S25" s="557">
        <f t="shared" si="2"/>
        <v>6807.715000000002</v>
      </c>
      <c r="T25" s="557">
        <f t="shared" si="2"/>
        <v>806.36</v>
      </c>
      <c r="U25" s="557">
        <f>U8+U14</f>
        <v>231.82000000000002</v>
      </c>
      <c r="V25" s="430">
        <f>SUM(R25:S25)</f>
        <v>10404.957000000002</v>
      </c>
      <c r="W25" s="430">
        <f>SUM(T25:U25)</f>
        <v>1038.18</v>
      </c>
      <c r="X25" s="193">
        <f>SUM(R25:U25)</f>
        <v>11443.137000000002</v>
      </c>
      <c r="Y25" s="193">
        <f>T25+U25</f>
        <v>1038.18</v>
      </c>
      <c r="Z25" s="193">
        <f>Y25+Z19</f>
        <v>11033.343000000001</v>
      </c>
    </row>
    <row r="26" spans="2:27">
      <c r="B26" s="90" t="s">
        <v>365</v>
      </c>
      <c r="D26" s="193">
        <f t="shared" ref="D26:T26" si="3">D9+D15</f>
        <v>9843.8389999999999</v>
      </c>
      <c r="E26" s="193">
        <f t="shared" si="3"/>
        <v>1092.1610000000001</v>
      </c>
      <c r="F26" s="193">
        <f t="shared" si="3"/>
        <v>5247.24</v>
      </c>
      <c r="G26" s="193">
        <f t="shared" si="3"/>
        <v>10035.376429999998</v>
      </c>
      <c r="H26" s="193">
        <f t="shared" si="3"/>
        <v>1971.06</v>
      </c>
      <c r="I26" s="193">
        <f t="shared" si="3"/>
        <v>400.00200000000007</v>
      </c>
      <c r="J26" s="193">
        <f t="shared" si="3"/>
        <v>15057.062</v>
      </c>
      <c r="K26" s="193">
        <f t="shared" si="3"/>
        <v>8962.9759999999987</v>
      </c>
      <c r="L26" s="193">
        <f t="shared" si="3"/>
        <v>1857.9</v>
      </c>
      <c r="M26" s="193">
        <f t="shared" si="3"/>
        <v>5103.0399999999991</v>
      </c>
      <c r="N26" s="193">
        <f t="shared" si="3"/>
        <v>13344.573</v>
      </c>
      <c r="O26" s="193">
        <f t="shared" si="3"/>
        <v>7964.0940000000001</v>
      </c>
      <c r="P26" s="193">
        <f t="shared" si="3"/>
        <v>34.550000000000004</v>
      </c>
      <c r="Q26" s="193">
        <f t="shared" si="3"/>
        <v>4917.8150000000005</v>
      </c>
      <c r="R26" s="193">
        <f t="shared" si="3"/>
        <v>27066.752999999997</v>
      </c>
      <c r="S26" s="193">
        <f t="shared" si="3"/>
        <v>48795.851000000017</v>
      </c>
      <c r="T26" s="193">
        <f t="shared" si="3"/>
        <v>3770.404</v>
      </c>
      <c r="U26" s="193">
        <f>U9+U15</f>
        <v>1233.0500000000002</v>
      </c>
      <c r="V26" s="430">
        <f>SUM(R26:S26)</f>
        <v>75862.604000000021</v>
      </c>
      <c r="W26" s="430">
        <f>SUM(T26:U26)</f>
        <v>5003.4539999999997</v>
      </c>
      <c r="X26" s="193">
        <f>SUM(R26:U26)</f>
        <v>80866.058000000019</v>
      </c>
      <c r="Y26" s="193">
        <f>Y19+Y25</f>
        <v>7211.2690000000002</v>
      </c>
    </row>
    <row r="27" spans="2:27">
      <c r="X27" s="193"/>
    </row>
    <row r="28" spans="2:27">
      <c r="B28" s="90" t="s">
        <v>366</v>
      </c>
      <c r="D28" s="193">
        <f t="shared" ref="D28:U28" si="4">D19+D25</f>
        <v>2759.701</v>
      </c>
      <c r="E28" s="193">
        <f t="shared" si="4"/>
        <v>808.87400000000002</v>
      </c>
      <c r="F28" s="193">
        <f t="shared" si="4"/>
        <v>2104.5210000000002</v>
      </c>
      <c r="G28" s="193">
        <f t="shared" si="4"/>
        <v>4791.0740000000005</v>
      </c>
      <c r="H28" s="193">
        <f t="shared" si="4"/>
        <v>2043.7869999999998</v>
      </c>
      <c r="I28" s="193">
        <f t="shared" si="4"/>
        <v>964.2</v>
      </c>
      <c r="J28" s="193">
        <f t="shared" si="4"/>
        <v>2145.7159999999999</v>
      </c>
      <c r="K28" s="193">
        <f t="shared" si="4"/>
        <v>6300.3119999999999</v>
      </c>
      <c r="L28" s="193">
        <f t="shared" si="4"/>
        <v>3727.107</v>
      </c>
      <c r="M28" s="193">
        <f t="shared" si="4"/>
        <v>2506.0529999999999</v>
      </c>
      <c r="N28" s="193">
        <f t="shared" si="4"/>
        <v>3535.0430000000001</v>
      </c>
      <c r="O28" s="193">
        <f t="shared" si="4"/>
        <v>7337.2380000000003</v>
      </c>
      <c r="P28" s="193">
        <f t="shared" si="4"/>
        <v>2552.27</v>
      </c>
      <c r="Q28" s="193">
        <f t="shared" si="4"/>
        <v>2654.9470000000001</v>
      </c>
      <c r="R28" s="193">
        <f t="shared" si="4"/>
        <v>4964.6210000000001</v>
      </c>
      <c r="S28" s="193">
        <f t="shared" si="4"/>
        <v>12540.826000000001</v>
      </c>
      <c r="T28" s="193">
        <f t="shared" si="4"/>
        <v>5534.5590000000002</v>
      </c>
      <c r="U28" s="193">
        <f t="shared" si="4"/>
        <v>1676.7099999999996</v>
      </c>
      <c r="V28" s="193"/>
      <c r="W28" s="193"/>
      <c r="X28" s="193">
        <f>X26+X20</f>
        <v>636582.73300000001</v>
      </c>
    </row>
    <row r="30" spans="2:27">
      <c r="B30" s="90" t="s">
        <v>341</v>
      </c>
      <c r="D30" s="195">
        <f>D25/D28</f>
        <v>0.18533493302354132</v>
      </c>
      <c r="E30" s="195">
        <f t="shared" ref="E30:T30" si="5">E25/E28</f>
        <v>0.21748875597435446</v>
      </c>
      <c r="F30" s="195">
        <f t="shared" si="5"/>
        <v>0.39715545722755913</v>
      </c>
      <c r="G30" s="195">
        <f t="shared" si="5"/>
        <v>0.34299616328196975</v>
      </c>
      <c r="H30" s="195">
        <f t="shared" si="5"/>
        <v>0.16708541545669878</v>
      </c>
      <c r="I30" s="195">
        <f t="shared" si="5"/>
        <v>8.089607965152458E-2</v>
      </c>
      <c r="J30" s="195">
        <f t="shared" si="5"/>
        <v>0.79765029482000416</v>
      </c>
      <c r="K30" s="195">
        <f t="shared" si="5"/>
        <v>0.33649079601137211</v>
      </c>
      <c r="L30" s="195">
        <f t="shared" si="5"/>
        <v>0.1139540667869208</v>
      </c>
      <c r="M30" s="195">
        <f t="shared" si="5"/>
        <v>0.3264499992617873</v>
      </c>
      <c r="N30" s="195">
        <f t="shared" si="5"/>
        <v>0.76047137191824821</v>
      </c>
      <c r="O30" s="195">
        <f t="shared" si="5"/>
        <v>0.28144364405243499</v>
      </c>
      <c r="P30" s="195">
        <f t="shared" si="5"/>
        <v>3.5889619828623149E-3</v>
      </c>
      <c r="Q30" s="195">
        <f t="shared" si="5"/>
        <v>0.30719068968231755</v>
      </c>
      <c r="R30" s="195">
        <f t="shared" si="5"/>
        <v>0.7245753502633937</v>
      </c>
      <c r="S30" s="195">
        <f t="shared" si="5"/>
        <v>0.54284422732601512</v>
      </c>
      <c r="T30" s="195">
        <f t="shared" si="5"/>
        <v>0.14569543842607874</v>
      </c>
      <c r="U30" s="195">
        <f>U25/U28</f>
        <v>0.13825885215690256</v>
      </c>
      <c r="V30" s="195"/>
      <c r="W30" s="195"/>
    </row>
    <row r="31" spans="2:27" ht="16" thickBot="1">
      <c r="B31" s="90" t="s">
        <v>542</v>
      </c>
      <c r="D31" s="195">
        <f>1-D30</f>
        <v>0.81466506697645868</v>
      </c>
      <c r="E31" s="195">
        <f t="shared" ref="E31:T31" si="6">1-E30</f>
        <v>0.78251124402564554</v>
      </c>
      <c r="F31" s="195">
        <f t="shared" si="6"/>
        <v>0.60284454277244093</v>
      </c>
      <c r="G31" s="195">
        <f t="shared" si="6"/>
        <v>0.6570038367180302</v>
      </c>
      <c r="H31" s="195">
        <f t="shared" si="6"/>
        <v>0.83291458454330125</v>
      </c>
      <c r="I31" s="195">
        <f t="shared" si="6"/>
        <v>0.91910392034847543</v>
      </c>
      <c r="J31" s="195">
        <f t="shared" si="6"/>
        <v>0.20234970517999584</v>
      </c>
      <c r="K31" s="195">
        <f t="shared" si="6"/>
        <v>0.66350920398862789</v>
      </c>
      <c r="L31" s="195">
        <f t="shared" si="6"/>
        <v>0.88604593321307923</v>
      </c>
      <c r="M31" s="195">
        <f t="shared" si="6"/>
        <v>0.6735500007382127</v>
      </c>
      <c r="N31" s="195">
        <f t="shared" si="6"/>
        <v>0.23952862808175179</v>
      </c>
      <c r="O31" s="195">
        <f t="shared" si="6"/>
        <v>0.71855635594756495</v>
      </c>
      <c r="P31" s="195">
        <f t="shared" si="6"/>
        <v>0.99641103801713771</v>
      </c>
      <c r="Q31" s="195">
        <f t="shared" si="6"/>
        <v>0.69280931031768245</v>
      </c>
      <c r="R31" s="195">
        <f t="shared" si="6"/>
        <v>0.2754246497366063</v>
      </c>
      <c r="S31" s="195">
        <f t="shared" si="6"/>
        <v>0.45715577267398488</v>
      </c>
      <c r="T31" s="195">
        <f t="shared" si="6"/>
        <v>0.85430456157392132</v>
      </c>
      <c r="U31" s="195">
        <f>1-U30</f>
        <v>0.86174114784309741</v>
      </c>
      <c r="V31" s="195"/>
      <c r="W31" s="195"/>
      <c r="X31" s="197"/>
    </row>
    <row r="32" spans="2:27" ht="16" thickBot="1">
      <c r="B32" s="90" t="s">
        <v>543</v>
      </c>
      <c r="D32" s="195"/>
      <c r="E32" s="195"/>
      <c r="F32" s="195"/>
      <c r="G32" s="195"/>
      <c r="H32" s="195"/>
      <c r="I32" s="195"/>
      <c r="J32" s="195"/>
      <c r="K32" s="195"/>
      <c r="L32" s="195"/>
      <c r="M32" s="312">
        <f>AVERAGE(J31:M31)</f>
        <v>0.60636371077997886</v>
      </c>
      <c r="N32" s="313"/>
      <c r="O32" s="313"/>
      <c r="P32" s="313"/>
      <c r="Q32" s="312">
        <f>AVERAGE(N31:Q31)</f>
        <v>0.66182633309103422</v>
      </c>
      <c r="R32" s="313"/>
      <c r="S32" s="313"/>
      <c r="T32" s="313"/>
      <c r="U32" s="312">
        <f>AVERAGE(R31:U31)</f>
        <v>0.61215653295690253</v>
      </c>
      <c r="V32" s="431"/>
      <c r="W32" s="431"/>
      <c r="X32" s="611">
        <f>AVERAGE(J31:U31)</f>
        <v>0.62678219227597187</v>
      </c>
    </row>
    <row r="33" spans="2:27">
      <c r="B33" s="90" t="s">
        <v>375</v>
      </c>
      <c r="D33" s="194">
        <f t="shared" ref="D33:S33" si="7">SUM(A25:D25)/SUM(A28:D28)</f>
        <v>0.18533493302354132</v>
      </c>
      <c r="E33" s="194">
        <f t="shared" si="7"/>
        <v>0.1926231058615834</v>
      </c>
      <c r="F33" s="194">
        <f t="shared" si="7"/>
        <v>0.26849748356100445</v>
      </c>
      <c r="G33" s="194">
        <f t="shared" si="7"/>
        <v>0.30260708684969762</v>
      </c>
      <c r="H33" s="194">
        <f t="shared" si="7"/>
        <v>0.30739344555579989</v>
      </c>
      <c r="I33" s="194">
        <f t="shared" si="7"/>
        <v>0.29268490935905817</v>
      </c>
      <c r="J33" s="194">
        <f t="shared" si="7"/>
        <v>0.37952967673382726</v>
      </c>
      <c r="K33" s="194">
        <f t="shared" si="7"/>
        <v>0.37113754434580359</v>
      </c>
      <c r="L33" s="194">
        <f t="shared" si="7"/>
        <v>0.32991828251315808</v>
      </c>
      <c r="M33" s="194">
        <f t="shared" si="7"/>
        <v>0.3456831535913294</v>
      </c>
      <c r="N33" s="194">
        <f t="shared" si="7"/>
        <v>0.37658215460482813</v>
      </c>
      <c r="O33" s="194">
        <f t="shared" si="7"/>
        <v>0.3505398077722755</v>
      </c>
      <c r="P33" s="194">
        <f t="shared" si="7"/>
        <v>0.35030555024781235</v>
      </c>
      <c r="Q33" s="194">
        <f t="shared" si="7"/>
        <v>0.34690467326778479</v>
      </c>
      <c r="R33" s="194">
        <f t="shared" si="7"/>
        <v>0.37049333728404626</v>
      </c>
      <c r="S33" s="194">
        <f t="shared" si="7"/>
        <v>0.49442425600096945</v>
      </c>
      <c r="T33" s="194">
        <f>SUM(Q25:T25)/SUM(Q28:T28)</f>
        <v>0.46806437046216831</v>
      </c>
      <c r="U33" s="194">
        <f>SUM(R25:U25)/SUM(R28:U28)</f>
        <v>0.46297157761573188</v>
      </c>
      <c r="V33" s="194"/>
      <c r="W33" s="194"/>
    </row>
    <row r="34" spans="2:27">
      <c r="B34" s="90" t="s">
        <v>376</v>
      </c>
      <c r="D34" s="197">
        <f>1-D33</f>
        <v>0.81466506697645868</v>
      </c>
      <c r="E34" s="197">
        <f t="shared" ref="E34:T34" si="8">1-E33</f>
        <v>0.80737689413841662</v>
      </c>
      <c r="F34" s="197">
        <f t="shared" si="8"/>
        <v>0.73150251643899555</v>
      </c>
      <c r="G34" s="197">
        <f t="shared" si="8"/>
        <v>0.69739291315030238</v>
      </c>
      <c r="H34" s="197">
        <f t="shared" si="8"/>
        <v>0.69260655444420016</v>
      </c>
      <c r="I34" s="197">
        <f t="shared" si="8"/>
        <v>0.70731509064094178</v>
      </c>
      <c r="J34" s="197">
        <f t="shared" si="8"/>
        <v>0.6204703232661728</v>
      </c>
      <c r="K34" s="197">
        <f t="shared" si="8"/>
        <v>0.62886245565419641</v>
      </c>
      <c r="L34" s="197">
        <f t="shared" si="8"/>
        <v>0.67008171748684187</v>
      </c>
      <c r="M34" s="197">
        <f t="shared" si="8"/>
        <v>0.6543168464086706</v>
      </c>
      <c r="N34" s="197">
        <f t="shared" si="8"/>
        <v>0.62341784539517187</v>
      </c>
      <c r="O34" s="197">
        <f t="shared" si="8"/>
        <v>0.64946019222772455</v>
      </c>
      <c r="P34" s="197">
        <f t="shared" si="8"/>
        <v>0.64969444975218771</v>
      </c>
      <c r="Q34" s="197">
        <f t="shared" si="8"/>
        <v>0.65309532673221526</v>
      </c>
      <c r="R34" s="197">
        <f t="shared" si="8"/>
        <v>0.62950666271595379</v>
      </c>
      <c r="S34" s="197">
        <f t="shared" si="8"/>
        <v>0.50557574399903049</v>
      </c>
      <c r="T34" s="197">
        <f t="shared" si="8"/>
        <v>0.53193562953783169</v>
      </c>
      <c r="U34" s="197">
        <f>1-U33</f>
        <v>0.53702842238426807</v>
      </c>
      <c r="V34" s="197"/>
      <c r="W34" s="197"/>
    </row>
    <row r="36" spans="2:27">
      <c r="B36" s="190" t="s">
        <v>367</v>
      </c>
      <c r="Z36" s="190" t="s">
        <v>640</v>
      </c>
    </row>
    <row r="37" spans="2:27" ht="16" thickBot="1">
      <c r="B37" s="196" t="s">
        <v>368</v>
      </c>
      <c r="D37" s="192">
        <f t="shared" ref="D37:U37" si="9">(D20+D26)/D28</f>
        <v>38.002210746743941</v>
      </c>
      <c r="E37" s="192">
        <f t="shared" si="9"/>
        <v>27.703730123603936</v>
      </c>
      <c r="F37" s="192">
        <f t="shared" si="9"/>
        <v>25.427088159253334</v>
      </c>
      <c r="G37" s="192">
        <f t="shared" si="9"/>
        <v>27.437292813678095</v>
      </c>
      <c r="H37" s="192">
        <f t="shared" si="9"/>
        <v>32.07014967802418</v>
      </c>
      <c r="I37" s="192">
        <f t="shared" si="9"/>
        <v>32.364495955196013</v>
      </c>
      <c r="J37" s="192">
        <f t="shared" si="9"/>
        <v>13.341260912441349</v>
      </c>
      <c r="K37" s="192">
        <f t="shared" si="9"/>
        <v>24.432833008904954</v>
      </c>
      <c r="L37" s="192">
        <f t="shared" si="9"/>
        <v>41.170973894766099</v>
      </c>
      <c r="M37" s="192">
        <f t="shared" si="9"/>
        <v>40.697457316345663</v>
      </c>
      <c r="N37" s="192">
        <f t="shared" si="9"/>
        <v>9.9052673475258999</v>
      </c>
      <c r="O37" s="192">
        <f t="shared" si="9"/>
        <v>22.209650143555386</v>
      </c>
      <c r="P37" s="192">
        <f t="shared" si="9"/>
        <v>34.81600366209949</v>
      </c>
      <c r="Q37" s="192">
        <f t="shared" si="9"/>
        <v>22.04025478976919</v>
      </c>
      <c r="R37" s="192">
        <f t="shared" si="9"/>
        <v>15.308349418817668</v>
      </c>
      <c r="S37" s="192">
        <f t="shared" si="9"/>
        <v>20.714362833835668</v>
      </c>
      <c r="T37" s="192">
        <f t="shared" si="9"/>
        <v>39.996912129764986</v>
      </c>
      <c r="U37" s="192">
        <f t="shared" si="9"/>
        <v>47.379743664676688</v>
      </c>
      <c r="V37" s="192"/>
      <c r="W37" s="192"/>
    </row>
    <row r="38" spans="2:27">
      <c r="B38" s="90" t="s">
        <v>369</v>
      </c>
      <c r="D38" s="192">
        <f>D20/D19</f>
        <v>42.269169729814358</v>
      </c>
      <c r="E38" s="192">
        <f t="shared" ref="E38:T38" si="10">E20/E19</f>
        <v>33.678118280504258</v>
      </c>
      <c r="F38" s="192">
        <f t="shared" si="10"/>
        <v>38.04259402742494</v>
      </c>
      <c r="G38" s="192">
        <f t="shared" si="10"/>
        <v>38.573129857034573</v>
      </c>
      <c r="H38" s="192">
        <f t="shared" si="10"/>
        <v>37.345647065734596</v>
      </c>
      <c r="I38" s="192">
        <f t="shared" si="10"/>
        <v>34.761729857819901</v>
      </c>
      <c r="J38" s="192">
        <f t="shared" si="10"/>
        <v>31.252795467369911</v>
      </c>
      <c r="K38" s="192">
        <f t="shared" si="10"/>
        <v>34.679562425319617</v>
      </c>
      <c r="L38" s="192">
        <f t="shared" si="10"/>
        <v>45.903365988490755</v>
      </c>
      <c r="M38" s="192">
        <f t="shared" si="10"/>
        <v>57.399111467624671</v>
      </c>
      <c r="N38" s="192">
        <f t="shared" si="10"/>
        <v>25.593299745849983</v>
      </c>
      <c r="O38" s="192">
        <f t="shared" si="10"/>
        <v>29.398132930365755</v>
      </c>
      <c r="P38" s="192">
        <f t="shared" si="10"/>
        <v>34.927821315895365</v>
      </c>
      <c r="Q38" s="192">
        <f t="shared" si="10"/>
        <v>29.139235202739492</v>
      </c>
      <c r="R38" s="192">
        <f t="shared" si="10"/>
        <v>35.786274324821434</v>
      </c>
      <c r="S38" s="192">
        <f t="shared" si="10"/>
        <v>36.800154226911012</v>
      </c>
      <c r="T38" s="192">
        <f t="shared" si="10"/>
        <v>46.020665796849912</v>
      </c>
      <c r="U38" s="192">
        <f>U20/U19</f>
        <v>54.128023586570635</v>
      </c>
      <c r="V38" s="432">
        <f>V20/V19</f>
        <v>36.604905999445108</v>
      </c>
      <c r="W38" s="433">
        <f>W20/W19</f>
        <v>47.918296010311856</v>
      </c>
      <c r="X38" s="434">
        <f>X20/X19</f>
        <v>41.866377937706183</v>
      </c>
      <c r="Z38" s="426">
        <f>AVERAGE(J38:K38,N38:O38,R38:S38)</f>
        <v>32.251703186772957</v>
      </c>
      <c r="AA38" s="427">
        <f>AVERAGE(L38:M38,P38:Q38,T38:U38)</f>
        <v>44.586370559695133</v>
      </c>
    </row>
    <row r="39" spans="2:27" ht="16" thickBot="1">
      <c r="B39" s="90" t="s">
        <v>370</v>
      </c>
      <c r="D39" s="192">
        <f>D26/D25</f>
        <v>19.24620847011256</v>
      </c>
      <c r="E39" s="192">
        <f t="shared" ref="E39:T39" si="11">E26/E25</f>
        <v>6.2082468835443185</v>
      </c>
      <c r="F39" s="192">
        <f t="shared" si="11"/>
        <v>6.2779395612941506</v>
      </c>
      <c r="G39" s="192">
        <f t="shared" si="11"/>
        <v>6.1067694849451097</v>
      </c>
      <c r="H39" s="192">
        <f t="shared" si="11"/>
        <v>5.7719913203138047</v>
      </c>
      <c r="I39" s="192">
        <f t="shared" si="11"/>
        <v>5.12823076923077</v>
      </c>
      <c r="J39" s="192">
        <f t="shared" si="11"/>
        <v>8.7974228921357547</v>
      </c>
      <c r="K39" s="192">
        <f t="shared" si="11"/>
        <v>4.2278248506955434</v>
      </c>
      <c r="L39" s="192">
        <f t="shared" si="11"/>
        <v>4.3744216764496056</v>
      </c>
      <c r="M39" s="192">
        <f t="shared" si="11"/>
        <v>6.2376650315792306</v>
      </c>
      <c r="N39" s="192">
        <f t="shared" si="11"/>
        <v>4.963946718724368</v>
      </c>
      <c r="O39" s="192">
        <f t="shared" si="11"/>
        <v>3.8566686311360812</v>
      </c>
      <c r="P39" s="192">
        <f t="shared" si="11"/>
        <v>3.7718340611353716</v>
      </c>
      <c r="Q39" s="192">
        <f t="shared" si="11"/>
        <v>6.029874628329706</v>
      </c>
      <c r="R39" s="192">
        <f t="shared" si="11"/>
        <v>7.5243069551617587</v>
      </c>
      <c r="S39" s="192">
        <f t="shared" si="11"/>
        <v>7.167728231866346</v>
      </c>
      <c r="T39" s="192">
        <f t="shared" si="11"/>
        <v>4.6758321345304825</v>
      </c>
      <c r="U39" s="192">
        <f>U26/U25</f>
        <v>5.318997498058839</v>
      </c>
      <c r="V39" s="435">
        <f>V26/V25</f>
        <v>7.2910060080017631</v>
      </c>
      <c r="W39" s="436">
        <f>W26/W25</f>
        <v>4.8194474946541055</v>
      </c>
      <c r="X39" s="437">
        <f>X26/X25</f>
        <v>7.0667735604318995</v>
      </c>
      <c r="Z39" s="428">
        <f>AVERAGE(J39:K39,N39:O39,R39:S39)</f>
        <v>6.0896497132866427</v>
      </c>
      <c r="AA39" s="429">
        <f>AVERAGE(L39:M39,P39:Q39,T39:U39)</f>
        <v>5.0681041716805391</v>
      </c>
    </row>
    <row r="41" spans="2:27">
      <c r="B41" s="90" t="s">
        <v>3</v>
      </c>
      <c r="D41" s="193">
        <f>D42+D43</f>
        <v>107973.01500000001</v>
      </c>
      <c r="E41" s="193">
        <f t="shared" ref="E41:T41" si="12">E42+E43</f>
        <v>49368.707000000009</v>
      </c>
      <c r="F41" s="193">
        <f t="shared" si="12"/>
        <v>78917.168999999994</v>
      </c>
      <c r="G41" s="193">
        <f t="shared" si="12"/>
        <v>213658.64522999999</v>
      </c>
      <c r="H41" s="193">
        <f t="shared" si="12"/>
        <v>70397.214999999997</v>
      </c>
      <c r="I41" s="193">
        <f t="shared" si="12"/>
        <v>38055.706999999995</v>
      </c>
      <c r="J41" s="193">
        <f t="shared" si="12"/>
        <v>53826.838000000003</v>
      </c>
      <c r="K41" s="193">
        <f t="shared" si="12"/>
        <v>166198.75099999999</v>
      </c>
      <c r="L41" s="193">
        <f t="shared" si="12"/>
        <v>155288.625</v>
      </c>
      <c r="M41" s="193">
        <f t="shared" si="12"/>
        <v>120998.185</v>
      </c>
      <c r="N41" s="193">
        <f t="shared" si="12"/>
        <v>63677.048999999992</v>
      </c>
      <c r="O41" s="193">
        <f t="shared" si="12"/>
        <v>167229.894</v>
      </c>
      <c r="P41" s="193">
        <f t="shared" si="12"/>
        <v>88989.853333333333</v>
      </c>
      <c r="Q41" s="193">
        <f t="shared" si="12"/>
        <v>66841.569666666677</v>
      </c>
      <c r="R41" s="193">
        <f t="shared" si="12"/>
        <v>111550.59699999999</v>
      </c>
      <c r="S41" s="193">
        <f t="shared" si="12"/>
        <v>264321.522</v>
      </c>
      <c r="T41" s="193">
        <f t="shared" si="12"/>
        <v>222004.85599999997</v>
      </c>
      <c r="U41" s="193">
        <f>U42+U43</f>
        <v>84337.530000000028</v>
      </c>
      <c r="V41" s="193"/>
      <c r="W41" s="193"/>
      <c r="X41" s="193">
        <f>SUM(R41:U41)</f>
        <v>682214.505</v>
      </c>
    </row>
    <row r="42" spans="2:27">
      <c r="B42" s="90" t="s">
        <v>371</v>
      </c>
      <c r="D42" s="193">
        <f>'Продажи_ИИ 16-1кв20'!E26</f>
        <v>85025.015000000014</v>
      </c>
      <c r="E42" s="193">
        <f>'Продажи_ИИ 16-1кв20'!F26</f>
        <v>28920.707000000013</v>
      </c>
      <c r="F42" s="193">
        <f>'Продажи_ИИ 16-1кв20'!G26</f>
        <v>63872.168999999994</v>
      </c>
      <c r="G42" s="193">
        <f>'Продажи_ИИ 16-1кв20'!H26</f>
        <v>91763.645229999995</v>
      </c>
      <c r="H42" s="193">
        <f>'Продажи_ИИ 16-1кв20'!E47</f>
        <v>30751.215</v>
      </c>
      <c r="I42" s="193">
        <f>'Продажи_ИИ 16-1кв20'!F47</f>
        <v>19108.706999999999</v>
      </c>
      <c r="J42" s="193">
        <f>'Продажи_ИИ 16-1кв20'!G47</f>
        <v>35343.838000000003</v>
      </c>
      <c r="K42" s="193">
        <f>'Продажи_ИИ 16-1кв20'!H47</f>
        <v>89828.750999999989</v>
      </c>
      <c r="L42" s="193">
        <f>'Продажи_ИИ 16-1кв20'!E71</f>
        <v>130700.625</v>
      </c>
      <c r="M42" s="193">
        <f>'Продажи_ИИ 16-1кв20'!F71</f>
        <v>103058.185</v>
      </c>
      <c r="N42" s="193">
        <f>'Продажи_ИИ 16-1кв20'!G71</f>
        <v>40522.048999999992</v>
      </c>
      <c r="O42" s="193">
        <f>'Продажи_ИИ 16-1кв20'!H71</f>
        <v>102401.894</v>
      </c>
      <c r="P42" s="193">
        <f>'Продажи_ИИ 16-1кв20'!E92</f>
        <v>75662.133333333331</v>
      </c>
      <c r="Q42" s="193">
        <f>'Продажи_ИИ 16-1кв20'!F92</f>
        <v>59922.339666666674</v>
      </c>
      <c r="R42" s="193">
        <f>'Продажи_ИИ 16-1кв20'!G92</f>
        <v>84150.596999999994</v>
      </c>
      <c r="S42" s="193">
        <f>'Продажи_ИИ 16-1кв20'!H92</f>
        <v>213104.522</v>
      </c>
      <c r="T42" s="193">
        <f>'Продажи_ИИ 16-1кв20'!E114</f>
        <v>175988.42999999996</v>
      </c>
      <c r="U42" s="193">
        <f>'Продажи_ИИ 16-1кв20'!F114</f>
        <v>69786.930000000022</v>
      </c>
      <c r="V42" s="193"/>
      <c r="W42" s="193"/>
      <c r="X42" s="193">
        <f>SUM(R42:U42)</f>
        <v>543030.47900000005</v>
      </c>
      <c r="Y42" s="193"/>
    </row>
    <row r="43" spans="2:27">
      <c r="B43" s="90" t="s">
        <v>372</v>
      </c>
      <c r="D43" s="193">
        <f>'Продажи_НЗ 16-1кв20'!E26</f>
        <v>22948</v>
      </c>
      <c r="E43" s="193">
        <f>'Продажи_НЗ 16-1кв20'!F26</f>
        <v>20448</v>
      </c>
      <c r="F43" s="193">
        <f>'Продажи_НЗ 16-1кв20'!G26</f>
        <v>15045</v>
      </c>
      <c r="G43" s="193">
        <f>'Продажи_НЗ 16-1кв20'!H26</f>
        <v>121895</v>
      </c>
      <c r="H43" s="193">
        <f>'Продажи_НЗ 16-1кв20'!E47</f>
        <v>39646</v>
      </c>
      <c r="I43" s="193">
        <f>'Продажи_НЗ 16-1кв20'!F47</f>
        <v>18947</v>
      </c>
      <c r="J43" s="193">
        <f>'Продажи_НЗ 16-1кв20'!G47</f>
        <v>18483</v>
      </c>
      <c r="K43" s="193">
        <f>'Продажи_НЗ 16-1кв20'!H47</f>
        <v>76370</v>
      </c>
      <c r="L43" s="193">
        <f>'Продажи_НЗ 16-1кв20'!E71</f>
        <v>24588</v>
      </c>
      <c r="M43" s="193">
        <f>'Продажи_НЗ 16-1кв20'!F71</f>
        <v>17940</v>
      </c>
      <c r="N43" s="193">
        <f>'Продажи_НЗ 16-1кв20'!G71</f>
        <v>23155</v>
      </c>
      <c r="O43" s="193">
        <f>'Продажи_НЗ 16-1кв20'!H71</f>
        <v>64828</v>
      </c>
      <c r="P43" s="193">
        <f>'Продажи_НЗ 16-1кв20'!E94</f>
        <v>13327.72</v>
      </c>
      <c r="Q43" s="193">
        <f>'Продажи_НЗ 16-1кв20'!F94</f>
        <v>6919.23</v>
      </c>
      <c r="R43" s="193">
        <f>'Продажи_НЗ 16-1кв20'!G94</f>
        <v>27400</v>
      </c>
      <c r="S43" s="193">
        <f>'Продажи_НЗ 16-1кв20'!H94</f>
        <v>51217</v>
      </c>
      <c r="T43" s="193">
        <f>'Продажи_НЗ 16-1кв20'!E117</f>
        <v>46016.425999999999</v>
      </c>
      <c r="U43" s="193">
        <f>'Продажи_НЗ 16-1кв20'!F117</f>
        <v>14550.6</v>
      </c>
      <c r="V43" s="193"/>
      <c r="W43" s="193"/>
      <c r="X43" s="193">
        <f>SUM(R43:U43)</f>
        <v>139184.02600000001</v>
      </c>
      <c r="Y43" s="193"/>
    </row>
    <row r="44" spans="2:27">
      <c r="X44" s="193"/>
    </row>
    <row r="45" spans="2:27">
      <c r="B45" s="90" t="s">
        <v>373</v>
      </c>
      <c r="D45" s="193">
        <f t="shared" ref="D45:U45" si="13">D41-D20-D26</f>
        <v>3098.2760000000198</v>
      </c>
      <c r="E45" s="193">
        <f t="shared" si="13"/>
        <v>26959.879999999997</v>
      </c>
      <c r="F45" s="193">
        <f t="shared" si="13"/>
        <v>25405.328000000001</v>
      </c>
      <c r="G45" s="193">
        <f t="shared" si="13"/>
        <v>82204.544999999998</v>
      </c>
      <c r="H45" s="193">
        <f t="shared" si="13"/>
        <v>4852.6600000000017</v>
      </c>
      <c r="I45" s="193">
        <f t="shared" si="13"/>
        <v>6849.8599999999969</v>
      </c>
      <c r="J45" s="193">
        <f t="shared" si="13"/>
        <v>25200.281000000003</v>
      </c>
      <c r="K45" s="193">
        <f t="shared" si="13"/>
        <v>12264.279999999995</v>
      </c>
      <c r="L45" s="193">
        <f t="shared" si="13"/>
        <v>1839.9999999999941</v>
      </c>
      <c r="M45" s="193">
        <f t="shared" si="13"/>
        <v>19008.19999999999</v>
      </c>
      <c r="N45" s="193">
        <f t="shared" si="13"/>
        <v>28661.502999999993</v>
      </c>
      <c r="O45" s="193">
        <f t="shared" si="13"/>
        <v>4272.4049999999816</v>
      </c>
      <c r="P45" s="193">
        <f t="shared" si="13"/>
        <v>130.01166666667558</v>
      </c>
      <c r="Q45" s="193">
        <f t="shared" si="13"/>
        <v>8325.861333333336</v>
      </c>
      <c r="R45" s="193">
        <f t="shared" si="13"/>
        <v>35550.443999999996</v>
      </c>
      <c r="S45" s="193">
        <f t="shared" si="13"/>
        <v>4546.3019999999742</v>
      </c>
      <c r="T45" s="193">
        <f t="shared" si="13"/>
        <v>639.58599999999069</v>
      </c>
      <c r="U45" s="193">
        <f t="shared" si="13"/>
        <v>4895.4400000000051</v>
      </c>
      <c r="V45" s="193"/>
      <c r="W45" s="193"/>
      <c r="X45" s="193">
        <f>SUM(R45:U45)</f>
        <v>45631.771999999961</v>
      </c>
    </row>
    <row r="46" spans="2:27" ht="16" thickBot="1"/>
    <row r="47" spans="2:27" ht="16" thickBot="1">
      <c r="B47" s="90" t="s">
        <v>374</v>
      </c>
      <c r="D47" s="91">
        <f>D45/D41</f>
        <v>2.8694910482957428E-2</v>
      </c>
      <c r="E47" s="91">
        <f t="shared" ref="E47:T47" si="14">E45/E41</f>
        <v>0.54609248729159532</v>
      </c>
      <c r="F47" s="91">
        <f t="shared" si="14"/>
        <v>0.3219239656202062</v>
      </c>
      <c r="G47" s="91">
        <f t="shared" si="14"/>
        <v>0.38474710401494949</v>
      </c>
      <c r="H47" s="91">
        <f t="shared" si="14"/>
        <v>6.8932556493889741E-2</v>
      </c>
      <c r="I47" s="91">
        <f t="shared" si="14"/>
        <v>0.17999560486420599</v>
      </c>
      <c r="J47" s="91">
        <f t="shared" si="14"/>
        <v>0.46817316298609257</v>
      </c>
      <c r="K47" s="91">
        <f t="shared" si="14"/>
        <v>7.3792852992017946E-2</v>
      </c>
      <c r="L47" s="91">
        <f t="shared" si="14"/>
        <v>1.1848903936138234E-2</v>
      </c>
      <c r="M47" s="91">
        <f t="shared" si="14"/>
        <v>0.1570949184072471</v>
      </c>
      <c r="N47" s="91">
        <f t="shared" si="14"/>
        <v>0.45010727491470276</v>
      </c>
      <c r="O47" s="91">
        <f t="shared" si="14"/>
        <v>2.5548093691908826E-2</v>
      </c>
      <c r="P47" s="91">
        <f t="shared" si="14"/>
        <v>1.4609718051751921E-3</v>
      </c>
      <c r="Q47" s="91">
        <f t="shared" si="14"/>
        <v>0.12456112827472052</v>
      </c>
      <c r="R47" s="91">
        <f t="shared" si="14"/>
        <v>0.31869344455413356</v>
      </c>
      <c r="S47" s="91">
        <f t="shared" si="14"/>
        <v>1.7199893393470903E-2</v>
      </c>
      <c r="T47" s="91">
        <f t="shared" si="14"/>
        <v>2.8809550003716621E-3</v>
      </c>
      <c r="U47" s="91">
        <f>U45/U41</f>
        <v>5.8045807127621633E-2</v>
      </c>
      <c r="V47" s="91"/>
      <c r="W47" s="91"/>
      <c r="X47" s="425">
        <f>X45/X41</f>
        <v>6.6887718841451435E-2</v>
      </c>
    </row>
  </sheetData>
  <phoneticPr fontId="59"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pageSetUpPr fitToPage="1"/>
  </sheetPr>
  <dimension ref="B1:O41"/>
  <sheetViews>
    <sheetView workbookViewId="0">
      <selection activeCell="J35" sqref="J35"/>
    </sheetView>
  </sheetViews>
  <sheetFormatPr baseColWidth="10" defaultColWidth="10" defaultRowHeight="14"/>
  <cols>
    <col min="1" max="1" width="10" style="343"/>
    <col min="2" max="2" width="46.33203125" style="343" customWidth="1"/>
    <col min="3" max="3" width="10.5" style="343" customWidth="1"/>
    <col min="4" max="4" width="2.83203125" style="343" customWidth="1"/>
    <col min="5" max="5" width="10" style="343"/>
    <col min="6" max="6" width="9.5" style="343" customWidth="1"/>
    <col min="7" max="9" width="10" style="343"/>
    <col min="10" max="12" width="13.6640625" style="343" customWidth="1"/>
    <col min="13" max="13" width="8.1640625" style="343" customWidth="1"/>
    <col min="14" max="14" width="11.33203125" style="343" customWidth="1"/>
    <col min="15" max="16384" width="10" style="343"/>
  </cols>
  <sheetData>
    <row r="1" spans="2:15" ht="15" thickBot="1"/>
    <row r="2" spans="2:15">
      <c r="B2" s="386" t="s">
        <v>596</v>
      </c>
      <c r="C2" s="385" t="s">
        <v>595</v>
      </c>
      <c r="D2" s="384"/>
      <c r="E2" s="384">
        <v>2015</v>
      </c>
      <c r="F2" s="384">
        <v>2016</v>
      </c>
      <c r="G2" s="384">
        <v>2017</v>
      </c>
      <c r="H2" s="384">
        <v>2018</v>
      </c>
      <c r="I2" s="384">
        <v>2019</v>
      </c>
      <c r="J2" s="383" t="s">
        <v>594</v>
      </c>
      <c r="K2" s="383" t="s">
        <v>593</v>
      </c>
      <c r="L2" s="383" t="s">
        <v>592</v>
      </c>
      <c r="M2" s="382"/>
      <c r="N2" s="381" t="s">
        <v>591</v>
      </c>
    </row>
    <row r="3" spans="2:15">
      <c r="B3" s="356"/>
      <c r="C3" s="356"/>
      <c r="D3" s="356"/>
      <c r="E3" s="356"/>
      <c r="F3" s="356"/>
      <c r="G3" s="356"/>
      <c r="H3" s="356"/>
      <c r="I3" s="356"/>
      <c r="J3" s="356"/>
      <c r="K3" s="356"/>
      <c r="L3" s="356"/>
      <c r="N3" s="355"/>
    </row>
    <row r="4" spans="2:15">
      <c r="B4" s="360" t="s">
        <v>590</v>
      </c>
      <c r="C4" s="357" t="s">
        <v>569</v>
      </c>
      <c r="D4" s="356"/>
      <c r="E4" s="365">
        <f>Capex_ИИ!E4+Capex_Нз!E4</f>
        <v>7336.8</v>
      </c>
      <c r="F4" s="365">
        <f>Capex_ИИ!F4+Capex_Нз!F4</f>
        <v>14944.247160000001</v>
      </c>
      <c r="G4" s="365">
        <f>Capex_ИИ!G4+Capex_Нз!G4</f>
        <v>24465.881999999998</v>
      </c>
      <c r="H4" s="365">
        <f>Capex_ИИ!H4+Capex_Нз!H4</f>
        <v>3853</v>
      </c>
      <c r="I4" s="365">
        <f>Capex_ИИ!I4+Capex_Нз!I4</f>
        <v>513.71249999999998</v>
      </c>
      <c r="J4" s="365">
        <f>Capex_ИИ!J4+Capex_Нз!J4</f>
        <v>0</v>
      </c>
      <c r="K4" s="365">
        <f>Capex_ИИ!K4+Capex_Нз!K4</f>
        <v>0</v>
      </c>
      <c r="L4" s="365">
        <f>Capex_ИИ!L4+Capex_Нз!L4</f>
        <v>0</v>
      </c>
      <c r="M4" s="347"/>
      <c r="N4" s="358">
        <f>SUM(E4:I4)</f>
        <v>51113.641660000001</v>
      </c>
    </row>
    <row r="5" spans="2:15">
      <c r="B5" s="360" t="s">
        <v>589</v>
      </c>
      <c r="C5" s="357" t="s">
        <v>569</v>
      </c>
      <c r="D5" s="356"/>
      <c r="E5" s="365">
        <f>Capex_ИИ!E5+Capex_Нз!E5</f>
        <v>76096.649999999994</v>
      </c>
      <c r="F5" s="365">
        <f>Capex_ИИ!F5+Capex_Нз!F5</f>
        <v>30359.39</v>
      </c>
      <c r="G5" s="365">
        <f>Capex_ИИ!G5+Capex_Нз!G5</f>
        <v>55230</v>
      </c>
      <c r="H5" s="365">
        <f>Capex_ИИ!H5+Capex_Нз!H5</f>
        <v>0</v>
      </c>
      <c r="I5" s="365">
        <f>Capex_ИИ!I5+Capex_Нз!I5</f>
        <v>0</v>
      </c>
      <c r="J5" s="365">
        <v>0</v>
      </c>
      <c r="K5" s="365">
        <f>Capex_ИИ!J5+Capex_Нз!K5</f>
        <v>0</v>
      </c>
      <c r="L5" s="365">
        <f>Capex_ИИ!K5+Capex_Нз!L5</f>
        <v>0</v>
      </c>
      <c r="M5" s="347"/>
      <c r="N5" s="358">
        <f>SUM(E5:I5)</f>
        <v>161686.03999999998</v>
      </c>
    </row>
    <row r="6" spans="2:15">
      <c r="B6" s="364" t="s">
        <v>588</v>
      </c>
      <c r="C6" s="357" t="s">
        <v>581</v>
      </c>
      <c r="D6" s="356"/>
      <c r="E6" s="372">
        <f>Capex_ИИ!E6+Capex_Нз!E6</f>
        <v>322.34000000000003</v>
      </c>
      <c r="F6" s="372">
        <f>Capex_ИИ!F6+Capex_Нз!F6</f>
        <v>122.1</v>
      </c>
      <c r="G6" s="372">
        <f>Capex_ИИ!G6+Capex_Нз!G6</f>
        <v>210</v>
      </c>
      <c r="H6" s="372">
        <f>Capex_ИИ!H6+Capex_Нз!H6</f>
        <v>0</v>
      </c>
      <c r="I6" s="372">
        <f>Capex_ИИ!I6+Capex_Нз!I6</f>
        <v>0</v>
      </c>
      <c r="J6" s="372">
        <f>Capex_ИИ!J6+Capex_Нз!J6</f>
        <v>0</v>
      </c>
      <c r="K6" s="372">
        <f>Capex_ИИ!K6+Capex_Нз!K6</f>
        <v>0</v>
      </c>
      <c r="L6" s="372">
        <f>Capex_ИИ!L6+Capex_Нз!L6</f>
        <v>0</v>
      </c>
      <c r="N6" s="355">
        <f>SUM(E6:I6)</f>
        <v>654.44000000000005</v>
      </c>
    </row>
    <row r="7" spans="2:15" ht="15">
      <c r="B7" s="364" t="s">
        <v>587</v>
      </c>
      <c r="C7" s="380" t="s">
        <v>578</v>
      </c>
      <c r="D7" s="379"/>
      <c r="E7" s="378">
        <f>E5/E6</f>
        <v>236.07572749270952</v>
      </c>
      <c r="F7" s="378">
        <f>F5/F6</f>
        <v>248.64365274365275</v>
      </c>
      <c r="G7" s="378">
        <f>G5/G6</f>
        <v>263</v>
      </c>
      <c r="H7" s="378">
        <v>0</v>
      </c>
      <c r="I7" s="378">
        <v>0</v>
      </c>
      <c r="J7" s="378">
        <v>0</v>
      </c>
      <c r="K7" s="378">
        <v>0</v>
      </c>
      <c r="L7" s="378">
        <v>0</v>
      </c>
      <c r="M7" s="377"/>
      <c r="N7" s="361">
        <f>N5/N6</f>
        <v>247.06014302304254</v>
      </c>
    </row>
    <row r="8" spans="2:15">
      <c r="B8" s="360" t="s">
        <v>586</v>
      </c>
      <c r="C8" s="357" t="s">
        <v>569</v>
      </c>
      <c r="D8" s="356"/>
      <c r="E8" s="365">
        <f>Capex_ИИ!E8+Capex_Нз!E9</f>
        <v>74.885000000000005</v>
      </c>
      <c r="F8" s="365">
        <f>Capex_ИИ!F8+Capex_Нз!F9</f>
        <v>904.71514000000002</v>
      </c>
      <c r="G8" s="365">
        <f>Capex_ИИ!G8+Capex_Нз!G9</f>
        <v>1</v>
      </c>
      <c r="H8" s="365">
        <f>Capex_ИИ!H8+Capex_Нз!H9</f>
        <v>2803.6706600000002</v>
      </c>
      <c r="I8" s="365">
        <f>Capex_ИИ!I8+Capex_Нз!I9</f>
        <v>910</v>
      </c>
      <c r="J8" s="365">
        <f>Capex_ИИ!J8+Capex_Нз!J9</f>
        <v>0</v>
      </c>
      <c r="K8" s="365">
        <f>Capex_ИИ!K8+Capex_Нз!K9</f>
        <v>0</v>
      </c>
      <c r="L8" s="365">
        <f>Capex_ИИ!L8+Capex_Нз!L9</f>
        <v>0</v>
      </c>
      <c r="M8" s="347"/>
      <c r="N8" s="358">
        <f>SUM(E8:I8)</f>
        <v>4694.2708000000002</v>
      </c>
    </row>
    <row r="9" spans="2:15">
      <c r="B9" s="364" t="s">
        <v>585</v>
      </c>
      <c r="C9" s="357" t="s">
        <v>581</v>
      </c>
      <c r="D9" s="356"/>
      <c r="E9" s="372">
        <f>Capex_ИИ!E9+Capex_Нз!E9</f>
        <v>13.8</v>
      </c>
      <c r="F9" s="372">
        <f>Capex_ИИ!F9+Capex_Нз!F9</f>
        <v>132.05000000000001</v>
      </c>
      <c r="G9" s="372">
        <f>Capex_ИИ!G9+Capex_Нз!G9</f>
        <v>1</v>
      </c>
      <c r="H9" s="372">
        <f>Capex_ИИ!H9+Capex_Нз!H9</f>
        <v>84.8</v>
      </c>
      <c r="I9" s="372">
        <f>Capex_ИИ!I9+Capex_Нз!I9</f>
        <v>34.299999999999997</v>
      </c>
      <c r="J9" s="372">
        <v>0</v>
      </c>
      <c r="K9" s="372">
        <f>Capex_ИИ!J9+Capex_Нз!K9</f>
        <v>0</v>
      </c>
      <c r="L9" s="372">
        <f>Capex_ИИ!K9+Capex_Нз!L9</f>
        <v>0</v>
      </c>
      <c r="N9" s="376">
        <f>SUM(E9:I9)</f>
        <v>265.95000000000005</v>
      </c>
    </row>
    <row r="10" spans="2:15">
      <c r="B10" s="364" t="s">
        <v>584</v>
      </c>
      <c r="C10" s="357" t="s">
        <v>578</v>
      </c>
      <c r="D10" s="356"/>
      <c r="E10" s="375">
        <f>E8/E9</f>
        <v>5.4264492753623186</v>
      </c>
      <c r="F10" s="375">
        <f>F8/F9</f>
        <v>6.8513073835668301</v>
      </c>
      <c r="G10" s="375">
        <f>G8/G9</f>
        <v>1</v>
      </c>
      <c r="H10" s="375">
        <f>H8/H9</f>
        <v>33.062154009433968</v>
      </c>
      <c r="I10" s="375">
        <f>I8/I9</f>
        <v>26.530612244897963</v>
      </c>
      <c r="J10" s="375"/>
      <c r="K10" s="375"/>
      <c r="L10" s="375"/>
      <c r="M10" s="374"/>
      <c r="N10" s="373">
        <f>N8/N9</f>
        <v>17.65095243466817</v>
      </c>
    </row>
    <row r="11" spans="2:15">
      <c r="B11" s="360" t="s">
        <v>583</v>
      </c>
      <c r="C11" s="357" t="s">
        <v>569</v>
      </c>
      <c r="D11" s="356"/>
      <c r="E11" s="365">
        <f>Capex_ИИ!E11+Capex_Нз!E11</f>
        <v>22677</v>
      </c>
      <c r="F11" s="365">
        <f>Capex_ИИ!F11+Capex_Нз!F11</f>
        <v>38377.487710000001</v>
      </c>
      <c r="G11" s="365">
        <f>Capex_ИИ!G11+Capex_Нз!G11</f>
        <v>62366.522599999997</v>
      </c>
      <c r="H11" s="365">
        <f>Capex_ИИ!H11+Capex_Нз!H11</f>
        <v>43575.058139999994</v>
      </c>
      <c r="I11" s="365">
        <f>Capex_ИИ!I11+Capex_Нз!I11</f>
        <v>87111.903399999996</v>
      </c>
      <c r="J11" s="365">
        <f>Capex_ИИ!J11+Capex_Нз!J11</f>
        <v>0</v>
      </c>
      <c r="K11" s="365">
        <f>Capex_ИИ!K11+Capex_Нз!K11</f>
        <v>0</v>
      </c>
      <c r="L11" s="365">
        <f>Capex_ИИ!L11+Capex_Нз!L11</f>
        <v>0</v>
      </c>
      <c r="M11" s="347"/>
      <c r="N11" s="358">
        <f>SUM(E11:I11)</f>
        <v>254107.97184999997</v>
      </c>
    </row>
    <row r="12" spans="2:15">
      <c r="B12" s="364" t="s">
        <v>582</v>
      </c>
      <c r="C12" s="357" t="s">
        <v>581</v>
      </c>
      <c r="D12" s="356"/>
      <c r="E12" s="372">
        <f>Capex_ИИ!E12+Capex_Нз!E12</f>
        <v>188</v>
      </c>
      <c r="F12" s="372">
        <f>Capex_ИИ!F12+Capex_Нз!F12</f>
        <v>192</v>
      </c>
      <c r="G12" s="372">
        <f>Capex_ИИ!G12+Capex_Нз!G12</f>
        <v>326</v>
      </c>
      <c r="H12" s="372">
        <f>Capex_ИИ!H12</f>
        <v>87.3</v>
      </c>
      <c r="I12" s="372">
        <f>Capex_ИИ!I12+Capex_Нз!I12</f>
        <v>378</v>
      </c>
      <c r="J12" s="372">
        <f>Capex_ИИ!J12+Capex_Нз!J12</f>
        <v>0</v>
      </c>
      <c r="K12" s="372">
        <f>Capex_ИИ!K12+Capex_Нз!K12</f>
        <v>0</v>
      </c>
      <c r="L12" s="372">
        <f>Capex_ИИ!L12+Capex_Нз!L12</f>
        <v>0</v>
      </c>
      <c r="N12" s="355">
        <f>SUM(E12:I12)</f>
        <v>1171.3</v>
      </c>
    </row>
    <row r="13" spans="2:15">
      <c r="B13" s="364" t="s">
        <v>580</v>
      </c>
      <c r="C13" s="357" t="s">
        <v>569</v>
      </c>
      <c r="D13" s="356"/>
      <c r="E13" s="365">
        <f>Capex_ИИ!E13+Capex_Нз!E11</f>
        <v>22677</v>
      </c>
      <c r="F13" s="365">
        <f>Capex_ИИ!F13+Capex_Нз!F11</f>
        <v>15329</v>
      </c>
      <c r="G13" s="365">
        <f>Capex_ИИ!G13+Capex_Нз!G11</f>
        <v>85415.010309999998</v>
      </c>
      <c r="H13" s="365">
        <f>Capex_ИИ!H13</f>
        <v>7676.78</v>
      </c>
      <c r="I13" s="365">
        <f>Capex_ИИ!I13+Capex_Нз!I11+Capex_Нз!H11</f>
        <v>123010.18153999999</v>
      </c>
      <c r="J13" s="365">
        <f>Capex_ИИ!J13+Capex_Нз!J11</f>
        <v>0</v>
      </c>
      <c r="K13" s="365">
        <f>Capex_ИИ!K13+Capex_Нз!K11</f>
        <v>0</v>
      </c>
      <c r="L13" s="365">
        <f>Capex_ИИ!L13+Capex_Нз!L11</f>
        <v>0</v>
      </c>
      <c r="N13" s="358">
        <f>SUM(E13:I13)</f>
        <v>254107.97185</v>
      </c>
    </row>
    <row r="14" spans="2:15" ht="15">
      <c r="B14" s="364" t="s">
        <v>579</v>
      </c>
      <c r="C14" s="363" t="s">
        <v>578</v>
      </c>
      <c r="D14" s="371"/>
      <c r="E14" s="370">
        <f>E13/E12</f>
        <v>120.62234042553192</v>
      </c>
      <c r="F14" s="370">
        <f>F13/F12</f>
        <v>79.838541666666671</v>
      </c>
      <c r="G14" s="370">
        <f>G13/G12</f>
        <v>262.00923407975461</v>
      </c>
      <c r="H14" s="370">
        <f>H13/H12</f>
        <v>87.935624284077889</v>
      </c>
      <c r="I14" s="370">
        <f>I13/I12</f>
        <v>325.42376068783068</v>
      </c>
      <c r="J14" s="369"/>
      <c r="K14" s="369"/>
      <c r="L14" s="369"/>
      <c r="M14" s="368"/>
      <c r="N14" s="361">
        <f>N13/N12</f>
        <v>216.94525044821992</v>
      </c>
      <c r="O14" s="367"/>
    </row>
    <row r="15" spans="2:15">
      <c r="B15" s="360" t="s">
        <v>577</v>
      </c>
      <c r="C15" s="357"/>
      <c r="D15" s="356"/>
      <c r="E15" s="365">
        <f>Capex_ИИ!E15+Capex_Нз!E15</f>
        <v>56864.368000000002</v>
      </c>
      <c r="F15" s="365">
        <f>Capex_ИИ!F15+Capex_Нз!F15</f>
        <v>134181.93069000001</v>
      </c>
      <c r="G15" s="365">
        <f>Capex_ИИ!G15+Capex_Нз!G15</f>
        <v>26849.029770000001</v>
      </c>
      <c r="H15" s="365">
        <f>Capex_ИИ!H15+Capex_Нз!H15</f>
        <v>44623.599000000002</v>
      </c>
      <c r="I15" s="365">
        <f>Capex_ИИ!I15+Capex_Нз!I15</f>
        <v>0</v>
      </c>
      <c r="J15" s="365">
        <f>Capex_ИИ!J15+Capex_Нз!J15</f>
        <v>0</v>
      </c>
      <c r="K15" s="365">
        <f>Capex_ИИ!K15+Capex_Нз!K15</f>
        <v>0</v>
      </c>
      <c r="L15" s="365">
        <f>Capex_ИИ!L15+Capex_Нз!L15</f>
        <v>0</v>
      </c>
      <c r="M15" s="347"/>
      <c r="N15" s="358">
        <f>SUM(E15:I15)</f>
        <v>262518.92746000004</v>
      </c>
    </row>
    <row r="16" spans="2:15">
      <c r="B16" s="364" t="s">
        <v>576</v>
      </c>
      <c r="C16" s="357" t="s">
        <v>575</v>
      </c>
      <c r="D16" s="356"/>
      <c r="E16" s="365">
        <f>Capex_ИИ!E16+Capex_Нз!E16</f>
        <v>1470</v>
      </c>
      <c r="F16" s="365">
        <f>Capex_ИИ!F16+Capex_Нз!F16</f>
        <v>2250</v>
      </c>
      <c r="G16" s="365">
        <f>Capex_ИИ!G16+Capex_Нз!G16</f>
        <v>0</v>
      </c>
      <c r="H16" s="365">
        <f>Capex_ИИ!H16+Capex_Нз!H16</f>
        <v>1080</v>
      </c>
      <c r="I16" s="365">
        <f>Capex_ИИ!I16+Capex_Нз!I16</f>
        <v>0</v>
      </c>
      <c r="J16" s="365">
        <f>Capex_ИИ!J16+Capex_Нз!J16</f>
        <v>0</v>
      </c>
      <c r="K16" s="365">
        <f>Capex_ИИ!K16+Capex_Нз!K16</f>
        <v>0</v>
      </c>
      <c r="L16" s="365">
        <f>Capex_ИИ!L16+Capex_Нз!L16</f>
        <v>0</v>
      </c>
      <c r="M16" s="347"/>
      <c r="N16" s="358">
        <f>SUM(E16:I16)</f>
        <v>4800</v>
      </c>
    </row>
    <row r="17" spans="2:15">
      <c r="B17" s="364" t="s">
        <v>574</v>
      </c>
      <c r="C17" s="366"/>
      <c r="D17" s="356"/>
      <c r="E17" s="365">
        <f>Capex_Нз!E15+Capex_Нз!F15</f>
        <v>61639</v>
      </c>
      <c r="F17" s="365">
        <f>Capex_ИИ!F17</f>
        <v>129407.29869</v>
      </c>
      <c r="G17" s="365">
        <v>0</v>
      </c>
      <c r="H17" s="365">
        <f>Capex_ИИ!H17</f>
        <v>71472.62877000001</v>
      </c>
      <c r="I17" s="365">
        <v>0</v>
      </c>
      <c r="J17" s="365">
        <v>0</v>
      </c>
      <c r="K17" s="365">
        <v>0</v>
      </c>
      <c r="L17" s="365">
        <v>0</v>
      </c>
      <c r="M17" s="347"/>
      <c r="N17" s="358">
        <f>SUM(E17:I17)</f>
        <v>262518.92746000004</v>
      </c>
    </row>
    <row r="18" spans="2:15" ht="15">
      <c r="B18" s="364" t="s">
        <v>573</v>
      </c>
      <c r="C18" s="363" t="s">
        <v>572</v>
      </c>
      <c r="D18" s="356"/>
      <c r="E18" s="359">
        <f>(E17)/E16</f>
        <v>41.931292517006803</v>
      </c>
      <c r="F18" s="359">
        <f>(F17)/F16</f>
        <v>57.514354973333333</v>
      </c>
      <c r="G18" s="359">
        <v>0</v>
      </c>
      <c r="H18" s="359">
        <f>(H17)/H16</f>
        <v>66.178359972222225</v>
      </c>
      <c r="I18" s="359">
        <v>0</v>
      </c>
      <c r="J18" s="362">
        <v>0</v>
      </c>
      <c r="K18" s="362">
        <v>0</v>
      </c>
      <c r="L18" s="362">
        <v>0</v>
      </c>
      <c r="M18" s="353"/>
      <c r="N18" s="361">
        <f>N15/N16</f>
        <v>54.691443220833342</v>
      </c>
    </row>
    <row r="19" spans="2:15">
      <c r="B19" s="360" t="s">
        <v>571</v>
      </c>
      <c r="C19" s="357" t="s">
        <v>569</v>
      </c>
      <c r="D19" s="356"/>
      <c r="E19" s="359">
        <f>Capex_ИИ!E19+Capex_Нз!E18</f>
        <v>0</v>
      </c>
      <c r="F19" s="359">
        <f>Capex_ИИ!F19+Capex_Нз!F18</f>
        <v>6958.2181100000007</v>
      </c>
      <c r="G19" s="359">
        <f>Capex_ИИ!G19+Capex_Нз!G18</f>
        <v>8506</v>
      </c>
      <c r="H19" s="359">
        <f>Capex_ИИ!H19+Capex_Нз!H18</f>
        <v>0</v>
      </c>
      <c r="I19" s="359">
        <f>Capex_ИИ!I19+Capex_Нз!I18</f>
        <v>0</v>
      </c>
      <c r="J19" s="359">
        <f>Capex_ИИ!J19+Capex_Нз!J18</f>
        <v>0</v>
      </c>
      <c r="K19" s="359">
        <f>Capex_ИИ!K19+Capex_Нз!K18</f>
        <v>0</v>
      </c>
      <c r="L19" s="359">
        <f>Capex_ИИ!L19+Capex_Нз!L18</f>
        <v>0</v>
      </c>
      <c r="M19" s="347"/>
      <c r="N19" s="358">
        <f>SUM(E19:I19)</f>
        <v>15464.218110000002</v>
      </c>
    </row>
    <row r="20" spans="2:15">
      <c r="B20" s="360" t="s">
        <v>570</v>
      </c>
      <c r="C20" s="357" t="s">
        <v>569</v>
      </c>
      <c r="D20" s="356"/>
      <c r="E20" s="359">
        <f>Capex_ИИ!E20+Capex_Нз!E19</f>
        <v>49022.703000000001</v>
      </c>
      <c r="F20" s="359">
        <f>Capex_ИИ!F20+Capex_Нз!F19</f>
        <v>30810.011190000019</v>
      </c>
      <c r="G20" s="359">
        <f>Capex_ИИ!G20+Capex_Нз!G19</f>
        <v>32355.565629999997</v>
      </c>
      <c r="H20" s="359">
        <f>Capex_ИИ!H20+Capex_Нз!H19</f>
        <v>10169.672200000001</v>
      </c>
      <c r="I20" s="359">
        <f>Capex_ИИ!I20+Capex_Нз!I19</f>
        <v>14293.384099999999</v>
      </c>
      <c r="J20" s="359">
        <f>Capex_ИИ!J20+Capex_Нз!J19</f>
        <v>16164</v>
      </c>
      <c r="K20" s="359">
        <f>Capex_ИИ!K20+Capex_Нз!K19</f>
        <v>10549.1</v>
      </c>
      <c r="L20" s="359">
        <f>Capex_ИИ!L20+Capex_Нз!L19</f>
        <v>6284.25</v>
      </c>
      <c r="M20" s="347"/>
      <c r="N20" s="358">
        <f>SUM(E20:I20)</f>
        <v>136651.33612000002</v>
      </c>
    </row>
    <row r="21" spans="2:15">
      <c r="B21" s="356"/>
      <c r="C21" s="357"/>
      <c r="D21" s="356"/>
      <c r="E21" s="356"/>
      <c r="F21" s="356"/>
      <c r="G21" s="356"/>
      <c r="H21" s="356"/>
      <c r="I21" s="356"/>
      <c r="J21" s="356"/>
      <c r="K21" s="356"/>
      <c r="L21" s="356"/>
      <c r="N21" s="355"/>
    </row>
    <row r="22" spans="2:15" ht="15" thickBot="1">
      <c r="B22" s="349" t="s">
        <v>176</v>
      </c>
      <c r="C22" s="354" t="s">
        <v>569</v>
      </c>
      <c r="D22" s="349"/>
      <c r="E22" s="344">
        <f t="shared" ref="E22:L22" si="0">E20+E19+E15+E11+E8+E5+E4</f>
        <v>212072.40599999996</v>
      </c>
      <c r="F22" s="344">
        <f t="shared" si="0"/>
        <v>256536.00000000003</v>
      </c>
      <c r="G22" s="344">
        <f t="shared" si="0"/>
        <v>209774</v>
      </c>
      <c r="H22" s="344">
        <f t="shared" si="0"/>
        <v>105025</v>
      </c>
      <c r="I22" s="344">
        <f t="shared" si="0"/>
        <v>102828.99999999999</v>
      </c>
      <c r="J22" s="344">
        <f t="shared" si="0"/>
        <v>16164</v>
      </c>
      <c r="K22" s="344">
        <f t="shared" si="0"/>
        <v>10549.1</v>
      </c>
      <c r="L22" s="344">
        <f t="shared" si="0"/>
        <v>6284.25</v>
      </c>
      <c r="M22" s="353"/>
      <c r="N22" s="352">
        <f>SUM(E22:I22)</f>
        <v>886236.40599999996</v>
      </c>
    </row>
    <row r="24" spans="2:15">
      <c r="E24" s="347"/>
      <c r="F24" s="347"/>
      <c r="G24" s="347"/>
      <c r="H24" s="347"/>
      <c r="I24" s="347"/>
      <c r="J24" s="347"/>
      <c r="K24" s="347"/>
      <c r="L24" s="347"/>
    </row>
    <row r="25" spans="2:15">
      <c r="B25" s="343" t="s">
        <v>568</v>
      </c>
      <c r="E25" s="347"/>
      <c r="G25" s="343" t="s">
        <v>567</v>
      </c>
    </row>
    <row r="26" spans="2:15">
      <c r="E26" s="343">
        <v>2015</v>
      </c>
      <c r="F26" s="343">
        <v>2016</v>
      </c>
      <c r="G26" s="343">
        <v>2017</v>
      </c>
      <c r="H26" s="343">
        <v>2018</v>
      </c>
      <c r="I26" s="343">
        <v>2019</v>
      </c>
      <c r="J26" s="343">
        <v>2020</v>
      </c>
      <c r="K26" s="343">
        <v>2021</v>
      </c>
      <c r="L26" s="343">
        <v>2022</v>
      </c>
      <c r="M26" s="343">
        <v>2023</v>
      </c>
      <c r="N26" s="343">
        <v>2024</v>
      </c>
      <c r="O26" s="343">
        <v>2025</v>
      </c>
    </row>
    <row r="27" spans="2:15">
      <c r="C27" s="347">
        <f>E22</f>
        <v>212072.40599999996</v>
      </c>
      <c r="E27" s="347">
        <f>$C27*50%</f>
        <v>106036.20299999998</v>
      </c>
      <c r="F27" s="347">
        <f>$C27*30%</f>
        <v>63621.721799999985</v>
      </c>
      <c r="G27" s="347">
        <f>$C27*20%</f>
        <v>42414.481199999995</v>
      </c>
    </row>
    <row r="28" spans="2:15">
      <c r="C28" s="347">
        <f>F22</f>
        <v>256536.00000000003</v>
      </c>
      <c r="F28" s="347">
        <f>$C28*50%</f>
        <v>128268.00000000001</v>
      </c>
      <c r="G28" s="347">
        <f>$C28*30%</f>
        <v>76960.800000000003</v>
      </c>
      <c r="H28" s="347">
        <f>$C28*20%</f>
        <v>51307.200000000012</v>
      </c>
    </row>
    <row r="29" spans="2:15">
      <c r="C29" s="347">
        <f>G22</f>
        <v>209774</v>
      </c>
      <c r="G29" s="347">
        <f>$C29*50%</f>
        <v>104887</v>
      </c>
      <c r="H29" s="347">
        <f>$C29*30%</f>
        <v>62932.2</v>
      </c>
      <c r="I29" s="347">
        <f>$C29*20%</f>
        <v>41954.8</v>
      </c>
    </row>
    <row r="30" spans="2:15">
      <c r="C30" s="347">
        <f>H22</f>
        <v>105025</v>
      </c>
      <c r="H30" s="347">
        <f>$C30*50%</f>
        <v>52512.5</v>
      </c>
      <c r="I30" s="347">
        <f>$C30*30%</f>
        <v>31507.5</v>
      </c>
      <c r="J30" s="347">
        <f>$C30*20%</f>
        <v>21005</v>
      </c>
    </row>
    <row r="31" spans="2:15">
      <c r="C31" s="347">
        <f>I22</f>
        <v>102828.99999999999</v>
      </c>
      <c r="I31" s="347">
        <f>$C31*50%</f>
        <v>51414.499999999993</v>
      </c>
      <c r="J31" s="347">
        <f>$C31*30%</f>
        <v>30848.699999999993</v>
      </c>
      <c r="K31" s="347">
        <f>$C31*20%</f>
        <v>20565.8</v>
      </c>
    </row>
    <row r="32" spans="2:15">
      <c r="C32" s="347">
        <f>J22</f>
        <v>16164</v>
      </c>
      <c r="J32" s="347">
        <f>$C32*50%</f>
        <v>8082</v>
      </c>
      <c r="K32" s="347">
        <f>$C32*30%</f>
        <v>4849.2</v>
      </c>
      <c r="L32" s="347">
        <f>$C32*20%</f>
        <v>3232.8</v>
      </c>
    </row>
    <row r="33" spans="2:15">
      <c r="C33" s="347">
        <f>K22</f>
        <v>10549.1</v>
      </c>
      <c r="K33" s="347">
        <f>$C33*50%</f>
        <v>5274.55</v>
      </c>
      <c r="L33" s="347">
        <f>$C33*30%</f>
        <v>3164.73</v>
      </c>
      <c r="M33" s="347">
        <f>$C33*20%</f>
        <v>2109.8200000000002</v>
      </c>
    </row>
    <row r="34" spans="2:15">
      <c r="C34" s="347">
        <f>L22</f>
        <v>6284.25</v>
      </c>
      <c r="L34" s="347">
        <f>$C34*50%</f>
        <v>3142.125</v>
      </c>
      <c r="M34" s="347">
        <f>$C34*30%</f>
        <v>1885.2749999999999</v>
      </c>
      <c r="N34" s="347">
        <f>$C34*20%</f>
        <v>1256.8500000000001</v>
      </c>
    </row>
    <row r="35" spans="2:15">
      <c r="C35" s="351" t="s">
        <v>566</v>
      </c>
      <c r="E35" s="347">
        <f t="shared" ref="E35:O35" si="1">SUM(E27:E34)</f>
        <v>106036.20299999998</v>
      </c>
      <c r="F35" s="347">
        <f t="shared" si="1"/>
        <v>191889.7218</v>
      </c>
      <c r="G35" s="347">
        <f t="shared" si="1"/>
        <v>224262.2812</v>
      </c>
      <c r="H35" s="347">
        <f t="shared" si="1"/>
        <v>166751.90000000002</v>
      </c>
      <c r="I35" s="347">
        <f t="shared" si="1"/>
        <v>124876.79999999999</v>
      </c>
      <c r="J35" s="347">
        <f t="shared" si="1"/>
        <v>59935.7</v>
      </c>
      <c r="K35" s="347">
        <f t="shared" si="1"/>
        <v>30689.55</v>
      </c>
      <c r="L35" s="347">
        <f t="shared" si="1"/>
        <v>9539.6550000000007</v>
      </c>
      <c r="M35" s="347">
        <f t="shared" si="1"/>
        <v>3995.0950000000003</v>
      </c>
      <c r="N35" s="347">
        <f t="shared" si="1"/>
        <v>1256.8500000000001</v>
      </c>
      <c r="O35" s="347">
        <f t="shared" si="1"/>
        <v>0</v>
      </c>
    </row>
    <row r="37" spans="2:15">
      <c r="B37" s="350"/>
      <c r="C37" s="346" t="s">
        <v>565</v>
      </c>
      <c r="D37" s="349"/>
      <c r="E37" s="344">
        <f t="shared" ref="E37:O37" si="2">E35*6%</f>
        <v>6362.1721799999987</v>
      </c>
      <c r="F37" s="344">
        <f t="shared" si="2"/>
        <v>11513.383308</v>
      </c>
      <c r="G37" s="344">
        <f t="shared" si="2"/>
        <v>13455.736871999999</v>
      </c>
      <c r="H37" s="344">
        <f t="shared" si="2"/>
        <v>10005.114000000001</v>
      </c>
      <c r="I37" s="344">
        <f t="shared" si="2"/>
        <v>7492.6079999999993</v>
      </c>
      <c r="J37" s="344">
        <f t="shared" si="2"/>
        <v>3596.1419999999998</v>
      </c>
      <c r="K37" s="344">
        <f t="shared" si="2"/>
        <v>1841.3729999999998</v>
      </c>
      <c r="L37" s="344">
        <f t="shared" si="2"/>
        <v>572.37930000000006</v>
      </c>
      <c r="M37" s="344">
        <f t="shared" si="2"/>
        <v>239.70570000000001</v>
      </c>
      <c r="N37" s="344">
        <f t="shared" si="2"/>
        <v>75.411000000000001</v>
      </c>
      <c r="O37" s="347">
        <f t="shared" si="2"/>
        <v>0</v>
      </c>
    </row>
    <row r="40" spans="2:15">
      <c r="C40" s="348" t="s">
        <v>564</v>
      </c>
      <c r="J40" s="347">
        <f>6000+'План по НЗ'!D14</f>
        <v>13400</v>
      </c>
      <c r="K40" s="347">
        <f>Capex_ИИ!K20-2000+'План по НЗ'!E14</f>
        <v>6974.1</v>
      </c>
      <c r="L40" s="347">
        <f>'План по НЗ'!F14</f>
        <v>4630.5</v>
      </c>
    </row>
    <row r="41" spans="2:15">
      <c r="C41" s="346" t="s">
        <v>563</v>
      </c>
      <c r="E41" s="345">
        <v>0.8</v>
      </c>
      <c r="J41" s="344">
        <f>$E$41*J40</f>
        <v>10720</v>
      </c>
      <c r="K41" s="344">
        <f>$E$41*K40</f>
        <v>5579.2800000000007</v>
      </c>
      <c r="L41" s="344">
        <f>$E$41*L40</f>
        <v>3704.4</v>
      </c>
    </row>
  </sheetData>
  <pageMargins left="0.7" right="0.7" top="0.75" bottom="0.75" header="0.3" footer="0.3"/>
  <pageSetup paperSize="9" scale="8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sheetPr>
  <dimension ref="B1:AD98"/>
  <sheetViews>
    <sheetView topLeftCell="A49" workbookViewId="0">
      <selection activeCell="B1" sqref="B1"/>
    </sheetView>
  </sheetViews>
  <sheetFormatPr baseColWidth="10" defaultColWidth="8.83203125" defaultRowHeight="15"/>
  <cols>
    <col min="2" max="2" width="22.1640625" bestFit="1" customWidth="1"/>
    <col min="3" max="3" width="26.5" customWidth="1"/>
    <col min="4" max="5" width="9.6640625" bestFit="1" customWidth="1"/>
    <col min="6" max="6" width="9.1640625" customWidth="1"/>
    <col min="9" max="10" width="8.5" bestFit="1" customWidth="1"/>
  </cols>
  <sheetData>
    <row r="1" spans="2:30" ht="16" thickBot="1"/>
    <row r="2" spans="2:30">
      <c r="B2" s="214" t="s">
        <v>57</v>
      </c>
      <c r="C2" s="316"/>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213"/>
    </row>
    <row r="3" spans="2:30">
      <c r="B3" s="210" t="s">
        <v>404</v>
      </c>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209"/>
    </row>
    <row r="4" spans="2:30">
      <c r="B4" s="208" t="s">
        <v>49</v>
      </c>
      <c r="C4" s="207" t="s">
        <v>400</v>
      </c>
      <c r="D4" s="206" t="s">
        <v>399</v>
      </c>
      <c r="E4" s="206" t="s">
        <v>398</v>
      </c>
      <c r="F4" s="205" t="s">
        <v>397</v>
      </c>
      <c r="G4" s="207" t="s">
        <v>396</v>
      </c>
      <c r="H4" s="205" t="s">
        <v>403</v>
      </c>
      <c r="I4" s="205" t="s">
        <v>395</v>
      </c>
      <c r="J4" s="205" t="s">
        <v>394</v>
      </c>
      <c r="K4" s="205" t="s">
        <v>393</v>
      </c>
      <c r="L4" s="205" t="s">
        <v>558</v>
      </c>
      <c r="M4" s="205" t="s">
        <v>392</v>
      </c>
      <c r="N4" s="205" t="s">
        <v>391</v>
      </c>
      <c r="O4" s="205" t="s">
        <v>390</v>
      </c>
      <c r="P4" s="205" t="s">
        <v>559</v>
      </c>
      <c r="Q4" s="205" t="s">
        <v>389</v>
      </c>
      <c r="R4" s="205" t="s">
        <v>388</v>
      </c>
      <c r="S4" s="205" t="s">
        <v>387</v>
      </c>
      <c r="T4" s="205" t="s">
        <v>560</v>
      </c>
      <c r="U4" s="205" t="s">
        <v>386</v>
      </c>
      <c r="V4" s="205" t="s">
        <v>385</v>
      </c>
      <c r="W4" s="205" t="s">
        <v>384</v>
      </c>
      <c r="X4" s="205" t="s">
        <v>561</v>
      </c>
      <c r="Y4" s="205" t="s">
        <v>383</v>
      </c>
      <c r="Z4" s="205" t="s">
        <v>382</v>
      </c>
      <c r="AA4" s="205" t="s">
        <v>381</v>
      </c>
      <c r="AB4" s="205" t="s">
        <v>562</v>
      </c>
      <c r="AC4" s="205" t="s">
        <v>380</v>
      </c>
      <c r="AD4" s="204" t="s">
        <v>379</v>
      </c>
    </row>
    <row r="5" spans="2:30">
      <c r="B5" s="203" t="s">
        <v>378</v>
      </c>
      <c r="C5" s="216">
        <v>165000</v>
      </c>
      <c r="D5" s="216"/>
      <c r="E5" s="202"/>
      <c r="F5" s="202"/>
      <c r="G5" s="341">
        <f>'ИИ_КП_1 пол 20'!H11</f>
        <v>85000</v>
      </c>
      <c r="H5" s="202">
        <f t="shared" ref="H5:P5" si="0">G5-H13</f>
        <v>85000</v>
      </c>
      <c r="I5" s="202">
        <f t="shared" si="0"/>
        <v>76500</v>
      </c>
      <c r="J5" s="202">
        <f t="shared" si="0"/>
        <v>59500</v>
      </c>
      <c r="K5" s="202">
        <f t="shared" si="0"/>
        <v>42500</v>
      </c>
      <c r="L5" s="202">
        <f t="shared" si="0"/>
        <v>42500</v>
      </c>
      <c r="M5" s="202">
        <f t="shared" si="0"/>
        <v>34000</v>
      </c>
      <c r="N5" s="202">
        <f t="shared" si="0"/>
        <v>17000</v>
      </c>
      <c r="O5" s="202">
        <f t="shared" si="0"/>
        <v>0</v>
      </c>
      <c r="P5" s="202">
        <f t="shared" si="0"/>
        <v>0</v>
      </c>
      <c r="Q5" s="202">
        <f t="shared" ref="Q5:AD5" si="1">P5-Q13</f>
        <v>0</v>
      </c>
      <c r="R5" s="202">
        <f t="shared" si="1"/>
        <v>0</v>
      </c>
      <c r="S5" s="202">
        <f t="shared" si="1"/>
        <v>0</v>
      </c>
      <c r="T5" s="202">
        <f t="shared" si="1"/>
        <v>0</v>
      </c>
      <c r="U5" s="202">
        <f t="shared" si="1"/>
        <v>0</v>
      </c>
      <c r="V5" s="202">
        <f t="shared" si="1"/>
        <v>0</v>
      </c>
      <c r="W5" s="202">
        <f t="shared" si="1"/>
        <v>0</v>
      </c>
      <c r="X5" s="202">
        <f t="shared" si="1"/>
        <v>0</v>
      </c>
      <c r="Y5" s="202">
        <f t="shared" si="1"/>
        <v>0</v>
      </c>
      <c r="Z5" s="202">
        <f t="shared" si="1"/>
        <v>0</v>
      </c>
      <c r="AA5" s="202">
        <f t="shared" si="1"/>
        <v>0</v>
      </c>
      <c r="AB5" s="202">
        <f t="shared" si="1"/>
        <v>0</v>
      </c>
      <c r="AC5" s="202">
        <f t="shared" si="1"/>
        <v>0</v>
      </c>
      <c r="AD5" s="201">
        <f t="shared" si="1"/>
        <v>0</v>
      </c>
    </row>
    <row r="6" spans="2:30">
      <c r="B6" s="203" t="s">
        <v>378</v>
      </c>
      <c r="C6" s="216">
        <v>65000</v>
      </c>
      <c r="D6" s="216"/>
      <c r="E6" s="202"/>
      <c r="F6" s="202"/>
      <c r="G6" s="341">
        <f>'ИИ_КП_1 пол 20'!I12</f>
        <v>60500</v>
      </c>
      <c r="H6" s="202">
        <f t="shared" ref="H6:P6" si="2">G6-H14</f>
        <v>60500</v>
      </c>
      <c r="I6" s="202">
        <f t="shared" si="2"/>
        <v>59000</v>
      </c>
      <c r="J6" s="202">
        <f t="shared" si="2"/>
        <v>57500</v>
      </c>
      <c r="K6" s="202">
        <f t="shared" si="2"/>
        <v>56000</v>
      </c>
      <c r="L6" s="202">
        <f t="shared" si="2"/>
        <v>56000</v>
      </c>
      <c r="M6" s="202">
        <f t="shared" si="2"/>
        <v>54500</v>
      </c>
      <c r="N6" s="202">
        <f t="shared" si="2"/>
        <v>53000</v>
      </c>
      <c r="O6" s="202">
        <f t="shared" si="2"/>
        <v>51500</v>
      </c>
      <c r="P6" s="202">
        <f t="shared" si="2"/>
        <v>51500</v>
      </c>
      <c r="Q6" s="202">
        <f t="shared" ref="Q6:AD6" si="3">P6-Q14</f>
        <v>46800</v>
      </c>
      <c r="R6" s="202">
        <f t="shared" si="3"/>
        <v>42100</v>
      </c>
      <c r="S6" s="202">
        <f t="shared" si="3"/>
        <v>37400</v>
      </c>
      <c r="T6" s="202">
        <f t="shared" si="3"/>
        <v>37400</v>
      </c>
      <c r="U6" s="202">
        <f t="shared" si="3"/>
        <v>32700</v>
      </c>
      <c r="V6" s="202">
        <f t="shared" si="3"/>
        <v>28000</v>
      </c>
      <c r="W6" s="202">
        <f t="shared" si="3"/>
        <v>23300</v>
      </c>
      <c r="X6" s="202">
        <f t="shared" si="3"/>
        <v>23300</v>
      </c>
      <c r="Y6" s="202">
        <f t="shared" si="3"/>
        <v>18600</v>
      </c>
      <c r="Z6" s="202">
        <f t="shared" si="3"/>
        <v>13900</v>
      </c>
      <c r="AA6" s="202">
        <f t="shared" si="3"/>
        <v>9200</v>
      </c>
      <c r="AB6" s="202">
        <f t="shared" si="3"/>
        <v>9200</v>
      </c>
      <c r="AC6" s="202">
        <f t="shared" si="3"/>
        <v>4500</v>
      </c>
      <c r="AD6" s="201">
        <f t="shared" si="3"/>
        <v>0</v>
      </c>
    </row>
    <row r="7" spans="2:30">
      <c r="B7" s="203" t="s">
        <v>43</v>
      </c>
      <c r="C7" s="216">
        <v>60000</v>
      </c>
      <c r="D7" s="216"/>
      <c r="E7" s="202"/>
      <c r="F7" s="202"/>
      <c r="G7" s="341">
        <f>'ИИ_КП_1 пол 20'!I13</f>
        <v>50000</v>
      </c>
      <c r="H7" s="202">
        <f t="shared" ref="H7:P7" si="4">G7-H15</f>
        <v>50000</v>
      </c>
      <c r="I7" s="202">
        <f t="shared" si="4"/>
        <v>50000</v>
      </c>
      <c r="J7" s="202">
        <f t="shared" si="4"/>
        <v>45000</v>
      </c>
      <c r="K7" s="202">
        <f t="shared" si="4"/>
        <v>40000</v>
      </c>
      <c r="L7" s="202">
        <f t="shared" si="4"/>
        <v>40000</v>
      </c>
      <c r="M7" s="202">
        <f t="shared" si="4"/>
        <v>40000</v>
      </c>
      <c r="N7" s="202">
        <f t="shared" si="4"/>
        <v>35000</v>
      </c>
      <c r="O7" s="202">
        <f t="shared" si="4"/>
        <v>30000</v>
      </c>
      <c r="P7" s="202">
        <f t="shared" si="4"/>
        <v>30000</v>
      </c>
      <c r="Q7" s="202">
        <f t="shared" ref="Q7:AD7" si="5">P7-Q15</f>
        <v>30000</v>
      </c>
      <c r="R7" s="202">
        <f t="shared" si="5"/>
        <v>25000</v>
      </c>
      <c r="S7" s="202">
        <f t="shared" si="5"/>
        <v>20000</v>
      </c>
      <c r="T7" s="202">
        <f t="shared" si="5"/>
        <v>20000</v>
      </c>
      <c r="U7" s="202">
        <f t="shared" si="5"/>
        <v>20000</v>
      </c>
      <c r="V7" s="202">
        <f t="shared" si="5"/>
        <v>15000</v>
      </c>
      <c r="W7" s="202">
        <f t="shared" si="5"/>
        <v>10000</v>
      </c>
      <c r="X7" s="202">
        <f t="shared" si="5"/>
        <v>10000</v>
      </c>
      <c r="Y7" s="202">
        <f t="shared" si="5"/>
        <v>10000</v>
      </c>
      <c r="Z7" s="202">
        <f t="shared" si="5"/>
        <v>10000</v>
      </c>
      <c r="AA7" s="202">
        <f t="shared" si="5"/>
        <v>10000</v>
      </c>
      <c r="AB7" s="202">
        <f t="shared" si="5"/>
        <v>10000</v>
      </c>
      <c r="AC7" s="202">
        <f t="shared" si="5"/>
        <v>5000</v>
      </c>
      <c r="AD7" s="201">
        <f t="shared" si="5"/>
        <v>0</v>
      </c>
    </row>
    <row r="8" spans="2:30">
      <c r="B8" s="203" t="s">
        <v>250</v>
      </c>
      <c r="C8" s="216">
        <v>51000</v>
      </c>
      <c r="D8" s="216"/>
      <c r="E8" s="202"/>
      <c r="F8" s="202"/>
      <c r="G8" s="341">
        <f>'ИИ_КП_1 пол 20'!I14</f>
        <v>51000</v>
      </c>
      <c r="H8" s="202">
        <f t="shared" ref="H8:P8" si="6">G8-H16</f>
        <v>51000</v>
      </c>
      <c r="I8" s="202">
        <f t="shared" si="6"/>
        <v>51000</v>
      </c>
      <c r="J8" s="202">
        <f t="shared" si="6"/>
        <v>0</v>
      </c>
      <c r="K8" s="202">
        <f t="shared" si="6"/>
        <v>0</v>
      </c>
      <c r="L8" s="202">
        <f t="shared" si="6"/>
        <v>0</v>
      </c>
      <c r="M8" s="202">
        <f t="shared" si="6"/>
        <v>0</v>
      </c>
      <c r="N8" s="202">
        <f t="shared" si="6"/>
        <v>0</v>
      </c>
      <c r="O8" s="202">
        <f t="shared" si="6"/>
        <v>0</v>
      </c>
      <c r="P8" s="202">
        <f t="shared" si="6"/>
        <v>0</v>
      </c>
      <c r="Q8" s="202">
        <f t="shared" ref="Q8:AD8" si="7">P8-Q16</f>
        <v>0</v>
      </c>
      <c r="R8" s="202">
        <f t="shared" si="7"/>
        <v>0</v>
      </c>
      <c r="S8" s="202">
        <f t="shared" si="7"/>
        <v>0</v>
      </c>
      <c r="T8" s="202">
        <f t="shared" si="7"/>
        <v>0</v>
      </c>
      <c r="U8" s="202">
        <f t="shared" si="7"/>
        <v>0</v>
      </c>
      <c r="V8" s="202">
        <f t="shared" si="7"/>
        <v>0</v>
      </c>
      <c r="W8" s="202">
        <f t="shared" si="7"/>
        <v>0</v>
      </c>
      <c r="X8" s="202">
        <f t="shared" si="7"/>
        <v>0</v>
      </c>
      <c r="Y8" s="202">
        <f t="shared" si="7"/>
        <v>0</v>
      </c>
      <c r="Z8" s="202">
        <f t="shared" si="7"/>
        <v>0</v>
      </c>
      <c r="AA8" s="202">
        <f t="shared" si="7"/>
        <v>0</v>
      </c>
      <c r="AB8" s="202">
        <f t="shared" si="7"/>
        <v>0</v>
      </c>
      <c r="AC8" s="202">
        <f t="shared" si="7"/>
        <v>0</v>
      </c>
      <c r="AD8" s="201">
        <f t="shared" si="7"/>
        <v>0</v>
      </c>
    </row>
    <row r="9" spans="2:30">
      <c r="B9" s="210" t="s">
        <v>176</v>
      </c>
      <c r="C9" s="212">
        <f t="shared" ref="C9:O9" si="8">C5+C6+C7+C8</f>
        <v>341000</v>
      </c>
      <c r="D9" s="212">
        <f t="shared" si="8"/>
        <v>0</v>
      </c>
      <c r="E9" s="212">
        <f t="shared" si="8"/>
        <v>0</v>
      </c>
      <c r="F9" s="212">
        <f t="shared" si="8"/>
        <v>0</v>
      </c>
      <c r="G9" s="523">
        <f t="shared" si="8"/>
        <v>246500</v>
      </c>
      <c r="H9" s="212">
        <f t="shared" si="8"/>
        <v>246500</v>
      </c>
      <c r="I9" s="212">
        <f t="shared" si="8"/>
        <v>236500</v>
      </c>
      <c r="J9" s="212">
        <f t="shared" si="8"/>
        <v>162000</v>
      </c>
      <c r="K9" s="212">
        <f t="shared" si="8"/>
        <v>138500</v>
      </c>
      <c r="L9" s="212">
        <f t="shared" si="8"/>
        <v>138500</v>
      </c>
      <c r="M9" s="212">
        <f t="shared" si="8"/>
        <v>128500</v>
      </c>
      <c r="N9" s="212">
        <f t="shared" si="8"/>
        <v>105000</v>
      </c>
      <c r="O9" s="212">
        <f t="shared" si="8"/>
        <v>81500</v>
      </c>
      <c r="P9" s="212">
        <f t="shared" ref="P9:AD9" si="9">P5+P6+P7+P8</f>
        <v>81500</v>
      </c>
      <c r="Q9" s="212">
        <f t="shared" si="9"/>
        <v>76800</v>
      </c>
      <c r="R9" s="212">
        <f t="shared" si="9"/>
        <v>67100</v>
      </c>
      <c r="S9" s="212">
        <f t="shared" si="9"/>
        <v>57400</v>
      </c>
      <c r="T9" s="212">
        <f t="shared" si="9"/>
        <v>57400</v>
      </c>
      <c r="U9" s="212">
        <f t="shared" si="9"/>
        <v>52700</v>
      </c>
      <c r="V9" s="212">
        <f t="shared" si="9"/>
        <v>43000</v>
      </c>
      <c r="W9" s="212">
        <f t="shared" si="9"/>
        <v>33300</v>
      </c>
      <c r="X9" s="212">
        <f t="shared" si="9"/>
        <v>33300</v>
      </c>
      <c r="Y9" s="212">
        <f t="shared" si="9"/>
        <v>28600</v>
      </c>
      <c r="Z9" s="212">
        <f t="shared" si="9"/>
        <v>23900</v>
      </c>
      <c r="AA9" s="212">
        <f t="shared" si="9"/>
        <v>19200</v>
      </c>
      <c r="AB9" s="212">
        <f t="shared" si="9"/>
        <v>19200</v>
      </c>
      <c r="AC9" s="212">
        <f t="shared" si="9"/>
        <v>9500</v>
      </c>
      <c r="AD9" s="211">
        <f t="shared" si="9"/>
        <v>0</v>
      </c>
    </row>
    <row r="10" spans="2:30">
      <c r="B10" s="203"/>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209"/>
    </row>
    <row r="11" spans="2:30">
      <c r="B11" s="210" t="s">
        <v>402</v>
      </c>
      <c r="C11" s="69"/>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209"/>
    </row>
    <row r="12" spans="2:30">
      <c r="B12" s="208" t="s">
        <v>49</v>
      </c>
      <c r="C12" s="207" t="s">
        <v>654</v>
      </c>
      <c r="D12" s="206" t="s">
        <v>399</v>
      </c>
      <c r="E12" s="206" t="s">
        <v>398</v>
      </c>
      <c r="F12" s="205" t="s">
        <v>397</v>
      </c>
      <c r="G12" s="205" t="s">
        <v>396</v>
      </c>
      <c r="H12" s="205" t="s">
        <v>340</v>
      </c>
      <c r="I12" s="205" t="s">
        <v>395</v>
      </c>
      <c r="J12" s="205" t="s">
        <v>394</v>
      </c>
      <c r="K12" s="205" t="s">
        <v>393</v>
      </c>
      <c r="L12" s="205" t="s">
        <v>558</v>
      </c>
      <c r="M12" s="205" t="s">
        <v>392</v>
      </c>
      <c r="N12" s="205" t="s">
        <v>391</v>
      </c>
      <c r="O12" s="205" t="s">
        <v>390</v>
      </c>
      <c r="P12" s="205" t="s">
        <v>559</v>
      </c>
      <c r="Q12" s="205" t="s">
        <v>389</v>
      </c>
      <c r="R12" s="205" t="s">
        <v>388</v>
      </c>
      <c r="S12" s="205" t="s">
        <v>387</v>
      </c>
      <c r="T12" s="205" t="s">
        <v>560</v>
      </c>
      <c r="U12" s="205" t="s">
        <v>386</v>
      </c>
      <c r="V12" s="205" t="s">
        <v>385</v>
      </c>
      <c r="W12" s="205" t="s">
        <v>384</v>
      </c>
      <c r="X12" s="205" t="s">
        <v>561</v>
      </c>
      <c r="Y12" s="205" t="s">
        <v>383</v>
      </c>
      <c r="Z12" s="205" t="s">
        <v>382</v>
      </c>
      <c r="AA12" s="205" t="s">
        <v>381</v>
      </c>
      <c r="AB12" s="205" t="s">
        <v>562</v>
      </c>
      <c r="AC12" s="205" t="s">
        <v>380</v>
      </c>
      <c r="AD12" s="204" t="s">
        <v>379</v>
      </c>
    </row>
    <row r="13" spans="2:30">
      <c r="B13" s="203" t="s">
        <v>378</v>
      </c>
      <c r="C13" s="524">
        <f>SUM(H13:AD13)</f>
        <v>85000</v>
      </c>
      <c r="D13" s="216"/>
      <c r="E13" s="216"/>
      <c r="F13" s="216"/>
      <c r="G13" s="216"/>
      <c r="H13" s="216"/>
      <c r="I13" s="216">
        <f>'ИИ _График погашения осн долг_'!E16</f>
        <v>8500</v>
      </c>
      <c r="J13" s="216">
        <f>'ИИ _График погашения осн долг_'!E17</f>
        <v>17000</v>
      </c>
      <c r="K13" s="216">
        <f>'ИИ _График погашения осн долг_'!E18</f>
        <v>17000</v>
      </c>
      <c r="L13" s="216"/>
      <c r="M13" s="216">
        <f>'ИИ _График погашения осн долг_'!E19</f>
        <v>8500</v>
      </c>
      <c r="N13" s="216">
        <f>'ИИ _График погашения осн долг_'!E20</f>
        <v>17000</v>
      </c>
      <c r="O13" s="216">
        <f>'ИИ _График погашения осн долг_'!E21</f>
        <v>17000</v>
      </c>
      <c r="P13" s="216"/>
      <c r="Q13" s="216"/>
      <c r="R13" s="216"/>
      <c r="S13" s="216"/>
      <c r="T13" s="216"/>
      <c r="U13" s="216"/>
      <c r="V13" s="216"/>
      <c r="W13" s="216"/>
      <c r="X13" s="216"/>
      <c r="Y13" s="216"/>
      <c r="Z13" s="216"/>
      <c r="AA13" s="216"/>
      <c r="AB13" s="216"/>
      <c r="AC13" s="216"/>
      <c r="AD13" s="215"/>
    </row>
    <row r="14" spans="2:30">
      <c r="B14" s="203" t="s">
        <v>378</v>
      </c>
      <c r="C14" s="524">
        <f>SUM(H14:AD14)</f>
        <v>60500</v>
      </c>
      <c r="D14" s="216"/>
      <c r="E14" s="216"/>
      <c r="F14" s="216"/>
      <c r="G14" s="216"/>
      <c r="H14" s="216"/>
      <c r="I14" s="216">
        <f>'ИИ _График погашения осн долг_'!F16</f>
        <v>1500</v>
      </c>
      <c r="J14" s="216">
        <f>'ИИ _График погашения осн долг_'!F17</f>
        <v>1500</v>
      </c>
      <c r="K14" s="216">
        <f>'ИИ _График погашения осн долг_'!F18</f>
        <v>1500</v>
      </c>
      <c r="L14" s="216"/>
      <c r="M14" s="216">
        <f>'ИИ _График погашения осн долг_'!F19</f>
        <v>1500</v>
      </c>
      <c r="N14" s="216">
        <f>'ИИ _График погашения осн долг_'!F20</f>
        <v>1500</v>
      </c>
      <c r="O14" s="216">
        <f>'ИИ _График погашения осн долг_'!F21</f>
        <v>1500</v>
      </c>
      <c r="P14" s="216"/>
      <c r="Q14" s="216">
        <f>'ИИ _График погашения осн долг_'!F22</f>
        <v>4700</v>
      </c>
      <c r="R14" s="216">
        <f>'ИИ _График погашения осн долг_'!F23</f>
        <v>4700</v>
      </c>
      <c r="S14" s="216">
        <f>'ИИ _График погашения осн долг_'!F24</f>
        <v>4700</v>
      </c>
      <c r="T14" s="216"/>
      <c r="U14" s="216">
        <f>'ИИ _График погашения осн долг_'!F25</f>
        <v>4700</v>
      </c>
      <c r="V14" s="216">
        <f>'ИИ _График погашения осн долг_'!F26</f>
        <v>4700</v>
      </c>
      <c r="W14" s="216">
        <f>'ИИ _График погашения осн долг_'!F27</f>
        <v>4700</v>
      </c>
      <c r="X14" s="216"/>
      <c r="Y14" s="216">
        <f>'ИИ _График погашения осн долг_'!F28</f>
        <v>4700</v>
      </c>
      <c r="Z14" s="216">
        <f>'ИИ _График погашения осн долг_'!F29</f>
        <v>4700</v>
      </c>
      <c r="AA14" s="216">
        <f>'ИИ _График погашения осн долг_'!F30</f>
        <v>4700</v>
      </c>
      <c r="AB14" s="216"/>
      <c r="AC14" s="216">
        <f>'ИИ _График погашения осн долг_'!F31</f>
        <v>4700</v>
      </c>
      <c r="AD14" s="215">
        <f>'ИИ _График погашения осн долг_'!F32</f>
        <v>4500</v>
      </c>
    </row>
    <row r="15" spans="2:30">
      <c r="B15" s="203" t="s">
        <v>43</v>
      </c>
      <c r="C15" s="524">
        <f>SUM(H15:AD15)</f>
        <v>50000</v>
      </c>
      <c r="D15" s="216"/>
      <c r="E15" s="216"/>
      <c r="F15" s="216"/>
      <c r="G15" s="216"/>
      <c r="H15" s="216"/>
      <c r="I15" s="216"/>
      <c r="J15" s="216">
        <f>'ИИ _График погашения осн долг_'!G17</f>
        <v>5000</v>
      </c>
      <c r="K15" s="216">
        <f>'ИИ _График погашения осн долг_'!G18</f>
        <v>5000</v>
      </c>
      <c r="L15" s="216"/>
      <c r="M15" s="216"/>
      <c r="N15" s="216">
        <f>'ИИ _График погашения осн долг_'!G20</f>
        <v>5000</v>
      </c>
      <c r="O15" s="216">
        <f>'ИИ _График погашения осн долг_'!G21</f>
        <v>5000</v>
      </c>
      <c r="P15" s="216"/>
      <c r="Q15" s="216"/>
      <c r="R15" s="216">
        <f>'ИИ _График погашения осн долг_'!G23</f>
        <v>5000</v>
      </c>
      <c r="S15" s="216">
        <f>'ИИ _График погашения осн долг_'!G24</f>
        <v>5000</v>
      </c>
      <c r="T15" s="216"/>
      <c r="U15" s="216"/>
      <c r="V15" s="216">
        <f>'ИИ _График погашения осн долг_'!G26</f>
        <v>5000</v>
      </c>
      <c r="W15" s="216">
        <f>'ИИ _График погашения осн долг_'!G27</f>
        <v>5000</v>
      </c>
      <c r="X15" s="216"/>
      <c r="Y15" s="216"/>
      <c r="Z15" s="216"/>
      <c r="AA15" s="216"/>
      <c r="AB15" s="216"/>
      <c r="AC15" s="216">
        <f>'ИИ _График погашения осн долг_'!G31</f>
        <v>5000</v>
      </c>
      <c r="AD15" s="215">
        <f>'ИИ _График погашения осн долг_'!G32</f>
        <v>5000</v>
      </c>
    </row>
    <row r="16" spans="2:30">
      <c r="B16" s="521" t="s">
        <v>250</v>
      </c>
      <c r="C16" s="524">
        <f>SUM(H16:AD16)</f>
        <v>51000</v>
      </c>
      <c r="D16" s="216"/>
      <c r="E16" s="216"/>
      <c r="F16" s="216"/>
      <c r="G16" s="216"/>
      <c r="H16" s="216"/>
      <c r="I16" s="216"/>
      <c r="J16" s="216">
        <f>'ИИ _График погашения осн долг_'!H17</f>
        <v>51000</v>
      </c>
      <c r="K16" s="216"/>
      <c r="L16" s="216"/>
      <c r="M16" s="216"/>
      <c r="N16" s="216"/>
      <c r="O16" s="216"/>
      <c r="P16" s="216"/>
      <c r="Q16" s="216"/>
      <c r="R16" s="216"/>
      <c r="S16" s="216"/>
      <c r="T16" s="216"/>
      <c r="U16" s="216"/>
      <c r="V16" s="216"/>
      <c r="W16" s="216"/>
      <c r="X16" s="216"/>
      <c r="Y16" s="216"/>
      <c r="Z16" s="216"/>
      <c r="AA16" s="216"/>
      <c r="AB16" s="216"/>
      <c r="AC16" s="216"/>
      <c r="AD16" s="215"/>
    </row>
    <row r="17" spans="2:30" ht="16" thickBot="1">
      <c r="B17" s="200" t="s">
        <v>176</v>
      </c>
      <c r="C17" s="199">
        <f t="shared" ref="C17:L17" si="10">C13+C14+C15+C16</f>
        <v>246500</v>
      </c>
      <c r="D17" s="199">
        <f t="shared" si="10"/>
        <v>0</v>
      </c>
      <c r="E17" s="199">
        <f t="shared" si="10"/>
        <v>0</v>
      </c>
      <c r="F17" s="199">
        <f t="shared" si="10"/>
        <v>0</v>
      </c>
      <c r="G17" s="199">
        <f t="shared" si="10"/>
        <v>0</v>
      </c>
      <c r="H17" s="199">
        <f t="shared" si="10"/>
        <v>0</v>
      </c>
      <c r="I17" s="199">
        <f t="shared" si="10"/>
        <v>10000</v>
      </c>
      <c r="J17" s="199">
        <f t="shared" si="10"/>
        <v>74500</v>
      </c>
      <c r="K17" s="199">
        <f t="shared" si="10"/>
        <v>23500</v>
      </c>
      <c r="L17" s="199">
        <f t="shared" si="10"/>
        <v>0</v>
      </c>
      <c r="M17" s="199">
        <f t="shared" ref="M17:AD17" si="11">M13+M14+M15+M16</f>
        <v>10000</v>
      </c>
      <c r="N17" s="199">
        <f t="shared" si="11"/>
        <v>23500</v>
      </c>
      <c r="O17" s="199">
        <f t="shared" si="11"/>
        <v>23500</v>
      </c>
      <c r="P17" s="199">
        <f t="shared" si="11"/>
        <v>0</v>
      </c>
      <c r="Q17" s="199">
        <f t="shared" si="11"/>
        <v>4700</v>
      </c>
      <c r="R17" s="199">
        <f t="shared" si="11"/>
        <v>9700</v>
      </c>
      <c r="S17" s="199">
        <f t="shared" si="11"/>
        <v>9700</v>
      </c>
      <c r="T17" s="199">
        <f t="shared" si="11"/>
        <v>0</v>
      </c>
      <c r="U17" s="199">
        <f t="shared" si="11"/>
        <v>4700</v>
      </c>
      <c r="V17" s="199">
        <f t="shared" si="11"/>
        <v>9700</v>
      </c>
      <c r="W17" s="199">
        <f t="shared" si="11"/>
        <v>9700</v>
      </c>
      <c r="X17" s="199">
        <f t="shared" si="11"/>
        <v>0</v>
      </c>
      <c r="Y17" s="199">
        <f t="shared" si="11"/>
        <v>4700</v>
      </c>
      <c r="Z17" s="199">
        <f t="shared" si="11"/>
        <v>4700</v>
      </c>
      <c r="AA17" s="199">
        <f t="shared" si="11"/>
        <v>4700</v>
      </c>
      <c r="AB17" s="199">
        <f t="shared" si="11"/>
        <v>0</v>
      </c>
      <c r="AC17" s="199">
        <f t="shared" si="11"/>
        <v>9700</v>
      </c>
      <c r="AD17" s="198">
        <f t="shared" si="11"/>
        <v>9500</v>
      </c>
    </row>
    <row r="18" spans="2:30">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row>
    <row r="19" spans="2:30" ht="16" thickBot="1"/>
    <row r="20" spans="2:30">
      <c r="B20" s="214" t="s">
        <v>405</v>
      </c>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213"/>
    </row>
    <row r="21" spans="2:30">
      <c r="B21" s="210" t="s">
        <v>404</v>
      </c>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209"/>
    </row>
    <row r="22" spans="2:30">
      <c r="B22" s="208" t="s">
        <v>58</v>
      </c>
      <c r="C22" s="207" t="s">
        <v>400</v>
      </c>
      <c r="D22" s="206" t="s">
        <v>399</v>
      </c>
      <c r="E22" s="206" t="s">
        <v>398</v>
      </c>
      <c r="F22" s="205" t="s">
        <v>397</v>
      </c>
      <c r="G22" s="205" t="s">
        <v>396</v>
      </c>
      <c r="H22" s="205" t="s">
        <v>340</v>
      </c>
      <c r="I22" s="205" t="s">
        <v>395</v>
      </c>
      <c r="J22" s="205" t="s">
        <v>394</v>
      </c>
      <c r="K22" s="205" t="s">
        <v>393</v>
      </c>
      <c r="L22" s="205" t="s">
        <v>558</v>
      </c>
      <c r="M22" s="205" t="s">
        <v>392</v>
      </c>
      <c r="N22" s="205" t="s">
        <v>391</v>
      </c>
      <c r="O22" s="205" t="s">
        <v>390</v>
      </c>
      <c r="P22" s="205" t="s">
        <v>559</v>
      </c>
      <c r="Q22" s="205" t="s">
        <v>389</v>
      </c>
      <c r="R22" s="205" t="s">
        <v>388</v>
      </c>
      <c r="S22" s="205" t="s">
        <v>387</v>
      </c>
      <c r="T22" s="205" t="s">
        <v>560</v>
      </c>
      <c r="U22" s="205" t="s">
        <v>386</v>
      </c>
      <c r="V22" s="205" t="s">
        <v>385</v>
      </c>
      <c r="W22" s="205" t="s">
        <v>384</v>
      </c>
      <c r="X22" s="205" t="s">
        <v>561</v>
      </c>
      <c r="Y22" s="205" t="s">
        <v>383</v>
      </c>
      <c r="Z22" s="205" t="s">
        <v>382</v>
      </c>
      <c r="AA22" s="205" t="s">
        <v>381</v>
      </c>
      <c r="AB22" s="205" t="s">
        <v>562</v>
      </c>
      <c r="AC22" s="205" t="s">
        <v>380</v>
      </c>
      <c r="AD22" s="204" t="s">
        <v>379</v>
      </c>
    </row>
    <row r="23" spans="2:30">
      <c r="B23" s="521" t="s">
        <v>377</v>
      </c>
      <c r="C23" s="522">
        <v>80000</v>
      </c>
      <c r="D23" s="216"/>
      <c r="E23" s="202"/>
      <c r="F23" s="216"/>
      <c r="G23" s="525">
        <f>' НЗ 2020 1е полуг'!H13/1000</f>
        <v>50179.130789999996</v>
      </c>
      <c r="H23" s="525">
        <f>'НЗ 2020 на 31.08.20'!H13/1000</f>
        <v>65608.076789999992</v>
      </c>
      <c r="I23" s="202">
        <f>H23-I29</f>
        <v>47008.076789999992</v>
      </c>
      <c r="J23" s="202">
        <f>I23-J29</f>
        <v>0</v>
      </c>
      <c r="K23" s="202"/>
      <c r="L23" s="202"/>
      <c r="M23" s="202"/>
      <c r="N23" s="202"/>
      <c r="O23" s="202"/>
      <c r="P23" s="202"/>
      <c r="Q23" s="202"/>
      <c r="R23" s="202"/>
      <c r="S23" s="202"/>
      <c r="T23" s="202"/>
      <c r="U23" s="202"/>
      <c r="V23" s="202"/>
      <c r="W23" s="202"/>
      <c r="X23" s="202"/>
      <c r="Y23" s="202"/>
      <c r="Z23" s="202"/>
      <c r="AA23" s="202"/>
      <c r="AB23" s="202"/>
      <c r="AC23" s="202"/>
      <c r="AD23" s="201"/>
    </row>
    <row r="24" spans="2:30">
      <c r="B24" s="203" t="s">
        <v>377</v>
      </c>
      <c r="C24" s="216">
        <v>30782</v>
      </c>
      <c r="D24" s="216"/>
      <c r="E24" s="202"/>
      <c r="F24" s="202"/>
      <c r="G24" s="525">
        <v>0</v>
      </c>
      <c r="H24" s="525">
        <v>0</v>
      </c>
      <c r="I24" s="202"/>
      <c r="J24" s="202"/>
      <c r="K24" s="202"/>
      <c r="L24" s="202"/>
      <c r="M24" s="202"/>
      <c r="N24" s="202"/>
      <c r="O24" s="202"/>
      <c r="P24" s="202"/>
      <c r="Q24" s="202"/>
      <c r="R24" s="202"/>
      <c r="S24" s="202"/>
      <c r="T24" s="202"/>
      <c r="U24" s="202"/>
      <c r="V24" s="202"/>
      <c r="W24" s="202"/>
      <c r="X24" s="202"/>
      <c r="Y24" s="202"/>
      <c r="Z24" s="202"/>
      <c r="AA24" s="202"/>
      <c r="AB24" s="202"/>
      <c r="AC24" s="202"/>
      <c r="AD24" s="201"/>
    </row>
    <row r="25" spans="2:30">
      <c r="B25" s="210" t="s">
        <v>176</v>
      </c>
      <c r="C25" s="212">
        <f t="shared" ref="C25:AD25" si="12">C23+C24</f>
        <v>110782</v>
      </c>
      <c r="D25" s="212"/>
      <c r="E25" s="212"/>
      <c r="F25" s="212"/>
      <c r="G25" s="212">
        <f t="shared" si="12"/>
        <v>50179.130789999996</v>
      </c>
      <c r="H25" s="523">
        <f t="shared" si="12"/>
        <v>65608.076789999992</v>
      </c>
      <c r="I25" s="212">
        <f t="shared" si="12"/>
        <v>47008.076789999992</v>
      </c>
      <c r="J25" s="212">
        <f t="shared" si="12"/>
        <v>0</v>
      </c>
      <c r="K25" s="212">
        <f t="shared" si="12"/>
        <v>0</v>
      </c>
      <c r="L25" s="212"/>
      <c r="M25" s="212">
        <f t="shared" si="12"/>
        <v>0</v>
      </c>
      <c r="N25" s="212">
        <f t="shared" si="12"/>
        <v>0</v>
      </c>
      <c r="O25" s="212">
        <f t="shared" si="12"/>
        <v>0</v>
      </c>
      <c r="P25" s="212"/>
      <c r="Q25" s="212">
        <f t="shared" si="12"/>
        <v>0</v>
      </c>
      <c r="R25" s="212">
        <f t="shared" si="12"/>
        <v>0</v>
      </c>
      <c r="S25" s="212">
        <f t="shared" si="12"/>
        <v>0</v>
      </c>
      <c r="T25" s="212"/>
      <c r="U25" s="212">
        <f t="shared" si="12"/>
        <v>0</v>
      </c>
      <c r="V25" s="212">
        <f t="shared" si="12"/>
        <v>0</v>
      </c>
      <c r="W25" s="212">
        <f t="shared" si="12"/>
        <v>0</v>
      </c>
      <c r="X25" s="212"/>
      <c r="Y25" s="212">
        <f t="shared" si="12"/>
        <v>0</v>
      </c>
      <c r="Z25" s="212">
        <f t="shared" si="12"/>
        <v>0</v>
      </c>
      <c r="AA25" s="212">
        <f t="shared" si="12"/>
        <v>0</v>
      </c>
      <c r="AB25" s="212"/>
      <c r="AC25" s="212">
        <f t="shared" si="12"/>
        <v>0</v>
      </c>
      <c r="AD25" s="211">
        <f t="shared" si="12"/>
        <v>0</v>
      </c>
    </row>
    <row r="26" spans="2:30">
      <c r="B26" s="203"/>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1"/>
    </row>
    <row r="27" spans="2:30">
      <c r="B27" s="210" t="s">
        <v>402</v>
      </c>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209"/>
    </row>
    <row r="28" spans="2:30">
      <c r="B28" s="208" t="s">
        <v>58</v>
      </c>
      <c r="C28" s="207" t="s">
        <v>654</v>
      </c>
      <c r="D28" s="206" t="s">
        <v>399</v>
      </c>
      <c r="E28" s="206" t="s">
        <v>398</v>
      </c>
      <c r="F28" s="205" t="s">
        <v>397</v>
      </c>
      <c r="G28" s="205" t="s">
        <v>396</v>
      </c>
      <c r="H28" s="205" t="s">
        <v>340</v>
      </c>
      <c r="I28" s="205" t="s">
        <v>395</v>
      </c>
      <c r="J28" s="205" t="s">
        <v>394</v>
      </c>
      <c r="K28" s="205" t="s">
        <v>393</v>
      </c>
      <c r="L28" s="205" t="s">
        <v>558</v>
      </c>
      <c r="M28" s="205" t="s">
        <v>392</v>
      </c>
      <c r="N28" s="205" t="s">
        <v>391</v>
      </c>
      <c r="O28" s="205" t="s">
        <v>390</v>
      </c>
      <c r="P28" s="205" t="s">
        <v>559</v>
      </c>
      <c r="Q28" s="205" t="s">
        <v>389</v>
      </c>
      <c r="R28" s="205" t="s">
        <v>388</v>
      </c>
      <c r="S28" s="205" t="s">
        <v>387</v>
      </c>
      <c r="T28" s="205" t="s">
        <v>560</v>
      </c>
      <c r="U28" s="205" t="s">
        <v>386</v>
      </c>
      <c r="V28" s="205" t="s">
        <v>385</v>
      </c>
      <c r="W28" s="205" t="s">
        <v>384</v>
      </c>
      <c r="X28" s="205" t="s">
        <v>561</v>
      </c>
      <c r="Y28" s="205" t="s">
        <v>383</v>
      </c>
      <c r="Z28" s="205" t="s">
        <v>382</v>
      </c>
      <c r="AA28" s="205" t="s">
        <v>381</v>
      </c>
      <c r="AB28" s="205" t="s">
        <v>562</v>
      </c>
      <c r="AC28" s="205" t="s">
        <v>380</v>
      </c>
      <c r="AD28" s="204" t="s">
        <v>379</v>
      </c>
    </row>
    <row r="29" spans="2:30">
      <c r="B29" s="521" t="s">
        <v>377</v>
      </c>
      <c r="C29" s="526">
        <f>SUM(H29:AD29)</f>
        <v>65608.076789999992</v>
      </c>
      <c r="D29" s="216"/>
      <c r="E29" s="216"/>
      <c r="F29" s="216"/>
      <c r="G29" s="216"/>
      <c r="H29" s="216"/>
      <c r="I29" s="216">
        <f>'НЗ 2020 на 31.08.20'!I13/1000</f>
        <v>18600</v>
      </c>
      <c r="J29" s="216">
        <f>SUM('НЗ 2020 на 31.08.20'!J13:L13)/1000</f>
        <v>47008.076789999999</v>
      </c>
      <c r="K29" s="216"/>
      <c r="L29" s="216"/>
      <c r="M29" s="216"/>
      <c r="N29" s="216"/>
      <c r="O29" s="216"/>
      <c r="P29" s="216"/>
      <c r="Q29" s="216"/>
      <c r="R29" s="216"/>
      <c r="S29" s="216"/>
      <c r="T29" s="216"/>
      <c r="U29" s="216"/>
      <c r="V29" s="216"/>
      <c r="W29" s="216"/>
      <c r="X29" s="216"/>
      <c r="Y29" s="216"/>
      <c r="Z29" s="216"/>
      <c r="AA29" s="216"/>
      <c r="AB29" s="216"/>
      <c r="AC29" s="216"/>
      <c r="AD29" s="215"/>
    </row>
    <row r="30" spans="2:30">
      <c r="B30" s="203" t="s">
        <v>377</v>
      </c>
      <c r="C30" s="526">
        <f>SUM(H30:AD30)</f>
        <v>0</v>
      </c>
      <c r="D30" s="216"/>
      <c r="E30" s="216"/>
      <c r="F30" s="216"/>
      <c r="G30" s="216"/>
      <c r="H30" s="216"/>
      <c r="I30" s="216"/>
      <c r="J30" s="216"/>
      <c r="K30" s="216"/>
      <c r="L30" s="216"/>
      <c r="M30" s="216"/>
      <c r="N30" s="216"/>
      <c r="O30" s="216"/>
      <c r="P30" s="216"/>
      <c r="Q30" s="216"/>
      <c r="R30" s="216"/>
      <c r="S30" s="216"/>
      <c r="T30" s="216"/>
      <c r="U30" s="216"/>
      <c r="V30" s="216"/>
      <c r="W30" s="216"/>
      <c r="X30" s="216"/>
      <c r="Y30" s="216"/>
      <c r="Z30" s="216"/>
      <c r="AA30" s="216"/>
      <c r="AB30" s="216"/>
      <c r="AC30" s="216"/>
      <c r="AD30" s="215"/>
    </row>
    <row r="31" spans="2:30" ht="16" thickBot="1">
      <c r="B31" s="200" t="s">
        <v>176</v>
      </c>
      <c r="C31" s="199">
        <f t="shared" ref="C31:AD31" si="13">C29+C30</f>
        <v>65608.076789999992</v>
      </c>
      <c r="D31" s="199">
        <f t="shared" si="13"/>
        <v>0</v>
      </c>
      <c r="E31" s="199">
        <f t="shared" si="13"/>
        <v>0</v>
      </c>
      <c r="F31" s="199">
        <f t="shared" si="13"/>
        <v>0</v>
      </c>
      <c r="G31" s="199">
        <f t="shared" si="13"/>
        <v>0</v>
      </c>
      <c r="H31" s="199">
        <f t="shared" si="13"/>
        <v>0</v>
      </c>
      <c r="I31" s="199">
        <f t="shared" si="13"/>
        <v>18600</v>
      </c>
      <c r="J31" s="199">
        <f t="shared" si="13"/>
        <v>47008.076789999999</v>
      </c>
      <c r="K31" s="199">
        <f t="shared" si="13"/>
        <v>0</v>
      </c>
      <c r="L31" s="199"/>
      <c r="M31" s="199">
        <f t="shared" si="13"/>
        <v>0</v>
      </c>
      <c r="N31" s="199">
        <f t="shared" si="13"/>
        <v>0</v>
      </c>
      <c r="O31" s="199">
        <f t="shared" si="13"/>
        <v>0</v>
      </c>
      <c r="P31" s="199"/>
      <c r="Q31" s="199">
        <f t="shared" si="13"/>
        <v>0</v>
      </c>
      <c r="R31" s="199">
        <f t="shared" si="13"/>
        <v>0</v>
      </c>
      <c r="S31" s="199">
        <f t="shared" si="13"/>
        <v>0</v>
      </c>
      <c r="T31" s="199"/>
      <c r="U31" s="199">
        <f t="shared" si="13"/>
        <v>0</v>
      </c>
      <c r="V31" s="199">
        <f t="shared" si="13"/>
        <v>0</v>
      </c>
      <c r="W31" s="199">
        <f t="shared" si="13"/>
        <v>0</v>
      </c>
      <c r="X31" s="199"/>
      <c r="Y31" s="199">
        <f t="shared" si="13"/>
        <v>0</v>
      </c>
      <c r="Z31" s="199">
        <f t="shared" si="13"/>
        <v>0</v>
      </c>
      <c r="AA31" s="199">
        <f t="shared" si="13"/>
        <v>0</v>
      </c>
      <c r="AB31" s="199"/>
      <c r="AC31" s="199">
        <f t="shared" si="13"/>
        <v>0</v>
      </c>
      <c r="AD31" s="198">
        <f t="shared" si="13"/>
        <v>0</v>
      </c>
    </row>
    <row r="32" spans="2:30">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row>
    <row r="33" spans="2:30" ht="16" thickBot="1">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row>
    <row r="34" spans="2:30">
      <c r="B34" s="214" t="s">
        <v>175</v>
      </c>
      <c r="C34" s="316"/>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213"/>
    </row>
    <row r="35" spans="2:30">
      <c r="B35" s="210" t="s">
        <v>404</v>
      </c>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209"/>
    </row>
    <row r="36" spans="2:30">
      <c r="B36" s="208" t="s">
        <v>401</v>
      </c>
      <c r="C36" s="207" t="s">
        <v>400</v>
      </c>
      <c r="D36" s="206" t="s">
        <v>399</v>
      </c>
      <c r="E36" s="206" t="s">
        <v>398</v>
      </c>
      <c r="F36" s="205" t="s">
        <v>397</v>
      </c>
      <c r="G36" s="205" t="s">
        <v>396</v>
      </c>
      <c r="H36" s="205" t="s">
        <v>403</v>
      </c>
      <c r="I36" s="205" t="s">
        <v>395</v>
      </c>
      <c r="J36" s="205" t="s">
        <v>394</v>
      </c>
      <c r="K36" s="205" t="s">
        <v>393</v>
      </c>
      <c r="L36" s="205" t="s">
        <v>558</v>
      </c>
      <c r="M36" s="205" t="s">
        <v>392</v>
      </c>
      <c r="N36" s="205" t="s">
        <v>391</v>
      </c>
      <c r="O36" s="205" t="s">
        <v>390</v>
      </c>
      <c r="P36" s="205" t="s">
        <v>559</v>
      </c>
      <c r="Q36" s="205" t="s">
        <v>389</v>
      </c>
      <c r="R36" s="205" t="s">
        <v>388</v>
      </c>
      <c r="S36" s="205" t="s">
        <v>387</v>
      </c>
      <c r="T36" s="205" t="s">
        <v>560</v>
      </c>
      <c r="U36" s="205" t="s">
        <v>386</v>
      </c>
      <c r="V36" s="205" t="s">
        <v>385</v>
      </c>
      <c r="W36" s="205" t="s">
        <v>384</v>
      </c>
      <c r="X36" s="205" t="s">
        <v>561</v>
      </c>
      <c r="Y36" s="205" t="s">
        <v>383</v>
      </c>
      <c r="Z36" s="205" t="s">
        <v>382</v>
      </c>
      <c r="AA36" s="205" t="s">
        <v>381</v>
      </c>
      <c r="AB36" s="205" t="s">
        <v>562</v>
      </c>
      <c r="AC36" s="205" t="s">
        <v>380</v>
      </c>
      <c r="AD36" s="204" t="s">
        <v>379</v>
      </c>
    </row>
    <row r="37" spans="2:30">
      <c r="B37" s="203" t="s">
        <v>378</v>
      </c>
      <c r="C37" s="202">
        <v>165000</v>
      </c>
      <c r="D37" s="202"/>
      <c r="E37" s="202"/>
      <c r="F37" s="202"/>
      <c r="G37" s="202">
        <f t="shared" ref="G37:M40" si="14">G5</f>
        <v>85000</v>
      </c>
      <c r="H37" s="202">
        <f t="shared" si="14"/>
        <v>85000</v>
      </c>
      <c r="I37" s="202">
        <f t="shared" si="14"/>
        <v>76500</v>
      </c>
      <c r="J37" s="202">
        <f t="shared" si="14"/>
        <v>59500</v>
      </c>
      <c r="K37" s="202">
        <f t="shared" si="14"/>
        <v>42500</v>
      </c>
      <c r="L37" s="202">
        <f t="shared" si="14"/>
        <v>42500</v>
      </c>
      <c r="M37" s="202">
        <f t="shared" si="14"/>
        <v>34000</v>
      </c>
      <c r="N37" s="202">
        <f t="shared" ref="N37:AD37" si="15">N5</f>
        <v>17000</v>
      </c>
      <c r="O37" s="202">
        <f t="shared" si="15"/>
        <v>0</v>
      </c>
      <c r="P37" s="202">
        <f t="shared" si="15"/>
        <v>0</v>
      </c>
      <c r="Q37" s="202">
        <f t="shared" si="15"/>
        <v>0</v>
      </c>
      <c r="R37" s="202">
        <f t="shared" si="15"/>
        <v>0</v>
      </c>
      <c r="S37" s="202">
        <f t="shared" si="15"/>
        <v>0</v>
      </c>
      <c r="T37" s="202">
        <f t="shared" si="15"/>
        <v>0</v>
      </c>
      <c r="U37" s="202">
        <f t="shared" si="15"/>
        <v>0</v>
      </c>
      <c r="V37" s="202">
        <f t="shared" si="15"/>
        <v>0</v>
      </c>
      <c r="W37" s="202">
        <f t="shared" si="15"/>
        <v>0</v>
      </c>
      <c r="X37" s="202">
        <f t="shared" si="15"/>
        <v>0</v>
      </c>
      <c r="Y37" s="202">
        <f t="shared" si="15"/>
        <v>0</v>
      </c>
      <c r="Z37" s="202">
        <f t="shared" si="15"/>
        <v>0</v>
      </c>
      <c r="AA37" s="202">
        <f t="shared" si="15"/>
        <v>0</v>
      </c>
      <c r="AB37" s="202">
        <f t="shared" si="15"/>
        <v>0</v>
      </c>
      <c r="AC37" s="202">
        <f t="shared" si="15"/>
        <v>0</v>
      </c>
      <c r="AD37" s="201">
        <f t="shared" si="15"/>
        <v>0</v>
      </c>
    </row>
    <row r="38" spans="2:30">
      <c r="B38" s="203" t="s">
        <v>378</v>
      </c>
      <c r="C38" s="202">
        <v>65000</v>
      </c>
      <c r="D38" s="202"/>
      <c r="E38" s="202"/>
      <c r="F38" s="202"/>
      <c r="G38" s="202">
        <f t="shared" si="14"/>
        <v>60500</v>
      </c>
      <c r="H38" s="202">
        <f t="shared" si="14"/>
        <v>60500</v>
      </c>
      <c r="I38" s="202">
        <f t="shared" si="14"/>
        <v>59000</v>
      </c>
      <c r="J38" s="202">
        <f t="shared" si="14"/>
        <v>57500</v>
      </c>
      <c r="K38" s="202">
        <f t="shared" si="14"/>
        <v>56000</v>
      </c>
      <c r="L38" s="202">
        <f t="shared" si="14"/>
        <v>56000</v>
      </c>
      <c r="M38" s="202">
        <f t="shared" si="14"/>
        <v>54500</v>
      </c>
      <c r="N38" s="202">
        <f t="shared" ref="N38:AD38" si="16">N6</f>
        <v>53000</v>
      </c>
      <c r="O38" s="202">
        <f t="shared" si="16"/>
        <v>51500</v>
      </c>
      <c r="P38" s="202">
        <f t="shared" si="16"/>
        <v>51500</v>
      </c>
      <c r="Q38" s="202">
        <f t="shared" si="16"/>
        <v>46800</v>
      </c>
      <c r="R38" s="202">
        <f t="shared" si="16"/>
        <v>42100</v>
      </c>
      <c r="S38" s="202">
        <f t="shared" si="16"/>
        <v>37400</v>
      </c>
      <c r="T38" s="202">
        <f t="shared" si="16"/>
        <v>37400</v>
      </c>
      <c r="U38" s="202">
        <f t="shared" si="16"/>
        <v>32700</v>
      </c>
      <c r="V38" s="202">
        <f t="shared" si="16"/>
        <v>28000</v>
      </c>
      <c r="W38" s="202">
        <f t="shared" si="16"/>
        <v>23300</v>
      </c>
      <c r="X38" s="202">
        <f t="shared" si="16"/>
        <v>23300</v>
      </c>
      <c r="Y38" s="202">
        <f t="shared" si="16"/>
        <v>18600</v>
      </c>
      <c r="Z38" s="202">
        <f t="shared" si="16"/>
        <v>13900</v>
      </c>
      <c r="AA38" s="202">
        <f t="shared" si="16"/>
        <v>9200</v>
      </c>
      <c r="AB38" s="202">
        <f t="shared" si="16"/>
        <v>9200</v>
      </c>
      <c r="AC38" s="202">
        <f t="shared" si="16"/>
        <v>4500</v>
      </c>
      <c r="AD38" s="201">
        <f t="shared" si="16"/>
        <v>0</v>
      </c>
    </row>
    <row r="39" spans="2:30">
      <c r="B39" s="203" t="s">
        <v>43</v>
      </c>
      <c r="C39" s="202">
        <v>60000</v>
      </c>
      <c r="D39" s="202"/>
      <c r="E39" s="202"/>
      <c r="F39" s="202"/>
      <c r="G39" s="202">
        <f t="shared" si="14"/>
        <v>50000</v>
      </c>
      <c r="H39" s="202">
        <f t="shared" si="14"/>
        <v>50000</v>
      </c>
      <c r="I39" s="202">
        <f t="shared" si="14"/>
        <v>50000</v>
      </c>
      <c r="J39" s="202">
        <f t="shared" si="14"/>
        <v>45000</v>
      </c>
      <c r="K39" s="202">
        <f t="shared" si="14"/>
        <v>40000</v>
      </c>
      <c r="L39" s="202">
        <f t="shared" si="14"/>
        <v>40000</v>
      </c>
      <c r="M39" s="202">
        <f t="shared" si="14"/>
        <v>40000</v>
      </c>
      <c r="N39" s="202">
        <f t="shared" ref="N39:AD39" si="17">N7</f>
        <v>35000</v>
      </c>
      <c r="O39" s="202">
        <f t="shared" si="17"/>
        <v>30000</v>
      </c>
      <c r="P39" s="202">
        <f t="shared" si="17"/>
        <v>30000</v>
      </c>
      <c r="Q39" s="202">
        <f t="shared" si="17"/>
        <v>30000</v>
      </c>
      <c r="R39" s="202">
        <f t="shared" si="17"/>
        <v>25000</v>
      </c>
      <c r="S39" s="202">
        <f t="shared" si="17"/>
        <v>20000</v>
      </c>
      <c r="T39" s="202">
        <f t="shared" si="17"/>
        <v>20000</v>
      </c>
      <c r="U39" s="202">
        <f t="shared" si="17"/>
        <v>20000</v>
      </c>
      <c r="V39" s="202">
        <f t="shared" si="17"/>
        <v>15000</v>
      </c>
      <c r="W39" s="202">
        <f t="shared" si="17"/>
        <v>10000</v>
      </c>
      <c r="X39" s="202">
        <f t="shared" si="17"/>
        <v>10000</v>
      </c>
      <c r="Y39" s="202">
        <f t="shared" si="17"/>
        <v>10000</v>
      </c>
      <c r="Z39" s="202">
        <f t="shared" si="17"/>
        <v>10000</v>
      </c>
      <c r="AA39" s="202">
        <f t="shared" si="17"/>
        <v>10000</v>
      </c>
      <c r="AB39" s="202">
        <f t="shared" si="17"/>
        <v>10000</v>
      </c>
      <c r="AC39" s="202">
        <f t="shared" si="17"/>
        <v>5000</v>
      </c>
      <c r="AD39" s="201">
        <f t="shared" si="17"/>
        <v>0</v>
      </c>
    </row>
    <row r="40" spans="2:30">
      <c r="B40" s="203" t="s">
        <v>250</v>
      </c>
      <c r="C40" s="202">
        <v>51000</v>
      </c>
      <c r="D40" s="202"/>
      <c r="E40" s="202"/>
      <c r="F40" s="202"/>
      <c r="G40" s="202">
        <f t="shared" si="14"/>
        <v>51000</v>
      </c>
      <c r="H40" s="202">
        <f t="shared" si="14"/>
        <v>51000</v>
      </c>
      <c r="I40" s="202">
        <f t="shared" si="14"/>
        <v>51000</v>
      </c>
      <c r="J40" s="202">
        <f t="shared" si="14"/>
        <v>0</v>
      </c>
      <c r="K40" s="202">
        <f t="shared" si="14"/>
        <v>0</v>
      </c>
      <c r="L40" s="202">
        <f t="shared" si="14"/>
        <v>0</v>
      </c>
      <c r="M40" s="202">
        <f t="shared" si="14"/>
        <v>0</v>
      </c>
      <c r="N40" s="202">
        <f t="shared" ref="N40:AD40" si="18">N8</f>
        <v>0</v>
      </c>
      <c r="O40" s="202">
        <f t="shared" si="18"/>
        <v>0</v>
      </c>
      <c r="P40" s="202">
        <f t="shared" si="18"/>
        <v>0</v>
      </c>
      <c r="Q40" s="202">
        <f t="shared" si="18"/>
        <v>0</v>
      </c>
      <c r="R40" s="202">
        <f t="shared" si="18"/>
        <v>0</v>
      </c>
      <c r="S40" s="202">
        <f t="shared" si="18"/>
        <v>0</v>
      </c>
      <c r="T40" s="202">
        <f t="shared" si="18"/>
        <v>0</v>
      </c>
      <c r="U40" s="202">
        <f t="shared" si="18"/>
        <v>0</v>
      </c>
      <c r="V40" s="202">
        <f t="shared" si="18"/>
        <v>0</v>
      </c>
      <c r="W40" s="202">
        <f t="shared" si="18"/>
        <v>0</v>
      </c>
      <c r="X40" s="202">
        <f t="shared" si="18"/>
        <v>0</v>
      </c>
      <c r="Y40" s="202">
        <f t="shared" si="18"/>
        <v>0</v>
      </c>
      <c r="Z40" s="202">
        <f t="shared" si="18"/>
        <v>0</v>
      </c>
      <c r="AA40" s="202">
        <f t="shared" si="18"/>
        <v>0</v>
      </c>
      <c r="AB40" s="202">
        <f t="shared" si="18"/>
        <v>0</v>
      </c>
      <c r="AC40" s="202">
        <f t="shared" si="18"/>
        <v>0</v>
      </c>
      <c r="AD40" s="201">
        <f t="shared" si="18"/>
        <v>0</v>
      </c>
    </row>
    <row r="41" spans="2:30">
      <c r="B41" s="203" t="s">
        <v>377</v>
      </c>
      <c r="C41" s="202">
        <f>C29</f>
        <v>65608.076789999992</v>
      </c>
      <c r="D41" s="202"/>
      <c r="E41" s="202"/>
      <c r="F41" s="202"/>
      <c r="G41" s="202">
        <f t="shared" ref="G41:M42" si="19">G23</f>
        <v>50179.130789999996</v>
      </c>
      <c r="H41" s="202">
        <f t="shared" si="19"/>
        <v>65608.076789999992</v>
      </c>
      <c r="I41" s="202">
        <f t="shared" si="19"/>
        <v>47008.076789999992</v>
      </c>
      <c r="J41" s="202">
        <f t="shared" si="19"/>
        <v>0</v>
      </c>
      <c r="K41" s="202">
        <f t="shared" si="19"/>
        <v>0</v>
      </c>
      <c r="L41" s="202">
        <f t="shared" si="19"/>
        <v>0</v>
      </c>
      <c r="M41" s="202">
        <f t="shared" si="19"/>
        <v>0</v>
      </c>
      <c r="N41" s="202">
        <f t="shared" ref="N41:AD41" si="20">N23</f>
        <v>0</v>
      </c>
      <c r="O41" s="202">
        <f t="shared" si="20"/>
        <v>0</v>
      </c>
      <c r="P41" s="202">
        <f t="shared" si="20"/>
        <v>0</v>
      </c>
      <c r="Q41" s="202">
        <f t="shared" si="20"/>
        <v>0</v>
      </c>
      <c r="R41" s="202">
        <f t="shared" si="20"/>
        <v>0</v>
      </c>
      <c r="S41" s="202">
        <f t="shared" si="20"/>
        <v>0</v>
      </c>
      <c r="T41" s="202">
        <f t="shared" si="20"/>
        <v>0</v>
      </c>
      <c r="U41" s="202">
        <f t="shared" si="20"/>
        <v>0</v>
      </c>
      <c r="V41" s="202">
        <f t="shared" si="20"/>
        <v>0</v>
      </c>
      <c r="W41" s="202">
        <f t="shared" si="20"/>
        <v>0</v>
      </c>
      <c r="X41" s="202">
        <f t="shared" si="20"/>
        <v>0</v>
      </c>
      <c r="Y41" s="202">
        <f t="shared" si="20"/>
        <v>0</v>
      </c>
      <c r="Z41" s="202">
        <f t="shared" si="20"/>
        <v>0</v>
      </c>
      <c r="AA41" s="202">
        <f t="shared" si="20"/>
        <v>0</v>
      </c>
      <c r="AB41" s="202">
        <f t="shared" si="20"/>
        <v>0</v>
      </c>
      <c r="AC41" s="202">
        <f t="shared" si="20"/>
        <v>0</v>
      </c>
      <c r="AD41" s="201">
        <f t="shared" si="20"/>
        <v>0</v>
      </c>
    </row>
    <row r="42" spans="2:30" ht="16" thickBot="1">
      <c r="B42" s="203" t="s">
        <v>377</v>
      </c>
      <c r="C42" s="202">
        <f>C30</f>
        <v>0</v>
      </c>
      <c r="D42" s="202"/>
      <c r="E42" s="202"/>
      <c r="F42" s="202"/>
      <c r="G42" s="202">
        <f t="shared" si="19"/>
        <v>0</v>
      </c>
      <c r="H42" s="202">
        <f t="shared" si="19"/>
        <v>0</v>
      </c>
      <c r="I42" s="202">
        <f t="shared" si="19"/>
        <v>0</v>
      </c>
      <c r="J42" s="202">
        <f t="shared" si="19"/>
        <v>0</v>
      </c>
      <c r="K42" s="202">
        <f t="shared" si="19"/>
        <v>0</v>
      </c>
      <c r="L42" s="202">
        <f t="shared" si="19"/>
        <v>0</v>
      </c>
      <c r="M42" s="202">
        <f t="shared" si="19"/>
        <v>0</v>
      </c>
      <c r="N42" s="202">
        <f t="shared" ref="N42:AD42" si="21">N24</f>
        <v>0</v>
      </c>
      <c r="O42" s="202">
        <f t="shared" si="21"/>
        <v>0</v>
      </c>
      <c r="P42" s="202">
        <f t="shared" si="21"/>
        <v>0</v>
      </c>
      <c r="Q42" s="202">
        <f t="shared" si="21"/>
        <v>0</v>
      </c>
      <c r="R42" s="202">
        <f t="shared" si="21"/>
        <v>0</v>
      </c>
      <c r="S42" s="202">
        <f t="shared" si="21"/>
        <v>0</v>
      </c>
      <c r="T42" s="202">
        <f t="shared" si="21"/>
        <v>0</v>
      </c>
      <c r="U42" s="202">
        <f t="shared" si="21"/>
        <v>0</v>
      </c>
      <c r="V42" s="202">
        <f t="shared" si="21"/>
        <v>0</v>
      </c>
      <c r="W42" s="202">
        <f t="shared" si="21"/>
        <v>0</v>
      </c>
      <c r="X42" s="202">
        <f t="shared" si="21"/>
        <v>0</v>
      </c>
      <c r="Y42" s="202">
        <f t="shared" si="21"/>
        <v>0</v>
      </c>
      <c r="Z42" s="202">
        <f t="shared" si="21"/>
        <v>0</v>
      </c>
      <c r="AA42" s="202">
        <f t="shared" si="21"/>
        <v>0</v>
      </c>
      <c r="AB42" s="202">
        <f t="shared" si="21"/>
        <v>0</v>
      </c>
      <c r="AC42" s="202">
        <f t="shared" si="21"/>
        <v>0</v>
      </c>
      <c r="AD42" s="201">
        <f t="shared" si="21"/>
        <v>0</v>
      </c>
    </row>
    <row r="43" spans="2:30" ht="16" thickBot="1">
      <c r="B43" s="210" t="s">
        <v>176</v>
      </c>
      <c r="C43" s="212">
        <f t="shared" ref="C43:L43" si="22">SUM(C37:C42)</f>
        <v>406608.07678999996</v>
      </c>
      <c r="D43" s="212"/>
      <c r="E43" s="212"/>
      <c r="F43" s="212"/>
      <c r="G43" s="212">
        <f t="shared" si="22"/>
        <v>296679.13078999997</v>
      </c>
      <c r="H43" s="342">
        <f t="shared" si="22"/>
        <v>312108.07678999996</v>
      </c>
      <c r="I43" s="212">
        <f t="shared" si="22"/>
        <v>283508.07678999996</v>
      </c>
      <c r="J43" s="212">
        <f t="shared" si="22"/>
        <v>162000</v>
      </c>
      <c r="K43" s="212">
        <f t="shared" si="22"/>
        <v>138500</v>
      </c>
      <c r="L43" s="212">
        <f t="shared" si="22"/>
        <v>138500</v>
      </c>
      <c r="M43" s="212">
        <f t="shared" ref="M43:AD43" si="23">SUM(M37:M42)</f>
        <v>128500</v>
      </c>
      <c r="N43" s="212">
        <f t="shared" si="23"/>
        <v>105000</v>
      </c>
      <c r="O43" s="212">
        <f t="shared" si="23"/>
        <v>81500</v>
      </c>
      <c r="P43" s="212">
        <f t="shared" si="23"/>
        <v>81500</v>
      </c>
      <c r="Q43" s="212">
        <f t="shared" si="23"/>
        <v>76800</v>
      </c>
      <c r="R43" s="212">
        <f t="shared" si="23"/>
        <v>67100</v>
      </c>
      <c r="S43" s="212">
        <f t="shared" si="23"/>
        <v>57400</v>
      </c>
      <c r="T43" s="212">
        <f t="shared" si="23"/>
        <v>57400</v>
      </c>
      <c r="U43" s="212">
        <f t="shared" si="23"/>
        <v>52700</v>
      </c>
      <c r="V43" s="212">
        <f t="shared" si="23"/>
        <v>43000</v>
      </c>
      <c r="W43" s="212">
        <f t="shared" si="23"/>
        <v>33300</v>
      </c>
      <c r="X43" s="212">
        <f t="shared" si="23"/>
        <v>33300</v>
      </c>
      <c r="Y43" s="212">
        <f t="shared" si="23"/>
        <v>28600</v>
      </c>
      <c r="Z43" s="212">
        <f t="shared" si="23"/>
        <v>23900</v>
      </c>
      <c r="AA43" s="212">
        <f t="shared" si="23"/>
        <v>19200</v>
      </c>
      <c r="AB43" s="212">
        <f t="shared" si="23"/>
        <v>19200</v>
      </c>
      <c r="AC43" s="212">
        <f t="shared" si="23"/>
        <v>9500</v>
      </c>
      <c r="AD43" s="211">
        <f t="shared" si="23"/>
        <v>0</v>
      </c>
    </row>
    <row r="44" spans="2:30">
      <c r="B44" s="203"/>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209"/>
    </row>
    <row r="45" spans="2:30">
      <c r="B45" s="210" t="s">
        <v>402</v>
      </c>
      <c r="C45" s="69"/>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209"/>
    </row>
    <row r="46" spans="2:30">
      <c r="B46" s="208" t="s">
        <v>401</v>
      </c>
      <c r="C46" s="207" t="s">
        <v>654</v>
      </c>
      <c r="D46" s="206" t="s">
        <v>399</v>
      </c>
      <c r="E46" s="206" t="s">
        <v>398</v>
      </c>
      <c r="F46" s="205" t="s">
        <v>397</v>
      </c>
      <c r="G46" s="205" t="s">
        <v>396</v>
      </c>
      <c r="H46" s="205" t="s">
        <v>340</v>
      </c>
      <c r="I46" s="205" t="s">
        <v>395</v>
      </c>
      <c r="J46" s="205" t="s">
        <v>394</v>
      </c>
      <c r="K46" s="205" t="s">
        <v>393</v>
      </c>
      <c r="L46" s="205" t="s">
        <v>558</v>
      </c>
      <c r="M46" s="205" t="s">
        <v>392</v>
      </c>
      <c r="N46" s="205" t="s">
        <v>391</v>
      </c>
      <c r="O46" s="205" t="s">
        <v>390</v>
      </c>
      <c r="P46" s="205" t="s">
        <v>559</v>
      </c>
      <c r="Q46" s="205" t="s">
        <v>389</v>
      </c>
      <c r="R46" s="205" t="s">
        <v>388</v>
      </c>
      <c r="S46" s="205" t="s">
        <v>387</v>
      </c>
      <c r="T46" s="205" t="s">
        <v>560</v>
      </c>
      <c r="U46" s="205" t="s">
        <v>386</v>
      </c>
      <c r="V46" s="205" t="s">
        <v>385</v>
      </c>
      <c r="W46" s="205" t="s">
        <v>384</v>
      </c>
      <c r="X46" s="205" t="s">
        <v>561</v>
      </c>
      <c r="Y46" s="205" t="s">
        <v>383</v>
      </c>
      <c r="Z46" s="205" t="s">
        <v>382</v>
      </c>
      <c r="AA46" s="205" t="s">
        <v>381</v>
      </c>
      <c r="AB46" s="205" t="s">
        <v>562</v>
      </c>
      <c r="AC46" s="205" t="s">
        <v>380</v>
      </c>
      <c r="AD46" s="204" t="s">
        <v>379</v>
      </c>
    </row>
    <row r="47" spans="2:30">
      <c r="B47" s="203" t="s">
        <v>378</v>
      </c>
      <c r="C47" s="202">
        <f t="shared" ref="C47:C52" si="24">SUM(H47:AD47)</f>
        <v>85000</v>
      </c>
      <c r="D47" s="202"/>
      <c r="E47" s="202"/>
      <c r="F47" s="202"/>
      <c r="G47" s="202"/>
      <c r="H47" s="202"/>
      <c r="I47" s="202">
        <v>8500</v>
      </c>
      <c r="J47" s="202">
        <v>17000</v>
      </c>
      <c r="K47" s="202">
        <v>17000</v>
      </c>
      <c r="L47" s="202"/>
      <c r="M47" s="202">
        <v>8500</v>
      </c>
      <c r="N47" s="202">
        <v>17000</v>
      </c>
      <c r="O47" s="202">
        <v>17000</v>
      </c>
      <c r="P47" s="202"/>
      <c r="Q47" s="202"/>
      <c r="R47" s="202"/>
      <c r="S47" s="202"/>
      <c r="T47" s="202"/>
      <c r="U47" s="202"/>
      <c r="V47" s="202"/>
      <c r="W47" s="202"/>
      <c r="X47" s="202"/>
      <c r="Y47" s="202"/>
      <c r="Z47" s="202"/>
      <c r="AA47" s="202"/>
      <c r="AB47" s="202"/>
      <c r="AC47" s="202"/>
      <c r="AD47" s="201"/>
    </row>
    <row r="48" spans="2:30">
      <c r="B48" s="203" t="s">
        <v>378</v>
      </c>
      <c r="C48" s="202">
        <f t="shared" si="24"/>
        <v>60500</v>
      </c>
      <c r="D48" s="202"/>
      <c r="E48" s="202"/>
      <c r="F48" s="202"/>
      <c r="G48" s="202"/>
      <c r="H48" s="202"/>
      <c r="I48" s="202">
        <v>1500</v>
      </c>
      <c r="J48" s="202">
        <v>1500</v>
      </c>
      <c r="K48" s="202">
        <v>1500</v>
      </c>
      <c r="L48" s="202"/>
      <c r="M48" s="202">
        <v>1500</v>
      </c>
      <c r="N48" s="202">
        <v>1500</v>
      </c>
      <c r="O48" s="202">
        <v>1500</v>
      </c>
      <c r="P48" s="202"/>
      <c r="Q48" s="202">
        <v>4700</v>
      </c>
      <c r="R48" s="202">
        <v>4700</v>
      </c>
      <c r="S48" s="202">
        <v>4700</v>
      </c>
      <c r="T48" s="202"/>
      <c r="U48" s="202">
        <v>4700</v>
      </c>
      <c r="V48" s="202">
        <v>4700</v>
      </c>
      <c r="W48" s="202">
        <v>4700</v>
      </c>
      <c r="X48" s="202"/>
      <c r="Y48" s="202">
        <v>4700</v>
      </c>
      <c r="Z48" s="202">
        <v>4700</v>
      </c>
      <c r="AA48" s="202">
        <v>4700</v>
      </c>
      <c r="AB48" s="202"/>
      <c r="AC48" s="202">
        <v>4700</v>
      </c>
      <c r="AD48" s="201">
        <v>4500</v>
      </c>
    </row>
    <row r="49" spans="2:30">
      <c r="B49" s="203" t="s">
        <v>43</v>
      </c>
      <c r="C49" s="202">
        <f t="shared" si="24"/>
        <v>50000</v>
      </c>
      <c r="D49" s="202"/>
      <c r="E49" s="202"/>
      <c r="F49" s="202"/>
      <c r="G49" s="202"/>
      <c r="H49" s="202"/>
      <c r="I49" s="202"/>
      <c r="J49" s="202">
        <v>5000</v>
      </c>
      <c r="K49" s="202">
        <v>5000</v>
      </c>
      <c r="L49" s="202"/>
      <c r="M49" s="202"/>
      <c r="N49" s="202">
        <v>5000</v>
      </c>
      <c r="O49" s="202">
        <v>5000</v>
      </c>
      <c r="P49" s="202"/>
      <c r="Q49" s="202"/>
      <c r="R49" s="202">
        <v>5000</v>
      </c>
      <c r="S49" s="202">
        <v>5000</v>
      </c>
      <c r="T49" s="202"/>
      <c r="U49" s="202"/>
      <c r="V49" s="202">
        <v>5000</v>
      </c>
      <c r="W49" s="202">
        <v>5000</v>
      </c>
      <c r="X49" s="202"/>
      <c r="Y49" s="202"/>
      <c r="Z49" s="202"/>
      <c r="AA49" s="202"/>
      <c r="AB49" s="202"/>
      <c r="AC49" s="202">
        <v>5000</v>
      </c>
      <c r="AD49" s="201">
        <v>5000</v>
      </c>
    </row>
    <row r="50" spans="2:30">
      <c r="B50" s="203" t="s">
        <v>250</v>
      </c>
      <c r="C50" s="202">
        <f t="shared" si="24"/>
        <v>51000</v>
      </c>
      <c r="D50" s="202"/>
      <c r="E50" s="202"/>
      <c r="F50" s="202"/>
      <c r="G50" s="202"/>
      <c r="H50" s="202"/>
      <c r="I50" s="202"/>
      <c r="J50" s="202">
        <v>51000</v>
      </c>
      <c r="K50" s="202"/>
      <c r="L50" s="202"/>
      <c r="M50" s="202"/>
      <c r="N50" s="202"/>
      <c r="O50" s="202"/>
      <c r="P50" s="202"/>
      <c r="Q50" s="202"/>
      <c r="R50" s="202"/>
      <c r="S50" s="202"/>
      <c r="T50" s="202"/>
      <c r="U50" s="202"/>
      <c r="V50" s="202"/>
      <c r="W50" s="202"/>
      <c r="X50" s="202"/>
      <c r="Y50" s="202"/>
      <c r="Z50" s="202"/>
      <c r="AA50" s="202"/>
      <c r="AB50" s="202"/>
      <c r="AC50" s="202"/>
      <c r="AD50" s="201"/>
    </row>
    <row r="51" spans="2:30">
      <c r="B51" s="203" t="s">
        <v>377</v>
      </c>
      <c r="C51" s="202">
        <f t="shared" si="24"/>
        <v>65608.076789999992</v>
      </c>
      <c r="D51" s="202"/>
      <c r="E51" s="202"/>
      <c r="F51" s="202"/>
      <c r="G51" s="202"/>
      <c r="H51" s="202"/>
      <c r="I51" s="202">
        <f>I29</f>
        <v>18600</v>
      </c>
      <c r="J51" s="202">
        <f>J29</f>
        <v>47008.076789999999</v>
      </c>
      <c r="K51" s="202"/>
      <c r="L51" s="202"/>
      <c r="M51" s="202"/>
      <c r="N51" s="202"/>
      <c r="O51" s="202"/>
      <c r="P51" s="202"/>
      <c r="Q51" s="202"/>
      <c r="R51" s="202"/>
      <c r="S51" s="202"/>
      <c r="T51" s="202"/>
      <c r="U51" s="202"/>
      <c r="V51" s="202"/>
      <c r="W51" s="202"/>
      <c r="X51" s="202"/>
      <c r="Y51" s="202"/>
      <c r="Z51" s="202"/>
      <c r="AA51" s="202"/>
      <c r="AB51" s="202"/>
      <c r="AC51" s="202"/>
      <c r="AD51" s="201"/>
    </row>
    <row r="52" spans="2:30">
      <c r="B52" s="203" t="s">
        <v>377</v>
      </c>
      <c r="C52" s="202">
        <f t="shared" si="24"/>
        <v>0</v>
      </c>
      <c r="D52" s="202"/>
      <c r="E52" s="202"/>
      <c r="F52" s="202"/>
      <c r="G52" s="202"/>
      <c r="H52" s="202"/>
      <c r="I52" s="202"/>
      <c r="J52" s="202"/>
      <c r="K52" s="202"/>
      <c r="L52" s="202"/>
      <c r="M52" s="202"/>
      <c r="N52" s="202"/>
      <c r="O52" s="202"/>
      <c r="P52" s="202"/>
      <c r="Q52" s="202"/>
      <c r="R52" s="202"/>
      <c r="S52" s="202"/>
      <c r="T52" s="202"/>
      <c r="U52" s="202"/>
      <c r="V52" s="202"/>
      <c r="W52" s="202"/>
      <c r="X52" s="202"/>
      <c r="Y52" s="202"/>
      <c r="Z52" s="202"/>
      <c r="AA52" s="202"/>
      <c r="AB52" s="202"/>
      <c r="AC52" s="202"/>
      <c r="AD52" s="201"/>
    </row>
    <row r="53" spans="2:30" ht="16" thickBot="1">
      <c r="B53" s="200" t="s">
        <v>176</v>
      </c>
      <c r="C53" s="199">
        <f t="shared" ref="C53:AD53" si="25">SUM(C47:C52)</f>
        <v>312108.07678999996</v>
      </c>
      <c r="D53" s="199"/>
      <c r="E53" s="199"/>
      <c r="F53" s="199"/>
      <c r="G53" s="199"/>
      <c r="H53" s="199">
        <f t="shared" si="25"/>
        <v>0</v>
      </c>
      <c r="I53" s="199">
        <f t="shared" si="25"/>
        <v>28600</v>
      </c>
      <c r="J53" s="199">
        <f t="shared" si="25"/>
        <v>121508.07678999999</v>
      </c>
      <c r="K53" s="199">
        <f t="shared" si="25"/>
        <v>23500</v>
      </c>
      <c r="L53" s="199"/>
      <c r="M53" s="199">
        <f t="shared" si="25"/>
        <v>10000</v>
      </c>
      <c r="N53" s="199">
        <f t="shared" si="25"/>
        <v>23500</v>
      </c>
      <c r="O53" s="199">
        <f t="shared" si="25"/>
        <v>23500</v>
      </c>
      <c r="P53" s="199"/>
      <c r="Q53" s="199">
        <f t="shared" si="25"/>
        <v>4700</v>
      </c>
      <c r="R53" s="199">
        <f t="shared" si="25"/>
        <v>9700</v>
      </c>
      <c r="S53" s="199">
        <f t="shared" si="25"/>
        <v>9700</v>
      </c>
      <c r="T53" s="199"/>
      <c r="U53" s="199">
        <f t="shared" si="25"/>
        <v>4700</v>
      </c>
      <c r="V53" s="199">
        <f t="shared" si="25"/>
        <v>9700</v>
      </c>
      <c r="W53" s="199">
        <f t="shared" si="25"/>
        <v>9700</v>
      </c>
      <c r="X53" s="199"/>
      <c r="Y53" s="199">
        <f t="shared" si="25"/>
        <v>4700</v>
      </c>
      <c r="Z53" s="199">
        <f t="shared" si="25"/>
        <v>4700</v>
      </c>
      <c r="AA53" s="199">
        <f t="shared" si="25"/>
        <v>4700</v>
      </c>
      <c r="AB53" s="199"/>
      <c r="AC53" s="199">
        <f t="shared" si="25"/>
        <v>9700</v>
      </c>
      <c r="AD53" s="198">
        <f t="shared" si="25"/>
        <v>9500</v>
      </c>
    </row>
    <row r="55" spans="2:30" ht="16" thickBot="1"/>
    <row r="56" spans="2:30">
      <c r="B56" s="214" t="s">
        <v>175</v>
      </c>
      <c r="C56" s="316"/>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213"/>
    </row>
    <row r="57" spans="2:30">
      <c r="B57" s="210" t="s">
        <v>541</v>
      </c>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209"/>
    </row>
    <row r="58" spans="2:30">
      <c r="B58" s="208" t="s">
        <v>401</v>
      </c>
      <c r="C58" s="207" t="s">
        <v>39</v>
      </c>
      <c r="D58" s="206"/>
      <c r="E58" s="206" t="s">
        <v>546</v>
      </c>
      <c r="F58" s="205" t="s">
        <v>547</v>
      </c>
      <c r="G58" s="205" t="s">
        <v>548</v>
      </c>
      <c r="H58" s="205" t="s">
        <v>403</v>
      </c>
      <c r="I58" s="205" t="s">
        <v>395</v>
      </c>
      <c r="J58" s="205" t="s">
        <v>394</v>
      </c>
      <c r="K58" s="205" t="s">
        <v>393</v>
      </c>
      <c r="L58" s="205" t="s">
        <v>558</v>
      </c>
      <c r="M58" s="205" t="s">
        <v>392</v>
      </c>
      <c r="N58" s="205" t="s">
        <v>391</v>
      </c>
      <c r="O58" s="205" t="s">
        <v>390</v>
      </c>
      <c r="P58" s="205" t="s">
        <v>559</v>
      </c>
      <c r="Q58" s="205" t="s">
        <v>389</v>
      </c>
      <c r="R58" s="205" t="s">
        <v>388</v>
      </c>
      <c r="S58" s="205" t="s">
        <v>387</v>
      </c>
      <c r="T58" s="205" t="s">
        <v>560</v>
      </c>
      <c r="U58" s="205" t="s">
        <v>386</v>
      </c>
      <c r="V58" s="205" t="s">
        <v>385</v>
      </c>
      <c r="W58" s="205" t="s">
        <v>384</v>
      </c>
      <c r="X58" s="205" t="s">
        <v>561</v>
      </c>
      <c r="Y58" s="205" t="s">
        <v>383</v>
      </c>
      <c r="Z58" s="205" t="s">
        <v>382</v>
      </c>
      <c r="AA58" s="205" t="s">
        <v>381</v>
      </c>
      <c r="AB58" s="205" t="s">
        <v>562</v>
      </c>
      <c r="AC58" s="205" t="s">
        <v>380</v>
      </c>
      <c r="AD58" s="204" t="s">
        <v>379</v>
      </c>
    </row>
    <row r="59" spans="2:30">
      <c r="B59" s="203" t="s">
        <v>378</v>
      </c>
      <c r="C59" s="315">
        <f>'ИИ_КП_1 пол 20'!K11</f>
        <v>6.1499999999999999E-2</v>
      </c>
      <c r="D59" s="202"/>
      <c r="E59" s="202"/>
      <c r="F59" s="202"/>
      <c r="G59" s="202"/>
      <c r="H59" s="202">
        <f t="shared" ref="H59:H64" si="26">AVERAGE(G37:H37)*$C59/4</f>
        <v>1306.875</v>
      </c>
      <c r="I59" s="202">
        <f t="shared" ref="I59:K64" si="27">AVERAGE(H37:I37)*$C59/4</f>
        <v>1241.53125</v>
      </c>
      <c r="J59" s="202">
        <f t="shared" si="27"/>
        <v>1045.5</v>
      </c>
      <c r="K59" s="202">
        <f t="shared" si="27"/>
        <v>784.125</v>
      </c>
      <c r="L59" s="202">
        <f t="shared" ref="L59:M64" si="28">AVERAGE(K37:L37)*$C59/4</f>
        <v>653.4375</v>
      </c>
      <c r="M59" s="202">
        <f t="shared" si="28"/>
        <v>588.09375</v>
      </c>
      <c r="N59" s="202">
        <f t="shared" ref="N59:AD59" si="29">AVERAGE(M37:N37)*$C59/4</f>
        <v>392.0625</v>
      </c>
      <c r="O59" s="202">
        <f t="shared" si="29"/>
        <v>130.6875</v>
      </c>
      <c r="P59" s="202">
        <f t="shared" si="29"/>
        <v>0</v>
      </c>
      <c r="Q59" s="202">
        <f t="shared" si="29"/>
        <v>0</v>
      </c>
      <c r="R59" s="202">
        <f t="shared" si="29"/>
        <v>0</v>
      </c>
      <c r="S59" s="202">
        <f t="shared" si="29"/>
        <v>0</v>
      </c>
      <c r="T59" s="202">
        <f t="shared" si="29"/>
        <v>0</v>
      </c>
      <c r="U59" s="202">
        <f t="shared" si="29"/>
        <v>0</v>
      </c>
      <c r="V59" s="202">
        <f t="shared" si="29"/>
        <v>0</v>
      </c>
      <c r="W59" s="202">
        <f t="shared" si="29"/>
        <v>0</v>
      </c>
      <c r="X59" s="202">
        <f t="shared" si="29"/>
        <v>0</v>
      </c>
      <c r="Y59" s="202">
        <f t="shared" si="29"/>
        <v>0</v>
      </c>
      <c r="Z59" s="202">
        <f t="shared" si="29"/>
        <v>0</v>
      </c>
      <c r="AA59" s="202">
        <f t="shared" si="29"/>
        <v>0</v>
      </c>
      <c r="AB59" s="202">
        <f t="shared" si="29"/>
        <v>0</v>
      </c>
      <c r="AC59" s="202">
        <f t="shared" si="29"/>
        <v>0</v>
      </c>
      <c r="AD59" s="201">
        <f t="shared" si="29"/>
        <v>0</v>
      </c>
    </row>
    <row r="60" spans="2:30">
      <c r="B60" s="203" t="s">
        <v>378</v>
      </c>
      <c r="C60" s="315">
        <f>'ИИ_КП_1 пол 20'!K12</f>
        <v>2.8000000000000001E-2</v>
      </c>
      <c r="D60" s="202"/>
      <c r="E60" s="202"/>
      <c r="F60" s="202"/>
      <c r="G60" s="202"/>
      <c r="H60" s="202">
        <f t="shared" si="26"/>
        <v>423.5</v>
      </c>
      <c r="I60" s="202">
        <f>AVERAGE(H38:I38)*$C60/4</f>
        <v>418.25</v>
      </c>
      <c r="J60" s="202">
        <f>AVERAGE(I38:J38)*$C60/4</f>
        <v>407.75</v>
      </c>
      <c r="K60" s="202">
        <f>AVERAGE(J38:K38)*$C60/4</f>
        <v>397.25</v>
      </c>
      <c r="L60" s="202">
        <f t="shared" si="28"/>
        <v>392</v>
      </c>
      <c r="M60" s="202">
        <f t="shared" si="28"/>
        <v>386.75</v>
      </c>
      <c r="N60" s="202">
        <f t="shared" ref="N60:AD60" si="30">AVERAGE(M38:N38)*$C60/4</f>
        <v>376.25</v>
      </c>
      <c r="O60" s="202">
        <f t="shared" si="30"/>
        <v>365.75</v>
      </c>
      <c r="P60" s="202">
        <f t="shared" si="30"/>
        <v>360.5</v>
      </c>
      <c r="Q60" s="202">
        <f t="shared" si="30"/>
        <v>344.05</v>
      </c>
      <c r="R60" s="202">
        <f t="shared" si="30"/>
        <v>311.15000000000003</v>
      </c>
      <c r="S60" s="202">
        <f t="shared" si="30"/>
        <v>278.25</v>
      </c>
      <c r="T60" s="202">
        <f t="shared" si="30"/>
        <v>261.8</v>
      </c>
      <c r="U60" s="202">
        <f t="shared" si="30"/>
        <v>245.35</v>
      </c>
      <c r="V60" s="202">
        <f t="shared" si="30"/>
        <v>212.45000000000002</v>
      </c>
      <c r="W60" s="202">
        <f t="shared" si="30"/>
        <v>179.55</v>
      </c>
      <c r="X60" s="202">
        <f t="shared" si="30"/>
        <v>163.1</v>
      </c>
      <c r="Y60" s="202">
        <f t="shared" si="30"/>
        <v>146.65</v>
      </c>
      <c r="Z60" s="202">
        <f t="shared" si="30"/>
        <v>113.75</v>
      </c>
      <c r="AA60" s="202">
        <f t="shared" si="30"/>
        <v>80.850000000000009</v>
      </c>
      <c r="AB60" s="202">
        <f t="shared" si="30"/>
        <v>64.400000000000006</v>
      </c>
      <c r="AC60" s="202">
        <f t="shared" si="30"/>
        <v>47.95</v>
      </c>
      <c r="AD60" s="201">
        <f t="shared" si="30"/>
        <v>15.75</v>
      </c>
    </row>
    <row r="61" spans="2:30">
      <c r="B61" s="203" t="s">
        <v>43</v>
      </c>
      <c r="C61" s="315">
        <f>'ИИ_КП_1 пол 20'!K13</f>
        <v>3.5000000000000003E-2</v>
      </c>
      <c r="D61" s="202"/>
      <c r="E61" s="202"/>
      <c r="F61" s="202"/>
      <c r="G61" s="202"/>
      <c r="H61" s="202">
        <f t="shared" si="26"/>
        <v>437.50000000000006</v>
      </c>
      <c r="I61" s="202">
        <f t="shared" si="27"/>
        <v>437.50000000000006</v>
      </c>
      <c r="J61" s="202">
        <f t="shared" si="27"/>
        <v>415.62500000000006</v>
      </c>
      <c r="K61" s="202">
        <f t="shared" si="27"/>
        <v>371.87500000000006</v>
      </c>
      <c r="L61" s="202">
        <f t="shared" si="28"/>
        <v>350.00000000000006</v>
      </c>
      <c r="M61" s="202">
        <f t="shared" si="28"/>
        <v>350.00000000000006</v>
      </c>
      <c r="N61" s="202">
        <f t="shared" ref="N61:AD61" si="31">AVERAGE(M39:N39)*$C61/4</f>
        <v>328.12500000000006</v>
      </c>
      <c r="O61" s="202">
        <f t="shared" si="31"/>
        <v>284.375</v>
      </c>
      <c r="P61" s="202">
        <f t="shared" si="31"/>
        <v>262.5</v>
      </c>
      <c r="Q61" s="202">
        <f t="shared" si="31"/>
        <v>262.5</v>
      </c>
      <c r="R61" s="202">
        <f t="shared" si="31"/>
        <v>240.62500000000003</v>
      </c>
      <c r="S61" s="202">
        <f t="shared" si="31"/>
        <v>196.87500000000003</v>
      </c>
      <c r="T61" s="202">
        <f t="shared" si="31"/>
        <v>175.00000000000003</v>
      </c>
      <c r="U61" s="202">
        <f t="shared" si="31"/>
        <v>175.00000000000003</v>
      </c>
      <c r="V61" s="202">
        <f t="shared" si="31"/>
        <v>153.12500000000003</v>
      </c>
      <c r="W61" s="202">
        <f t="shared" si="31"/>
        <v>109.37500000000001</v>
      </c>
      <c r="X61" s="202">
        <f t="shared" si="31"/>
        <v>87.500000000000014</v>
      </c>
      <c r="Y61" s="202">
        <f t="shared" si="31"/>
        <v>87.500000000000014</v>
      </c>
      <c r="Z61" s="202">
        <f t="shared" si="31"/>
        <v>87.500000000000014</v>
      </c>
      <c r="AA61" s="202">
        <f t="shared" si="31"/>
        <v>87.500000000000014</v>
      </c>
      <c r="AB61" s="202">
        <f t="shared" si="31"/>
        <v>87.500000000000014</v>
      </c>
      <c r="AC61" s="202">
        <f t="shared" si="31"/>
        <v>65.625</v>
      </c>
      <c r="AD61" s="201">
        <f t="shared" si="31"/>
        <v>21.875000000000004</v>
      </c>
    </row>
    <row r="62" spans="2:30">
      <c r="B62" s="203" t="s">
        <v>250</v>
      </c>
      <c r="C62" s="315">
        <f>'ИИ_КП_1 пол 20'!K14</f>
        <v>2.8000000000000001E-2</v>
      </c>
      <c r="D62" s="202"/>
      <c r="E62" s="202"/>
      <c r="F62" s="202"/>
      <c r="G62" s="202"/>
      <c r="H62" s="202">
        <f t="shared" si="26"/>
        <v>357</v>
      </c>
      <c r="I62" s="202">
        <f t="shared" si="27"/>
        <v>357</v>
      </c>
      <c r="J62" s="202">
        <f t="shared" si="27"/>
        <v>178.5</v>
      </c>
      <c r="K62" s="202">
        <f t="shared" si="27"/>
        <v>0</v>
      </c>
      <c r="L62" s="202">
        <f t="shared" si="28"/>
        <v>0</v>
      </c>
      <c r="M62" s="202">
        <f t="shared" si="28"/>
        <v>0</v>
      </c>
      <c r="N62" s="202">
        <f t="shared" ref="N62:AD62" si="32">AVERAGE(M40:N40)*$C62/4</f>
        <v>0</v>
      </c>
      <c r="O62" s="202">
        <f t="shared" si="32"/>
        <v>0</v>
      </c>
      <c r="P62" s="202">
        <f t="shared" si="32"/>
        <v>0</v>
      </c>
      <c r="Q62" s="202">
        <f t="shared" si="32"/>
        <v>0</v>
      </c>
      <c r="R62" s="202">
        <f t="shared" si="32"/>
        <v>0</v>
      </c>
      <c r="S62" s="202">
        <f t="shared" si="32"/>
        <v>0</v>
      </c>
      <c r="T62" s="202">
        <f t="shared" si="32"/>
        <v>0</v>
      </c>
      <c r="U62" s="202">
        <f t="shared" si="32"/>
        <v>0</v>
      </c>
      <c r="V62" s="202">
        <f t="shared" si="32"/>
        <v>0</v>
      </c>
      <c r="W62" s="202">
        <f t="shared" si="32"/>
        <v>0</v>
      </c>
      <c r="X62" s="202">
        <f t="shared" si="32"/>
        <v>0</v>
      </c>
      <c r="Y62" s="202">
        <f t="shared" si="32"/>
        <v>0</v>
      </c>
      <c r="Z62" s="202">
        <f t="shared" si="32"/>
        <v>0</v>
      </c>
      <c r="AA62" s="202">
        <f t="shared" si="32"/>
        <v>0</v>
      </c>
      <c r="AB62" s="202">
        <f t="shared" si="32"/>
        <v>0</v>
      </c>
      <c r="AC62" s="202">
        <f t="shared" si="32"/>
        <v>0</v>
      </c>
      <c r="AD62" s="201">
        <f t="shared" si="32"/>
        <v>0</v>
      </c>
    </row>
    <row r="63" spans="2:30">
      <c r="B63" s="203" t="s">
        <v>377</v>
      </c>
      <c r="C63" s="315">
        <f>' НЗ 2020 1е полуг'!F13/100</f>
        <v>2.7799999999999998E-2</v>
      </c>
      <c r="D63" s="202"/>
      <c r="E63" s="202"/>
      <c r="F63" s="202"/>
      <c r="G63" s="202"/>
      <c r="H63" s="202">
        <f t="shared" si="26"/>
        <v>402.36054634049992</v>
      </c>
      <c r="I63" s="202">
        <f t="shared" si="27"/>
        <v>391.34113369049993</v>
      </c>
      <c r="J63" s="202">
        <f t="shared" si="27"/>
        <v>163.35306684524997</v>
      </c>
      <c r="K63" s="202">
        <f t="shared" si="27"/>
        <v>0</v>
      </c>
      <c r="L63" s="202">
        <f t="shared" si="28"/>
        <v>0</v>
      </c>
      <c r="M63" s="202">
        <f t="shared" si="28"/>
        <v>0</v>
      </c>
      <c r="N63" s="202">
        <f t="shared" ref="N63:AD63" si="33">AVERAGE(M41:N41)*$C63/4</f>
        <v>0</v>
      </c>
      <c r="O63" s="202">
        <f t="shared" si="33"/>
        <v>0</v>
      </c>
      <c r="P63" s="202">
        <f t="shared" si="33"/>
        <v>0</v>
      </c>
      <c r="Q63" s="202">
        <f t="shared" si="33"/>
        <v>0</v>
      </c>
      <c r="R63" s="202">
        <f t="shared" si="33"/>
        <v>0</v>
      </c>
      <c r="S63" s="202">
        <f t="shared" si="33"/>
        <v>0</v>
      </c>
      <c r="T63" s="202">
        <f t="shared" si="33"/>
        <v>0</v>
      </c>
      <c r="U63" s="202">
        <f t="shared" si="33"/>
        <v>0</v>
      </c>
      <c r="V63" s="202">
        <f t="shared" si="33"/>
        <v>0</v>
      </c>
      <c r="W63" s="202">
        <f t="shared" si="33"/>
        <v>0</v>
      </c>
      <c r="X63" s="202">
        <f t="shared" si="33"/>
        <v>0</v>
      </c>
      <c r="Y63" s="202">
        <f t="shared" si="33"/>
        <v>0</v>
      </c>
      <c r="Z63" s="202">
        <f t="shared" si="33"/>
        <v>0</v>
      </c>
      <c r="AA63" s="202">
        <f t="shared" si="33"/>
        <v>0</v>
      </c>
      <c r="AB63" s="202">
        <f t="shared" si="33"/>
        <v>0</v>
      </c>
      <c r="AC63" s="202">
        <f t="shared" si="33"/>
        <v>0</v>
      </c>
      <c r="AD63" s="201">
        <f t="shared" si="33"/>
        <v>0</v>
      </c>
    </row>
    <row r="64" spans="2:30">
      <c r="B64" s="203" t="s">
        <v>377</v>
      </c>
      <c r="C64" s="314">
        <f>' НЗ 2020 1е полуг'!F13/100</f>
        <v>2.7799999999999998E-2</v>
      </c>
      <c r="D64" s="202"/>
      <c r="E64" s="202"/>
      <c r="F64" s="202"/>
      <c r="G64" s="202"/>
      <c r="H64" s="202">
        <f t="shared" si="26"/>
        <v>0</v>
      </c>
      <c r="I64" s="202">
        <f t="shared" si="27"/>
        <v>0</v>
      </c>
      <c r="J64" s="202">
        <f t="shared" si="27"/>
        <v>0</v>
      </c>
      <c r="K64" s="202">
        <f t="shared" si="27"/>
        <v>0</v>
      </c>
      <c r="L64" s="202">
        <f t="shared" si="28"/>
        <v>0</v>
      </c>
      <c r="M64" s="202">
        <f t="shared" si="28"/>
        <v>0</v>
      </c>
      <c r="N64" s="202">
        <f t="shared" ref="N64:AD64" si="34">AVERAGE(M42:N42)*$C64/4</f>
        <v>0</v>
      </c>
      <c r="O64" s="202">
        <f t="shared" si="34"/>
        <v>0</v>
      </c>
      <c r="P64" s="202">
        <f t="shared" si="34"/>
        <v>0</v>
      </c>
      <c r="Q64" s="202">
        <f t="shared" si="34"/>
        <v>0</v>
      </c>
      <c r="R64" s="202">
        <f t="shared" si="34"/>
        <v>0</v>
      </c>
      <c r="S64" s="202">
        <f t="shared" si="34"/>
        <v>0</v>
      </c>
      <c r="T64" s="202">
        <f t="shared" si="34"/>
        <v>0</v>
      </c>
      <c r="U64" s="202">
        <f t="shared" si="34"/>
        <v>0</v>
      </c>
      <c r="V64" s="202">
        <f t="shared" si="34"/>
        <v>0</v>
      </c>
      <c r="W64" s="202">
        <f t="shared" si="34"/>
        <v>0</v>
      </c>
      <c r="X64" s="202">
        <f t="shared" si="34"/>
        <v>0</v>
      </c>
      <c r="Y64" s="202">
        <f t="shared" si="34"/>
        <v>0</v>
      </c>
      <c r="Z64" s="202">
        <f t="shared" si="34"/>
        <v>0</v>
      </c>
      <c r="AA64" s="202">
        <f t="shared" si="34"/>
        <v>0</v>
      </c>
      <c r="AB64" s="202">
        <f t="shared" si="34"/>
        <v>0</v>
      </c>
      <c r="AC64" s="202">
        <f t="shared" si="34"/>
        <v>0</v>
      </c>
      <c r="AD64" s="201">
        <f t="shared" si="34"/>
        <v>0</v>
      </c>
    </row>
    <row r="65" spans="2:30" ht="16" thickBot="1">
      <c r="B65" s="319" t="s">
        <v>176</v>
      </c>
      <c r="C65" s="199">
        <f>SUM(C59:C64)</f>
        <v>0.20809999999999998</v>
      </c>
      <c r="D65" s="199">
        <f t="shared" ref="D65:L65" si="35">SUM(D59:D64)</f>
        <v>0</v>
      </c>
      <c r="E65" s="199">
        <f t="shared" si="35"/>
        <v>0</v>
      </c>
      <c r="F65" s="199">
        <f t="shared" si="35"/>
        <v>0</v>
      </c>
      <c r="G65" s="199">
        <f t="shared" si="35"/>
        <v>0</v>
      </c>
      <c r="H65" s="199">
        <f t="shared" si="35"/>
        <v>2927.2355463405002</v>
      </c>
      <c r="I65" s="199">
        <f t="shared" si="35"/>
        <v>2845.6223836905001</v>
      </c>
      <c r="J65" s="199">
        <f t="shared" si="35"/>
        <v>2210.7280668452499</v>
      </c>
      <c r="K65" s="199">
        <f t="shared" si="35"/>
        <v>1553.25</v>
      </c>
      <c r="L65" s="199">
        <f t="shared" si="35"/>
        <v>1395.4375</v>
      </c>
      <c r="M65" s="199">
        <f t="shared" ref="M65:AD65" si="36">SUM(M59:M64)</f>
        <v>1324.84375</v>
      </c>
      <c r="N65" s="199">
        <f t="shared" si="36"/>
        <v>1096.4375</v>
      </c>
      <c r="O65" s="199">
        <f t="shared" si="36"/>
        <v>780.8125</v>
      </c>
      <c r="P65" s="199">
        <f t="shared" si="36"/>
        <v>623</v>
      </c>
      <c r="Q65" s="199">
        <f t="shared" si="36"/>
        <v>606.54999999999995</v>
      </c>
      <c r="R65" s="199">
        <f t="shared" si="36"/>
        <v>551.77500000000009</v>
      </c>
      <c r="S65" s="199">
        <f t="shared" si="36"/>
        <v>475.125</v>
      </c>
      <c r="T65" s="199">
        <f t="shared" si="36"/>
        <v>436.80000000000007</v>
      </c>
      <c r="U65" s="199">
        <f t="shared" si="36"/>
        <v>420.35</v>
      </c>
      <c r="V65" s="199">
        <f t="shared" si="36"/>
        <v>365.57500000000005</v>
      </c>
      <c r="W65" s="199">
        <f t="shared" si="36"/>
        <v>288.92500000000001</v>
      </c>
      <c r="X65" s="199">
        <f t="shared" si="36"/>
        <v>250.60000000000002</v>
      </c>
      <c r="Y65" s="199">
        <f t="shared" si="36"/>
        <v>234.15000000000003</v>
      </c>
      <c r="Z65" s="199">
        <f t="shared" si="36"/>
        <v>201.25</v>
      </c>
      <c r="AA65" s="199">
        <f t="shared" si="36"/>
        <v>168.35000000000002</v>
      </c>
      <c r="AB65" s="199">
        <f t="shared" si="36"/>
        <v>151.90000000000003</v>
      </c>
      <c r="AC65" s="199">
        <f t="shared" si="36"/>
        <v>113.575</v>
      </c>
      <c r="AD65" s="198">
        <f t="shared" si="36"/>
        <v>37.625</v>
      </c>
    </row>
    <row r="66" spans="2:30" ht="16" thickBot="1"/>
    <row r="67" spans="2:30">
      <c r="B67" s="332" t="s">
        <v>544</v>
      </c>
      <c r="C67" s="333"/>
      <c r="D67" s="334" t="s">
        <v>399</v>
      </c>
      <c r="E67" s="334" t="s">
        <v>398</v>
      </c>
      <c r="F67" s="335" t="s">
        <v>397</v>
      </c>
      <c r="G67" s="335" t="s">
        <v>396</v>
      </c>
      <c r="H67" s="335" t="s">
        <v>340</v>
      </c>
      <c r="I67" s="335" t="s">
        <v>395</v>
      </c>
      <c r="J67" s="335" t="s">
        <v>394</v>
      </c>
      <c r="K67" s="335" t="s">
        <v>393</v>
      </c>
      <c r="L67" s="335" t="s">
        <v>558</v>
      </c>
      <c r="M67" s="335" t="s">
        <v>392</v>
      </c>
      <c r="N67" s="335" t="s">
        <v>391</v>
      </c>
      <c r="O67" s="335" t="s">
        <v>390</v>
      </c>
      <c r="P67" s="335" t="s">
        <v>559</v>
      </c>
      <c r="Q67" s="335" t="s">
        <v>389</v>
      </c>
      <c r="R67" s="335" t="s">
        <v>388</v>
      </c>
      <c r="S67" s="335" t="s">
        <v>387</v>
      </c>
      <c r="T67" s="335" t="s">
        <v>560</v>
      </c>
      <c r="U67" s="335" t="s">
        <v>386</v>
      </c>
      <c r="V67" s="335" t="s">
        <v>385</v>
      </c>
      <c r="W67" s="335" t="s">
        <v>384</v>
      </c>
      <c r="X67" s="335" t="s">
        <v>561</v>
      </c>
      <c r="Y67" s="335" t="s">
        <v>383</v>
      </c>
      <c r="Z67" s="335" t="s">
        <v>382</v>
      </c>
      <c r="AA67" s="335" t="s">
        <v>381</v>
      </c>
      <c r="AB67" s="335" t="s">
        <v>562</v>
      </c>
      <c r="AC67" s="335" t="s">
        <v>380</v>
      </c>
      <c r="AD67" s="336" t="s">
        <v>379</v>
      </c>
    </row>
    <row r="68" spans="2:30">
      <c r="B68" s="210" t="s">
        <v>545</v>
      </c>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209"/>
    </row>
    <row r="69" spans="2:30">
      <c r="B69" s="203" t="str">
        <f>B59</f>
        <v xml:space="preserve">ПАО Сбербанк </v>
      </c>
      <c r="C69" s="70"/>
      <c r="D69" s="202"/>
      <c r="E69" s="202"/>
      <c r="F69" s="202"/>
      <c r="G69" s="202">
        <f t="shared" ref="G69:L69" si="37">G37</f>
        <v>85000</v>
      </c>
      <c r="H69" s="202">
        <f t="shared" si="37"/>
        <v>85000</v>
      </c>
      <c r="I69" s="202">
        <f t="shared" si="37"/>
        <v>76500</v>
      </c>
      <c r="J69" s="202">
        <f t="shared" si="37"/>
        <v>59500</v>
      </c>
      <c r="K69" s="202">
        <f t="shared" si="37"/>
        <v>42500</v>
      </c>
      <c r="L69" s="202">
        <f t="shared" si="37"/>
        <v>42500</v>
      </c>
      <c r="M69" s="202">
        <f t="shared" ref="M69:AD69" si="38">M37</f>
        <v>34000</v>
      </c>
      <c r="N69" s="202">
        <f t="shared" si="38"/>
        <v>17000</v>
      </c>
      <c r="O69" s="202">
        <f t="shared" si="38"/>
        <v>0</v>
      </c>
      <c r="P69" s="202">
        <f t="shared" si="38"/>
        <v>0</v>
      </c>
      <c r="Q69" s="202">
        <f t="shared" si="38"/>
        <v>0</v>
      </c>
      <c r="R69" s="202">
        <f t="shared" si="38"/>
        <v>0</v>
      </c>
      <c r="S69" s="202">
        <f t="shared" si="38"/>
        <v>0</v>
      </c>
      <c r="T69" s="202">
        <f t="shared" si="38"/>
        <v>0</v>
      </c>
      <c r="U69" s="202">
        <f t="shared" si="38"/>
        <v>0</v>
      </c>
      <c r="V69" s="202">
        <f t="shared" si="38"/>
        <v>0</v>
      </c>
      <c r="W69" s="202">
        <f t="shared" si="38"/>
        <v>0</v>
      </c>
      <c r="X69" s="202">
        <f t="shared" si="38"/>
        <v>0</v>
      </c>
      <c r="Y69" s="202">
        <f t="shared" si="38"/>
        <v>0</v>
      </c>
      <c r="Z69" s="202">
        <f t="shared" si="38"/>
        <v>0</v>
      </c>
      <c r="AA69" s="202">
        <f t="shared" si="38"/>
        <v>0</v>
      </c>
      <c r="AB69" s="202">
        <f t="shared" si="38"/>
        <v>0</v>
      </c>
      <c r="AC69" s="202">
        <f t="shared" si="38"/>
        <v>0</v>
      </c>
      <c r="AD69" s="201">
        <f t="shared" si="38"/>
        <v>0</v>
      </c>
    </row>
    <row r="70" spans="2:30">
      <c r="B70" s="203" t="str">
        <f>B60</f>
        <v xml:space="preserve">ПАО Сбербанк </v>
      </c>
      <c r="C70" s="70"/>
      <c r="D70" s="202"/>
      <c r="E70" s="202"/>
      <c r="F70" s="202"/>
      <c r="G70" s="202">
        <f t="shared" ref="G70:L70" si="39">G38</f>
        <v>60500</v>
      </c>
      <c r="H70" s="202">
        <f t="shared" si="39"/>
        <v>60500</v>
      </c>
      <c r="I70" s="202">
        <f t="shared" si="39"/>
        <v>59000</v>
      </c>
      <c r="J70" s="202">
        <f t="shared" si="39"/>
        <v>57500</v>
      </c>
      <c r="K70" s="202">
        <f t="shared" si="39"/>
        <v>56000</v>
      </c>
      <c r="L70" s="202">
        <f t="shared" si="39"/>
        <v>56000</v>
      </c>
      <c r="M70" s="202">
        <f t="shared" ref="M70:AD70" si="40">M38</f>
        <v>54500</v>
      </c>
      <c r="N70" s="202">
        <f t="shared" si="40"/>
        <v>53000</v>
      </c>
      <c r="O70" s="202">
        <f t="shared" si="40"/>
        <v>51500</v>
      </c>
      <c r="P70" s="202">
        <f t="shared" si="40"/>
        <v>51500</v>
      </c>
      <c r="Q70" s="202">
        <f t="shared" si="40"/>
        <v>46800</v>
      </c>
      <c r="R70" s="202">
        <f t="shared" si="40"/>
        <v>42100</v>
      </c>
      <c r="S70" s="202">
        <f t="shared" si="40"/>
        <v>37400</v>
      </c>
      <c r="T70" s="202">
        <f t="shared" si="40"/>
        <v>37400</v>
      </c>
      <c r="U70" s="202">
        <f t="shared" si="40"/>
        <v>32700</v>
      </c>
      <c r="V70" s="202">
        <f t="shared" si="40"/>
        <v>28000</v>
      </c>
      <c r="W70" s="202">
        <f t="shared" si="40"/>
        <v>23300</v>
      </c>
      <c r="X70" s="202">
        <f t="shared" si="40"/>
        <v>23300</v>
      </c>
      <c r="Y70" s="202">
        <f t="shared" si="40"/>
        <v>18600</v>
      </c>
      <c r="Z70" s="202">
        <f t="shared" si="40"/>
        <v>13900</v>
      </c>
      <c r="AA70" s="202">
        <f t="shared" si="40"/>
        <v>9200</v>
      </c>
      <c r="AB70" s="202">
        <f t="shared" si="40"/>
        <v>9200</v>
      </c>
      <c r="AC70" s="202">
        <f t="shared" si="40"/>
        <v>4500</v>
      </c>
      <c r="AD70" s="201">
        <f t="shared" si="40"/>
        <v>0</v>
      </c>
    </row>
    <row r="71" spans="2:30">
      <c r="B71" s="203" t="str">
        <f>B61</f>
        <v>ПАО ВТБ</v>
      </c>
      <c r="C71" s="70"/>
      <c r="D71" s="202"/>
      <c r="E71" s="202"/>
      <c r="F71" s="202"/>
      <c r="G71" s="202">
        <f t="shared" ref="G71:L71" si="41">G39</f>
        <v>50000</v>
      </c>
      <c r="H71" s="202">
        <f t="shared" si="41"/>
        <v>50000</v>
      </c>
      <c r="I71" s="202">
        <f t="shared" si="41"/>
        <v>50000</v>
      </c>
      <c r="J71" s="202">
        <f t="shared" si="41"/>
        <v>45000</v>
      </c>
      <c r="K71" s="202">
        <f t="shared" si="41"/>
        <v>40000</v>
      </c>
      <c r="L71" s="202">
        <f t="shared" si="41"/>
        <v>40000</v>
      </c>
      <c r="M71" s="202">
        <f t="shared" ref="M71:AD71" si="42">M39</f>
        <v>40000</v>
      </c>
      <c r="N71" s="202">
        <f t="shared" si="42"/>
        <v>35000</v>
      </c>
      <c r="O71" s="202">
        <f t="shared" si="42"/>
        <v>30000</v>
      </c>
      <c r="P71" s="202">
        <f t="shared" si="42"/>
        <v>30000</v>
      </c>
      <c r="Q71" s="202">
        <f t="shared" si="42"/>
        <v>30000</v>
      </c>
      <c r="R71" s="202">
        <f t="shared" si="42"/>
        <v>25000</v>
      </c>
      <c r="S71" s="202">
        <f t="shared" si="42"/>
        <v>20000</v>
      </c>
      <c r="T71" s="202">
        <f t="shared" si="42"/>
        <v>20000</v>
      </c>
      <c r="U71" s="202">
        <f t="shared" si="42"/>
        <v>20000</v>
      </c>
      <c r="V71" s="202">
        <f t="shared" si="42"/>
        <v>15000</v>
      </c>
      <c r="W71" s="202">
        <f t="shared" si="42"/>
        <v>10000</v>
      </c>
      <c r="X71" s="202">
        <f t="shared" si="42"/>
        <v>10000</v>
      </c>
      <c r="Y71" s="202">
        <f t="shared" si="42"/>
        <v>10000</v>
      </c>
      <c r="Z71" s="202">
        <f t="shared" si="42"/>
        <v>10000</v>
      </c>
      <c r="AA71" s="202">
        <f t="shared" si="42"/>
        <v>10000</v>
      </c>
      <c r="AB71" s="202">
        <f t="shared" si="42"/>
        <v>10000</v>
      </c>
      <c r="AC71" s="202">
        <f t="shared" si="42"/>
        <v>5000</v>
      </c>
      <c r="AD71" s="201">
        <f t="shared" si="42"/>
        <v>0</v>
      </c>
    </row>
    <row r="72" spans="2:30">
      <c r="B72" s="203" t="str">
        <f>B64</f>
        <v>АО "Россельхозбанк"</v>
      </c>
      <c r="C72" s="70"/>
      <c r="D72" s="202"/>
      <c r="E72" s="202"/>
      <c r="F72" s="202"/>
      <c r="G72" s="202">
        <f t="shared" ref="G72:L72" si="43">G42</f>
        <v>0</v>
      </c>
      <c r="H72" s="202">
        <f t="shared" si="43"/>
        <v>0</v>
      </c>
      <c r="I72" s="202">
        <f t="shared" si="43"/>
        <v>0</v>
      </c>
      <c r="J72" s="202">
        <f t="shared" si="43"/>
        <v>0</v>
      </c>
      <c r="K72" s="202">
        <f t="shared" si="43"/>
        <v>0</v>
      </c>
      <c r="L72" s="202">
        <f t="shared" si="43"/>
        <v>0</v>
      </c>
      <c r="M72" s="202">
        <f t="shared" ref="M72:AD72" si="44">M42</f>
        <v>0</v>
      </c>
      <c r="N72" s="202">
        <f t="shared" si="44"/>
        <v>0</v>
      </c>
      <c r="O72" s="202">
        <f t="shared" si="44"/>
        <v>0</v>
      </c>
      <c r="P72" s="202">
        <f t="shared" si="44"/>
        <v>0</v>
      </c>
      <c r="Q72" s="202">
        <f t="shared" si="44"/>
        <v>0</v>
      </c>
      <c r="R72" s="202">
        <f t="shared" si="44"/>
        <v>0</v>
      </c>
      <c r="S72" s="202">
        <f t="shared" si="44"/>
        <v>0</v>
      </c>
      <c r="T72" s="202">
        <f t="shared" si="44"/>
        <v>0</v>
      </c>
      <c r="U72" s="202">
        <f t="shared" si="44"/>
        <v>0</v>
      </c>
      <c r="V72" s="202">
        <f t="shared" si="44"/>
        <v>0</v>
      </c>
      <c r="W72" s="202">
        <f t="shared" si="44"/>
        <v>0</v>
      </c>
      <c r="X72" s="202">
        <f t="shared" si="44"/>
        <v>0</v>
      </c>
      <c r="Y72" s="202">
        <f t="shared" si="44"/>
        <v>0</v>
      </c>
      <c r="Z72" s="202">
        <f t="shared" si="44"/>
        <v>0</v>
      </c>
      <c r="AA72" s="202">
        <f t="shared" si="44"/>
        <v>0</v>
      </c>
      <c r="AB72" s="202">
        <f t="shared" si="44"/>
        <v>0</v>
      </c>
      <c r="AC72" s="202">
        <f t="shared" si="44"/>
        <v>0</v>
      </c>
      <c r="AD72" s="201">
        <f t="shared" si="44"/>
        <v>0</v>
      </c>
    </row>
    <row r="73" spans="2:30" ht="16" thickBot="1">
      <c r="B73" s="319" t="s">
        <v>176</v>
      </c>
      <c r="C73" s="320"/>
      <c r="D73" s="199"/>
      <c r="E73" s="199"/>
      <c r="F73" s="199"/>
      <c r="G73" s="199">
        <f t="shared" ref="G73:L73" si="45">SUM(G69:G72)</f>
        <v>195500</v>
      </c>
      <c r="H73" s="199">
        <f t="shared" si="45"/>
        <v>195500</v>
      </c>
      <c r="I73" s="199">
        <f t="shared" si="45"/>
        <v>185500</v>
      </c>
      <c r="J73" s="199">
        <f t="shared" si="45"/>
        <v>162000</v>
      </c>
      <c r="K73" s="199">
        <f t="shared" si="45"/>
        <v>138500</v>
      </c>
      <c r="L73" s="199">
        <f t="shared" si="45"/>
        <v>138500</v>
      </c>
      <c r="M73" s="199">
        <f t="shared" ref="M73:AD73" si="46">SUM(M69:M72)</f>
        <v>128500</v>
      </c>
      <c r="N73" s="199">
        <f t="shared" si="46"/>
        <v>105000</v>
      </c>
      <c r="O73" s="199">
        <f t="shared" si="46"/>
        <v>81500</v>
      </c>
      <c r="P73" s="199">
        <f t="shared" si="46"/>
        <v>81500</v>
      </c>
      <c r="Q73" s="199">
        <f t="shared" si="46"/>
        <v>76800</v>
      </c>
      <c r="R73" s="199">
        <f t="shared" si="46"/>
        <v>67100</v>
      </c>
      <c r="S73" s="199">
        <f t="shared" si="46"/>
        <v>57400</v>
      </c>
      <c r="T73" s="199">
        <f t="shared" si="46"/>
        <v>57400</v>
      </c>
      <c r="U73" s="199">
        <f t="shared" si="46"/>
        <v>52700</v>
      </c>
      <c r="V73" s="199">
        <f t="shared" si="46"/>
        <v>43000</v>
      </c>
      <c r="W73" s="199">
        <f t="shared" si="46"/>
        <v>33300</v>
      </c>
      <c r="X73" s="199">
        <f t="shared" si="46"/>
        <v>33300</v>
      </c>
      <c r="Y73" s="199">
        <f t="shared" si="46"/>
        <v>28600</v>
      </c>
      <c r="Z73" s="199">
        <f t="shared" si="46"/>
        <v>23900</v>
      </c>
      <c r="AA73" s="199">
        <f t="shared" si="46"/>
        <v>19200</v>
      </c>
      <c r="AB73" s="199">
        <f t="shared" si="46"/>
        <v>19200</v>
      </c>
      <c r="AC73" s="199">
        <f t="shared" si="46"/>
        <v>9500</v>
      </c>
      <c r="AD73" s="198">
        <f t="shared" si="46"/>
        <v>0</v>
      </c>
    </row>
    <row r="74" spans="2:30" ht="16" thickBot="1"/>
    <row r="75" spans="2:30">
      <c r="B75" s="214" t="s">
        <v>278</v>
      </c>
      <c r="C75" s="316"/>
      <c r="D75" s="316"/>
      <c r="E75" s="317"/>
      <c r="F75" s="317"/>
      <c r="G75" s="317"/>
      <c r="H75" s="317">
        <f>G73-H73</f>
        <v>0</v>
      </c>
      <c r="I75" s="317">
        <f>H73-I73</f>
        <v>10000</v>
      </c>
      <c r="J75" s="317">
        <f>I73-J73</f>
        <v>23500</v>
      </c>
      <c r="K75" s="317">
        <f>J73-K73</f>
        <v>23500</v>
      </c>
      <c r="L75" s="317">
        <f t="shared" ref="L75:AD75" si="47">K73-L73</f>
        <v>0</v>
      </c>
      <c r="M75" s="317">
        <f t="shared" si="47"/>
        <v>10000</v>
      </c>
      <c r="N75" s="317">
        <f t="shared" si="47"/>
        <v>23500</v>
      </c>
      <c r="O75" s="317">
        <f t="shared" si="47"/>
        <v>23500</v>
      </c>
      <c r="P75" s="317">
        <f t="shared" si="47"/>
        <v>0</v>
      </c>
      <c r="Q75" s="317">
        <f t="shared" si="47"/>
        <v>4700</v>
      </c>
      <c r="R75" s="317">
        <f t="shared" si="47"/>
        <v>9700</v>
      </c>
      <c r="S75" s="317">
        <f t="shared" si="47"/>
        <v>9700</v>
      </c>
      <c r="T75" s="317">
        <f t="shared" si="47"/>
        <v>0</v>
      </c>
      <c r="U75" s="317">
        <f t="shared" si="47"/>
        <v>4700</v>
      </c>
      <c r="V75" s="317">
        <f t="shared" si="47"/>
        <v>9700</v>
      </c>
      <c r="W75" s="317">
        <f t="shared" si="47"/>
        <v>9700</v>
      </c>
      <c r="X75" s="317">
        <f t="shared" si="47"/>
        <v>0</v>
      </c>
      <c r="Y75" s="317">
        <f t="shared" si="47"/>
        <v>4700</v>
      </c>
      <c r="Z75" s="317">
        <f t="shared" si="47"/>
        <v>4700</v>
      </c>
      <c r="AA75" s="317">
        <f t="shared" si="47"/>
        <v>4700</v>
      </c>
      <c r="AB75" s="317">
        <f t="shared" si="47"/>
        <v>0</v>
      </c>
      <c r="AC75" s="317">
        <f t="shared" si="47"/>
        <v>9700</v>
      </c>
      <c r="AD75" s="318">
        <f t="shared" si="47"/>
        <v>9500</v>
      </c>
    </row>
    <row r="76" spans="2:30" ht="16" thickBot="1">
      <c r="B76" s="319" t="s">
        <v>549</v>
      </c>
      <c r="C76" s="320"/>
      <c r="D76" s="320"/>
      <c r="E76" s="199"/>
      <c r="F76" s="199"/>
      <c r="G76" s="199"/>
      <c r="H76" s="199">
        <f>H59+H60+H61+H64</f>
        <v>2167.875</v>
      </c>
      <c r="I76" s="199">
        <f>I59+I60+I61+I64</f>
        <v>2097.28125</v>
      </c>
      <c r="J76" s="199">
        <f>J59+J60+J61+J64</f>
        <v>1868.875</v>
      </c>
      <c r="K76" s="199">
        <f>K59+K60+K61+K64</f>
        <v>1553.25</v>
      </c>
      <c r="L76" s="199">
        <f t="shared" ref="L76:AD76" si="48">L59+L60+L61+L64</f>
        <v>1395.4375</v>
      </c>
      <c r="M76" s="199">
        <f t="shared" si="48"/>
        <v>1324.84375</v>
      </c>
      <c r="N76" s="199">
        <f t="shared" si="48"/>
        <v>1096.4375</v>
      </c>
      <c r="O76" s="199">
        <f t="shared" si="48"/>
        <v>780.8125</v>
      </c>
      <c r="P76" s="199">
        <f t="shared" si="48"/>
        <v>623</v>
      </c>
      <c r="Q76" s="199">
        <f t="shared" si="48"/>
        <v>606.54999999999995</v>
      </c>
      <c r="R76" s="199">
        <f t="shared" si="48"/>
        <v>551.77500000000009</v>
      </c>
      <c r="S76" s="199">
        <f t="shared" si="48"/>
        <v>475.125</v>
      </c>
      <c r="T76" s="199">
        <f t="shared" si="48"/>
        <v>436.80000000000007</v>
      </c>
      <c r="U76" s="199">
        <f t="shared" si="48"/>
        <v>420.35</v>
      </c>
      <c r="V76" s="199">
        <f t="shared" si="48"/>
        <v>365.57500000000005</v>
      </c>
      <c r="W76" s="199">
        <f t="shared" si="48"/>
        <v>288.92500000000001</v>
      </c>
      <c r="X76" s="199">
        <f t="shared" si="48"/>
        <v>250.60000000000002</v>
      </c>
      <c r="Y76" s="199">
        <f t="shared" si="48"/>
        <v>234.15000000000003</v>
      </c>
      <c r="Z76" s="199">
        <f t="shared" si="48"/>
        <v>201.25</v>
      </c>
      <c r="AA76" s="199">
        <f t="shared" si="48"/>
        <v>168.35000000000002</v>
      </c>
      <c r="AB76" s="199">
        <f t="shared" si="48"/>
        <v>151.90000000000003</v>
      </c>
      <c r="AC76" s="199">
        <f t="shared" si="48"/>
        <v>113.575</v>
      </c>
      <c r="AD76" s="198">
        <f t="shared" si="48"/>
        <v>37.625</v>
      </c>
    </row>
    <row r="78" spans="2:30" ht="16" thickBot="1"/>
    <row r="79" spans="2:30">
      <c r="B79" s="332" t="s">
        <v>550</v>
      </c>
      <c r="C79" s="323"/>
      <c r="D79" s="334" t="s">
        <v>399</v>
      </c>
      <c r="E79" s="334" t="s">
        <v>398</v>
      </c>
      <c r="F79" s="335" t="s">
        <v>397</v>
      </c>
      <c r="G79" s="335" t="s">
        <v>396</v>
      </c>
      <c r="H79" s="337" t="s">
        <v>340</v>
      </c>
      <c r="I79" s="335" t="s">
        <v>395</v>
      </c>
      <c r="J79" s="335" t="s">
        <v>394</v>
      </c>
      <c r="K79" s="335" t="s">
        <v>393</v>
      </c>
      <c r="L79" s="335" t="s">
        <v>558</v>
      </c>
      <c r="M79" s="335" t="s">
        <v>392</v>
      </c>
      <c r="N79" s="335" t="s">
        <v>391</v>
      </c>
      <c r="O79" s="335" t="s">
        <v>390</v>
      </c>
      <c r="P79" s="335" t="s">
        <v>559</v>
      </c>
      <c r="Q79" s="335" t="s">
        <v>389</v>
      </c>
      <c r="R79" s="335" t="s">
        <v>388</v>
      </c>
      <c r="S79" s="335" t="s">
        <v>387</v>
      </c>
      <c r="T79" s="335" t="s">
        <v>560</v>
      </c>
      <c r="U79" s="335" t="s">
        <v>386</v>
      </c>
      <c r="V79" s="335" t="s">
        <v>385</v>
      </c>
      <c r="W79" s="335" t="s">
        <v>384</v>
      </c>
      <c r="X79" s="335" t="s">
        <v>561</v>
      </c>
      <c r="Y79" s="335" t="s">
        <v>383</v>
      </c>
      <c r="Z79" s="335" t="s">
        <v>382</v>
      </c>
      <c r="AA79" s="335" t="s">
        <v>381</v>
      </c>
      <c r="AB79" s="335" t="s">
        <v>562</v>
      </c>
      <c r="AC79" s="335" t="s">
        <v>380</v>
      </c>
      <c r="AD79" s="336" t="s">
        <v>379</v>
      </c>
    </row>
    <row r="80" spans="2:30">
      <c r="B80" s="203" t="s">
        <v>545</v>
      </c>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209"/>
    </row>
    <row r="81" spans="2:30">
      <c r="B81" s="203" t="str">
        <f>B62</f>
        <v>ПАО Сбербанк</v>
      </c>
      <c r="C81" s="70"/>
      <c r="D81" s="202"/>
      <c r="E81" s="202"/>
      <c r="F81" s="202"/>
      <c r="G81" s="202">
        <f t="shared" ref="G81:S81" si="49">G40</f>
        <v>51000</v>
      </c>
      <c r="H81" s="202">
        <f t="shared" si="49"/>
        <v>51000</v>
      </c>
      <c r="I81" s="202">
        <f t="shared" si="49"/>
        <v>51000</v>
      </c>
      <c r="J81" s="202">
        <f t="shared" si="49"/>
        <v>0</v>
      </c>
      <c r="K81" s="202">
        <f t="shared" si="49"/>
        <v>0</v>
      </c>
      <c r="L81" s="202">
        <f t="shared" si="49"/>
        <v>0</v>
      </c>
      <c r="M81" s="202">
        <f t="shared" si="49"/>
        <v>0</v>
      </c>
      <c r="N81" s="202">
        <f t="shared" si="49"/>
        <v>0</v>
      </c>
      <c r="O81" s="202">
        <f t="shared" si="49"/>
        <v>0</v>
      </c>
      <c r="P81" s="202">
        <f t="shared" si="49"/>
        <v>0</v>
      </c>
      <c r="Q81" s="202">
        <f t="shared" si="49"/>
        <v>0</v>
      </c>
      <c r="R81" s="202">
        <f t="shared" si="49"/>
        <v>0</v>
      </c>
      <c r="S81" s="202">
        <f t="shared" si="49"/>
        <v>0</v>
      </c>
      <c r="T81" s="202"/>
      <c r="U81" s="202">
        <f t="shared" ref="U81:AD81" si="50">U40</f>
        <v>0</v>
      </c>
      <c r="V81" s="202">
        <f t="shared" si="50"/>
        <v>0</v>
      </c>
      <c r="W81" s="202">
        <f t="shared" si="50"/>
        <v>0</v>
      </c>
      <c r="X81" s="202">
        <f t="shared" si="50"/>
        <v>0</v>
      </c>
      <c r="Y81" s="202">
        <f t="shared" si="50"/>
        <v>0</v>
      </c>
      <c r="Z81" s="202">
        <f t="shared" si="50"/>
        <v>0</v>
      </c>
      <c r="AA81" s="202">
        <f t="shared" si="50"/>
        <v>0</v>
      </c>
      <c r="AB81" s="202">
        <f t="shared" si="50"/>
        <v>0</v>
      </c>
      <c r="AC81" s="202">
        <f t="shared" si="50"/>
        <v>0</v>
      </c>
      <c r="AD81" s="201">
        <f t="shared" si="50"/>
        <v>0</v>
      </c>
    </row>
    <row r="82" spans="2:30">
      <c r="B82" s="203" t="str">
        <f>B63</f>
        <v>АО "Россельхозбанк"</v>
      </c>
      <c r="C82" s="70"/>
      <c r="D82" s="202"/>
      <c r="E82" s="202"/>
      <c r="F82" s="202"/>
      <c r="G82" s="202">
        <f t="shared" ref="G82:S82" si="51">G41</f>
        <v>50179.130789999996</v>
      </c>
      <c r="H82" s="202">
        <f t="shared" si="51"/>
        <v>65608.076789999992</v>
      </c>
      <c r="I82" s="202">
        <f t="shared" si="51"/>
        <v>47008.076789999992</v>
      </c>
      <c r="J82" s="202">
        <f t="shared" si="51"/>
        <v>0</v>
      </c>
      <c r="K82" s="202">
        <f t="shared" si="51"/>
        <v>0</v>
      </c>
      <c r="L82" s="202">
        <f t="shared" si="51"/>
        <v>0</v>
      </c>
      <c r="M82" s="202">
        <f t="shared" si="51"/>
        <v>0</v>
      </c>
      <c r="N82" s="202">
        <f t="shared" si="51"/>
        <v>0</v>
      </c>
      <c r="O82" s="202">
        <f t="shared" si="51"/>
        <v>0</v>
      </c>
      <c r="P82" s="202">
        <f t="shared" si="51"/>
        <v>0</v>
      </c>
      <c r="Q82" s="202">
        <f t="shared" si="51"/>
        <v>0</v>
      </c>
      <c r="R82" s="202">
        <f t="shared" si="51"/>
        <v>0</v>
      </c>
      <c r="S82" s="202">
        <f t="shared" si="51"/>
        <v>0</v>
      </c>
      <c r="T82" s="202"/>
      <c r="U82" s="202">
        <f t="shared" ref="U82:AD82" si="52">U41</f>
        <v>0</v>
      </c>
      <c r="V82" s="202">
        <f t="shared" si="52"/>
        <v>0</v>
      </c>
      <c r="W82" s="202">
        <f t="shared" si="52"/>
        <v>0</v>
      </c>
      <c r="X82" s="202">
        <f t="shared" si="52"/>
        <v>0</v>
      </c>
      <c r="Y82" s="202">
        <f t="shared" si="52"/>
        <v>0</v>
      </c>
      <c r="Z82" s="202">
        <f t="shared" si="52"/>
        <v>0</v>
      </c>
      <c r="AA82" s="202">
        <f t="shared" si="52"/>
        <v>0</v>
      </c>
      <c r="AB82" s="202">
        <f t="shared" si="52"/>
        <v>0</v>
      </c>
      <c r="AC82" s="202">
        <f t="shared" si="52"/>
        <v>0</v>
      </c>
      <c r="AD82" s="201">
        <f t="shared" si="52"/>
        <v>0</v>
      </c>
    </row>
    <row r="83" spans="2:30">
      <c r="B83" s="521" t="s">
        <v>551</v>
      </c>
      <c r="C83" s="94"/>
      <c r="D83" s="94"/>
      <c r="E83" s="94"/>
      <c r="F83" s="94"/>
      <c r="G83" s="94"/>
      <c r="H83" s="94"/>
      <c r="I83" s="94"/>
      <c r="J83" s="95"/>
      <c r="K83" s="95">
        <f>$G$81+$G$82</f>
        <v>101179.13079</v>
      </c>
      <c r="L83" s="95">
        <f>K83</f>
        <v>101179.13079</v>
      </c>
      <c r="M83" s="95">
        <f>K83*75%</f>
        <v>75884.348092500004</v>
      </c>
      <c r="N83" s="95">
        <v>0</v>
      </c>
      <c r="O83" s="527">
        <f>$G$81+$G$82</f>
        <v>101179.13079</v>
      </c>
      <c r="P83" s="527">
        <f>O83</f>
        <v>101179.13079</v>
      </c>
      <c r="Q83" s="527">
        <f>O83*75%</f>
        <v>75884.348092500004</v>
      </c>
      <c r="R83" s="527">
        <v>0</v>
      </c>
      <c r="S83" s="527">
        <f>$G$81+$G$82</f>
        <v>101179.13079</v>
      </c>
      <c r="T83" s="527">
        <f>S83</f>
        <v>101179.13079</v>
      </c>
      <c r="U83" s="527">
        <f>S83*75%</f>
        <v>75884.348092500004</v>
      </c>
      <c r="V83" s="527">
        <v>0</v>
      </c>
      <c r="W83" s="527">
        <f>$G$81+$G$82</f>
        <v>101179.13079</v>
      </c>
      <c r="X83" s="527">
        <f>W83</f>
        <v>101179.13079</v>
      </c>
      <c r="Y83" s="527">
        <f>W83*75%</f>
        <v>75884.348092500004</v>
      </c>
      <c r="Z83" s="527">
        <v>0</v>
      </c>
      <c r="AA83" s="527">
        <f>$G$81+$G$82</f>
        <v>101179.13079</v>
      </c>
      <c r="AB83" s="527">
        <f>AA83</f>
        <v>101179.13079</v>
      </c>
      <c r="AC83" s="527">
        <f>AA83*75%</f>
        <v>75884.348092500004</v>
      </c>
      <c r="AD83" s="201">
        <v>0</v>
      </c>
    </row>
    <row r="84" spans="2:30" ht="16" thickBot="1">
      <c r="B84" s="319" t="s">
        <v>176</v>
      </c>
      <c r="C84" s="320"/>
      <c r="D84" s="199"/>
      <c r="E84" s="199"/>
      <c r="F84" s="199"/>
      <c r="G84" s="199">
        <f t="shared" ref="G84:AD84" si="53">SUM(G81:G83)</f>
        <v>101179.13079</v>
      </c>
      <c r="H84" s="199">
        <f t="shared" si="53"/>
        <v>116608.07678999999</v>
      </c>
      <c r="I84" s="199">
        <f t="shared" si="53"/>
        <v>98008.076789999992</v>
      </c>
      <c r="J84" s="199">
        <f t="shared" si="53"/>
        <v>0</v>
      </c>
      <c r="K84" s="199">
        <f t="shared" si="53"/>
        <v>101179.13079</v>
      </c>
      <c r="L84" s="199">
        <f t="shared" si="53"/>
        <v>101179.13079</v>
      </c>
      <c r="M84" s="199">
        <f t="shared" si="53"/>
        <v>75884.348092500004</v>
      </c>
      <c r="N84" s="199">
        <f t="shared" si="53"/>
        <v>0</v>
      </c>
      <c r="O84" s="199">
        <f t="shared" si="53"/>
        <v>101179.13079</v>
      </c>
      <c r="P84" s="199">
        <f t="shared" si="53"/>
        <v>101179.13079</v>
      </c>
      <c r="Q84" s="199">
        <f t="shared" si="53"/>
        <v>75884.348092500004</v>
      </c>
      <c r="R84" s="199">
        <f t="shared" si="53"/>
        <v>0</v>
      </c>
      <c r="S84" s="199">
        <f t="shared" si="53"/>
        <v>101179.13079</v>
      </c>
      <c r="T84" s="199">
        <f t="shared" si="53"/>
        <v>101179.13079</v>
      </c>
      <c r="U84" s="199">
        <f t="shared" si="53"/>
        <v>75884.348092500004</v>
      </c>
      <c r="V84" s="199">
        <f t="shared" si="53"/>
        <v>0</v>
      </c>
      <c r="W84" s="199">
        <f t="shared" si="53"/>
        <v>101179.13079</v>
      </c>
      <c r="X84" s="199">
        <f t="shared" si="53"/>
        <v>101179.13079</v>
      </c>
      <c r="Y84" s="199">
        <f t="shared" si="53"/>
        <v>75884.348092500004</v>
      </c>
      <c r="Z84" s="199">
        <f t="shared" si="53"/>
        <v>0</v>
      </c>
      <c r="AA84" s="199">
        <f t="shared" si="53"/>
        <v>101179.13079</v>
      </c>
      <c r="AB84" s="199">
        <f t="shared" si="53"/>
        <v>101179.13079</v>
      </c>
      <c r="AC84" s="199">
        <f t="shared" si="53"/>
        <v>75884.348092500004</v>
      </c>
      <c r="AD84" s="198">
        <f t="shared" si="53"/>
        <v>0</v>
      </c>
    </row>
    <row r="85" spans="2:30" ht="16" thickBot="1"/>
    <row r="86" spans="2:30">
      <c r="B86" s="214" t="s">
        <v>552</v>
      </c>
      <c r="C86" s="316"/>
      <c r="D86" s="316"/>
      <c r="E86" s="317"/>
      <c r="F86" s="317"/>
      <c r="G86" s="317"/>
      <c r="H86" s="317">
        <f t="shared" ref="H86:M86" si="54">G84-H84</f>
        <v>-15428.945999999996</v>
      </c>
      <c r="I86" s="317">
        <f t="shared" si="54"/>
        <v>18600</v>
      </c>
      <c r="J86" s="317">
        <f t="shared" si="54"/>
        <v>98008.076789999992</v>
      </c>
      <c r="K86" s="317">
        <f t="shared" si="54"/>
        <v>-101179.13079</v>
      </c>
      <c r="L86" s="317">
        <f t="shared" si="54"/>
        <v>0</v>
      </c>
      <c r="M86" s="317">
        <f t="shared" si="54"/>
        <v>25294.782697499992</v>
      </c>
      <c r="N86" s="317">
        <f t="shared" ref="N86:AD86" si="55">M84-N84</f>
        <v>75884.348092500004</v>
      </c>
      <c r="O86" s="317">
        <f t="shared" si="55"/>
        <v>-101179.13079</v>
      </c>
      <c r="P86" s="317">
        <f t="shared" si="55"/>
        <v>0</v>
      </c>
      <c r="Q86" s="317">
        <f t="shared" si="55"/>
        <v>25294.782697499992</v>
      </c>
      <c r="R86" s="317">
        <f t="shared" si="55"/>
        <v>75884.348092500004</v>
      </c>
      <c r="S86" s="317">
        <f t="shared" si="55"/>
        <v>-101179.13079</v>
      </c>
      <c r="T86" s="317">
        <f t="shared" si="55"/>
        <v>0</v>
      </c>
      <c r="U86" s="317">
        <f t="shared" si="55"/>
        <v>25294.782697499992</v>
      </c>
      <c r="V86" s="317">
        <f t="shared" si="55"/>
        <v>75884.348092500004</v>
      </c>
      <c r="W86" s="317">
        <f t="shared" si="55"/>
        <v>-101179.13079</v>
      </c>
      <c r="X86" s="317">
        <f t="shared" si="55"/>
        <v>0</v>
      </c>
      <c r="Y86" s="317">
        <f t="shared" si="55"/>
        <v>25294.782697499992</v>
      </c>
      <c r="Z86" s="317">
        <f t="shared" si="55"/>
        <v>75884.348092500004</v>
      </c>
      <c r="AA86" s="317">
        <f t="shared" si="55"/>
        <v>-101179.13079</v>
      </c>
      <c r="AB86" s="317">
        <f t="shared" si="55"/>
        <v>0</v>
      </c>
      <c r="AC86" s="317">
        <f t="shared" si="55"/>
        <v>25294.782697499992</v>
      </c>
      <c r="AD86" s="318">
        <f t="shared" si="55"/>
        <v>75884.348092500004</v>
      </c>
    </row>
    <row r="87" spans="2:30" ht="16" thickBot="1">
      <c r="B87" s="319" t="s">
        <v>549</v>
      </c>
      <c r="C87" s="321">
        <f>AVERAGE(C62:C63)</f>
        <v>2.7900000000000001E-2</v>
      </c>
      <c r="D87" s="320"/>
      <c r="E87" s="199"/>
      <c r="F87" s="199"/>
      <c r="G87" s="199"/>
      <c r="H87" s="199">
        <f t="shared" ref="H87:M87" si="56">AVERAGE(G84:H84)*$C87/4</f>
        <v>759.53288643525002</v>
      </c>
      <c r="I87" s="199">
        <f t="shared" si="56"/>
        <v>748.47383561024992</v>
      </c>
      <c r="J87" s="199">
        <f t="shared" si="56"/>
        <v>341.80316780512499</v>
      </c>
      <c r="K87" s="199">
        <f t="shared" si="56"/>
        <v>352.86221863012503</v>
      </c>
      <c r="L87" s="199">
        <f t="shared" si="56"/>
        <v>705.72443726025006</v>
      </c>
      <c r="M87" s="199">
        <f t="shared" si="56"/>
        <v>617.50888260271881</v>
      </c>
      <c r="N87" s="199">
        <f t="shared" ref="N87:AD87" si="57">AVERAGE(M84:N84)*$C87/4</f>
        <v>264.64666397259379</v>
      </c>
      <c r="O87" s="199">
        <f t="shared" si="57"/>
        <v>352.86221863012503</v>
      </c>
      <c r="P87" s="199">
        <f t="shared" si="57"/>
        <v>705.72443726025006</v>
      </c>
      <c r="Q87" s="199">
        <f t="shared" si="57"/>
        <v>617.50888260271881</v>
      </c>
      <c r="R87" s="199">
        <f t="shared" si="57"/>
        <v>264.64666397259379</v>
      </c>
      <c r="S87" s="199">
        <f t="shared" si="57"/>
        <v>352.86221863012503</v>
      </c>
      <c r="T87" s="199">
        <f t="shared" si="57"/>
        <v>705.72443726025006</v>
      </c>
      <c r="U87" s="199">
        <f t="shared" si="57"/>
        <v>617.50888260271881</v>
      </c>
      <c r="V87" s="199">
        <f t="shared" si="57"/>
        <v>264.64666397259379</v>
      </c>
      <c r="W87" s="199">
        <f t="shared" si="57"/>
        <v>352.86221863012503</v>
      </c>
      <c r="X87" s="199">
        <f t="shared" si="57"/>
        <v>705.72443726025006</v>
      </c>
      <c r="Y87" s="199">
        <f t="shared" si="57"/>
        <v>617.50888260271881</v>
      </c>
      <c r="Z87" s="199">
        <f t="shared" si="57"/>
        <v>264.64666397259379</v>
      </c>
      <c r="AA87" s="199">
        <f t="shared" si="57"/>
        <v>352.86221863012503</v>
      </c>
      <c r="AB87" s="199">
        <f t="shared" si="57"/>
        <v>705.72443726025006</v>
      </c>
      <c r="AC87" s="199">
        <f t="shared" si="57"/>
        <v>617.50888260271881</v>
      </c>
      <c r="AD87" s="198">
        <f t="shared" si="57"/>
        <v>264.64666397259379</v>
      </c>
    </row>
    <row r="88" spans="2:30" ht="16" thickBot="1"/>
    <row r="89" spans="2:30">
      <c r="B89" s="322" t="s">
        <v>553</v>
      </c>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7"/>
    </row>
    <row r="90" spans="2:30">
      <c r="B90" s="324" t="s">
        <v>404</v>
      </c>
      <c r="C90" s="328"/>
      <c r="D90" s="329">
        <f>D73+D84</f>
        <v>0</v>
      </c>
      <c r="E90" s="329">
        <f t="shared" ref="E90:O90" si="58">E73+E84</f>
        <v>0</v>
      </c>
      <c r="F90" s="341">
        <f t="shared" si="58"/>
        <v>0</v>
      </c>
      <c r="G90" s="212">
        <f>G73+G84</f>
        <v>296679.13078999997</v>
      </c>
      <c r="H90" s="329">
        <f t="shared" si="58"/>
        <v>312108.07678999996</v>
      </c>
      <c r="I90" s="329">
        <f t="shared" si="58"/>
        <v>283508.07678999996</v>
      </c>
      <c r="J90" s="329">
        <f t="shared" si="58"/>
        <v>162000</v>
      </c>
      <c r="K90" s="212">
        <f t="shared" si="58"/>
        <v>239679.13079</v>
      </c>
      <c r="L90" s="329">
        <f>L73+L84</f>
        <v>239679.13079</v>
      </c>
      <c r="M90" s="329">
        <f t="shared" si="58"/>
        <v>204384.3480925</v>
      </c>
      <c r="N90" s="329">
        <f t="shared" si="58"/>
        <v>105000</v>
      </c>
      <c r="O90" s="212">
        <f t="shared" si="58"/>
        <v>182679.13079</v>
      </c>
      <c r="P90" s="329">
        <f t="shared" ref="P90:AD90" si="59">P73+P84</f>
        <v>182679.13079</v>
      </c>
      <c r="Q90" s="329">
        <f t="shared" si="59"/>
        <v>152684.3480925</v>
      </c>
      <c r="R90" s="329">
        <f t="shared" si="59"/>
        <v>67100</v>
      </c>
      <c r="S90" s="212">
        <f t="shared" si="59"/>
        <v>158579.13079</v>
      </c>
      <c r="T90" s="329">
        <f t="shared" si="59"/>
        <v>158579.13079</v>
      </c>
      <c r="U90" s="329">
        <f t="shared" si="59"/>
        <v>128584.3480925</v>
      </c>
      <c r="V90" s="329">
        <f t="shared" si="59"/>
        <v>43000</v>
      </c>
      <c r="W90" s="212">
        <f t="shared" si="59"/>
        <v>134479.13079</v>
      </c>
      <c r="X90" s="329">
        <f t="shared" si="59"/>
        <v>134479.13079</v>
      </c>
      <c r="Y90" s="329">
        <f t="shared" si="59"/>
        <v>104484.3480925</v>
      </c>
      <c r="Z90" s="329">
        <f t="shared" si="59"/>
        <v>23900</v>
      </c>
      <c r="AA90" s="212">
        <f t="shared" si="59"/>
        <v>120379.13079</v>
      </c>
      <c r="AB90" s="329">
        <f t="shared" si="59"/>
        <v>120379.13079</v>
      </c>
      <c r="AC90" s="329">
        <f t="shared" si="59"/>
        <v>85384.348092500004</v>
      </c>
      <c r="AD90" s="329">
        <f t="shared" si="59"/>
        <v>0</v>
      </c>
    </row>
    <row r="91" spans="2:30">
      <c r="B91" s="324" t="s">
        <v>554</v>
      </c>
      <c r="C91" s="328"/>
      <c r="D91" s="328"/>
      <c r="E91" s="329">
        <f>E76+E87</f>
        <v>0</v>
      </c>
      <c r="F91" s="329">
        <f t="shared" ref="F91:O91" si="60">F76+F87</f>
        <v>0</v>
      </c>
      <c r="G91" s="329">
        <f t="shared" si="60"/>
        <v>0</v>
      </c>
      <c r="H91" s="329">
        <f t="shared" si="60"/>
        <v>2927.40788643525</v>
      </c>
      <c r="I91" s="329">
        <f t="shared" si="60"/>
        <v>2845.7550856102498</v>
      </c>
      <c r="J91" s="329">
        <f t="shared" si="60"/>
        <v>2210.6781678051248</v>
      </c>
      <c r="K91" s="212">
        <f t="shared" si="60"/>
        <v>1906.112218630125</v>
      </c>
      <c r="L91" s="329">
        <f>L76+L87</f>
        <v>2101.1619372602499</v>
      </c>
      <c r="M91" s="329">
        <f t="shared" si="60"/>
        <v>1942.3526326027188</v>
      </c>
      <c r="N91" s="329">
        <f t="shared" si="60"/>
        <v>1361.0841639725938</v>
      </c>
      <c r="O91" s="212">
        <f t="shared" si="60"/>
        <v>1133.674718630125</v>
      </c>
      <c r="P91" s="329">
        <f t="shared" ref="P91:AD91" si="61">P76+P87</f>
        <v>1328.7244372602499</v>
      </c>
      <c r="Q91" s="329">
        <f t="shared" si="61"/>
        <v>1224.0588826027188</v>
      </c>
      <c r="R91" s="329">
        <f t="shared" si="61"/>
        <v>816.42166397259393</v>
      </c>
      <c r="S91" s="212">
        <f t="shared" si="61"/>
        <v>827.98721863012497</v>
      </c>
      <c r="T91" s="329">
        <f t="shared" si="61"/>
        <v>1142.5244372602501</v>
      </c>
      <c r="U91" s="329">
        <f t="shared" si="61"/>
        <v>1037.8588826027189</v>
      </c>
      <c r="V91" s="329">
        <f t="shared" si="61"/>
        <v>630.22166397259389</v>
      </c>
      <c r="W91" s="212">
        <f t="shared" si="61"/>
        <v>641.78721863012504</v>
      </c>
      <c r="X91" s="329">
        <f t="shared" si="61"/>
        <v>956.32443726025008</v>
      </c>
      <c r="Y91" s="329">
        <f t="shared" si="61"/>
        <v>851.6588826027189</v>
      </c>
      <c r="Z91" s="329">
        <f t="shared" si="61"/>
        <v>465.89666397259379</v>
      </c>
      <c r="AA91" s="212">
        <f t="shared" si="61"/>
        <v>521.21221863012511</v>
      </c>
      <c r="AB91" s="329">
        <f t="shared" si="61"/>
        <v>857.62443726025003</v>
      </c>
      <c r="AC91" s="329">
        <f t="shared" si="61"/>
        <v>731.08388260271886</v>
      </c>
      <c r="AD91" s="329">
        <f t="shared" si="61"/>
        <v>302.27166397259379</v>
      </c>
    </row>
    <row r="92" spans="2:30" ht="16" thickBot="1">
      <c r="B92" s="200" t="s">
        <v>555</v>
      </c>
      <c r="C92" s="330"/>
      <c r="D92" s="330"/>
      <c r="E92" s="331">
        <f>E75+E86</f>
        <v>0</v>
      </c>
      <c r="F92" s="331">
        <f t="shared" ref="F92:O92" si="62">F75+F86</f>
        <v>0</v>
      </c>
      <c r="G92" s="331">
        <f t="shared" si="62"/>
        <v>0</v>
      </c>
      <c r="H92" s="331">
        <f t="shared" si="62"/>
        <v>-15428.945999999996</v>
      </c>
      <c r="I92" s="331">
        <f t="shared" si="62"/>
        <v>28600</v>
      </c>
      <c r="J92" s="331">
        <f>J75+J86</f>
        <v>121508.07678999999</v>
      </c>
      <c r="K92" s="199">
        <f t="shared" si="62"/>
        <v>-77679.130789999996</v>
      </c>
      <c r="L92" s="331">
        <f>L75+L86</f>
        <v>0</v>
      </c>
      <c r="M92" s="331">
        <f t="shared" si="62"/>
        <v>35294.782697499992</v>
      </c>
      <c r="N92" s="331">
        <f t="shared" si="62"/>
        <v>99384.348092500004</v>
      </c>
      <c r="O92" s="199">
        <f t="shared" si="62"/>
        <v>-77679.130789999996</v>
      </c>
      <c r="P92" s="331">
        <f t="shared" ref="P92:AD92" si="63">P75+P86</f>
        <v>0</v>
      </c>
      <c r="Q92" s="331">
        <f t="shared" si="63"/>
        <v>29994.782697499992</v>
      </c>
      <c r="R92" s="331">
        <f t="shared" si="63"/>
        <v>85584.348092500004</v>
      </c>
      <c r="S92" s="199">
        <f t="shared" si="63"/>
        <v>-91479.130789999996</v>
      </c>
      <c r="T92" s="331">
        <f t="shared" si="63"/>
        <v>0</v>
      </c>
      <c r="U92" s="331">
        <f t="shared" si="63"/>
        <v>29994.782697499992</v>
      </c>
      <c r="V92" s="331">
        <f t="shared" si="63"/>
        <v>85584.348092500004</v>
      </c>
      <c r="W92" s="199">
        <f t="shared" si="63"/>
        <v>-91479.130789999996</v>
      </c>
      <c r="X92" s="331">
        <f t="shared" si="63"/>
        <v>0</v>
      </c>
      <c r="Y92" s="331">
        <f t="shared" si="63"/>
        <v>29994.782697499992</v>
      </c>
      <c r="Z92" s="331">
        <f t="shared" si="63"/>
        <v>80584.348092500004</v>
      </c>
      <c r="AA92" s="199">
        <f t="shared" si="63"/>
        <v>-96479.130789999996</v>
      </c>
      <c r="AB92" s="331">
        <f t="shared" si="63"/>
        <v>0</v>
      </c>
      <c r="AC92" s="331">
        <f t="shared" si="63"/>
        <v>34994.782697499992</v>
      </c>
      <c r="AD92" s="331">
        <f t="shared" si="63"/>
        <v>85384.348092500004</v>
      </c>
    </row>
    <row r="93" spans="2:30" ht="16" thickBot="1"/>
    <row r="94" spans="2:30">
      <c r="B94" s="322" t="s">
        <v>556</v>
      </c>
      <c r="C94" s="316"/>
      <c r="D94" s="316"/>
      <c r="E94" s="316"/>
      <c r="F94" s="316"/>
      <c r="G94" s="316"/>
      <c r="H94" s="316"/>
      <c r="I94" s="316"/>
      <c r="J94" s="316"/>
      <c r="K94" s="316"/>
      <c r="L94" s="316"/>
      <c r="M94" s="325"/>
    </row>
    <row r="95" spans="2:30">
      <c r="B95" s="324"/>
      <c r="C95" s="69"/>
      <c r="D95" s="69"/>
      <c r="E95" s="207" t="s">
        <v>339</v>
      </c>
      <c r="F95" s="207" t="s">
        <v>24</v>
      </c>
      <c r="G95" s="207" t="s">
        <v>25</v>
      </c>
      <c r="H95" s="207" t="s">
        <v>26</v>
      </c>
      <c r="I95" s="207" t="s">
        <v>27</v>
      </c>
      <c r="J95" s="207" t="s">
        <v>67</v>
      </c>
      <c r="K95" s="207" t="s">
        <v>68</v>
      </c>
      <c r="L95" s="207" t="s">
        <v>69</v>
      </c>
      <c r="M95" s="338" t="s">
        <v>557</v>
      </c>
    </row>
    <row r="96" spans="2:30">
      <c r="B96" s="324" t="s">
        <v>404</v>
      </c>
      <c r="C96" s="69"/>
      <c r="D96" s="69"/>
      <c r="E96" s="212">
        <f>H90</f>
        <v>312108.07678999996</v>
      </c>
      <c r="F96" s="212">
        <f>K90</f>
        <v>239679.13079</v>
      </c>
      <c r="G96" s="212">
        <f>O90</f>
        <v>182679.13079</v>
      </c>
      <c r="H96" s="212">
        <f>S90</f>
        <v>158579.13079</v>
      </c>
      <c r="I96" s="212">
        <f>W90</f>
        <v>134479.13079</v>
      </c>
      <c r="J96" s="212">
        <f>AA90</f>
        <v>120379.13079</v>
      </c>
      <c r="K96" s="212">
        <f>AD90</f>
        <v>0</v>
      </c>
      <c r="L96" s="69">
        <v>0</v>
      </c>
      <c r="M96" s="339">
        <v>0</v>
      </c>
    </row>
    <row r="97" spans="2:13">
      <c r="B97" s="324" t="s">
        <v>554</v>
      </c>
      <c r="C97" s="69"/>
      <c r="D97" s="69"/>
      <c r="E97" s="212">
        <f>SUM(E91:G91)</f>
        <v>0</v>
      </c>
      <c r="F97" s="212">
        <f>SUM(H91:K91)</f>
        <v>9889.9533584807505</v>
      </c>
      <c r="G97" s="212">
        <f>SUM(L91:O91)</f>
        <v>6538.273452465688</v>
      </c>
      <c r="H97" s="212">
        <f>SUM(P91:S91)</f>
        <v>4197.1922024656869</v>
      </c>
      <c r="I97" s="212">
        <f>SUM(T91:W91)</f>
        <v>3452.3922024656881</v>
      </c>
      <c r="J97" s="212">
        <f>SUM(X91:AA91)</f>
        <v>2795.0922024656875</v>
      </c>
      <c r="K97" s="212">
        <f>SUM(AB91:AE91)</f>
        <v>1890.9799838355627</v>
      </c>
      <c r="L97" s="69">
        <v>0</v>
      </c>
      <c r="M97" s="339">
        <v>0</v>
      </c>
    </row>
    <row r="98" spans="2:13" ht="16" thickBot="1">
      <c r="B98" s="200" t="s">
        <v>555</v>
      </c>
      <c r="C98" s="320"/>
      <c r="D98" s="320"/>
      <c r="E98" s="199">
        <f>SUM(E92:G92)</f>
        <v>0</v>
      </c>
      <c r="F98" s="199">
        <f>SUM(H92:K92)</f>
        <v>57000</v>
      </c>
      <c r="G98" s="199">
        <f>SUM(L92:O92)</f>
        <v>57000</v>
      </c>
      <c r="H98" s="199">
        <f>SUM(P92:S92)</f>
        <v>24100</v>
      </c>
      <c r="I98" s="199">
        <f>SUM(T92:W92)</f>
        <v>24100</v>
      </c>
      <c r="J98" s="199">
        <f>SUM(X92:AA92)</f>
        <v>14100</v>
      </c>
      <c r="K98" s="199">
        <f>SUM(AB92:AE92)</f>
        <v>120379.13079</v>
      </c>
      <c r="L98" s="320">
        <v>0</v>
      </c>
      <c r="M98" s="340">
        <v>0</v>
      </c>
    </row>
  </sheetData>
  <phoneticPr fontId="59"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Q115"/>
  <sheetViews>
    <sheetView zoomScale="75" zoomScaleNormal="75" workbookViewId="0">
      <selection activeCell="I12" sqref="I12"/>
    </sheetView>
  </sheetViews>
  <sheetFormatPr baseColWidth="10" defaultColWidth="13" defaultRowHeight="14"/>
  <cols>
    <col min="1" max="1" width="44.83203125" style="217" customWidth="1"/>
    <col min="2" max="2" width="32" style="217" customWidth="1"/>
    <col min="3" max="3" width="13.83203125" style="217" customWidth="1"/>
    <col min="4" max="4" width="24.6640625" style="217" customWidth="1"/>
    <col min="5" max="5" width="17.33203125" style="217" bestFit="1" customWidth="1"/>
    <col min="6" max="6" width="20.6640625" style="217" customWidth="1"/>
    <col min="7" max="7" width="18.6640625" style="217" customWidth="1"/>
    <col min="8" max="8" width="15.1640625" style="217" customWidth="1"/>
    <col min="9" max="9" width="16.33203125" style="217" customWidth="1"/>
    <col min="10" max="10" width="15" style="217" customWidth="1"/>
    <col min="11" max="11" width="15.33203125" style="217" customWidth="1"/>
    <col min="12" max="12" width="15.1640625" style="217" customWidth="1"/>
    <col min="13" max="13" width="17" style="217" customWidth="1"/>
    <col min="14" max="14" width="31.33203125" style="217" customWidth="1"/>
    <col min="15" max="15" width="22.6640625" style="217" customWidth="1"/>
    <col min="16" max="16" width="31.5" style="217" customWidth="1"/>
    <col min="17" max="17" width="13" style="217" customWidth="1"/>
    <col min="18" max="256" width="13" style="217"/>
    <col min="257" max="257" width="40.33203125" style="217" customWidth="1"/>
    <col min="258" max="258" width="32" style="217" customWidth="1"/>
    <col min="259" max="259" width="13.83203125" style="217" customWidth="1"/>
    <col min="260" max="260" width="24.6640625" style="217" customWidth="1"/>
    <col min="261" max="261" width="17.33203125" style="217" bestFit="1" customWidth="1"/>
    <col min="262" max="262" width="20.6640625" style="217" customWidth="1"/>
    <col min="263" max="263" width="17" style="217" customWidth="1"/>
    <col min="264" max="264" width="15.1640625" style="217" customWidth="1"/>
    <col min="265" max="265" width="18.5" style="217" customWidth="1"/>
    <col min="266" max="266" width="18.1640625" style="217" customWidth="1"/>
    <col min="267" max="267" width="18.33203125" style="217" customWidth="1"/>
    <col min="268" max="268" width="15.1640625" style="217" customWidth="1"/>
    <col min="269" max="269" width="17" style="217" customWidth="1"/>
    <col min="270" max="270" width="31.33203125" style="217" customWidth="1"/>
    <col min="271" max="271" width="22.6640625" style="217" customWidth="1"/>
    <col min="272" max="272" width="31.5" style="217" customWidth="1"/>
    <col min="273" max="273" width="13" style="217" customWidth="1"/>
    <col min="274" max="512" width="13" style="217"/>
    <col min="513" max="513" width="40.33203125" style="217" customWidth="1"/>
    <col min="514" max="514" width="32" style="217" customWidth="1"/>
    <col min="515" max="515" width="13.83203125" style="217" customWidth="1"/>
    <col min="516" max="516" width="24.6640625" style="217" customWidth="1"/>
    <col min="517" max="517" width="17.33203125" style="217" bestFit="1" customWidth="1"/>
    <col min="518" max="518" width="20.6640625" style="217" customWidth="1"/>
    <col min="519" max="519" width="17" style="217" customWidth="1"/>
    <col min="520" max="520" width="15.1640625" style="217" customWidth="1"/>
    <col min="521" max="521" width="18.5" style="217" customWidth="1"/>
    <col min="522" max="522" width="18.1640625" style="217" customWidth="1"/>
    <col min="523" max="523" width="18.33203125" style="217" customWidth="1"/>
    <col min="524" max="524" width="15.1640625" style="217" customWidth="1"/>
    <col min="525" max="525" width="17" style="217" customWidth="1"/>
    <col min="526" max="526" width="31.33203125" style="217" customWidth="1"/>
    <col min="527" max="527" width="22.6640625" style="217" customWidth="1"/>
    <col min="528" max="528" width="31.5" style="217" customWidth="1"/>
    <col min="529" max="529" width="13" style="217" customWidth="1"/>
    <col min="530" max="768" width="13" style="217"/>
    <col min="769" max="769" width="40.33203125" style="217" customWidth="1"/>
    <col min="770" max="770" width="32" style="217" customWidth="1"/>
    <col min="771" max="771" width="13.83203125" style="217" customWidth="1"/>
    <col min="772" max="772" width="24.6640625" style="217" customWidth="1"/>
    <col min="773" max="773" width="17.33203125" style="217" bestFit="1" customWidth="1"/>
    <col min="774" max="774" width="20.6640625" style="217" customWidth="1"/>
    <col min="775" max="775" width="17" style="217" customWidth="1"/>
    <col min="776" max="776" width="15.1640625" style="217" customWidth="1"/>
    <col min="777" max="777" width="18.5" style="217" customWidth="1"/>
    <col min="778" max="778" width="18.1640625" style="217" customWidth="1"/>
    <col min="779" max="779" width="18.33203125" style="217" customWidth="1"/>
    <col min="780" max="780" width="15.1640625" style="217" customWidth="1"/>
    <col min="781" max="781" width="17" style="217" customWidth="1"/>
    <col min="782" max="782" width="31.33203125" style="217" customWidth="1"/>
    <col min="783" max="783" width="22.6640625" style="217" customWidth="1"/>
    <col min="784" max="784" width="31.5" style="217" customWidth="1"/>
    <col min="785" max="785" width="13" style="217" customWidth="1"/>
    <col min="786" max="1024" width="13" style="217"/>
    <col min="1025" max="1025" width="40.33203125" style="217" customWidth="1"/>
    <col min="1026" max="1026" width="32" style="217" customWidth="1"/>
    <col min="1027" max="1027" width="13.83203125" style="217" customWidth="1"/>
    <col min="1028" max="1028" width="24.6640625" style="217" customWidth="1"/>
    <col min="1029" max="1029" width="17.33203125" style="217" bestFit="1" customWidth="1"/>
    <col min="1030" max="1030" width="20.6640625" style="217" customWidth="1"/>
    <col min="1031" max="1031" width="17" style="217" customWidth="1"/>
    <col min="1032" max="1032" width="15.1640625" style="217" customWidth="1"/>
    <col min="1033" max="1033" width="18.5" style="217" customWidth="1"/>
    <col min="1034" max="1034" width="18.1640625" style="217" customWidth="1"/>
    <col min="1035" max="1035" width="18.33203125" style="217" customWidth="1"/>
    <col min="1036" max="1036" width="15.1640625" style="217" customWidth="1"/>
    <col min="1037" max="1037" width="17" style="217" customWidth="1"/>
    <col min="1038" max="1038" width="31.33203125" style="217" customWidth="1"/>
    <col min="1039" max="1039" width="22.6640625" style="217" customWidth="1"/>
    <col min="1040" max="1040" width="31.5" style="217" customWidth="1"/>
    <col min="1041" max="1041" width="13" style="217" customWidth="1"/>
    <col min="1042" max="1280" width="13" style="217"/>
    <col min="1281" max="1281" width="40.33203125" style="217" customWidth="1"/>
    <col min="1282" max="1282" width="32" style="217" customWidth="1"/>
    <col min="1283" max="1283" width="13.83203125" style="217" customWidth="1"/>
    <col min="1284" max="1284" width="24.6640625" style="217" customWidth="1"/>
    <col min="1285" max="1285" width="17.33203125" style="217" bestFit="1" customWidth="1"/>
    <col min="1286" max="1286" width="20.6640625" style="217" customWidth="1"/>
    <col min="1287" max="1287" width="17" style="217" customWidth="1"/>
    <col min="1288" max="1288" width="15.1640625" style="217" customWidth="1"/>
    <col min="1289" max="1289" width="18.5" style="217" customWidth="1"/>
    <col min="1290" max="1290" width="18.1640625" style="217" customWidth="1"/>
    <col min="1291" max="1291" width="18.33203125" style="217" customWidth="1"/>
    <col min="1292" max="1292" width="15.1640625" style="217" customWidth="1"/>
    <col min="1293" max="1293" width="17" style="217" customWidth="1"/>
    <col min="1294" max="1294" width="31.33203125" style="217" customWidth="1"/>
    <col min="1295" max="1295" width="22.6640625" style="217" customWidth="1"/>
    <col min="1296" max="1296" width="31.5" style="217" customWidth="1"/>
    <col min="1297" max="1297" width="13" style="217" customWidth="1"/>
    <col min="1298" max="1536" width="13" style="217"/>
    <col min="1537" max="1537" width="40.33203125" style="217" customWidth="1"/>
    <col min="1538" max="1538" width="32" style="217" customWidth="1"/>
    <col min="1539" max="1539" width="13.83203125" style="217" customWidth="1"/>
    <col min="1540" max="1540" width="24.6640625" style="217" customWidth="1"/>
    <col min="1541" max="1541" width="17.33203125" style="217" bestFit="1" customWidth="1"/>
    <col min="1542" max="1542" width="20.6640625" style="217" customWidth="1"/>
    <col min="1543" max="1543" width="17" style="217" customWidth="1"/>
    <col min="1544" max="1544" width="15.1640625" style="217" customWidth="1"/>
    <col min="1545" max="1545" width="18.5" style="217" customWidth="1"/>
    <col min="1546" max="1546" width="18.1640625" style="217" customWidth="1"/>
    <col min="1547" max="1547" width="18.33203125" style="217" customWidth="1"/>
    <col min="1548" max="1548" width="15.1640625" style="217" customWidth="1"/>
    <col min="1549" max="1549" width="17" style="217" customWidth="1"/>
    <col min="1550" max="1550" width="31.33203125" style="217" customWidth="1"/>
    <col min="1551" max="1551" width="22.6640625" style="217" customWidth="1"/>
    <col min="1552" max="1552" width="31.5" style="217" customWidth="1"/>
    <col min="1553" max="1553" width="13" style="217" customWidth="1"/>
    <col min="1554" max="1792" width="13" style="217"/>
    <col min="1793" max="1793" width="40.33203125" style="217" customWidth="1"/>
    <col min="1794" max="1794" width="32" style="217" customWidth="1"/>
    <col min="1795" max="1795" width="13.83203125" style="217" customWidth="1"/>
    <col min="1796" max="1796" width="24.6640625" style="217" customWidth="1"/>
    <col min="1797" max="1797" width="17.33203125" style="217" bestFit="1" customWidth="1"/>
    <col min="1798" max="1798" width="20.6640625" style="217" customWidth="1"/>
    <col min="1799" max="1799" width="17" style="217" customWidth="1"/>
    <col min="1800" max="1800" width="15.1640625" style="217" customWidth="1"/>
    <col min="1801" max="1801" width="18.5" style="217" customWidth="1"/>
    <col min="1802" max="1802" width="18.1640625" style="217" customWidth="1"/>
    <col min="1803" max="1803" width="18.33203125" style="217" customWidth="1"/>
    <col min="1804" max="1804" width="15.1640625" style="217" customWidth="1"/>
    <col min="1805" max="1805" width="17" style="217" customWidth="1"/>
    <col min="1806" max="1806" width="31.33203125" style="217" customWidth="1"/>
    <col min="1807" max="1807" width="22.6640625" style="217" customWidth="1"/>
    <col min="1808" max="1808" width="31.5" style="217" customWidth="1"/>
    <col min="1809" max="1809" width="13" style="217" customWidth="1"/>
    <col min="1810" max="2048" width="13" style="217"/>
    <col min="2049" max="2049" width="40.33203125" style="217" customWidth="1"/>
    <col min="2050" max="2050" width="32" style="217" customWidth="1"/>
    <col min="2051" max="2051" width="13.83203125" style="217" customWidth="1"/>
    <col min="2052" max="2052" width="24.6640625" style="217" customWidth="1"/>
    <col min="2053" max="2053" width="17.33203125" style="217" bestFit="1" customWidth="1"/>
    <col min="2054" max="2054" width="20.6640625" style="217" customWidth="1"/>
    <col min="2055" max="2055" width="17" style="217" customWidth="1"/>
    <col min="2056" max="2056" width="15.1640625" style="217" customWidth="1"/>
    <col min="2057" max="2057" width="18.5" style="217" customWidth="1"/>
    <col min="2058" max="2058" width="18.1640625" style="217" customWidth="1"/>
    <col min="2059" max="2059" width="18.33203125" style="217" customWidth="1"/>
    <col min="2060" max="2060" width="15.1640625" style="217" customWidth="1"/>
    <col min="2061" max="2061" width="17" style="217" customWidth="1"/>
    <col min="2062" max="2062" width="31.33203125" style="217" customWidth="1"/>
    <col min="2063" max="2063" width="22.6640625" style="217" customWidth="1"/>
    <col min="2064" max="2064" width="31.5" style="217" customWidth="1"/>
    <col min="2065" max="2065" width="13" style="217" customWidth="1"/>
    <col min="2066" max="2304" width="13" style="217"/>
    <col min="2305" max="2305" width="40.33203125" style="217" customWidth="1"/>
    <col min="2306" max="2306" width="32" style="217" customWidth="1"/>
    <col min="2307" max="2307" width="13.83203125" style="217" customWidth="1"/>
    <col min="2308" max="2308" width="24.6640625" style="217" customWidth="1"/>
    <col min="2309" max="2309" width="17.33203125" style="217" bestFit="1" customWidth="1"/>
    <col min="2310" max="2310" width="20.6640625" style="217" customWidth="1"/>
    <col min="2311" max="2311" width="17" style="217" customWidth="1"/>
    <col min="2312" max="2312" width="15.1640625" style="217" customWidth="1"/>
    <col min="2313" max="2313" width="18.5" style="217" customWidth="1"/>
    <col min="2314" max="2314" width="18.1640625" style="217" customWidth="1"/>
    <col min="2315" max="2315" width="18.33203125" style="217" customWidth="1"/>
    <col min="2316" max="2316" width="15.1640625" style="217" customWidth="1"/>
    <col min="2317" max="2317" width="17" style="217" customWidth="1"/>
    <col min="2318" max="2318" width="31.33203125" style="217" customWidth="1"/>
    <col min="2319" max="2319" width="22.6640625" style="217" customWidth="1"/>
    <col min="2320" max="2320" width="31.5" style="217" customWidth="1"/>
    <col min="2321" max="2321" width="13" style="217" customWidth="1"/>
    <col min="2322" max="2560" width="13" style="217"/>
    <col min="2561" max="2561" width="40.33203125" style="217" customWidth="1"/>
    <col min="2562" max="2562" width="32" style="217" customWidth="1"/>
    <col min="2563" max="2563" width="13.83203125" style="217" customWidth="1"/>
    <col min="2564" max="2564" width="24.6640625" style="217" customWidth="1"/>
    <col min="2565" max="2565" width="17.33203125" style="217" bestFit="1" customWidth="1"/>
    <col min="2566" max="2566" width="20.6640625" style="217" customWidth="1"/>
    <col min="2567" max="2567" width="17" style="217" customWidth="1"/>
    <col min="2568" max="2568" width="15.1640625" style="217" customWidth="1"/>
    <col min="2569" max="2569" width="18.5" style="217" customWidth="1"/>
    <col min="2570" max="2570" width="18.1640625" style="217" customWidth="1"/>
    <col min="2571" max="2571" width="18.33203125" style="217" customWidth="1"/>
    <col min="2572" max="2572" width="15.1640625" style="217" customWidth="1"/>
    <col min="2573" max="2573" width="17" style="217" customWidth="1"/>
    <col min="2574" max="2574" width="31.33203125" style="217" customWidth="1"/>
    <col min="2575" max="2575" width="22.6640625" style="217" customWidth="1"/>
    <col min="2576" max="2576" width="31.5" style="217" customWidth="1"/>
    <col min="2577" max="2577" width="13" style="217" customWidth="1"/>
    <col min="2578" max="2816" width="13" style="217"/>
    <col min="2817" max="2817" width="40.33203125" style="217" customWidth="1"/>
    <col min="2818" max="2818" width="32" style="217" customWidth="1"/>
    <col min="2819" max="2819" width="13.83203125" style="217" customWidth="1"/>
    <col min="2820" max="2820" width="24.6640625" style="217" customWidth="1"/>
    <col min="2821" max="2821" width="17.33203125" style="217" bestFit="1" customWidth="1"/>
    <col min="2822" max="2822" width="20.6640625" style="217" customWidth="1"/>
    <col min="2823" max="2823" width="17" style="217" customWidth="1"/>
    <col min="2824" max="2824" width="15.1640625" style="217" customWidth="1"/>
    <col min="2825" max="2825" width="18.5" style="217" customWidth="1"/>
    <col min="2826" max="2826" width="18.1640625" style="217" customWidth="1"/>
    <col min="2827" max="2827" width="18.33203125" style="217" customWidth="1"/>
    <col min="2828" max="2828" width="15.1640625" style="217" customWidth="1"/>
    <col min="2829" max="2829" width="17" style="217" customWidth="1"/>
    <col min="2830" max="2830" width="31.33203125" style="217" customWidth="1"/>
    <col min="2831" max="2831" width="22.6640625" style="217" customWidth="1"/>
    <col min="2832" max="2832" width="31.5" style="217" customWidth="1"/>
    <col min="2833" max="2833" width="13" style="217" customWidth="1"/>
    <col min="2834" max="3072" width="13" style="217"/>
    <col min="3073" max="3073" width="40.33203125" style="217" customWidth="1"/>
    <col min="3074" max="3074" width="32" style="217" customWidth="1"/>
    <col min="3075" max="3075" width="13.83203125" style="217" customWidth="1"/>
    <col min="3076" max="3076" width="24.6640625" style="217" customWidth="1"/>
    <col min="3077" max="3077" width="17.33203125" style="217" bestFit="1" customWidth="1"/>
    <col min="3078" max="3078" width="20.6640625" style="217" customWidth="1"/>
    <col min="3079" max="3079" width="17" style="217" customWidth="1"/>
    <col min="3080" max="3080" width="15.1640625" style="217" customWidth="1"/>
    <col min="3081" max="3081" width="18.5" style="217" customWidth="1"/>
    <col min="3082" max="3082" width="18.1640625" style="217" customWidth="1"/>
    <col min="3083" max="3083" width="18.33203125" style="217" customWidth="1"/>
    <col min="3084" max="3084" width="15.1640625" style="217" customWidth="1"/>
    <col min="3085" max="3085" width="17" style="217" customWidth="1"/>
    <col min="3086" max="3086" width="31.33203125" style="217" customWidth="1"/>
    <col min="3087" max="3087" width="22.6640625" style="217" customWidth="1"/>
    <col min="3088" max="3088" width="31.5" style="217" customWidth="1"/>
    <col min="3089" max="3089" width="13" style="217" customWidth="1"/>
    <col min="3090" max="3328" width="13" style="217"/>
    <col min="3329" max="3329" width="40.33203125" style="217" customWidth="1"/>
    <col min="3330" max="3330" width="32" style="217" customWidth="1"/>
    <col min="3331" max="3331" width="13.83203125" style="217" customWidth="1"/>
    <col min="3332" max="3332" width="24.6640625" style="217" customWidth="1"/>
    <col min="3333" max="3333" width="17.33203125" style="217" bestFit="1" customWidth="1"/>
    <col min="3334" max="3334" width="20.6640625" style="217" customWidth="1"/>
    <col min="3335" max="3335" width="17" style="217" customWidth="1"/>
    <col min="3336" max="3336" width="15.1640625" style="217" customWidth="1"/>
    <col min="3337" max="3337" width="18.5" style="217" customWidth="1"/>
    <col min="3338" max="3338" width="18.1640625" style="217" customWidth="1"/>
    <col min="3339" max="3339" width="18.33203125" style="217" customWidth="1"/>
    <col min="3340" max="3340" width="15.1640625" style="217" customWidth="1"/>
    <col min="3341" max="3341" width="17" style="217" customWidth="1"/>
    <col min="3342" max="3342" width="31.33203125" style="217" customWidth="1"/>
    <col min="3343" max="3343" width="22.6640625" style="217" customWidth="1"/>
    <col min="3344" max="3344" width="31.5" style="217" customWidth="1"/>
    <col min="3345" max="3345" width="13" style="217" customWidth="1"/>
    <col min="3346" max="3584" width="13" style="217"/>
    <col min="3585" max="3585" width="40.33203125" style="217" customWidth="1"/>
    <col min="3586" max="3586" width="32" style="217" customWidth="1"/>
    <col min="3587" max="3587" width="13.83203125" style="217" customWidth="1"/>
    <col min="3588" max="3588" width="24.6640625" style="217" customWidth="1"/>
    <col min="3589" max="3589" width="17.33203125" style="217" bestFit="1" customWidth="1"/>
    <col min="3590" max="3590" width="20.6640625" style="217" customWidth="1"/>
    <col min="3591" max="3591" width="17" style="217" customWidth="1"/>
    <col min="3592" max="3592" width="15.1640625" style="217" customWidth="1"/>
    <col min="3593" max="3593" width="18.5" style="217" customWidth="1"/>
    <col min="3594" max="3594" width="18.1640625" style="217" customWidth="1"/>
    <col min="3595" max="3595" width="18.33203125" style="217" customWidth="1"/>
    <col min="3596" max="3596" width="15.1640625" style="217" customWidth="1"/>
    <col min="3597" max="3597" width="17" style="217" customWidth="1"/>
    <col min="3598" max="3598" width="31.33203125" style="217" customWidth="1"/>
    <col min="3599" max="3599" width="22.6640625" style="217" customWidth="1"/>
    <col min="3600" max="3600" width="31.5" style="217" customWidth="1"/>
    <col min="3601" max="3601" width="13" style="217" customWidth="1"/>
    <col min="3602" max="3840" width="13" style="217"/>
    <col min="3841" max="3841" width="40.33203125" style="217" customWidth="1"/>
    <col min="3842" max="3842" width="32" style="217" customWidth="1"/>
    <col min="3843" max="3843" width="13.83203125" style="217" customWidth="1"/>
    <col min="3844" max="3844" width="24.6640625" style="217" customWidth="1"/>
    <col min="3845" max="3845" width="17.33203125" style="217" bestFit="1" customWidth="1"/>
    <col min="3846" max="3846" width="20.6640625" style="217" customWidth="1"/>
    <col min="3847" max="3847" width="17" style="217" customWidth="1"/>
    <col min="3848" max="3848" width="15.1640625" style="217" customWidth="1"/>
    <col min="3849" max="3849" width="18.5" style="217" customWidth="1"/>
    <col min="3850" max="3850" width="18.1640625" style="217" customWidth="1"/>
    <col min="3851" max="3851" width="18.33203125" style="217" customWidth="1"/>
    <col min="3852" max="3852" width="15.1640625" style="217" customWidth="1"/>
    <col min="3853" max="3853" width="17" style="217" customWidth="1"/>
    <col min="3854" max="3854" width="31.33203125" style="217" customWidth="1"/>
    <col min="3855" max="3855" width="22.6640625" style="217" customWidth="1"/>
    <col min="3856" max="3856" width="31.5" style="217" customWidth="1"/>
    <col min="3857" max="3857" width="13" style="217" customWidth="1"/>
    <col min="3858" max="4096" width="13" style="217"/>
    <col min="4097" max="4097" width="40.33203125" style="217" customWidth="1"/>
    <col min="4098" max="4098" width="32" style="217" customWidth="1"/>
    <col min="4099" max="4099" width="13.83203125" style="217" customWidth="1"/>
    <col min="4100" max="4100" width="24.6640625" style="217" customWidth="1"/>
    <col min="4101" max="4101" width="17.33203125" style="217" bestFit="1" customWidth="1"/>
    <col min="4102" max="4102" width="20.6640625" style="217" customWidth="1"/>
    <col min="4103" max="4103" width="17" style="217" customWidth="1"/>
    <col min="4104" max="4104" width="15.1640625" style="217" customWidth="1"/>
    <col min="4105" max="4105" width="18.5" style="217" customWidth="1"/>
    <col min="4106" max="4106" width="18.1640625" style="217" customWidth="1"/>
    <col min="4107" max="4107" width="18.33203125" style="217" customWidth="1"/>
    <col min="4108" max="4108" width="15.1640625" style="217" customWidth="1"/>
    <col min="4109" max="4109" width="17" style="217" customWidth="1"/>
    <col min="4110" max="4110" width="31.33203125" style="217" customWidth="1"/>
    <col min="4111" max="4111" width="22.6640625" style="217" customWidth="1"/>
    <col min="4112" max="4112" width="31.5" style="217" customWidth="1"/>
    <col min="4113" max="4113" width="13" style="217" customWidth="1"/>
    <col min="4114" max="4352" width="13" style="217"/>
    <col min="4353" max="4353" width="40.33203125" style="217" customWidth="1"/>
    <col min="4354" max="4354" width="32" style="217" customWidth="1"/>
    <col min="4355" max="4355" width="13.83203125" style="217" customWidth="1"/>
    <col min="4356" max="4356" width="24.6640625" style="217" customWidth="1"/>
    <col min="4357" max="4357" width="17.33203125" style="217" bestFit="1" customWidth="1"/>
    <col min="4358" max="4358" width="20.6640625" style="217" customWidth="1"/>
    <col min="4359" max="4359" width="17" style="217" customWidth="1"/>
    <col min="4360" max="4360" width="15.1640625" style="217" customWidth="1"/>
    <col min="4361" max="4361" width="18.5" style="217" customWidth="1"/>
    <col min="4362" max="4362" width="18.1640625" style="217" customWidth="1"/>
    <col min="4363" max="4363" width="18.33203125" style="217" customWidth="1"/>
    <col min="4364" max="4364" width="15.1640625" style="217" customWidth="1"/>
    <col min="4365" max="4365" width="17" style="217" customWidth="1"/>
    <col min="4366" max="4366" width="31.33203125" style="217" customWidth="1"/>
    <col min="4367" max="4367" width="22.6640625" style="217" customWidth="1"/>
    <col min="4368" max="4368" width="31.5" style="217" customWidth="1"/>
    <col min="4369" max="4369" width="13" style="217" customWidth="1"/>
    <col min="4370" max="4608" width="13" style="217"/>
    <col min="4609" max="4609" width="40.33203125" style="217" customWidth="1"/>
    <col min="4610" max="4610" width="32" style="217" customWidth="1"/>
    <col min="4611" max="4611" width="13.83203125" style="217" customWidth="1"/>
    <col min="4612" max="4612" width="24.6640625" style="217" customWidth="1"/>
    <col min="4613" max="4613" width="17.33203125" style="217" bestFit="1" customWidth="1"/>
    <col min="4614" max="4614" width="20.6640625" style="217" customWidth="1"/>
    <col min="4615" max="4615" width="17" style="217" customWidth="1"/>
    <col min="4616" max="4616" width="15.1640625" style="217" customWidth="1"/>
    <col min="4617" max="4617" width="18.5" style="217" customWidth="1"/>
    <col min="4618" max="4618" width="18.1640625" style="217" customWidth="1"/>
    <col min="4619" max="4619" width="18.33203125" style="217" customWidth="1"/>
    <col min="4620" max="4620" width="15.1640625" style="217" customWidth="1"/>
    <col min="4621" max="4621" width="17" style="217" customWidth="1"/>
    <col min="4622" max="4622" width="31.33203125" style="217" customWidth="1"/>
    <col min="4623" max="4623" width="22.6640625" style="217" customWidth="1"/>
    <col min="4624" max="4624" width="31.5" style="217" customWidth="1"/>
    <col min="4625" max="4625" width="13" style="217" customWidth="1"/>
    <col min="4626" max="4864" width="13" style="217"/>
    <col min="4865" max="4865" width="40.33203125" style="217" customWidth="1"/>
    <col min="4866" max="4866" width="32" style="217" customWidth="1"/>
    <col min="4867" max="4867" width="13.83203125" style="217" customWidth="1"/>
    <col min="4868" max="4868" width="24.6640625" style="217" customWidth="1"/>
    <col min="4869" max="4869" width="17.33203125" style="217" bestFit="1" customWidth="1"/>
    <col min="4870" max="4870" width="20.6640625" style="217" customWidth="1"/>
    <col min="4871" max="4871" width="17" style="217" customWidth="1"/>
    <col min="4872" max="4872" width="15.1640625" style="217" customWidth="1"/>
    <col min="4873" max="4873" width="18.5" style="217" customWidth="1"/>
    <col min="4874" max="4874" width="18.1640625" style="217" customWidth="1"/>
    <col min="4875" max="4875" width="18.33203125" style="217" customWidth="1"/>
    <col min="4876" max="4876" width="15.1640625" style="217" customWidth="1"/>
    <col min="4877" max="4877" width="17" style="217" customWidth="1"/>
    <col min="4878" max="4878" width="31.33203125" style="217" customWidth="1"/>
    <col min="4879" max="4879" width="22.6640625" style="217" customWidth="1"/>
    <col min="4880" max="4880" width="31.5" style="217" customWidth="1"/>
    <col min="4881" max="4881" width="13" style="217" customWidth="1"/>
    <col min="4882" max="5120" width="13" style="217"/>
    <col min="5121" max="5121" width="40.33203125" style="217" customWidth="1"/>
    <col min="5122" max="5122" width="32" style="217" customWidth="1"/>
    <col min="5123" max="5123" width="13.83203125" style="217" customWidth="1"/>
    <col min="5124" max="5124" width="24.6640625" style="217" customWidth="1"/>
    <col min="5125" max="5125" width="17.33203125" style="217" bestFit="1" customWidth="1"/>
    <col min="5126" max="5126" width="20.6640625" style="217" customWidth="1"/>
    <col min="5127" max="5127" width="17" style="217" customWidth="1"/>
    <col min="5128" max="5128" width="15.1640625" style="217" customWidth="1"/>
    <col min="5129" max="5129" width="18.5" style="217" customWidth="1"/>
    <col min="5130" max="5130" width="18.1640625" style="217" customWidth="1"/>
    <col min="5131" max="5131" width="18.33203125" style="217" customWidth="1"/>
    <col min="5132" max="5132" width="15.1640625" style="217" customWidth="1"/>
    <col min="5133" max="5133" width="17" style="217" customWidth="1"/>
    <col min="5134" max="5134" width="31.33203125" style="217" customWidth="1"/>
    <col min="5135" max="5135" width="22.6640625" style="217" customWidth="1"/>
    <col min="5136" max="5136" width="31.5" style="217" customWidth="1"/>
    <col min="5137" max="5137" width="13" style="217" customWidth="1"/>
    <col min="5138" max="5376" width="13" style="217"/>
    <col min="5377" max="5377" width="40.33203125" style="217" customWidth="1"/>
    <col min="5378" max="5378" width="32" style="217" customWidth="1"/>
    <col min="5379" max="5379" width="13.83203125" style="217" customWidth="1"/>
    <col min="5380" max="5380" width="24.6640625" style="217" customWidth="1"/>
    <col min="5381" max="5381" width="17.33203125" style="217" bestFit="1" customWidth="1"/>
    <col min="5382" max="5382" width="20.6640625" style="217" customWidth="1"/>
    <col min="5383" max="5383" width="17" style="217" customWidth="1"/>
    <col min="5384" max="5384" width="15.1640625" style="217" customWidth="1"/>
    <col min="5385" max="5385" width="18.5" style="217" customWidth="1"/>
    <col min="5386" max="5386" width="18.1640625" style="217" customWidth="1"/>
    <col min="5387" max="5387" width="18.33203125" style="217" customWidth="1"/>
    <col min="5388" max="5388" width="15.1640625" style="217" customWidth="1"/>
    <col min="5389" max="5389" width="17" style="217" customWidth="1"/>
    <col min="5390" max="5390" width="31.33203125" style="217" customWidth="1"/>
    <col min="5391" max="5391" width="22.6640625" style="217" customWidth="1"/>
    <col min="5392" max="5392" width="31.5" style="217" customWidth="1"/>
    <col min="5393" max="5393" width="13" style="217" customWidth="1"/>
    <col min="5394" max="5632" width="13" style="217"/>
    <col min="5633" max="5633" width="40.33203125" style="217" customWidth="1"/>
    <col min="5634" max="5634" width="32" style="217" customWidth="1"/>
    <col min="5635" max="5635" width="13.83203125" style="217" customWidth="1"/>
    <col min="5636" max="5636" width="24.6640625" style="217" customWidth="1"/>
    <col min="5637" max="5637" width="17.33203125" style="217" bestFit="1" customWidth="1"/>
    <col min="5638" max="5638" width="20.6640625" style="217" customWidth="1"/>
    <col min="5639" max="5639" width="17" style="217" customWidth="1"/>
    <col min="5640" max="5640" width="15.1640625" style="217" customWidth="1"/>
    <col min="5641" max="5641" width="18.5" style="217" customWidth="1"/>
    <col min="5642" max="5642" width="18.1640625" style="217" customWidth="1"/>
    <col min="5643" max="5643" width="18.33203125" style="217" customWidth="1"/>
    <col min="5644" max="5644" width="15.1640625" style="217" customWidth="1"/>
    <col min="5645" max="5645" width="17" style="217" customWidth="1"/>
    <col min="5646" max="5646" width="31.33203125" style="217" customWidth="1"/>
    <col min="5647" max="5647" width="22.6640625" style="217" customWidth="1"/>
    <col min="5648" max="5648" width="31.5" style="217" customWidth="1"/>
    <col min="5649" max="5649" width="13" style="217" customWidth="1"/>
    <col min="5650" max="5888" width="13" style="217"/>
    <col min="5889" max="5889" width="40.33203125" style="217" customWidth="1"/>
    <col min="5890" max="5890" width="32" style="217" customWidth="1"/>
    <col min="5891" max="5891" width="13.83203125" style="217" customWidth="1"/>
    <col min="5892" max="5892" width="24.6640625" style="217" customWidth="1"/>
    <col min="5893" max="5893" width="17.33203125" style="217" bestFit="1" customWidth="1"/>
    <col min="5894" max="5894" width="20.6640625" style="217" customWidth="1"/>
    <col min="5895" max="5895" width="17" style="217" customWidth="1"/>
    <col min="5896" max="5896" width="15.1640625" style="217" customWidth="1"/>
    <col min="5897" max="5897" width="18.5" style="217" customWidth="1"/>
    <col min="5898" max="5898" width="18.1640625" style="217" customWidth="1"/>
    <col min="5899" max="5899" width="18.33203125" style="217" customWidth="1"/>
    <col min="5900" max="5900" width="15.1640625" style="217" customWidth="1"/>
    <col min="5901" max="5901" width="17" style="217" customWidth="1"/>
    <col min="5902" max="5902" width="31.33203125" style="217" customWidth="1"/>
    <col min="5903" max="5903" width="22.6640625" style="217" customWidth="1"/>
    <col min="5904" max="5904" width="31.5" style="217" customWidth="1"/>
    <col min="5905" max="5905" width="13" style="217" customWidth="1"/>
    <col min="5906" max="6144" width="13" style="217"/>
    <col min="6145" max="6145" width="40.33203125" style="217" customWidth="1"/>
    <col min="6146" max="6146" width="32" style="217" customWidth="1"/>
    <col min="6147" max="6147" width="13.83203125" style="217" customWidth="1"/>
    <col min="6148" max="6148" width="24.6640625" style="217" customWidth="1"/>
    <col min="6149" max="6149" width="17.33203125" style="217" bestFit="1" customWidth="1"/>
    <col min="6150" max="6150" width="20.6640625" style="217" customWidth="1"/>
    <col min="6151" max="6151" width="17" style="217" customWidth="1"/>
    <col min="6152" max="6152" width="15.1640625" style="217" customWidth="1"/>
    <col min="6153" max="6153" width="18.5" style="217" customWidth="1"/>
    <col min="6154" max="6154" width="18.1640625" style="217" customWidth="1"/>
    <col min="6155" max="6155" width="18.33203125" style="217" customWidth="1"/>
    <col min="6156" max="6156" width="15.1640625" style="217" customWidth="1"/>
    <col min="6157" max="6157" width="17" style="217" customWidth="1"/>
    <col min="6158" max="6158" width="31.33203125" style="217" customWidth="1"/>
    <col min="6159" max="6159" width="22.6640625" style="217" customWidth="1"/>
    <col min="6160" max="6160" width="31.5" style="217" customWidth="1"/>
    <col min="6161" max="6161" width="13" style="217" customWidth="1"/>
    <col min="6162" max="6400" width="13" style="217"/>
    <col min="6401" max="6401" width="40.33203125" style="217" customWidth="1"/>
    <col min="6402" max="6402" width="32" style="217" customWidth="1"/>
    <col min="6403" max="6403" width="13.83203125" style="217" customWidth="1"/>
    <col min="6404" max="6404" width="24.6640625" style="217" customWidth="1"/>
    <col min="6405" max="6405" width="17.33203125" style="217" bestFit="1" customWidth="1"/>
    <col min="6406" max="6406" width="20.6640625" style="217" customWidth="1"/>
    <col min="6407" max="6407" width="17" style="217" customWidth="1"/>
    <col min="6408" max="6408" width="15.1640625" style="217" customWidth="1"/>
    <col min="6409" max="6409" width="18.5" style="217" customWidth="1"/>
    <col min="6410" max="6410" width="18.1640625" style="217" customWidth="1"/>
    <col min="6411" max="6411" width="18.33203125" style="217" customWidth="1"/>
    <col min="6412" max="6412" width="15.1640625" style="217" customWidth="1"/>
    <col min="6413" max="6413" width="17" style="217" customWidth="1"/>
    <col min="6414" max="6414" width="31.33203125" style="217" customWidth="1"/>
    <col min="6415" max="6415" width="22.6640625" style="217" customWidth="1"/>
    <col min="6416" max="6416" width="31.5" style="217" customWidth="1"/>
    <col min="6417" max="6417" width="13" style="217" customWidth="1"/>
    <col min="6418" max="6656" width="13" style="217"/>
    <col min="6657" max="6657" width="40.33203125" style="217" customWidth="1"/>
    <col min="6658" max="6658" width="32" style="217" customWidth="1"/>
    <col min="6659" max="6659" width="13.83203125" style="217" customWidth="1"/>
    <col min="6660" max="6660" width="24.6640625" style="217" customWidth="1"/>
    <col min="6661" max="6661" width="17.33203125" style="217" bestFit="1" customWidth="1"/>
    <col min="6662" max="6662" width="20.6640625" style="217" customWidth="1"/>
    <col min="6663" max="6663" width="17" style="217" customWidth="1"/>
    <col min="6664" max="6664" width="15.1640625" style="217" customWidth="1"/>
    <col min="6665" max="6665" width="18.5" style="217" customWidth="1"/>
    <col min="6666" max="6666" width="18.1640625" style="217" customWidth="1"/>
    <col min="6667" max="6667" width="18.33203125" style="217" customWidth="1"/>
    <col min="6668" max="6668" width="15.1640625" style="217" customWidth="1"/>
    <col min="6669" max="6669" width="17" style="217" customWidth="1"/>
    <col min="6670" max="6670" width="31.33203125" style="217" customWidth="1"/>
    <col min="6671" max="6671" width="22.6640625" style="217" customWidth="1"/>
    <col min="6672" max="6672" width="31.5" style="217" customWidth="1"/>
    <col min="6673" max="6673" width="13" style="217" customWidth="1"/>
    <col min="6674" max="6912" width="13" style="217"/>
    <col min="6913" max="6913" width="40.33203125" style="217" customWidth="1"/>
    <col min="6914" max="6914" width="32" style="217" customWidth="1"/>
    <col min="6915" max="6915" width="13.83203125" style="217" customWidth="1"/>
    <col min="6916" max="6916" width="24.6640625" style="217" customWidth="1"/>
    <col min="6917" max="6917" width="17.33203125" style="217" bestFit="1" customWidth="1"/>
    <col min="6918" max="6918" width="20.6640625" style="217" customWidth="1"/>
    <col min="6919" max="6919" width="17" style="217" customWidth="1"/>
    <col min="6920" max="6920" width="15.1640625" style="217" customWidth="1"/>
    <col min="6921" max="6921" width="18.5" style="217" customWidth="1"/>
    <col min="6922" max="6922" width="18.1640625" style="217" customWidth="1"/>
    <col min="6923" max="6923" width="18.33203125" style="217" customWidth="1"/>
    <col min="6924" max="6924" width="15.1640625" style="217" customWidth="1"/>
    <col min="6925" max="6925" width="17" style="217" customWidth="1"/>
    <col min="6926" max="6926" width="31.33203125" style="217" customWidth="1"/>
    <col min="6927" max="6927" width="22.6640625" style="217" customWidth="1"/>
    <col min="6928" max="6928" width="31.5" style="217" customWidth="1"/>
    <col min="6929" max="6929" width="13" style="217" customWidth="1"/>
    <col min="6930" max="7168" width="13" style="217"/>
    <col min="7169" max="7169" width="40.33203125" style="217" customWidth="1"/>
    <col min="7170" max="7170" width="32" style="217" customWidth="1"/>
    <col min="7171" max="7171" width="13.83203125" style="217" customWidth="1"/>
    <col min="7172" max="7172" width="24.6640625" style="217" customWidth="1"/>
    <col min="7173" max="7173" width="17.33203125" style="217" bestFit="1" customWidth="1"/>
    <col min="7174" max="7174" width="20.6640625" style="217" customWidth="1"/>
    <col min="7175" max="7175" width="17" style="217" customWidth="1"/>
    <col min="7176" max="7176" width="15.1640625" style="217" customWidth="1"/>
    <col min="7177" max="7177" width="18.5" style="217" customWidth="1"/>
    <col min="7178" max="7178" width="18.1640625" style="217" customWidth="1"/>
    <col min="7179" max="7179" width="18.33203125" style="217" customWidth="1"/>
    <col min="7180" max="7180" width="15.1640625" style="217" customWidth="1"/>
    <col min="7181" max="7181" width="17" style="217" customWidth="1"/>
    <col min="7182" max="7182" width="31.33203125" style="217" customWidth="1"/>
    <col min="7183" max="7183" width="22.6640625" style="217" customWidth="1"/>
    <col min="7184" max="7184" width="31.5" style="217" customWidth="1"/>
    <col min="7185" max="7185" width="13" style="217" customWidth="1"/>
    <col min="7186" max="7424" width="13" style="217"/>
    <col min="7425" max="7425" width="40.33203125" style="217" customWidth="1"/>
    <col min="7426" max="7426" width="32" style="217" customWidth="1"/>
    <col min="7427" max="7427" width="13.83203125" style="217" customWidth="1"/>
    <col min="7428" max="7428" width="24.6640625" style="217" customWidth="1"/>
    <col min="7429" max="7429" width="17.33203125" style="217" bestFit="1" customWidth="1"/>
    <col min="7430" max="7430" width="20.6640625" style="217" customWidth="1"/>
    <col min="7431" max="7431" width="17" style="217" customWidth="1"/>
    <col min="7432" max="7432" width="15.1640625" style="217" customWidth="1"/>
    <col min="7433" max="7433" width="18.5" style="217" customWidth="1"/>
    <col min="7434" max="7434" width="18.1640625" style="217" customWidth="1"/>
    <col min="7435" max="7435" width="18.33203125" style="217" customWidth="1"/>
    <col min="7436" max="7436" width="15.1640625" style="217" customWidth="1"/>
    <col min="7437" max="7437" width="17" style="217" customWidth="1"/>
    <col min="7438" max="7438" width="31.33203125" style="217" customWidth="1"/>
    <col min="7439" max="7439" width="22.6640625" style="217" customWidth="1"/>
    <col min="7440" max="7440" width="31.5" style="217" customWidth="1"/>
    <col min="7441" max="7441" width="13" style="217" customWidth="1"/>
    <col min="7442" max="7680" width="13" style="217"/>
    <col min="7681" max="7681" width="40.33203125" style="217" customWidth="1"/>
    <col min="7682" max="7682" width="32" style="217" customWidth="1"/>
    <col min="7683" max="7683" width="13.83203125" style="217" customWidth="1"/>
    <col min="7684" max="7684" width="24.6640625" style="217" customWidth="1"/>
    <col min="7685" max="7685" width="17.33203125" style="217" bestFit="1" customWidth="1"/>
    <col min="7686" max="7686" width="20.6640625" style="217" customWidth="1"/>
    <col min="7687" max="7687" width="17" style="217" customWidth="1"/>
    <col min="7688" max="7688" width="15.1640625" style="217" customWidth="1"/>
    <col min="7689" max="7689" width="18.5" style="217" customWidth="1"/>
    <col min="7690" max="7690" width="18.1640625" style="217" customWidth="1"/>
    <col min="7691" max="7691" width="18.33203125" style="217" customWidth="1"/>
    <col min="7692" max="7692" width="15.1640625" style="217" customWidth="1"/>
    <col min="7693" max="7693" width="17" style="217" customWidth="1"/>
    <col min="7694" max="7694" width="31.33203125" style="217" customWidth="1"/>
    <col min="7695" max="7695" width="22.6640625" style="217" customWidth="1"/>
    <col min="7696" max="7696" width="31.5" style="217" customWidth="1"/>
    <col min="7697" max="7697" width="13" style="217" customWidth="1"/>
    <col min="7698" max="7936" width="13" style="217"/>
    <col min="7937" max="7937" width="40.33203125" style="217" customWidth="1"/>
    <col min="7938" max="7938" width="32" style="217" customWidth="1"/>
    <col min="7939" max="7939" width="13.83203125" style="217" customWidth="1"/>
    <col min="7940" max="7940" width="24.6640625" style="217" customWidth="1"/>
    <col min="7941" max="7941" width="17.33203125" style="217" bestFit="1" customWidth="1"/>
    <col min="7942" max="7942" width="20.6640625" style="217" customWidth="1"/>
    <col min="7943" max="7943" width="17" style="217" customWidth="1"/>
    <col min="7944" max="7944" width="15.1640625" style="217" customWidth="1"/>
    <col min="7945" max="7945" width="18.5" style="217" customWidth="1"/>
    <col min="7946" max="7946" width="18.1640625" style="217" customWidth="1"/>
    <col min="7947" max="7947" width="18.33203125" style="217" customWidth="1"/>
    <col min="7948" max="7948" width="15.1640625" style="217" customWidth="1"/>
    <col min="7949" max="7949" width="17" style="217" customWidth="1"/>
    <col min="7950" max="7950" width="31.33203125" style="217" customWidth="1"/>
    <col min="7951" max="7951" width="22.6640625" style="217" customWidth="1"/>
    <col min="7952" max="7952" width="31.5" style="217" customWidth="1"/>
    <col min="7953" max="7953" width="13" style="217" customWidth="1"/>
    <col min="7954" max="8192" width="13" style="217"/>
    <col min="8193" max="8193" width="40.33203125" style="217" customWidth="1"/>
    <col min="8194" max="8194" width="32" style="217" customWidth="1"/>
    <col min="8195" max="8195" width="13.83203125" style="217" customWidth="1"/>
    <col min="8196" max="8196" width="24.6640625" style="217" customWidth="1"/>
    <col min="8197" max="8197" width="17.33203125" style="217" bestFit="1" customWidth="1"/>
    <col min="8198" max="8198" width="20.6640625" style="217" customWidth="1"/>
    <col min="8199" max="8199" width="17" style="217" customWidth="1"/>
    <col min="8200" max="8200" width="15.1640625" style="217" customWidth="1"/>
    <col min="8201" max="8201" width="18.5" style="217" customWidth="1"/>
    <col min="8202" max="8202" width="18.1640625" style="217" customWidth="1"/>
    <col min="8203" max="8203" width="18.33203125" style="217" customWidth="1"/>
    <col min="8204" max="8204" width="15.1640625" style="217" customWidth="1"/>
    <col min="8205" max="8205" width="17" style="217" customWidth="1"/>
    <col min="8206" max="8206" width="31.33203125" style="217" customWidth="1"/>
    <col min="8207" max="8207" width="22.6640625" style="217" customWidth="1"/>
    <col min="8208" max="8208" width="31.5" style="217" customWidth="1"/>
    <col min="8209" max="8209" width="13" style="217" customWidth="1"/>
    <col min="8210" max="8448" width="13" style="217"/>
    <col min="8449" max="8449" width="40.33203125" style="217" customWidth="1"/>
    <col min="8450" max="8450" width="32" style="217" customWidth="1"/>
    <col min="8451" max="8451" width="13.83203125" style="217" customWidth="1"/>
    <col min="8452" max="8452" width="24.6640625" style="217" customWidth="1"/>
    <col min="8453" max="8453" width="17.33203125" style="217" bestFit="1" customWidth="1"/>
    <col min="8454" max="8454" width="20.6640625" style="217" customWidth="1"/>
    <col min="8455" max="8455" width="17" style="217" customWidth="1"/>
    <col min="8456" max="8456" width="15.1640625" style="217" customWidth="1"/>
    <col min="8457" max="8457" width="18.5" style="217" customWidth="1"/>
    <col min="8458" max="8458" width="18.1640625" style="217" customWidth="1"/>
    <col min="8459" max="8459" width="18.33203125" style="217" customWidth="1"/>
    <col min="8460" max="8460" width="15.1640625" style="217" customWidth="1"/>
    <col min="8461" max="8461" width="17" style="217" customWidth="1"/>
    <col min="8462" max="8462" width="31.33203125" style="217" customWidth="1"/>
    <col min="8463" max="8463" width="22.6640625" style="217" customWidth="1"/>
    <col min="8464" max="8464" width="31.5" style="217" customWidth="1"/>
    <col min="8465" max="8465" width="13" style="217" customWidth="1"/>
    <col min="8466" max="8704" width="13" style="217"/>
    <col min="8705" max="8705" width="40.33203125" style="217" customWidth="1"/>
    <col min="8706" max="8706" width="32" style="217" customWidth="1"/>
    <col min="8707" max="8707" width="13.83203125" style="217" customWidth="1"/>
    <col min="8708" max="8708" width="24.6640625" style="217" customWidth="1"/>
    <col min="8709" max="8709" width="17.33203125" style="217" bestFit="1" customWidth="1"/>
    <col min="8710" max="8710" width="20.6640625" style="217" customWidth="1"/>
    <col min="8711" max="8711" width="17" style="217" customWidth="1"/>
    <col min="8712" max="8712" width="15.1640625" style="217" customWidth="1"/>
    <col min="8713" max="8713" width="18.5" style="217" customWidth="1"/>
    <col min="8714" max="8714" width="18.1640625" style="217" customWidth="1"/>
    <col min="8715" max="8715" width="18.33203125" style="217" customWidth="1"/>
    <col min="8716" max="8716" width="15.1640625" style="217" customWidth="1"/>
    <col min="8717" max="8717" width="17" style="217" customWidth="1"/>
    <col min="8718" max="8718" width="31.33203125" style="217" customWidth="1"/>
    <col min="8719" max="8719" width="22.6640625" style="217" customWidth="1"/>
    <col min="8720" max="8720" width="31.5" style="217" customWidth="1"/>
    <col min="8721" max="8721" width="13" style="217" customWidth="1"/>
    <col min="8722" max="8960" width="13" style="217"/>
    <col min="8961" max="8961" width="40.33203125" style="217" customWidth="1"/>
    <col min="8962" max="8962" width="32" style="217" customWidth="1"/>
    <col min="8963" max="8963" width="13.83203125" style="217" customWidth="1"/>
    <col min="8964" max="8964" width="24.6640625" style="217" customWidth="1"/>
    <col min="8965" max="8965" width="17.33203125" style="217" bestFit="1" customWidth="1"/>
    <col min="8966" max="8966" width="20.6640625" style="217" customWidth="1"/>
    <col min="8967" max="8967" width="17" style="217" customWidth="1"/>
    <col min="8968" max="8968" width="15.1640625" style="217" customWidth="1"/>
    <col min="8969" max="8969" width="18.5" style="217" customWidth="1"/>
    <col min="8970" max="8970" width="18.1640625" style="217" customWidth="1"/>
    <col min="8971" max="8971" width="18.33203125" style="217" customWidth="1"/>
    <col min="8972" max="8972" width="15.1640625" style="217" customWidth="1"/>
    <col min="8973" max="8973" width="17" style="217" customWidth="1"/>
    <col min="8974" max="8974" width="31.33203125" style="217" customWidth="1"/>
    <col min="8975" max="8975" width="22.6640625" style="217" customWidth="1"/>
    <col min="8976" max="8976" width="31.5" style="217" customWidth="1"/>
    <col min="8977" max="8977" width="13" style="217" customWidth="1"/>
    <col min="8978" max="9216" width="13" style="217"/>
    <col min="9217" max="9217" width="40.33203125" style="217" customWidth="1"/>
    <col min="9218" max="9218" width="32" style="217" customWidth="1"/>
    <col min="9219" max="9219" width="13.83203125" style="217" customWidth="1"/>
    <col min="9220" max="9220" width="24.6640625" style="217" customWidth="1"/>
    <col min="9221" max="9221" width="17.33203125" style="217" bestFit="1" customWidth="1"/>
    <col min="9222" max="9222" width="20.6640625" style="217" customWidth="1"/>
    <col min="9223" max="9223" width="17" style="217" customWidth="1"/>
    <col min="9224" max="9224" width="15.1640625" style="217" customWidth="1"/>
    <col min="9225" max="9225" width="18.5" style="217" customWidth="1"/>
    <col min="9226" max="9226" width="18.1640625" style="217" customWidth="1"/>
    <col min="9227" max="9227" width="18.33203125" style="217" customWidth="1"/>
    <col min="9228" max="9228" width="15.1640625" style="217" customWidth="1"/>
    <col min="9229" max="9229" width="17" style="217" customWidth="1"/>
    <col min="9230" max="9230" width="31.33203125" style="217" customWidth="1"/>
    <col min="9231" max="9231" width="22.6640625" style="217" customWidth="1"/>
    <col min="9232" max="9232" width="31.5" style="217" customWidth="1"/>
    <col min="9233" max="9233" width="13" style="217" customWidth="1"/>
    <col min="9234" max="9472" width="13" style="217"/>
    <col min="9473" max="9473" width="40.33203125" style="217" customWidth="1"/>
    <col min="9474" max="9474" width="32" style="217" customWidth="1"/>
    <col min="9475" max="9475" width="13.83203125" style="217" customWidth="1"/>
    <col min="9476" max="9476" width="24.6640625" style="217" customWidth="1"/>
    <col min="9477" max="9477" width="17.33203125" style="217" bestFit="1" customWidth="1"/>
    <col min="9478" max="9478" width="20.6640625" style="217" customWidth="1"/>
    <col min="9479" max="9479" width="17" style="217" customWidth="1"/>
    <col min="9480" max="9480" width="15.1640625" style="217" customWidth="1"/>
    <col min="9481" max="9481" width="18.5" style="217" customWidth="1"/>
    <col min="9482" max="9482" width="18.1640625" style="217" customWidth="1"/>
    <col min="9483" max="9483" width="18.33203125" style="217" customWidth="1"/>
    <col min="9484" max="9484" width="15.1640625" style="217" customWidth="1"/>
    <col min="9485" max="9485" width="17" style="217" customWidth="1"/>
    <col min="9486" max="9486" width="31.33203125" style="217" customWidth="1"/>
    <col min="9487" max="9487" width="22.6640625" style="217" customWidth="1"/>
    <col min="9488" max="9488" width="31.5" style="217" customWidth="1"/>
    <col min="9489" max="9489" width="13" style="217" customWidth="1"/>
    <col min="9490" max="9728" width="13" style="217"/>
    <col min="9729" max="9729" width="40.33203125" style="217" customWidth="1"/>
    <col min="9730" max="9730" width="32" style="217" customWidth="1"/>
    <col min="9731" max="9731" width="13.83203125" style="217" customWidth="1"/>
    <col min="9732" max="9732" width="24.6640625" style="217" customWidth="1"/>
    <col min="9733" max="9733" width="17.33203125" style="217" bestFit="1" customWidth="1"/>
    <col min="9734" max="9734" width="20.6640625" style="217" customWidth="1"/>
    <col min="9735" max="9735" width="17" style="217" customWidth="1"/>
    <col min="9736" max="9736" width="15.1640625" style="217" customWidth="1"/>
    <col min="9737" max="9737" width="18.5" style="217" customWidth="1"/>
    <col min="9738" max="9738" width="18.1640625" style="217" customWidth="1"/>
    <col min="9739" max="9739" width="18.33203125" style="217" customWidth="1"/>
    <col min="9740" max="9740" width="15.1640625" style="217" customWidth="1"/>
    <col min="9741" max="9741" width="17" style="217" customWidth="1"/>
    <col min="9742" max="9742" width="31.33203125" style="217" customWidth="1"/>
    <col min="9743" max="9743" width="22.6640625" style="217" customWidth="1"/>
    <col min="9744" max="9744" width="31.5" style="217" customWidth="1"/>
    <col min="9745" max="9745" width="13" style="217" customWidth="1"/>
    <col min="9746" max="9984" width="13" style="217"/>
    <col min="9985" max="9985" width="40.33203125" style="217" customWidth="1"/>
    <col min="9986" max="9986" width="32" style="217" customWidth="1"/>
    <col min="9987" max="9987" width="13.83203125" style="217" customWidth="1"/>
    <col min="9988" max="9988" width="24.6640625" style="217" customWidth="1"/>
    <col min="9989" max="9989" width="17.33203125" style="217" bestFit="1" customWidth="1"/>
    <col min="9990" max="9990" width="20.6640625" style="217" customWidth="1"/>
    <col min="9991" max="9991" width="17" style="217" customWidth="1"/>
    <col min="9992" max="9992" width="15.1640625" style="217" customWidth="1"/>
    <col min="9993" max="9993" width="18.5" style="217" customWidth="1"/>
    <col min="9994" max="9994" width="18.1640625" style="217" customWidth="1"/>
    <col min="9995" max="9995" width="18.33203125" style="217" customWidth="1"/>
    <col min="9996" max="9996" width="15.1640625" style="217" customWidth="1"/>
    <col min="9997" max="9997" width="17" style="217" customWidth="1"/>
    <col min="9998" max="9998" width="31.33203125" style="217" customWidth="1"/>
    <col min="9999" max="9999" width="22.6640625" style="217" customWidth="1"/>
    <col min="10000" max="10000" width="31.5" style="217" customWidth="1"/>
    <col min="10001" max="10001" width="13" style="217" customWidth="1"/>
    <col min="10002" max="10240" width="13" style="217"/>
    <col min="10241" max="10241" width="40.33203125" style="217" customWidth="1"/>
    <col min="10242" max="10242" width="32" style="217" customWidth="1"/>
    <col min="10243" max="10243" width="13.83203125" style="217" customWidth="1"/>
    <col min="10244" max="10244" width="24.6640625" style="217" customWidth="1"/>
    <col min="10245" max="10245" width="17.33203125" style="217" bestFit="1" customWidth="1"/>
    <col min="10246" max="10246" width="20.6640625" style="217" customWidth="1"/>
    <col min="10247" max="10247" width="17" style="217" customWidth="1"/>
    <col min="10248" max="10248" width="15.1640625" style="217" customWidth="1"/>
    <col min="10249" max="10249" width="18.5" style="217" customWidth="1"/>
    <col min="10250" max="10250" width="18.1640625" style="217" customWidth="1"/>
    <col min="10251" max="10251" width="18.33203125" style="217" customWidth="1"/>
    <col min="10252" max="10252" width="15.1640625" style="217" customWidth="1"/>
    <col min="10253" max="10253" width="17" style="217" customWidth="1"/>
    <col min="10254" max="10254" width="31.33203125" style="217" customWidth="1"/>
    <col min="10255" max="10255" width="22.6640625" style="217" customWidth="1"/>
    <col min="10256" max="10256" width="31.5" style="217" customWidth="1"/>
    <col min="10257" max="10257" width="13" style="217" customWidth="1"/>
    <col min="10258" max="10496" width="13" style="217"/>
    <col min="10497" max="10497" width="40.33203125" style="217" customWidth="1"/>
    <col min="10498" max="10498" width="32" style="217" customWidth="1"/>
    <col min="10499" max="10499" width="13.83203125" style="217" customWidth="1"/>
    <col min="10500" max="10500" width="24.6640625" style="217" customWidth="1"/>
    <col min="10501" max="10501" width="17.33203125" style="217" bestFit="1" customWidth="1"/>
    <col min="10502" max="10502" width="20.6640625" style="217" customWidth="1"/>
    <col min="10503" max="10503" width="17" style="217" customWidth="1"/>
    <col min="10504" max="10504" width="15.1640625" style="217" customWidth="1"/>
    <col min="10505" max="10505" width="18.5" style="217" customWidth="1"/>
    <col min="10506" max="10506" width="18.1640625" style="217" customWidth="1"/>
    <col min="10507" max="10507" width="18.33203125" style="217" customWidth="1"/>
    <col min="10508" max="10508" width="15.1640625" style="217" customWidth="1"/>
    <col min="10509" max="10509" width="17" style="217" customWidth="1"/>
    <col min="10510" max="10510" width="31.33203125" style="217" customWidth="1"/>
    <col min="10511" max="10511" width="22.6640625" style="217" customWidth="1"/>
    <col min="10512" max="10512" width="31.5" style="217" customWidth="1"/>
    <col min="10513" max="10513" width="13" style="217" customWidth="1"/>
    <col min="10514" max="10752" width="13" style="217"/>
    <col min="10753" max="10753" width="40.33203125" style="217" customWidth="1"/>
    <col min="10754" max="10754" width="32" style="217" customWidth="1"/>
    <col min="10755" max="10755" width="13.83203125" style="217" customWidth="1"/>
    <col min="10756" max="10756" width="24.6640625" style="217" customWidth="1"/>
    <col min="10757" max="10757" width="17.33203125" style="217" bestFit="1" customWidth="1"/>
    <col min="10758" max="10758" width="20.6640625" style="217" customWidth="1"/>
    <col min="10759" max="10759" width="17" style="217" customWidth="1"/>
    <col min="10760" max="10760" width="15.1640625" style="217" customWidth="1"/>
    <col min="10761" max="10761" width="18.5" style="217" customWidth="1"/>
    <col min="10762" max="10762" width="18.1640625" style="217" customWidth="1"/>
    <col min="10763" max="10763" width="18.33203125" style="217" customWidth="1"/>
    <col min="10764" max="10764" width="15.1640625" style="217" customWidth="1"/>
    <col min="10765" max="10765" width="17" style="217" customWidth="1"/>
    <col min="10766" max="10766" width="31.33203125" style="217" customWidth="1"/>
    <col min="10767" max="10767" width="22.6640625" style="217" customWidth="1"/>
    <col min="10768" max="10768" width="31.5" style="217" customWidth="1"/>
    <col min="10769" max="10769" width="13" style="217" customWidth="1"/>
    <col min="10770" max="11008" width="13" style="217"/>
    <col min="11009" max="11009" width="40.33203125" style="217" customWidth="1"/>
    <col min="11010" max="11010" width="32" style="217" customWidth="1"/>
    <col min="11011" max="11011" width="13.83203125" style="217" customWidth="1"/>
    <col min="11012" max="11012" width="24.6640625" style="217" customWidth="1"/>
    <col min="11013" max="11013" width="17.33203125" style="217" bestFit="1" customWidth="1"/>
    <col min="11014" max="11014" width="20.6640625" style="217" customWidth="1"/>
    <col min="11015" max="11015" width="17" style="217" customWidth="1"/>
    <col min="11016" max="11016" width="15.1640625" style="217" customWidth="1"/>
    <col min="11017" max="11017" width="18.5" style="217" customWidth="1"/>
    <col min="11018" max="11018" width="18.1640625" style="217" customWidth="1"/>
    <col min="11019" max="11019" width="18.33203125" style="217" customWidth="1"/>
    <col min="11020" max="11020" width="15.1640625" style="217" customWidth="1"/>
    <col min="11021" max="11021" width="17" style="217" customWidth="1"/>
    <col min="11022" max="11022" width="31.33203125" style="217" customWidth="1"/>
    <col min="11023" max="11023" width="22.6640625" style="217" customWidth="1"/>
    <col min="11024" max="11024" width="31.5" style="217" customWidth="1"/>
    <col min="11025" max="11025" width="13" style="217" customWidth="1"/>
    <col min="11026" max="11264" width="13" style="217"/>
    <col min="11265" max="11265" width="40.33203125" style="217" customWidth="1"/>
    <col min="11266" max="11266" width="32" style="217" customWidth="1"/>
    <col min="11267" max="11267" width="13.83203125" style="217" customWidth="1"/>
    <col min="11268" max="11268" width="24.6640625" style="217" customWidth="1"/>
    <col min="11269" max="11269" width="17.33203125" style="217" bestFit="1" customWidth="1"/>
    <col min="11270" max="11270" width="20.6640625" style="217" customWidth="1"/>
    <col min="11271" max="11271" width="17" style="217" customWidth="1"/>
    <col min="11272" max="11272" width="15.1640625" style="217" customWidth="1"/>
    <col min="11273" max="11273" width="18.5" style="217" customWidth="1"/>
    <col min="11274" max="11274" width="18.1640625" style="217" customWidth="1"/>
    <col min="11275" max="11275" width="18.33203125" style="217" customWidth="1"/>
    <col min="11276" max="11276" width="15.1640625" style="217" customWidth="1"/>
    <col min="11277" max="11277" width="17" style="217" customWidth="1"/>
    <col min="11278" max="11278" width="31.33203125" style="217" customWidth="1"/>
    <col min="11279" max="11279" width="22.6640625" style="217" customWidth="1"/>
    <col min="11280" max="11280" width="31.5" style="217" customWidth="1"/>
    <col min="11281" max="11281" width="13" style="217" customWidth="1"/>
    <col min="11282" max="11520" width="13" style="217"/>
    <col min="11521" max="11521" width="40.33203125" style="217" customWidth="1"/>
    <col min="11522" max="11522" width="32" style="217" customWidth="1"/>
    <col min="11523" max="11523" width="13.83203125" style="217" customWidth="1"/>
    <col min="11524" max="11524" width="24.6640625" style="217" customWidth="1"/>
    <col min="11525" max="11525" width="17.33203125" style="217" bestFit="1" customWidth="1"/>
    <col min="11526" max="11526" width="20.6640625" style="217" customWidth="1"/>
    <col min="11527" max="11527" width="17" style="217" customWidth="1"/>
    <col min="11528" max="11528" width="15.1640625" style="217" customWidth="1"/>
    <col min="11529" max="11529" width="18.5" style="217" customWidth="1"/>
    <col min="11530" max="11530" width="18.1640625" style="217" customWidth="1"/>
    <col min="11531" max="11531" width="18.33203125" style="217" customWidth="1"/>
    <col min="11532" max="11532" width="15.1640625" style="217" customWidth="1"/>
    <col min="11533" max="11533" width="17" style="217" customWidth="1"/>
    <col min="11534" max="11534" width="31.33203125" style="217" customWidth="1"/>
    <col min="11535" max="11535" width="22.6640625" style="217" customWidth="1"/>
    <col min="11536" max="11536" width="31.5" style="217" customWidth="1"/>
    <col min="11537" max="11537" width="13" style="217" customWidth="1"/>
    <col min="11538" max="11776" width="13" style="217"/>
    <col min="11777" max="11777" width="40.33203125" style="217" customWidth="1"/>
    <col min="11778" max="11778" width="32" style="217" customWidth="1"/>
    <col min="11779" max="11779" width="13.83203125" style="217" customWidth="1"/>
    <col min="11780" max="11780" width="24.6640625" style="217" customWidth="1"/>
    <col min="11781" max="11781" width="17.33203125" style="217" bestFit="1" customWidth="1"/>
    <col min="11782" max="11782" width="20.6640625" style="217" customWidth="1"/>
    <col min="11783" max="11783" width="17" style="217" customWidth="1"/>
    <col min="11784" max="11784" width="15.1640625" style="217" customWidth="1"/>
    <col min="11785" max="11785" width="18.5" style="217" customWidth="1"/>
    <col min="11786" max="11786" width="18.1640625" style="217" customWidth="1"/>
    <col min="11787" max="11787" width="18.33203125" style="217" customWidth="1"/>
    <col min="11788" max="11788" width="15.1640625" style="217" customWidth="1"/>
    <col min="11789" max="11789" width="17" style="217" customWidth="1"/>
    <col min="11790" max="11790" width="31.33203125" style="217" customWidth="1"/>
    <col min="11791" max="11791" width="22.6640625" style="217" customWidth="1"/>
    <col min="11792" max="11792" width="31.5" style="217" customWidth="1"/>
    <col min="11793" max="11793" width="13" style="217" customWidth="1"/>
    <col min="11794" max="12032" width="13" style="217"/>
    <col min="12033" max="12033" width="40.33203125" style="217" customWidth="1"/>
    <col min="12034" max="12034" width="32" style="217" customWidth="1"/>
    <col min="12035" max="12035" width="13.83203125" style="217" customWidth="1"/>
    <col min="12036" max="12036" width="24.6640625" style="217" customWidth="1"/>
    <col min="12037" max="12037" width="17.33203125" style="217" bestFit="1" customWidth="1"/>
    <col min="12038" max="12038" width="20.6640625" style="217" customWidth="1"/>
    <col min="12039" max="12039" width="17" style="217" customWidth="1"/>
    <col min="12040" max="12040" width="15.1640625" style="217" customWidth="1"/>
    <col min="12041" max="12041" width="18.5" style="217" customWidth="1"/>
    <col min="12042" max="12042" width="18.1640625" style="217" customWidth="1"/>
    <col min="12043" max="12043" width="18.33203125" style="217" customWidth="1"/>
    <col min="12044" max="12044" width="15.1640625" style="217" customWidth="1"/>
    <col min="12045" max="12045" width="17" style="217" customWidth="1"/>
    <col min="12046" max="12046" width="31.33203125" style="217" customWidth="1"/>
    <col min="12047" max="12047" width="22.6640625" style="217" customWidth="1"/>
    <col min="12048" max="12048" width="31.5" style="217" customWidth="1"/>
    <col min="12049" max="12049" width="13" style="217" customWidth="1"/>
    <col min="12050" max="12288" width="13" style="217"/>
    <col min="12289" max="12289" width="40.33203125" style="217" customWidth="1"/>
    <col min="12290" max="12290" width="32" style="217" customWidth="1"/>
    <col min="12291" max="12291" width="13.83203125" style="217" customWidth="1"/>
    <col min="12292" max="12292" width="24.6640625" style="217" customWidth="1"/>
    <col min="12293" max="12293" width="17.33203125" style="217" bestFit="1" customWidth="1"/>
    <col min="12294" max="12294" width="20.6640625" style="217" customWidth="1"/>
    <col min="12295" max="12295" width="17" style="217" customWidth="1"/>
    <col min="12296" max="12296" width="15.1640625" style="217" customWidth="1"/>
    <col min="12297" max="12297" width="18.5" style="217" customWidth="1"/>
    <col min="12298" max="12298" width="18.1640625" style="217" customWidth="1"/>
    <col min="12299" max="12299" width="18.33203125" style="217" customWidth="1"/>
    <col min="12300" max="12300" width="15.1640625" style="217" customWidth="1"/>
    <col min="12301" max="12301" width="17" style="217" customWidth="1"/>
    <col min="12302" max="12302" width="31.33203125" style="217" customWidth="1"/>
    <col min="12303" max="12303" width="22.6640625" style="217" customWidth="1"/>
    <col min="12304" max="12304" width="31.5" style="217" customWidth="1"/>
    <col min="12305" max="12305" width="13" style="217" customWidth="1"/>
    <col min="12306" max="12544" width="13" style="217"/>
    <col min="12545" max="12545" width="40.33203125" style="217" customWidth="1"/>
    <col min="12546" max="12546" width="32" style="217" customWidth="1"/>
    <col min="12547" max="12547" width="13.83203125" style="217" customWidth="1"/>
    <col min="12548" max="12548" width="24.6640625" style="217" customWidth="1"/>
    <col min="12549" max="12549" width="17.33203125" style="217" bestFit="1" customWidth="1"/>
    <col min="12550" max="12550" width="20.6640625" style="217" customWidth="1"/>
    <col min="12551" max="12551" width="17" style="217" customWidth="1"/>
    <col min="12552" max="12552" width="15.1640625" style="217" customWidth="1"/>
    <col min="12553" max="12553" width="18.5" style="217" customWidth="1"/>
    <col min="12554" max="12554" width="18.1640625" style="217" customWidth="1"/>
    <col min="12555" max="12555" width="18.33203125" style="217" customWidth="1"/>
    <col min="12556" max="12556" width="15.1640625" style="217" customWidth="1"/>
    <col min="12557" max="12557" width="17" style="217" customWidth="1"/>
    <col min="12558" max="12558" width="31.33203125" style="217" customWidth="1"/>
    <col min="12559" max="12559" width="22.6640625" style="217" customWidth="1"/>
    <col min="12560" max="12560" width="31.5" style="217" customWidth="1"/>
    <col min="12561" max="12561" width="13" style="217" customWidth="1"/>
    <col min="12562" max="12800" width="13" style="217"/>
    <col min="12801" max="12801" width="40.33203125" style="217" customWidth="1"/>
    <col min="12802" max="12802" width="32" style="217" customWidth="1"/>
    <col min="12803" max="12803" width="13.83203125" style="217" customWidth="1"/>
    <col min="12804" max="12804" width="24.6640625" style="217" customWidth="1"/>
    <col min="12805" max="12805" width="17.33203125" style="217" bestFit="1" customWidth="1"/>
    <col min="12806" max="12806" width="20.6640625" style="217" customWidth="1"/>
    <col min="12807" max="12807" width="17" style="217" customWidth="1"/>
    <col min="12808" max="12808" width="15.1640625" style="217" customWidth="1"/>
    <col min="12809" max="12809" width="18.5" style="217" customWidth="1"/>
    <col min="12810" max="12810" width="18.1640625" style="217" customWidth="1"/>
    <col min="12811" max="12811" width="18.33203125" style="217" customWidth="1"/>
    <col min="12812" max="12812" width="15.1640625" style="217" customWidth="1"/>
    <col min="12813" max="12813" width="17" style="217" customWidth="1"/>
    <col min="12814" max="12814" width="31.33203125" style="217" customWidth="1"/>
    <col min="12815" max="12815" width="22.6640625" style="217" customWidth="1"/>
    <col min="12816" max="12816" width="31.5" style="217" customWidth="1"/>
    <col min="12817" max="12817" width="13" style="217" customWidth="1"/>
    <col min="12818" max="13056" width="13" style="217"/>
    <col min="13057" max="13057" width="40.33203125" style="217" customWidth="1"/>
    <col min="13058" max="13058" width="32" style="217" customWidth="1"/>
    <col min="13059" max="13059" width="13.83203125" style="217" customWidth="1"/>
    <col min="13060" max="13060" width="24.6640625" style="217" customWidth="1"/>
    <col min="13061" max="13061" width="17.33203125" style="217" bestFit="1" customWidth="1"/>
    <col min="13062" max="13062" width="20.6640625" style="217" customWidth="1"/>
    <col min="13063" max="13063" width="17" style="217" customWidth="1"/>
    <col min="13064" max="13064" width="15.1640625" style="217" customWidth="1"/>
    <col min="13065" max="13065" width="18.5" style="217" customWidth="1"/>
    <col min="13066" max="13066" width="18.1640625" style="217" customWidth="1"/>
    <col min="13067" max="13067" width="18.33203125" style="217" customWidth="1"/>
    <col min="13068" max="13068" width="15.1640625" style="217" customWidth="1"/>
    <col min="13069" max="13069" width="17" style="217" customWidth="1"/>
    <col min="13070" max="13070" width="31.33203125" style="217" customWidth="1"/>
    <col min="13071" max="13071" width="22.6640625" style="217" customWidth="1"/>
    <col min="13072" max="13072" width="31.5" style="217" customWidth="1"/>
    <col min="13073" max="13073" width="13" style="217" customWidth="1"/>
    <col min="13074" max="13312" width="13" style="217"/>
    <col min="13313" max="13313" width="40.33203125" style="217" customWidth="1"/>
    <col min="13314" max="13314" width="32" style="217" customWidth="1"/>
    <col min="13315" max="13315" width="13.83203125" style="217" customWidth="1"/>
    <col min="13316" max="13316" width="24.6640625" style="217" customWidth="1"/>
    <col min="13317" max="13317" width="17.33203125" style="217" bestFit="1" customWidth="1"/>
    <col min="13318" max="13318" width="20.6640625" style="217" customWidth="1"/>
    <col min="13319" max="13319" width="17" style="217" customWidth="1"/>
    <col min="13320" max="13320" width="15.1640625" style="217" customWidth="1"/>
    <col min="13321" max="13321" width="18.5" style="217" customWidth="1"/>
    <col min="13322" max="13322" width="18.1640625" style="217" customWidth="1"/>
    <col min="13323" max="13323" width="18.33203125" style="217" customWidth="1"/>
    <col min="13324" max="13324" width="15.1640625" style="217" customWidth="1"/>
    <col min="13325" max="13325" width="17" style="217" customWidth="1"/>
    <col min="13326" max="13326" width="31.33203125" style="217" customWidth="1"/>
    <col min="13327" max="13327" width="22.6640625" style="217" customWidth="1"/>
    <col min="13328" max="13328" width="31.5" style="217" customWidth="1"/>
    <col min="13329" max="13329" width="13" style="217" customWidth="1"/>
    <col min="13330" max="13568" width="13" style="217"/>
    <col min="13569" max="13569" width="40.33203125" style="217" customWidth="1"/>
    <col min="13570" max="13570" width="32" style="217" customWidth="1"/>
    <col min="13571" max="13571" width="13.83203125" style="217" customWidth="1"/>
    <col min="13572" max="13572" width="24.6640625" style="217" customWidth="1"/>
    <col min="13573" max="13573" width="17.33203125" style="217" bestFit="1" customWidth="1"/>
    <col min="13574" max="13574" width="20.6640625" style="217" customWidth="1"/>
    <col min="13575" max="13575" width="17" style="217" customWidth="1"/>
    <col min="13576" max="13576" width="15.1640625" style="217" customWidth="1"/>
    <col min="13577" max="13577" width="18.5" style="217" customWidth="1"/>
    <col min="13578" max="13578" width="18.1640625" style="217" customWidth="1"/>
    <col min="13579" max="13579" width="18.33203125" style="217" customWidth="1"/>
    <col min="13580" max="13580" width="15.1640625" style="217" customWidth="1"/>
    <col min="13581" max="13581" width="17" style="217" customWidth="1"/>
    <col min="13582" max="13582" width="31.33203125" style="217" customWidth="1"/>
    <col min="13583" max="13583" width="22.6640625" style="217" customWidth="1"/>
    <col min="13584" max="13584" width="31.5" style="217" customWidth="1"/>
    <col min="13585" max="13585" width="13" style="217" customWidth="1"/>
    <col min="13586" max="13824" width="13" style="217"/>
    <col min="13825" max="13825" width="40.33203125" style="217" customWidth="1"/>
    <col min="13826" max="13826" width="32" style="217" customWidth="1"/>
    <col min="13827" max="13827" width="13.83203125" style="217" customWidth="1"/>
    <col min="13828" max="13828" width="24.6640625" style="217" customWidth="1"/>
    <col min="13829" max="13829" width="17.33203125" style="217" bestFit="1" customWidth="1"/>
    <col min="13830" max="13830" width="20.6640625" style="217" customWidth="1"/>
    <col min="13831" max="13831" width="17" style="217" customWidth="1"/>
    <col min="13832" max="13832" width="15.1640625" style="217" customWidth="1"/>
    <col min="13833" max="13833" width="18.5" style="217" customWidth="1"/>
    <col min="13834" max="13834" width="18.1640625" style="217" customWidth="1"/>
    <col min="13835" max="13835" width="18.33203125" style="217" customWidth="1"/>
    <col min="13836" max="13836" width="15.1640625" style="217" customWidth="1"/>
    <col min="13837" max="13837" width="17" style="217" customWidth="1"/>
    <col min="13838" max="13838" width="31.33203125" style="217" customWidth="1"/>
    <col min="13839" max="13839" width="22.6640625" style="217" customWidth="1"/>
    <col min="13840" max="13840" width="31.5" style="217" customWidth="1"/>
    <col min="13841" max="13841" width="13" style="217" customWidth="1"/>
    <col min="13842" max="14080" width="13" style="217"/>
    <col min="14081" max="14081" width="40.33203125" style="217" customWidth="1"/>
    <col min="14082" max="14082" width="32" style="217" customWidth="1"/>
    <col min="14083" max="14083" width="13.83203125" style="217" customWidth="1"/>
    <col min="14084" max="14084" width="24.6640625" style="217" customWidth="1"/>
    <col min="14085" max="14085" width="17.33203125" style="217" bestFit="1" customWidth="1"/>
    <col min="14086" max="14086" width="20.6640625" style="217" customWidth="1"/>
    <col min="14087" max="14087" width="17" style="217" customWidth="1"/>
    <col min="14088" max="14088" width="15.1640625" style="217" customWidth="1"/>
    <col min="14089" max="14089" width="18.5" style="217" customWidth="1"/>
    <col min="14090" max="14090" width="18.1640625" style="217" customWidth="1"/>
    <col min="14091" max="14091" width="18.33203125" style="217" customWidth="1"/>
    <col min="14092" max="14092" width="15.1640625" style="217" customWidth="1"/>
    <col min="14093" max="14093" width="17" style="217" customWidth="1"/>
    <col min="14094" max="14094" width="31.33203125" style="217" customWidth="1"/>
    <col min="14095" max="14095" width="22.6640625" style="217" customWidth="1"/>
    <col min="14096" max="14096" width="31.5" style="217" customWidth="1"/>
    <col min="14097" max="14097" width="13" style="217" customWidth="1"/>
    <col min="14098" max="14336" width="13" style="217"/>
    <col min="14337" max="14337" width="40.33203125" style="217" customWidth="1"/>
    <col min="14338" max="14338" width="32" style="217" customWidth="1"/>
    <col min="14339" max="14339" width="13.83203125" style="217" customWidth="1"/>
    <col min="14340" max="14340" width="24.6640625" style="217" customWidth="1"/>
    <col min="14341" max="14341" width="17.33203125" style="217" bestFit="1" customWidth="1"/>
    <col min="14342" max="14342" width="20.6640625" style="217" customWidth="1"/>
    <col min="14343" max="14343" width="17" style="217" customWidth="1"/>
    <col min="14344" max="14344" width="15.1640625" style="217" customWidth="1"/>
    <col min="14345" max="14345" width="18.5" style="217" customWidth="1"/>
    <col min="14346" max="14346" width="18.1640625" style="217" customWidth="1"/>
    <col min="14347" max="14347" width="18.33203125" style="217" customWidth="1"/>
    <col min="14348" max="14348" width="15.1640625" style="217" customWidth="1"/>
    <col min="14349" max="14349" width="17" style="217" customWidth="1"/>
    <col min="14350" max="14350" width="31.33203125" style="217" customWidth="1"/>
    <col min="14351" max="14351" width="22.6640625" style="217" customWidth="1"/>
    <col min="14352" max="14352" width="31.5" style="217" customWidth="1"/>
    <col min="14353" max="14353" width="13" style="217" customWidth="1"/>
    <col min="14354" max="14592" width="13" style="217"/>
    <col min="14593" max="14593" width="40.33203125" style="217" customWidth="1"/>
    <col min="14594" max="14594" width="32" style="217" customWidth="1"/>
    <col min="14595" max="14595" width="13.83203125" style="217" customWidth="1"/>
    <col min="14596" max="14596" width="24.6640625" style="217" customWidth="1"/>
    <col min="14597" max="14597" width="17.33203125" style="217" bestFit="1" customWidth="1"/>
    <col min="14598" max="14598" width="20.6640625" style="217" customWidth="1"/>
    <col min="14599" max="14599" width="17" style="217" customWidth="1"/>
    <col min="14600" max="14600" width="15.1640625" style="217" customWidth="1"/>
    <col min="14601" max="14601" width="18.5" style="217" customWidth="1"/>
    <col min="14602" max="14602" width="18.1640625" style="217" customWidth="1"/>
    <col min="14603" max="14603" width="18.33203125" style="217" customWidth="1"/>
    <col min="14604" max="14604" width="15.1640625" style="217" customWidth="1"/>
    <col min="14605" max="14605" width="17" style="217" customWidth="1"/>
    <col min="14606" max="14606" width="31.33203125" style="217" customWidth="1"/>
    <col min="14607" max="14607" width="22.6640625" style="217" customWidth="1"/>
    <col min="14608" max="14608" width="31.5" style="217" customWidth="1"/>
    <col min="14609" max="14609" width="13" style="217" customWidth="1"/>
    <col min="14610" max="14848" width="13" style="217"/>
    <col min="14849" max="14849" width="40.33203125" style="217" customWidth="1"/>
    <col min="14850" max="14850" width="32" style="217" customWidth="1"/>
    <col min="14851" max="14851" width="13.83203125" style="217" customWidth="1"/>
    <col min="14852" max="14852" width="24.6640625" style="217" customWidth="1"/>
    <col min="14853" max="14853" width="17.33203125" style="217" bestFit="1" customWidth="1"/>
    <col min="14854" max="14854" width="20.6640625" style="217" customWidth="1"/>
    <col min="14855" max="14855" width="17" style="217" customWidth="1"/>
    <col min="14856" max="14856" width="15.1640625" style="217" customWidth="1"/>
    <col min="14857" max="14857" width="18.5" style="217" customWidth="1"/>
    <col min="14858" max="14858" width="18.1640625" style="217" customWidth="1"/>
    <col min="14859" max="14859" width="18.33203125" style="217" customWidth="1"/>
    <col min="14860" max="14860" width="15.1640625" style="217" customWidth="1"/>
    <col min="14861" max="14861" width="17" style="217" customWidth="1"/>
    <col min="14862" max="14862" width="31.33203125" style="217" customWidth="1"/>
    <col min="14863" max="14863" width="22.6640625" style="217" customWidth="1"/>
    <col min="14864" max="14864" width="31.5" style="217" customWidth="1"/>
    <col min="14865" max="14865" width="13" style="217" customWidth="1"/>
    <col min="14866" max="15104" width="13" style="217"/>
    <col min="15105" max="15105" width="40.33203125" style="217" customWidth="1"/>
    <col min="15106" max="15106" width="32" style="217" customWidth="1"/>
    <col min="15107" max="15107" width="13.83203125" style="217" customWidth="1"/>
    <col min="15108" max="15108" width="24.6640625" style="217" customWidth="1"/>
    <col min="15109" max="15109" width="17.33203125" style="217" bestFit="1" customWidth="1"/>
    <col min="15110" max="15110" width="20.6640625" style="217" customWidth="1"/>
    <col min="15111" max="15111" width="17" style="217" customWidth="1"/>
    <col min="15112" max="15112" width="15.1640625" style="217" customWidth="1"/>
    <col min="15113" max="15113" width="18.5" style="217" customWidth="1"/>
    <col min="15114" max="15114" width="18.1640625" style="217" customWidth="1"/>
    <col min="15115" max="15115" width="18.33203125" style="217" customWidth="1"/>
    <col min="15116" max="15116" width="15.1640625" style="217" customWidth="1"/>
    <col min="15117" max="15117" width="17" style="217" customWidth="1"/>
    <col min="15118" max="15118" width="31.33203125" style="217" customWidth="1"/>
    <col min="15119" max="15119" width="22.6640625" style="217" customWidth="1"/>
    <col min="15120" max="15120" width="31.5" style="217" customWidth="1"/>
    <col min="15121" max="15121" width="13" style="217" customWidth="1"/>
    <col min="15122" max="15360" width="13" style="217"/>
    <col min="15361" max="15361" width="40.33203125" style="217" customWidth="1"/>
    <col min="15362" max="15362" width="32" style="217" customWidth="1"/>
    <col min="15363" max="15363" width="13.83203125" style="217" customWidth="1"/>
    <col min="15364" max="15364" width="24.6640625" style="217" customWidth="1"/>
    <col min="15365" max="15365" width="17.33203125" style="217" bestFit="1" customWidth="1"/>
    <col min="15366" max="15366" width="20.6640625" style="217" customWidth="1"/>
    <col min="15367" max="15367" width="17" style="217" customWidth="1"/>
    <col min="15368" max="15368" width="15.1640625" style="217" customWidth="1"/>
    <col min="15369" max="15369" width="18.5" style="217" customWidth="1"/>
    <col min="15370" max="15370" width="18.1640625" style="217" customWidth="1"/>
    <col min="15371" max="15371" width="18.33203125" style="217" customWidth="1"/>
    <col min="15372" max="15372" width="15.1640625" style="217" customWidth="1"/>
    <col min="15373" max="15373" width="17" style="217" customWidth="1"/>
    <col min="15374" max="15374" width="31.33203125" style="217" customWidth="1"/>
    <col min="15375" max="15375" width="22.6640625" style="217" customWidth="1"/>
    <col min="15376" max="15376" width="31.5" style="217" customWidth="1"/>
    <col min="15377" max="15377" width="13" style="217" customWidth="1"/>
    <col min="15378" max="15616" width="13" style="217"/>
    <col min="15617" max="15617" width="40.33203125" style="217" customWidth="1"/>
    <col min="15618" max="15618" width="32" style="217" customWidth="1"/>
    <col min="15619" max="15619" width="13.83203125" style="217" customWidth="1"/>
    <col min="15620" max="15620" width="24.6640625" style="217" customWidth="1"/>
    <col min="15621" max="15621" width="17.33203125" style="217" bestFit="1" customWidth="1"/>
    <col min="15622" max="15622" width="20.6640625" style="217" customWidth="1"/>
    <col min="15623" max="15623" width="17" style="217" customWidth="1"/>
    <col min="15624" max="15624" width="15.1640625" style="217" customWidth="1"/>
    <col min="15625" max="15625" width="18.5" style="217" customWidth="1"/>
    <col min="15626" max="15626" width="18.1640625" style="217" customWidth="1"/>
    <col min="15627" max="15627" width="18.33203125" style="217" customWidth="1"/>
    <col min="15628" max="15628" width="15.1640625" style="217" customWidth="1"/>
    <col min="15629" max="15629" width="17" style="217" customWidth="1"/>
    <col min="15630" max="15630" width="31.33203125" style="217" customWidth="1"/>
    <col min="15631" max="15631" width="22.6640625" style="217" customWidth="1"/>
    <col min="15632" max="15632" width="31.5" style="217" customWidth="1"/>
    <col min="15633" max="15633" width="13" style="217" customWidth="1"/>
    <col min="15634" max="15872" width="13" style="217"/>
    <col min="15873" max="15873" width="40.33203125" style="217" customWidth="1"/>
    <col min="15874" max="15874" width="32" style="217" customWidth="1"/>
    <col min="15875" max="15875" width="13.83203125" style="217" customWidth="1"/>
    <col min="15876" max="15876" width="24.6640625" style="217" customWidth="1"/>
    <col min="15877" max="15877" width="17.33203125" style="217" bestFit="1" customWidth="1"/>
    <col min="15878" max="15878" width="20.6640625" style="217" customWidth="1"/>
    <col min="15879" max="15879" width="17" style="217" customWidth="1"/>
    <col min="15880" max="15880" width="15.1640625" style="217" customWidth="1"/>
    <col min="15881" max="15881" width="18.5" style="217" customWidth="1"/>
    <col min="15882" max="15882" width="18.1640625" style="217" customWidth="1"/>
    <col min="15883" max="15883" width="18.33203125" style="217" customWidth="1"/>
    <col min="15884" max="15884" width="15.1640625" style="217" customWidth="1"/>
    <col min="15885" max="15885" width="17" style="217" customWidth="1"/>
    <col min="15886" max="15886" width="31.33203125" style="217" customWidth="1"/>
    <col min="15887" max="15887" width="22.6640625" style="217" customWidth="1"/>
    <col min="15888" max="15888" width="31.5" style="217" customWidth="1"/>
    <col min="15889" max="15889" width="13" style="217" customWidth="1"/>
    <col min="15890" max="16128" width="13" style="217"/>
    <col min="16129" max="16129" width="40.33203125" style="217" customWidth="1"/>
    <col min="16130" max="16130" width="32" style="217" customWidth="1"/>
    <col min="16131" max="16131" width="13.83203125" style="217" customWidth="1"/>
    <col min="16132" max="16132" width="24.6640625" style="217" customWidth="1"/>
    <col min="16133" max="16133" width="17.33203125" style="217" bestFit="1" customWidth="1"/>
    <col min="16134" max="16134" width="20.6640625" style="217" customWidth="1"/>
    <col min="16135" max="16135" width="17" style="217" customWidth="1"/>
    <col min="16136" max="16136" width="15.1640625" style="217" customWidth="1"/>
    <col min="16137" max="16137" width="18.5" style="217" customWidth="1"/>
    <col min="16138" max="16138" width="18.1640625" style="217" customWidth="1"/>
    <col min="16139" max="16139" width="18.33203125" style="217" customWidth="1"/>
    <col min="16140" max="16140" width="15.1640625" style="217" customWidth="1"/>
    <col min="16141" max="16141" width="17" style="217" customWidth="1"/>
    <col min="16142" max="16142" width="31.33203125" style="217" customWidth="1"/>
    <col min="16143" max="16143" width="22.6640625" style="217" customWidth="1"/>
    <col min="16144" max="16144" width="31.5" style="217" customWidth="1"/>
    <col min="16145" max="16145" width="13" style="217" customWidth="1"/>
    <col min="16146" max="16384" width="13" style="217"/>
  </cols>
  <sheetData>
    <row r="1" spans="1:17" ht="15" thickBot="1">
      <c r="A1" s="225" t="s">
        <v>499</v>
      </c>
      <c r="B1" s="438">
        <v>44013</v>
      </c>
      <c r="C1" s="439"/>
      <c r="D1" s="223"/>
      <c r="E1" s="224"/>
      <c r="F1" s="440"/>
      <c r="G1" s="440"/>
      <c r="H1" s="440"/>
      <c r="I1" s="441"/>
      <c r="J1" s="442"/>
      <c r="K1" s="440"/>
      <c r="L1" s="442"/>
      <c r="M1" s="440"/>
      <c r="N1" s="440"/>
      <c r="P1" s="443" t="s">
        <v>498</v>
      </c>
    </row>
    <row r="2" spans="1:17" ht="15" customHeight="1">
      <c r="A2" s="901" t="s">
        <v>497</v>
      </c>
      <c r="B2" s="893" t="s">
        <v>496</v>
      </c>
      <c r="C2" s="893" t="s">
        <v>495</v>
      </c>
      <c r="D2" s="893" t="s">
        <v>494</v>
      </c>
      <c r="E2" s="893" t="s">
        <v>493</v>
      </c>
      <c r="F2" s="893" t="s">
        <v>492</v>
      </c>
      <c r="G2" s="907" t="s">
        <v>491</v>
      </c>
      <c r="H2" s="908"/>
      <c r="I2" s="908"/>
      <c r="J2" s="909"/>
      <c r="K2" s="893" t="s">
        <v>490</v>
      </c>
      <c r="L2" s="893" t="s">
        <v>489</v>
      </c>
      <c r="M2" s="896" t="s">
        <v>488</v>
      </c>
      <c r="N2" s="893" t="s">
        <v>487</v>
      </c>
      <c r="O2" s="892" t="s">
        <v>486</v>
      </c>
      <c r="P2" s="892" t="s">
        <v>485</v>
      </c>
    </row>
    <row r="3" spans="1:17" ht="31.5" customHeight="1">
      <c r="A3" s="902"/>
      <c r="B3" s="894"/>
      <c r="C3" s="894"/>
      <c r="D3" s="894"/>
      <c r="E3" s="894"/>
      <c r="F3" s="894"/>
      <c r="G3" s="888" t="s">
        <v>647</v>
      </c>
      <c r="H3" s="889"/>
      <c r="I3" s="890" t="s">
        <v>648</v>
      </c>
      <c r="J3" s="891"/>
      <c r="K3" s="899"/>
      <c r="L3" s="894"/>
      <c r="M3" s="897"/>
      <c r="N3" s="899"/>
      <c r="O3" s="892"/>
      <c r="P3" s="892"/>
    </row>
    <row r="4" spans="1:17" ht="30">
      <c r="A4" s="903"/>
      <c r="B4" s="895"/>
      <c r="C4" s="895"/>
      <c r="D4" s="895"/>
      <c r="E4" s="895"/>
      <c r="F4" s="895"/>
      <c r="G4" s="246" t="s">
        <v>442</v>
      </c>
      <c r="H4" s="246" t="s">
        <v>484</v>
      </c>
      <c r="I4" s="418" t="s">
        <v>442</v>
      </c>
      <c r="J4" s="418" t="s">
        <v>484</v>
      </c>
      <c r="K4" s="420"/>
      <c r="L4" s="895"/>
      <c r="M4" s="898"/>
      <c r="N4" s="900"/>
      <c r="O4" s="892"/>
      <c r="P4" s="892"/>
    </row>
    <row r="5" spans="1:17" ht="30">
      <c r="A5" s="277" t="s">
        <v>483</v>
      </c>
      <c r="B5" s="418"/>
      <c r="C5" s="419"/>
      <c r="D5" s="418"/>
      <c r="E5" s="275">
        <f>SUM(E6:E8)</f>
        <v>209900</v>
      </c>
      <c r="F5" s="418"/>
      <c r="G5" s="275">
        <f>SUM(G6:G7)</f>
        <v>0</v>
      </c>
      <c r="H5" s="275">
        <f>SUM(H6:H7)</f>
        <v>0</v>
      </c>
      <c r="I5" s="275">
        <f>SUM(I6:I7)</f>
        <v>0</v>
      </c>
      <c r="J5" s="275">
        <f>SUM(J6:J7)</f>
        <v>0</v>
      </c>
      <c r="K5" s="420"/>
      <c r="L5" s="418"/>
      <c r="M5" s="418"/>
      <c r="N5" s="418"/>
      <c r="O5" s="419"/>
      <c r="P5" s="419"/>
    </row>
    <row r="6" spans="1:17" s="272" customFormat="1" ht="45">
      <c r="A6" s="444">
        <v>61100048</v>
      </c>
      <c r="B6" s="445" t="s">
        <v>461</v>
      </c>
      <c r="C6" s="274"/>
      <c r="D6" s="446" t="s">
        <v>460</v>
      </c>
      <c r="E6" s="447">
        <v>112800</v>
      </c>
      <c r="F6" s="446" t="s">
        <v>459</v>
      </c>
      <c r="G6" s="447">
        <v>0</v>
      </c>
      <c r="H6" s="447">
        <v>0</v>
      </c>
      <c r="I6" s="447">
        <v>0</v>
      </c>
      <c r="J6" s="447">
        <v>0</v>
      </c>
      <c r="K6" s="273">
        <v>0.111</v>
      </c>
      <c r="L6" s="448">
        <v>40863</v>
      </c>
      <c r="M6" s="448">
        <v>43712</v>
      </c>
      <c r="N6" s="446" t="s">
        <v>482</v>
      </c>
      <c r="O6" s="449" t="s">
        <v>437</v>
      </c>
      <c r="P6" s="449" t="s">
        <v>481</v>
      </c>
    </row>
    <row r="7" spans="1:17" s="272" customFormat="1" ht="30">
      <c r="A7" s="444" t="s">
        <v>480</v>
      </c>
      <c r="B7" s="445" t="s">
        <v>461</v>
      </c>
      <c r="C7" s="274"/>
      <c r="D7" s="446" t="s">
        <v>460</v>
      </c>
      <c r="E7" s="447">
        <v>7100</v>
      </c>
      <c r="F7" s="446" t="s">
        <v>459</v>
      </c>
      <c r="G7" s="447">
        <v>0</v>
      </c>
      <c r="H7" s="447">
        <v>0</v>
      </c>
      <c r="I7" s="447">
        <v>0</v>
      </c>
      <c r="J7" s="447">
        <v>0</v>
      </c>
      <c r="K7" s="273">
        <v>0.121</v>
      </c>
      <c r="L7" s="448">
        <v>41873</v>
      </c>
      <c r="M7" s="448">
        <v>43697</v>
      </c>
      <c r="N7" s="446" t="s">
        <v>479</v>
      </c>
      <c r="O7" s="449" t="s">
        <v>437</v>
      </c>
      <c r="P7" s="449" t="s">
        <v>478</v>
      </c>
    </row>
    <row r="8" spans="1:17" s="272" customFormat="1" ht="30">
      <c r="A8" s="444" t="s">
        <v>477</v>
      </c>
      <c r="B8" s="445" t="s">
        <v>461</v>
      </c>
      <c r="C8" s="274"/>
      <c r="D8" s="446" t="s">
        <v>460</v>
      </c>
      <c r="E8" s="447">
        <v>90000</v>
      </c>
      <c r="F8" s="446" t="s">
        <v>459</v>
      </c>
      <c r="G8" s="447">
        <v>0</v>
      </c>
      <c r="H8" s="447">
        <v>0</v>
      </c>
      <c r="I8" s="447">
        <v>0</v>
      </c>
      <c r="J8" s="447">
        <v>0</v>
      </c>
      <c r="K8" s="273">
        <v>2.5000000000000001E-2</v>
      </c>
      <c r="L8" s="448">
        <v>43433</v>
      </c>
      <c r="M8" s="448">
        <v>43797</v>
      </c>
      <c r="N8" s="450" t="s">
        <v>476</v>
      </c>
      <c r="O8" s="449" t="s">
        <v>437</v>
      </c>
      <c r="P8" s="449" t="s">
        <v>475</v>
      </c>
    </row>
    <row r="9" spans="1:17">
      <c r="A9" s="444"/>
      <c r="B9" s="451"/>
      <c r="C9" s="274"/>
      <c r="D9" s="446"/>
      <c r="E9" s="452"/>
      <c r="F9" s="446"/>
      <c r="G9" s="453"/>
      <c r="H9" s="453"/>
      <c r="I9" s="454"/>
      <c r="J9" s="454"/>
      <c r="K9" s="455"/>
      <c r="L9" s="456"/>
      <c r="M9" s="456"/>
      <c r="N9" s="457"/>
      <c r="O9" s="449"/>
      <c r="P9" s="449"/>
      <c r="Q9" s="439"/>
    </row>
    <row r="10" spans="1:17" ht="15">
      <c r="A10" s="276" t="s">
        <v>474</v>
      </c>
      <c r="B10" s="418"/>
      <c r="C10" s="419"/>
      <c r="D10" s="418"/>
      <c r="E10" s="275">
        <f>SUM(E11:E14)</f>
        <v>341000</v>
      </c>
      <c r="F10" s="275"/>
      <c r="G10" s="275">
        <f>SUM(G11:G16)</f>
        <v>246500</v>
      </c>
      <c r="H10" s="275">
        <f>SUM(H11:H16)</f>
        <v>246500</v>
      </c>
      <c r="I10" s="275">
        <f>SUM(I11:I16)</f>
        <v>246500</v>
      </c>
      <c r="J10" s="275">
        <f>SUM(J11:J16)</f>
        <v>246500</v>
      </c>
      <c r="K10" s="420"/>
      <c r="L10" s="418"/>
      <c r="M10" s="418"/>
      <c r="N10" s="418"/>
      <c r="O10" s="419"/>
      <c r="P10" s="419"/>
      <c r="Q10" s="458"/>
    </row>
    <row r="11" spans="1:17" s="272" customFormat="1" ht="60">
      <c r="A11" s="444" t="s">
        <v>473</v>
      </c>
      <c r="B11" s="445" t="s">
        <v>461</v>
      </c>
      <c r="C11" s="274"/>
      <c r="D11" s="446" t="s">
        <v>472</v>
      </c>
      <c r="E11" s="447">
        <v>165000</v>
      </c>
      <c r="F11" s="446" t="s">
        <v>459</v>
      </c>
      <c r="G11" s="447">
        <v>85000</v>
      </c>
      <c r="H11" s="447">
        <f>G11</f>
        <v>85000</v>
      </c>
      <c r="I11" s="447">
        <v>85000</v>
      </c>
      <c r="J11" s="447">
        <f>I11</f>
        <v>85000</v>
      </c>
      <c r="K11" s="273">
        <f>4.25%+1.9%</f>
        <v>6.1499999999999999E-2</v>
      </c>
      <c r="L11" s="448">
        <v>42915</v>
      </c>
      <c r="M11" s="448">
        <v>44701</v>
      </c>
      <c r="N11" s="450" t="s">
        <v>471</v>
      </c>
      <c r="O11" s="449" t="s">
        <v>437</v>
      </c>
      <c r="P11" s="449" t="s">
        <v>470</v>
      </c>
    </row>
    <row r="12" spans="1:17" s="272" customFormat="1" ht="45">
      <c r="A12" s="444" t="s">
        <v>469</v>
      </c>
      <c r="B12" s="445" t="s">
        <v>461</v>
      </c>
      <c r="C12" s="274"/>
      <c r="D12" s="446" t="s">
        <v>460</v>
      </c>
      <c r="E12" s="447">
        <v>65000</v>
      </c>
      <c r="F12" s="446" t="s">
        <v>459</v>
      </c>
      <c r="G12" s="447">
        <v>60500</v>
      </c>
      <c r="H12" s="447">
        <f>G12</f>
        <v>60500</v>
      </c>
      <c r="I12" s="447">
        <v>60500</v>
      </c>
      <c r="J12" s="447">
        <f>I12</f>
        <v>60500</v>
      </c>
      <c r="K12" s="273">
        <v>2.8000000000000001E-2</v>
      </c>
      <c r="L12" s="448">
        <v>43237</v>
      </c>
      <c r="M12" s="448">
        <v>46073</v>
      </c>
      <c r="N12" s="450" t="s">
        <v>468</v>
      </c>
      <c r="O12" s="449" t="s">
        <v>437</v>
      </c>
      <c r="P12" s="449" t="s">
        <v>467</v>
      </c>
    </row>
    <row r="13" spans="1:17" s="272" customFormat="1" ht="45">
      <c r="A13" s="444" t="s">
        <v>466</v>
      </c>
      <c r="B13" s="445" t="s">
        <v>465</v>
      </c>
      <c r="C13" s="274"/>
      <c r="D13" s="446" t="s">
        <v>460</v>
      </c>
      <c r="E13" s="447">
        <v>60000</v>
      </c>
      <c r="F13" s="446" t="s">
        <v>459</v>
      </c>
      <c r="G13" s="447">
        <v>50000</v>
      </c>
      <c r="H13" s="447">
        <f>G13</f>
        <v>50000</v>
      </c>
      <c r="I13" s="447">
        <v>50000</v>
      </c>
      <c r="J13" s="447">
        <f>I13</f>
        <v>50000</v>
      </c>
      <c r="K13" s="273">
        <v>3.5000000000000003E-2</v>
      </c>
      <c r="L13" s="448">
        <v>43497</v>
      </c>
      <c r="M13" s="448">
        <v>46052</v>
      </c>
      <c r="N13" s="450" t="s">
        <v>464</v>
      </c>
      <c r="O13" s="449" t="s">
        <v>437</v>
      </c>
      <c r="P13" s="449" t="s">
        <v>463</v>
      </c>
    </row>
    <row r="14" spans="1:17" s="272" customFormat="1" ht="45">
      <c r="A14" s="444" t="s">
        <v>462</v>
      </c>
      <c r="B14" s="445" t="s">
        <v>461</v>
      </c>
      <c r="C14" s="274"/>
      <c r="D14" s="446" t="s">
        <v>460</v>
      </c>
      <c r="E14" s="447">
        <v>51000</v>
      </c>
      <c r="F14" s="446" t="s">
        <v>459</v>
      </c>
      <c r="G14" s="447">
        <v>51000</v>
      </c>
      <c r="H14" s="447">
        <v>51000</v>
      </c>
      <c r="I14" s="447">
        <v>51000</v>
      </c>
      <c r="J14" s="447">
        <f>I14</f>
        <v>51000</v>
      </c>
      <c r="K14" s="273">
        <v>2.8000000000000001E-2</v>
      </c>
      <c r="L14" s="448">
        <v>43924</v>
      </c>
      <c r="M14" s="448">
        <v>44277</v>
      </c>
      <c r="N14" s="450" t="s">
        <v>458</v>
      </c>
      <c r="O14" s="449" t="s">
        <v>437</v>
      </c>
      <c r="P14" s="449" t="s">
        <v>457</v>
      </c>
    </row>
    <row r="15" spans="1:17" s="272" customFormat="1">
      <c r="A15" s="444"/>
      <c r="B15" s="451"/>
      <c r="C15" s="274"/>
      <c r="D15" s="274"/>
      <c r="E15" s="447"/>
      <c r="F15" s="459"/>
      <c r="G15" s="447"/>
      <c r="H15" s="447"/>
      <c r="I15" s="447"/>
      <c r="J15" s="447"/>
      <c r="K15" s="273"/>
      <c r="L15" s="448"/>
      <c r="M15" s="448"/>
      <c r="N15" s="460"/>
      <c r="O15" s="451"/>
      <c r="P15" s="461"/>
    </row>
    <row r="16" spans="1:17" s="272" customFormat="1">
      <c r="A16" s="444"/>
      <c r="B16" s="451"/>
      <c r="C16" s="274"/>
      <c r="D16" s="274"/>
      <c r="E16" s="447"/>
      <c r="F16" s="459"/>
      <c r="G16" s="447"/>
      <c r="H16" s="447"/>
      <c r="I16" s="447"/>
      <c r="J16" s="447"/>
      <c r="K16" s="273"/>
      <c r="L16" s="448"/>
      <c r="M16" s="448"/>
      <c r="N16" s="460"/>
      <c r="O16" s="451"/>
      <c r="P16" s="461"/>
    </row>
    <row r="17" spans="1:17" s="272" customFormat="1">
      <c r="A17" s="444"/>
      <c r="B17" s="451"/>
      <c r="C17" s="274"/>
      <c r="D17" s="274"/>
      <c r="E17" s="447"/>
      <c r="F17" s="459"/>
      <c r="G17" s="447"/>
      <c r="H17" s="447"/>
      <c r="I17" s="447"/>
      <c r="J17" s="447"/>
      <c r="K17" s="273"/>
      <c r="L17" s="448"/>
      <c r="M17" s="448"/>
      <c r="N17" s="462"/>
      <c r="O17" s="451"/>
      <c r="P17" s="461"/>
    </row>
    <row r="18" spans="1:17" ht="15">
      <c r="A18" s="269" t="s">
        <v>456</v>
      </c>
      <c r="B18" s="264"/>
      <c r="C18" s="268"/>
      <c r="D18" s="264"/>
      <c r="E18" s="271">
        <f>SUM(E19:E20)</f>
        <v>0</v>
      </c>
      <c r="F18" s="271"/>
      <c r="G18" s="271">
        <f>SUM(G19:G20)</f>
        <v>0</v>
      </c>
      <c r="H18" s="271">
        <f>SUM(H19:H20)</f>
        <v>0</v>
      </c>
      <c r="I18" s="271">
        <f>SUM(I19:I20)</f>
        <v>0</v>
      </c>
      <c r="J18" s="271">
        <f>SUM(J19:J20)</f>
        <v>0</v>
      </c>
      <c r="K18" s="265"/>
      <c r="L18" s="264"/>
      <c r="M18" s="264"/>
      <c r="N18" s="264"/>
      <c r="O18" s="264"/>
      <c r="P18" s="264"/>
    </row>
    <row r="19" spans="1:17">
      <c r="A19" s="463"/>
      <c r="B19" s="464"/>
      <c r="C19" s="465"/>
      <c r="D19" s="466"/>
      <c r="E19" s="270"/>
      <c r="F19" s="467"/>
      <c r="G19" s="468"/>
      <c r="H19" s="468"/>
      <c r="I19" s="468"/>
      <c r="J19" s="468"/>
      <c r="K19" s="468"/>
      <c r="L19" s="469"/>
      <c r="M19" s="469"/>
      <c r="N19" s="466"/>
      <c r="O19" s="466"/>
      <c r="P19" s="466"/>
    </row>
    <row r="20" spans="1:17">
      <c r="A20" s="463"/>
      <c r="B20" s="464"/>
      <c r="C20" s="465"/>
      <c r="D20" s="466"/>
      <c r="E20" s="270"/>
      <c r="F20" s="467"/>
      <c r="G20" s="468"/>
      <c r="H20" s="468"/>
      <c r="I20" s="468"/>
      <c r="J20" s="468"/>
      <c r="K20" s="468"/>
      <c r="L20" s="469"/>
      <c r="M20" s="469"/>
      <c r="N20" s="466"/>
      <c r="O20" s="466"/>
      <c r="P20" s="466"/>
    </row>
    <row r="21" spans="1:17" ht="15">
      <c r="A21" s="269" t="s">
        <v>455</v>
      </c>
      <c r="B21" s="264"/>
      <c r="C21" s="268"/>
      <c r="D21" s="264"/>
      <c r="E21" s="267"/>
      <c r="F21" s="267"/>
      <c r="G21" s="267"/>
      <c r="H21" s="267"/>
      <c r="I21" s="266"/>
      <c r="J21" s="266"/>
      <c r="K21" s="265"/>
      <c r="L21" s="264"/>
      <c r="M21" s="264"/>
      <c r="N21" s="264"/>
      <c r="O21" s="264"/>
      <c r="P21" s="264"/>
    </row>
    <row r="22" spans="1:17" ht="15">
      <c r="A22" s="233" t="s">
        <v>432</v>
      </c>
      <c r="B22" s="257" t="s">
        <v>429</v>
      </c>
      <c r="C22" s="470"/>
      <c r="D22" s="232"/>
      <c r="E22" s="260"/>
      <c r="F22" s="263"/>
      <c r="G22" s="262">
        <f>G10+G18</f>
        <v>246500</v>
      </c>
      <c r="H22" s="262">
        <f>H10+H18</f>
        <v>246500</v>
      </c>
      <c r="I22" s="262">
        <f>I10+I18</f>
        <v>246500</v>
      </c>
      <c r="J22" s="262">
        <f>J10+J18</f>
        <v>246500</v>
      </c>
      <c r="K22" s="258"/>
      <c r="L22" s="232"/>
      <c r="M22" s="232"/>
      <c r="N22" s="232"/>
      <c r="O22" s="232"/>
      <c r="P22" s="232"/>
    </row>
    <row r="23" spans="1:17" ht="15">
      <c r="A23" s="233" t="s">
        <v>432</v>
      </c>
      <c r="B23" s="257" t="s">
        <v>433</v>
      </c>
      <c r="C23" s="470"/>
      <c r="D23" s="232"/>
      <c r="E23" s="260"/>
      <c r="F23" s="260"/>
      <c r="G23" s="261">
        <f>G18</f>
        <v>0</v>
      </c>
      <c r="H23" s="261">
        <f>H18</f>
        <v>0</v>
      </c>
      <c r="I23" s="261">
        <f>I18</f>
        <v>0</v>
      </c>
      <c r="J23" s="261">
        <f>J18</f>
        <v>0</v>
      </c>
      <c r="K23" s="258"/>
      <c r="L23" s="232"/>
      <c r="M23" s="232"/>
      <c r="N23" s="232"/>
      <c r="O23" s="232"/>
      <c r="P23" s="232"/>
    </row>
    <row r="24" spans="1:17" ht="15">
      <c r="A24" s="233" t="s">
        <v>432</v>
      </c>
      <c r="B24" s="257" t="s">
        <v>431</v>
      </c>
      <c r="C24" s="470"/>
      <c r="D24" s="232"/>
      <c r="E24" s="260"/>
      <c r="F24" s="260"/>
      <c r="G24" s="259"/>
      <c r="H24" s="259"/>
      <c r="I24" s="259"/>
      <c r="J24" s="259"/>
      <c r="K24" s="258"/>
      <c r="L24" s="232"/>
      <c r="M24" s="232"/>
      <c r="N24" s="232"/>
      <c r="O24" s="232"/>
      <c r="P24" s="232"/>
    </row>
    <row r="25" spans="1:17" ht="15">
      <c r="A25" s="233" t="s">
        <v>454</v>
      </c>
      <c r="B25" s="257" t="s">
        <v>429</v>
      </c>
      <c r="C25" s="471"/>
      <c r="D25" s="232"/>
      <c r="E25" s="256"/>
      <c r="F25" s="256"/>
      <c r="G25" s="255">
        <f>G22</f>
        <v>246500</v>
      </c>
      <c r="H25" s="255">
        <f>H22</f>
        <v>246500</v>
      </c>
      <c r="I25" s="255">
        <f>I22</f>
        <v>246500</v>
      </c>
      <c r="J25" s="255">
        <f>J22</f>
        <v>246500</v>
      </c>
      <c r="K25" s="254"/>
      <c r="L25" s="253"/>
      <c r="M25" s="253"/>
      <c r="N25" s="253"/>
      <c r="O25" s="253"/>
      <c r="P25" s="253"/>
    </row>
    <row r="26" spans="1:17" ht="16" thickBot="1">
      <c r="A26" s="252" t="s">
        <v>453</v>
      </c>
      <c r="B26" s="228"/>
      <c r="C26" s="251">
        <v>0</v>
      </c>
      <c r="D26" s="250"/>
      <c r="E26" s="250"/>
      <c r="F26" s="250"/>
      <c r="G26" s="249"/>
      <c r="H26" s="249"/>
      <c r="I26" s="248"/>
      <c r="J26" s="248"/>
      <c r="K26" s="247"/>
      <c r="L26" s="228"/>
      <c r="M26" s="228"/>
      <c r="N26" s="228"/>
      <c r="O26" s="228"/>
      <c r="P26" s="228"/>
    </row>
    <row r="27" spans="1:17">
      <c r="A27" s="472" t="s">
        <v>417</v>
      </c>
      <c r="B27" s="473"/>
      <c r="C27" s="473"/>
      <c r="D27" s="474"/>
      <c r="E27" s="473"/>
      <c r="F27" s="473"/>
      <c r="G27" s="473"/>
      <c r="H27" s="473"/>
      <c r="I27" s="473"/>
      <c r="J27" s="475"/>
      <c r="K27" s="476"/>
      <c r="L27" s="476"/>
      <c r="M27" s="476"/>
      <c r="N27" s="476"/>
      <c r="O27" s="473"/>
      <c r="P27" s="473"/>
      <c r="Q27" s="473"/>
    </row>
    <row r="28" spans="1:17">
      <c r="B28" s="477"/>
      <c r="J28" s="477"/>
    </row>
    <row r="29" spans="1:17" ht="15" thickBot="1">
      <c r="A29" s="225" t="s">
        <v>452</v>
      </c>
      <c r="E29" s="224"/>
      <c r="F29" s="438"/>
    </row>
    <row r="30" spans="1:17">
      <c r="A30" s="901" t="s">
        <v>451</v>
      </c>
      <c r="B30" s="882" t="s">
        <v>450</v>
      </c>
      <c r="C30" s="904"/>
      <c r="D30" s="893" t="s">
        <v>449</v>
      </c>
      <c r="E30" s="907" t="s">
        <v>448</v>
      </c>
      <c r="F30" s="908"/>
      <c r="G30" s="908"/>
      <c r="H30" s="909"/>
      <c r="I30" s="893" t="s">
        <v>447</v>
      </c>
      <c r="J30" s="893" t="s">
        <v>446</v>
      </c>
      <c r="K30" s="893" t="s">
        <v>445</v>
      </c>
      <c r="L30" s="882" t="s">
        <v>444</v>
      </c>
      <c r="M30" s="885" t="s">
        <v>443</v>
      </c>
      <c r="O30" s="478"/>
    </row>
    <row r="31" spans="1:17" ht="33" customHeight="1">
      <c r="A31" s="902"/>
      <c r="B31" s="883"/>
      <c r="C31" s="905"/>
      <c r="D31" s="894"/>
      <c r="E31" s="888" t="str">
        <f>G3</f>
        <v>на отчетную дату (01.07.2020)</v>
      </c>
      <c r="F31" s="889"/>
      <c r="G31" s="890" t="str">
        <f>I3</f>
        <v>на актуальную дату (31.08.2020)</v>
      </c>
      <c r="H31" s="891"/>
      <c r="I31" s="899"/>
      <c r="J31" s="899"/>
      <c r="K31" s="899"/>
      <c r="L31" s="883"/>
      <c r="M31" s="886"/>
    </row>
    <row r="32" spans="1:17" ht="30" customHeight="1">
      <c r="A32" s="903"/>
      <c r="B32" s="884"/>
      <c r="C32" s="906"/>
      <c r="D32" s="895"/>
      <c r="E32" s="246" t="s">
        <v>442</v>
      </c>
      <c r="F32" s="246" t="s">
        <v>441</v>
      </c>
      <c r="G32" s="418" t="s">
        <v>442</v>
      </c>
      <c r="H32" s="418" t="s">
        <v>441</v>
      </c>
      <c r="I32" s="900"/>
      <c r="J32" s="900"/>
      <c r="K32" s="900"/>
      <c r="L32" s="884"/>
      <c r="M32" s="887"/>
    </row>
    <row r="33" spans="1:13">
      <c r="A33" s="245"/>
      <c r="B33" s="869"/>
      <c r="C33" s="870"/>
      <c r="D33" s="236"/>
      <c r="E33" s="244"/>
      <c r="F33" s="244"/>
      <c r="G33" s="244"/>
      <c r="H33" s="244"/>
      <c r="I33" s="234"/>
      <c r="J33" s="234"/>
      <c r="K33" s="479"/>
      <c r="L33" s="479"/>
      <c r="M33" s="480"/>
    </row>
    <row r="34" spans="1:13" ht="15">
      <c r="A34" s="237" t="s">
        <v>440</v>
      </c>
      <c r="B34" s="869"/>
      <c r="C34" s="870"/>
      <c r="D34" s="236"/>
      <c r="E34" s="239">
        <f>SUM(E35:E35)</f>
        <v>3374.19</v>
      </c>
      <c r="F34" s="239">
        <f>SUM(F35:F35)</f>
        <v>3374.19</v>
      </c>
      <c r="G34" s="239">
        <f>SUM(G35:G35)</f>
        <v>3280.46</v>
      </c>
      <c r="H34" s="239">
        <f>SUM(H35:H35)</f>
        <v>3280.46</v>
      </c>
      <c r="I34" s="234"/>
      <c r="J34" s="234"/>
      <c r="K34" s="479"/>
      <c r="L34" s="479"/>
      <c r="M34" s="480"/>
    </row>
    <row r="35" spans="1:13" ht="15">
      <c r="A35" s="243" t="s">
        <v>649</v>
      </c>
      <c r="B35" s="880" t="s">
        <v>439</v>
      </c>
      <c r="C35" s="881"/>
      <c r="D35" s="236" t="s">
        <v>438</v>
      </c>
      <c r="E35" s="242">
        <v>3374.19</v>
      </c>
      <c r="F35" s="242">
        <f>E35</f>
        <v>3374.19</v>
      </c>
      <c r="G35" s="242">
        <v>3280.46</v>
      </c>
      <c r="H35" s="242">
        <f>G35</f>
        <v>3280.46</v>
      </c>
      <c r="I35" s="241">
        <v>43969</v>
      </c>
      <c r="J35" s="241">
        <v>45102</v>
      </c>
      <c r="K35" s="240"/>
      <c r="L35" s="479" t="s">
        <v>437</v>
      </c>
      <c r="M35" s="480" t="s">
        <v>437</v>
      </c>
    </row>
    <row r="36" spans="1:13" ht="15">
      <c r="A36" s="237" t="s">
        <v>436</v>
      </c>
      <c r="B36" s="869"/>
      <c r="C36" s="870"/>
      <c r="D36" s="236"/>
      <c r="E36" s="239">
        <f>SUM(E37:E39)</f>
        <v>0</v>
      </c>
      <c r="F36" s="239">
        <f>SUM(F37:F39)</f>
        <v>0</v>
      </c>
      <c r="G36" s="239">
        <f>SUM(G37:G39)</f>
        <v>0</v>
      </c>
      <c r="H36" s="239">
        <f>SUM(H37:H39)</f>
        <v>0</v>
      </c>
      <c r="I36" s="234"/>
      <c r="J36" s="234"/>
      <c r="K36" s="240"/>
      <c r="L36" s="479"/>
      <c r="M36" s="480"/>
    </row>
    <row r="37" spans="1:13">
      <c r="A37" s="237"/>
      <c r="B37" s="869"/>
      <c r="C37" s="870"/>
      <c r="D37" s="236"/>
      <c r="E37" s="235"/>
      <c r="F37" s="235"/>
      <c r="G37" s="235"/>
      <c r="H37" s="235"/>
      <c r="I37" s="234"/>
      <c r="J37" s="234"/>
      <c r="K37" s="479"/>
      <c r="L37" s="479"/>
      <c r="M37" s="480"/>
    </row>
    <row r="38" spans="1:13">
      <c r="A38" s="237"/>
      <c r="B38" s="869"/>
      <c r="C38" s="870"/>
      <c r="D38" s="236"/>
      <c r="E38" s="235"/>
      <c r="F38" s="235"/>
      <c r="G38" s="235"/>
      <c r="H38" s="235"/>
      <c r="I38" s="234"/>
      <c r="J38" s="234"/>
      <c r="K38" s="479"/>
      <c r="L38" s="479"/>
      <c r="M38" s="480"/>
    </row>
    <row r="39" spans="1:13">
      <c r="A39" s="237"/>
      <c r="B39" s="869"/>
      <c r="C39" s="870"/>
      <c r="D39" s="236"/>
      <c r="E39" s="235"/>
      <c r="F39" s="235"/>
      <c r="G39" s="235"/>
      <c r="H39" s="235"/>
      <c r="I39" s="234"/>
      <c r="J39" s="234"/>
      <c r="K39" s="479"/>
      <c r="L39" s="479"/>
      <c r="M39" s="480"/>
    </row>
    <row r="40" spans="1:13" ht="21.75" customHeight="1">
      <c r="A40" s="237" t="s">
        <v>435</v>
      </c>
      <c r="B40" s="869"/>
      <c r="C40" s="870"/>
      <c r="D40" s="236"/>
      <c r="E40" s="239">
        <f>SUM(E47:E49)</f>
        <v>0</v>
      </c>
      <c r="F40" s="239">
        <f>SUM(F47:F49)</f>
        <v>0</v>
      </c>
      <c r="G40" s="239">
        <f>SUM(G47:G49)</f>
        <v>0</v>
      </c>
      <c r="H40" s="239">
        <f>SUM(H47:H49)</f>
        <v>0</v>
      </c>
      <c r="I40" s="234"/>
      <c r="J40" s="234"/>
      <c r="K40" s="479"/>
      <c r="L40" s="479"/>
      <c r="M40" s="480"/>
    </row>
    <row r="41" spans="1:13" hidden="1">
      <c r="A41" s="237"/>
      <c r="B41" s="869"/>
      <c r="C41" s="870"/>
      <c r="D41" s="236"/>
      <c r="E41" s="235"/>
      <c r="F41" s="235"/>
      <c r="G41" s="235"/>
      <c r="H41" s="235"/>
      <c r="I41" s="234"/>
      <c r="J41" s="234"/>
      <c r="K41" s="479"/>
      <c r="L41" s="479"/>
      <c r="M41" s="480"/>
    </row>
    <row r="42" spans="1:13" hidden="1">
      <c r="A42" s="237"/>
      <c r="B42" s="869"/>
      <c r="C42" s="870"/>
      <c r="D42" s="236"/>
      <c r="E42" s="235"/>
      <c r="F42" s="235"/>
      <c r="G42" s="235"/>
      <c r="H42" s="235"/>
      <c r="I42" s="234"/>
      <c r="J42" s="234"/>
      <c r="K42" s="479"/>
      <c r="L42" s="479"/>
      <c r="M42" s="480"/>
    </row>
    <row r="43" spans="1:13" hidden="1">
      <c r="A43" s="237"/>
      <c r="B43" s="869"/>
      <c r="C43" s="870"/>
      <c r="D43" s="236"/>
      <c r="E43" s="235"/>
      <c r="F43" s="235"/>
      <c r="G43" s="235"/>
      <c r="H43" s="235"/>
      <c r="I43" s="234"/>
      <c r="J43" s="234"/>
      <c r="K43" s="479"/>
      <c r="L43" s="479"/>
      <c r="M43" s="480"/>
    </row>
    <row r="44" spans="1:13" hidden="1">
      <c r="A44" s="237"/>
      <c r="B44" s="869"/>
      <c r="C44" s="870"/>
      <c r="D44" s="236"/>
      <c r="E44" s="235"/>
      <c r="F44" s="235"/>
      <c r="G44" s="235"/>
      <c r="H44" s="235"/>
      <c r="I44" s="234"/>
      <c r="J44" s="234"/>
      <c r="K44" s="479"/>
      <c r="L44" s="479"/>
      <c r="M44" s="480"/>
    </row>
    <row r="45" spans="1:13" hidden="1">
      <c r="A45" s="237"/>
      <c r="B45" s="869"/>
      <c r="C45" s="870"/>
      <c r="D45" s="236"/>
      <c r="E45" s="235"/>
      <c r="F45" s="235"/>
      <c r="G45" s="235"/>
      <c r="H45" s="235"/>
      <c r="I45" s="234"/>
      <c r="J45" s="234"/>
      <c r="K45" s="479"/>
      <c r="L45" s="479"/>
      <c r="M45" s="480"/>
    </row>
    <row r="46" spans="1:13" hidden="1">
      <c r="A46" s="237"/>
      <c r="B46" s="869"/>
      <c r="C46" s="870"/>
      <c r="D46" s="236"/>
      <c r="E46" s="235"/>
      <c r="F46" s="235"/>
      <c r="G46" s="235"/>
      <c r="H46" s="235"/>
      <c r="I46" s="234"/>
      <c r="J46" s="234"/>
      <c r="K46" s="479"/>
      <c r="L46" s="479"/>
      <c r="M46" s="480"/>
    </row>
    <row r="47" spans="1:13">
      <c r="A47" s="237"/>
      <c r="B47" s="869"/>
      <c r="C47" s="870"/>
      <c r="D47" s="236"/>
      <c r="E47" s="235"/>
      <c r="F47" s="235"/>
      <c r="G47" s="235"/>
      <c r="H47" s="235"/>
      <c r="I47" s="234"/>
      <c r="J47" s="234"/>
      <c r="K47" s="479"/>
      <c r="L47" s="479"/>
      <c r="M47" s="480"/>
    </row>
    <row r="48" spans="1:13">
      <c r="A48" s="237"/>
      <c r="B48" s="869"/>
      <c r="C48" s="870"/>
      <c r="D48" s="236"/>
      <c r="E48" s="235"/>
      <c r="F48" s="235"/>
      <c r="G48" s="235"/>
      <c r="H48" s="235"/>
      <c r="I48" s="234"/>
      <c r="J48" s="234"/>
      <c r="K48" s="479"/>
      <c r="L48" s="479"/>
      <c r="M48" s="480"/>
    </row>
    <row r="49" spans="1:13">
      <c r="A49" s="237"/>
      <c r="B49" s="869"/>
      <c r="C49" s="870"/>
      <c r="D49" s="236"/>
      <c r="E49" s="235"/>
      <c r="F49" s="235"/>
      <c r="G49" s="235"/>
      <c r="H49" s="235"/>
      <c r="I49" s="234"/>
      <c r="J49" s="234"/>
      <c r="K49" s="479"/>
      <c r="L49" s="479"/>
      <c r="M49" s="480"/>
    </row>
    <row r="50" spans="1:13" ht="15">
      <c r="A50" s="237" t="s">
        <v>434</v>
      </c>
      <c r="B50" s="869"/>
      <c r="C50" s="870"/>
      <c r="D50" s="236"/>
      <c r="E50" s="239">
        <f>SUM(E57:E59)</f>
        <v>0</v>
      </c>
      <c r="F50" s="239">
        <f>SUM(F57:F59)</f>
        <v>0</v>
      </c>
      <c r="G50" s="239">
        <f>SUM(G57:G59)</f>
        <v>0</v>
      </c>
      <c r="H50" s="239">
        <f>SUM(H57:H59)</f>
        <v>0</v>
      </c>
      <c r="I50" s="234"/>
      <c r="J50" s="234"/>
      <c r="K50" s="479"/>
      <c r="L50" s="479"/>
      <c r="M50" s="480"/>
    </row>
    <row r="51" spans="1:13" hidden="1">
      <c r="A51" s="481"/>
      <c r="B51" s="878"/>
      <c r="C51" s="879"/>
      <c r="D51" s="482"/>
      <c r="E51" s="447"/>
      <c r="F51" s="447"/>
      <c r="G51" s="447"/>
      <c r="H51" s="447"/>
      <c r="I51" s="238"/>
      <c r="J51" s="238"/>
      <c r="K51" s="466"/>
      <c r="L51" s="466"/>
      <c r="M51" s="483"/>
    </row>
    <row r="52" spans="1:13" hidden="1">
      <c r="A52" s="481"/>
      <c r="B52" s="878"/>
      <c r="C52" s="879"/>
      <c r="D52" s="482"/>
      <c r="E52" s="447"/>
      <c r="F52" s="447"/>
      <c r="G52" s="447"/>
      <c r="H52" s="447"/>
      <c r="I52" s="238"/>
      <c r="J52" s="238"/>
      <c r="K52" s="466"/>
      <c r="L52" s="466"/>
      <c r="M52" s="483"/>
    </row>
    <row r="53" spans="1:13" hidden="1">
      <c r="A53" s="481"/>
      <c r="B53" s="878"/>
      <c r="C53" s="879"/>
      <c r="D53" s="482"/>
      <c r="E53" s="447"/>
      <c r="F53" s="447"/>
      <c r="G53" s="447"/>
      <c r="H53" s="447"/>
      <c r="I53" s="238"/>
      <c r="J53" s="238"/>
      <c r="K53" s="466"/>
      <c r="L53" s="466"/>
      <c r="M53" s="483"/>
    </row>
    <row r="54" spans="1:13" hidden="1">
      <c r="A54" s="481"/>
      <c r="B54" s="878"/>
      <c r="C54" s="879"/>
      <c r="D54" s="482"/>
      <c r="E54" s="447"/>
      <c r="F54" s="447"/>
      <c r="G54" s="447"/>
      <c r="H54" s="447"/>
      <c r="I54" s="238"/>
      <c r="J54" s="238"/>
      <c r="K54" s="466"/>
      <c r="L54" s="466"/>
      <c r="M54" s="483"/>
    </row>
    <row r="55" spans="1:13" hidden="1">
      <c r="A55" s="481"/>
      <c r="B55" s="878"/>
      <c r="C55" s="879"/>
      <c r="D55" s="482"/>
      <c r="E55" s="447"/>
      <c r="F55" s="447"/>
      <c r="G55" s="447"/>
      <c r="H55" s="447"/>
      <c r="I55" s="238"/>
      <c r="J55" s="238"/>
      <c r="K55" s="466"/>
      <c r="L55" s="466"/>
      <c r="M55" s="483"/>
    </row>
    <row r="56" spans="1:13" hidden="1">
      <c r="A56" s="481"/>
      <c r="B56" s="878"/>
      <c r="C56" s="879"/>
      <c r="D56" s="482"/>
      <c r="E56" s="447"/>
      <c r="F56" s="447"/>
      <c r="G56" s="447"/>
      <c r="H56" s="447"/>
      <c r="I56" s="238"/>
      <c r="J56" s="238"/>
      <c r="K56" s="466"/>
      <c r="L56" s="466"/>
      <c r="M56" s="483"/>
    </row>
    <row r="57" spans="1:13">
      <c r="A57" s="237"/>
      <c r="B57" s="869"/>
      <c r="C57" s="870"/>
      <c r="D57" s="236"/>
      <c r="E57" s="235"/>
      <c r="F57" s="235"/>
      <c r="G57" s="235"/>
      <c r="H57" s="235"/>
      <c r="I57" s="234"/>
      <c r="J57" s="234"/>
      <c r="K57" s="479"/>
      <c r="L57" s="479"/>
      <c r="M57" s="480"/>
    </row>
    <row r="58" spans="1:13">
      <c r="A58" s="237"/>
      <c r="B58" s="869"/>
      <c r="C58" s="870"/>
      <c r="D58" s="236"/>
      <c r="E58" s="235"/>
      <c r="F58" s="235"/>
      <c r="G58" s="235"/>
      <c r="H58" s="235"/>
      <c r="I58" s="234"/>
      <c r="J58" s="234"/>
      <c r="K58" s="479"/>
      <c r="L58" s="479"/>
      <c r="M58" s="480"/>
    </row>
    <row r="59" spans="1:13">
      <c r="A59" s="237"/>
      <c r="B59" s="869"/>
      <c r="C59" s="870"/>
      <c r="D59" s="236"/>
      <c r="E59" s="235"/>
      <c r="F59" s="235"/>
      <c r="G59" s="235"/>
      <c r="H59" s="235"/>
      <c r="I59" s="234"/>
      <c r="J59" s="234"/>
      <c r="K59" s="479"/>
      <c r="L59" s="479"/>
      <c r="M59" s="480"/>
    </row>
    <row r="60" spans="1:13" ht="15">
      <c r="A60" s="233" t="s">
        <v>432</v>
      </c>
      <c r="B60" s="871" t="s">
        <v>429</v>
      </c>
      <c r="C60" s="872"/>
      <c r="D60" s="232"/>
      <c r="E60" s="231">
        <f>E34+E36+E40+E50</f>
        <v>3374.19</v>
      </c>
      <c r="F60" s="231">
        <f>F34+F36+F40+F50</f>
        <v>3374.19</v>
      </c>
      <c r="G60" s="231">
        <f>G34+G36+G40+G50</f>
        <v>3280.46</v>
      </c>
      <c r="H60" s="231">
        <f>H34+H36+H40+H50</f>
        <v>3280.46</v>
      </c>
      <c r="I60" s="230"/>
      <c r="J60" s="230"/>
      <c r="K60" s="484"/>
      <c r="L60" s="484"/>
      <c r="M60" s="485"/>
    </row>
    <row r="61" spans="1:13" ht="15">
      <c r="A61" s="233" t="s">
        <v>432</v>
      </c>
      <c r="B61" s="871" t="s">
        <v>433</v>
      </c>
      <c r="C61" s="872"/>
      <c r="D61" s="232"/>
      <c r="E61" s="231"/>
      <c r="F61" s="231"/>
      <c r="G61" s="231"/>
      <c r="H61" s="231"/>
      <c r="I61" s="230"/>
      <c r="J61" s="230"/>
      <c r="K61" s="484"/>
      <c r="L61" s="484"/>
      <c r="M61" s="485"/>
    </row>
    <row r="62" spans="1:13" ht="15">
      <c r="A62" s="233" t="s">
        <v>432</v>
      </c>
      <c r="B62" s="871" t="s">
        <v>431</v>
      </c>
      <c r="C62" s="872"/>
      <c r="D62" s="232"/>
      <c r="E62" s="231"/>
      <c r="F62" s="231"/>
      <c r="G62" s="231"/>
      <c r="H62" s="231"/>
      <c r="I62" s="230"/>
      <c r="J62" s="230"/>
      <c r="K62" s="484"/>
      <c r="L62" s="484"/>
      <c r="M62" s="485"/>
    </row>
    <row r="63" spans="1:13" ht="16" thickBot="1">
      <c r="A63" s="229" t="s">
        <v>430</v>
      </c>
      <c r="B63" s="873" t="s">
        <v>429</v>
      </c>
      <c r="C63" s="874"/>
      <c r="D63" s="228"/>
      <c r="E63" s="227">
        <f>E60</f>
        <v>3374.19</v>
      </c>
      <c r="F63" s="227">
        <f>F60</f>
        <v>3374.19</v>
      </c>
      <c r="G63" s="227">
        <f>G60</f>
        <v>3280.46</v>
      </c>
      <c r="H63" s="227">
        <f>H60</f>
        <v>3280.46</v>
      </c>
      <c r="I63" s="226"/>
      <c r="J63" s="226"/>
      <c r="K63" s="486"/>
      <c r="L63" s="486"/>
      <c r="M63" s="487"/>
    </row>
    <row r="64" spans="1:13">
      <c r="A64" s="472" t="s">
        <v>428</v>
      </c>
      <c r="B64" s="488"/>
      <c r="C64" s="489"/>
      <c r="D64" s="490"/>
      <c r="E64" s="491"/>
      <c r="F64" s="491"/>
      <c r="G64" s="492"/>
      <c r="H64" s="225"/>
      <c r="I64" s="476"/>
      <c r="M64" s="493"/>
    </row>
    <row r="66" spans="1:11" ht="15" thickBot="1">
      <c r="A66" s="225" t="s">
        <v>427</v>
      </c>
      <c r="B66" s="438">
        <f>B1</f>
        <v>44013</v>
      </c>
      <c r="E66" s="224"/>
      <c r="F66" s="223"/>
      <c r="G66" s="222"/>
    </row>
    <row r="67" spans="1:11" ht="33" customHeight="1">
      <c r="A67" s="875" t="s">
        <v>426</v>
      </c>
      <c r="B67" s="876"/>
      <c r="C67" s="876"/>
      <c r="D67" s="877"/>
      <c r="E67" s="867" t="s">
        <v>425</v>
      </c>
      <c r="F67" s="867"/>
      <c r="G67" s="867" t="s">
        <v>424</v>
      </c>
      <c r="H67" s="867"/>
      <c r="I67" s="867" t="s">
        <v>40</v>
      </c>
      <c r="J67" s="867"/>
      <c r="K67" s="221" t="s">
        <v>423</v>
      </c>
    </row>
    <row r="68" spans="1:11">
      <c r="A68" s="851" t="s">
        <v>420</v>
      </c>
      <c r="B68" s="852"/>
      <c r="C68" s="852"/>
      <c r="D68" s="853"/>
      <c r="E68" s="868">
        <f>SUM(E69:F71)</f>
        <v>13530</v>
      </c>
      <c r="F68" s="855"/>
      <c r="G68" s="854"/>
      <c r="H68" s="855"/>
      <c r="I68" s="854"/>
      <c r="J68" s="855"/>
      <c r="K68" s="219"/>
    </row>
    <row r="69" spans="1:11" ht="16.5" customHeight="1">
      <c r="A69" s="862" t="s">
        <v>422</v>
      </c>
      <c r="B69" s="863"/>
      <c r="C69" s="863"/>
      <c r="D69" s="864"/>
      <c r="E69" s="865">
        <v>8730</v>
      </c>
      <c r="F69" s="866"/>
      <c r="G69" s="469">
        <v>42849</v>
      </c>
      <c r="H69" s="469"/>
      <c r="I69" s="469">
        <v>45771</v>
      </c>
      <c r="J69" s="494"/>
      <c r="K69" s="495">
        <v>7.4999999999999997E-2</v>
      </c>
    </row>
    <row r="70" spans="1:11" ht="14.25" customHeight="1">
      <c r="A70" s="862" t="s">
        <v>47</v>
      </c>
      <c r="B70" s="863"/>
      <c r="C70" s="863"/>
      <c r="D70" s="864"/>
      <c r="E70" s="865">
        <v>4800</v>
      </c>
      <c r="F70" s="866"/>
      <c r="G70" s="469">
        <v>43313</v>
      </c>
      <c r="H70" s="494"/>
      <c r="I70" s="469">
        <v>45138</v>
      </c>
      <c r="J70" s="494"/>
      <c r="K70" s="495">
        <v>7.4999999999999997E-2</v>
      </c>
    </row>
    <row r="71" spans="1:11">
      <c r="A71" s="496"/>
      <c r="B71" s="496"/>
      <c r="C71" s="496"/>
      <c r="D71" s="497"/>
      <c r="E71" s="865"/>
      <c r="F71" s="866"/>
      <c r="G71" s="498"/>
      <c r="H71" s="498"/>
      <c r="I71" s="498"/>
      <c r="J71" s="498"/>
      <c r="K71" s="499"/>
    </row>
    <row r="72" spans="1:11">
      <c r="A72" s="851" t="s">
        <v>419</v>
      </c>
      <c r="B72" s="852"/>
      <c r="C72" s="852"/>
      <c r="D72" s="853"/>
      <c r="E72" s="854"/>
      <c r="F72" s="855"/>
      <c r="G72" s="854"/>
      <c r="H72" s="855"/>
      <c r="I72" s="854"/>
      <c r="J72" s="855"/>
      <c r="K72" s="219"/>
    </row>
    <row r="73" spans="1:11">
      <c r="A73" s="857"/>
      <c r="B73" s="858"/>
      <c r="C73" s="858"/>
      <c r="D73" s="859"/>
      <c r="E73" s="860"/>
      <c r="F73" s="860"/>
      <c r="G73" s="861"/>
      <c r="H73" s="861"/>
      <c r="I73" s="861"/>
      <c r="J73" s="861"/>
      <c r="K73" s="220"/>
    </row>
    <row r="74" spans="1:11" ht="15" thickBot="1">
      <c r="A74" s="845" t="s">
        <v>421</v>
      </c>
      <c r="B74" s="846"/>
      <c r="C74" s="846"/>
      <c r="D74" s="847"/>
      <c r="E74" s="856">
        <f>E68</f>
        <v>13530</v>
      </c>
      <c r="F74" s="856"/>
      <c r="G74" s="849"/>
      <c r="H74" s="850"/>
      <c r="I74" s="849"/>
      <c r="J74" s="850"/>
      <c r="K74" s="218"/>
    </row>
    <row r="75" spans="1:11">
      <c r="A75" s="851" t="s">
        <v>420</v>
      </c>
      <c r="B75" s="852"/>
      <c r="C75" s="852"/>
      <c r="D75" s="853"/>
      <c r="E75" s="854">
        <f>SUM(E76:F81)</f>
        <v>0</v>
      </c>
      <c r="F75" s="855"/>
      <c r="G75" s="854"/>
      <c r="H75" s="855"/>
      <c r="I75" s="854"/>
      <c r="J75" s="855"/>
      <c r="K75" s="219"/>
    </row>
    <row r="76" spans="1:11" hidden="1">
      <c r="A76" s="839"/>
      <c r="B76" s="840"/>
      <c r="C76" s="840"/>
      <c r="D76" s="841"/>
      <c r="E76" s="842"/>
      <c r="F76" s="841"/>
      <c r="G76" s="843"/>
      <c r="H76" s="844"/>
      <c r="I76" s="843"/>
      <c r="J76" s="844"/>
      <c r="K76" s="220"/>
    </row>
    <row r="77" spans="1:11" hidden="1">
      <c r="A77" s="839"/>
      <c r="B77" s="840"/>
      <c r="C77" s="840"/>
      <c r="D77" s="841"/>
      <c r="E77" s="842"/>
      <c r="F77" s="841"/>
      <c r="G77" s="843"/>
      <c r="H77" s="844"/>
      <c r="I77" s="843"/>
      <c r="J77" s="844"/>
      <c r="K77" s="220"/>
    </row>
    <row r="78" spans="1:11" hidden="1">
      <c r="A78" s="839"/>
      <c r="B78" s="840"/>
      <c r="C78" s="840"/>
      <c r="D78" s="841"/>
      <c r="E78" s="842"/>
      <c r="F78" s="841"/>
      <c r="G78" s="843"/>
      <c r="H78" s="844"/>
      <c r="I78" s="843"/>
      <c r="J78" s="844"/>
      <c r="K78" s="220"/>
    </row>
    <row r="79" spans="1:11" hidden="1">
      <c r="A79" s="839"/>
      <c r="B79" s="840"/>
      <c r="C79" s="840"/>
      <c r="D79" s="841"/>
      <c r="E79" s="842"/>
      <c r="F79" s="841"/>
      <c r="G79" s="843"/>
      <c r="H79" s="844"/>
      <c r="I79" s="843"/>
      <c r="J79" s="844"/>
      <c r="K79" s="220"/>
    </row>
    <row r="80" spans="1:11" hidden="1">
      <c r="A80" s="839"/>
      <c r="B80" s="840"/>
      <c r="C80" s="840"/>
      <c r="D80" s="841"/>
      <c r="E80" s="842"/>
      <c r="F80" s="841"/>
      <c r="G80" s="843"/>
      <c r="H80" s="844"/>
      <c r="I80" s="843"/>
      <c r="J80" s="844"/>
      <c r="K80" s="220"/>
    </row>
    <row r="81" spans="1:13">
      <c r="A81" s="839"/>
      <c r="B81" s="840"/>
      <c r="C81" s="840"/>
      <c r="D81" s="841"/>
      <c r="E81" s="842"/>
      <c r="F81" s="841"/>
      <c r="G81" s="843"/>
      <c r="H81" s="844"/>
      <c r="I81" s="843"/>
      <c r="J81" s="844"/>
      <c r="K81" s="220"/>
    </row>
    <row r="82" spans="1:13">
      <c r="A82" s="851" t="s">
        <v>419</v>
      </c>
      <c r="B82" s="852"/>
      <c r="C82" s="852"/>
      <c r="D82" s="853"/>
      <c r="E82" s="854">
        <f>SUM(E83:F88)</f>
        <v>0</v>
      </c>
      <c r="F82" s="855"/>
      <c r="G82" s="854"/>
      <c r="H82" s="855"/>
      <c r="I82" s="854"/>
      <c r="J82" s="855"/>
      <c r="K82" s="219"/>
    </row>
    <row r="83" spans="1:13" hidden="1">
      <c r="A83" s="839"/>
      <c r="B83" s="840"/>
      <c r="C83" s="840"/>
      <c r="D83" s="841"/>
      <c r="E83" s="842"/>
      <c r="F83" s="841"/>
      <c r="G83" s="843"/>
      <c r="H83" s="844"/>
      <c r="I83" s="843"/>
      <c r="J83" s="844"/>
      <c r="K83" s="500"/>
    </row>
    <row r="84" spans="1:13" hidden="1">
      <c r="A84" s="839"/>
      <c r="B84" s="840"/>
      <c r="C84" s="840"/>
      <c r="D84" s="841"/>
      <c r="E84" s="842"/>
      <c r="F84" s="841"/>
      <c r="G84" s="843"/>
      <c r="H84" s="844"/>
      <c r="I84" s="843"/>
      <c r="J84" s="844"/>
      <c r="K84" s="500"/>
    </row>
    <row r="85" spans="1:13" hidden="1">
      <c r="A85" s="839"/>
      <c r="B85" s="840"/>
      <c r="C85" s="840"/>
      <c r="D85" s="841"/>
      <c r="E85" s="842"/>
      <c r="F85" s="841"/>
      <c r="G85" s="843"/>
      <c r="H85" s="844"/>
      <c r="I85" s="843"/>
      <c r="J85" s="844"/>
      <c r="K85" s="500"/>
    </row>
    <row r="86" spans="1:13" hidden="1">
      <c r="A86" s="839"/>
      <c r="B86" s="840"/>
      <c r="C86" s="840"/>
      <c r="D86" s="841"/>
      <c r="E86" s="842"/>
      <c r="F86" s="841"/>
      <c r="G86" s="843"/>
      <c r="H86" s="844"/>
      <c r="I86" s="843"/>
      <c r="J86" s="844"/>
      <c r="K86" s="500"/>
    </row>
    <row r="87" spans="1:13" hidden="1">
      <c r="A87" s="839"/>
      <c r="B87" s="840"/>
      <c r="C87" s="840"/>
      <c r="D87" s="841"/>
      <c r="E87" s="842"/>
      <c r="F87" s="841"/>
      <c r="G87" s="843"/>
      <c r="H87" s="844"/>
      <c r="I87" s="843"/>
      <c r="J87" s="844"/>
      <c r="K87" s="500"/>
    </row>
    <row r="88" spans="1:13">
      <c r="A88" s="839"/>
      <c r="B88" s="840"/>
      <c r="C88" s="840"/>
      <c r="D88" s="841"/>
      <c r="E88" s="842"/>
      <c r="F88" s="841"/>
      <c r="G88" s="843"/>
      <c r="H88" s="844"/>
      <c r="I88" s="843"/>
      <c r="J88" s="844"/>
      <c r="K88" s="500"/>
    </row>
    <row r="89" spans="1:13" ht="15" thickBot="1">
      <c r="A89" s="845" t="s">
        <v>418</v>
      </c>
      <c r="B89" s="846"/>
      <c r="C89" s="846"/>
      <c r="D89" s="847"/>
      <c r="E89" s="848">
        <f>E75+E82</f>
        <v>0</v>
      </c>
      <c r="F89" s="848"/>
      <c r="G89" s="849"/>
      <c r="H89" s="850"/>
      <c r="I89" s="849"/>
      <c r="J89" s="850"/>
      <c r="K89" s="218"/>
    </row>
    <row r="90" spans="1:13">
      <c r="A90" s="472" t="s">
        <v>417</v>
      </c>
      <c r="B90" s="837"/>
      <c r="C90" s="837"/>
      <c r="D90" s="837"/>
      <c r="E90" s="837"/>
      <c r="F90" s="837"/>
      <c r="G90" s="837"/>
      <c r="H90" s="837"/>
      <c r="I90" s="837"/>
      <c r="J90" s="837"/>
      <c r="K90" s="837"/>
      <c r="L90" s="838"/>
      <c r="M90" s="838"/>
    </row>
    <row r="92" spans="1:13">
      <c r="D92" s="501"/>
      <c r="E92" s="501" t="s">
        <v>416</v>
      </c>
      <c r="F92" s="501"/>
      <c r="G92" s="502"/>
    </row>
    <row r="93" spans="1:13">
      <c r="E93" s="501" t="s">
        <v>175</v>
      </c>
      <c r="F93" s="501"/>
      <c r="G93" s="502" t="s">
        <v>415</v>
      </c>
      <c r="I93" s="503"/>
      <c r="J93" s="503"/>
      <c r="K93" s="503"/>
    </row>
    <row r="94" spans="1:13">
      <c r="B94" s="458"/>
      <c r="E94" s="501" t="s">
        <v>414</v>
      </c>
      <c r="F94" s="501"/>
      <c r="G94" s="501"/>
      <c r="H94" s="501"/>
      <c r="I94" s="503"/>
      <c r="J94" s="503"/>
      <c r="K94" s="503"/>
      <c r="L94" s="503"/>
    </row>
    <row r="95" spans="1:13">
      <c r="A95" s="217" t="s">
        <v>413</v>
      </c>
      <c r="B95" s="217" t="s">
        <v>412</v>
      </c>
      <c r="C95" s="217" t="s">
        <v>411</v>
      </c>
      <c r="E95" s="501" t="s">
        <v>410</v>
      </c>
      <c r="F95" s="504">
        <v>41497.370848899998</v>
      </c>
      <c r="G95" s="504">
        <f>F95</f>
        <v>41497.370848899998</v>
      </c>
      <c r="H95" s="501"/>
      <c r="I95" s="503"/>
      <c r="J95" s="503"/>
      <c r="K95" s="503"/>
      <c r="L95" s="503"/>
    </row>
    <row r="96" spans="1:13">
      <c r="E96" s="501" t="s">
        <v>409</v>
      </c>
      <c r="F96" s="504">
        <v>176331.1978124</v>
      </c>
      <c r="G96" s="504">
        <f>F96</f>
        <v>176331.1978124</v>
      </c>
      <c r="H96" s="501"/>
      <c r="I96" s="503"/>
      <c r="J96" s="503"/>
      <c r="K96" s="503"/>
      <c r="L96" s="503"/>
    </row>
    <row r="97" spans="1:12">
      <c r="E97" s="501" t="s">
        <v>408</v>
      </c>
      <c r="F97" s="504" t="e">
        <f>#REF!+F95+#REF!</f>
        <v>#REF!</v>
      </c>
      <c r="G97" s="504" t="e">
        <f>#REF!+G95+#REF!</f>
        <v>#REF!</v>
      </c>
      <c r="H97" s="504"/>
      <c r="J97" s="503"/>
      <c r="K97" s="503"/>
      <c r="L97" s="503"/>
    </row>
    <row r="98" spans="1:12">
      <c r="A98" s="217" t="s">
        <v>407</v>
      </c>
      <c r="E98" s="501" t="s">
        <v>406</v>
      </c>
      <c r="F98" s="504" t="e">
        <f>#REF!+#REF!+F96</f>
        <v>#REF!</v>
      </c>
      <c r="G98" s="504" t="e">
        <f>#REF!+#REF!+G96</f>
        <v>#REF!</v>
      </c>
      <c r="H98" s="504"/>
      <c r="J98" s="505"/>
    </row>
    <row r="99" spans="1:12">
      <c r="E99" s="502"/>
      <c r="F99" s="506" t="e">
        <f>SUM(F97:F98)</f>
        <v>#REF!</v>
      </c>
      <c r="G99" s="506" t="e">
        <f>SUM(G97:G98)</f>
        <v>#REF!</v>
      </c>
      <c r="H99" s="504"/>
      <c r="J99" s="505"/>
    </row>
    <row r="100" spans="1:12">
      <c r="E100" s="502"/>
      <c r="F100" s="504"/>
      <c r="G100" s="504"/>
      <c r="H100" s="504"/>
    </row>
    <row r="101" spans="1:12">
      <c r="E101" s="505"/>
      <c r="F101" s="503"/>
      <c r="G101" s="503"/>
      <c r="H101" s="503"/>
    </row>
    <row r="102" spans="1:12">
      <c r="E102" s="505"/>
      <c r="F102" s="503"/>
      <c r="G102" s="503"/>
      <c r="H102" s="503"/>
      <c r="J102" s="458"/>
    </row>
    <row r="103" spans="1:12">
      <c r="B103" s="458"/>
      <c r="E103" s="505"/>
      <c r="F103" s="503"/>
      <c r="G103" s="507"/>
      <c r="H103" s="503"/>
      <c r="J103" s="505"/>
    </row>
    <row r="104" spans="1:12">
      <c r="F104" s="503"/>
      <c r="G104" s="507"/>
      <c r="H104" s="503"/>
    </row>
    <row r="105" spans="1:12">
      <c r="B105" s="458"/>
      <c r="F105" s="503"/>
      <c r="G105" s="503"/>
    </row>
    <row r="106" spans="1:12">
      <c r="F106" s="503"/>
      <c r="G106" s="503"/>
    </row>
    <row r="112" spans="1:12">
      <c r="J112" s="507"/>
    </row>
    <row r="113" spans="10:10">
      <c r="J113" s="507"/>
    </row>
    <row r="114" spans="10:10">
      <c r="J114" s="505"/>
    </row>
    <row r="115" spans="10:10">
      <c r="J115" s="505"/>
    </row>
  </sheetData>
  <protectedRanges>
    <protectedRange sqref="J112:J113" name="Расчетный_лимит_1"/>
    <protectedRange sqref="G103:G104" name="Расчетный_лимит_2_1"/>
  </protectedRanges>
  <mergeCells count="143">
    <mergeCell ref="A30:A32"/>
    <mergeCell ref="B30:C32"/>
    <mergeCell ref="D30:D32"/>
    <mergeCell ref="E30:H30"/>
    <mergeCell ref="I30:I32"/>
    <mergeCell ref="J30:J32"/>
    <mergeCell ref="K30:K32"/>
    <mergeCell ref="G2:J2"/>
    <mergeCell ref="K2:K3"/>
    <mergeCell ref="A2:A4"/>
    <mergeCell ref="B2:B4"/>
    <mergeCell ref="C2:C4"/>
    <mergeCell ref="D2:D4"/>
    <mergeCell ref="E2:E4"/>
    <mergeCell ref="F2:F4"/>
    <mergeCell ref="L30:L32"/>
    <mergeCell ref="M30:M32"/>
    <mergeCell ref="E31:F31"/>
    <mergeCell ref="G31:H31"/>
    <mergeCell ref="B33:C33"/>
    <mergeCell ref="B34:C34"/>
    <mergeCell ref="P2:P4"/>
    <mergeCell ref="G3:H3"/>
    <mergeCell ref="I3:J3"/>
    <mergeCell ref="L2:L4"/>
    <mergeCell ref="M2:M4"/>
    <mergeCell ref="N2:N4"/>
    <mergeCell ref="O2:O4"/>
    <mergeCell ref="B41:C41"/>
    <mergeCell ref="B42:C42"/>
    <mergeCell ref="B43:C43"/>
    <mergeCell ref="B44:C44"/>
    <mergeCell ref="B45:C45"/>
    <mergeCell ref="B46:C46"/>
    <mergeCell ref="B35:C35"/>
    <mergeCell ref="B36:C36"/>
    <mergeCell ref="B37:C37"/>
    <mergeCell ref="B38:C38"/>
    <mergeCell ref="B39:C39"/>
    <mergeCell ref="B40:C40"/>
    <mergeCell ref="B53:C53"/>
    <mergeCell ref="B54:C54"/>
    <mergeCell ref="B55:C55"/>
    <mergeCell ref="B56:C56"/>
    <mergeCell ref="B57:C57"/>
    <mergeCell ref="B58:C58"/>
    <mergeCell ref="B47:C47"/>
    <mergeCell ref="B48:C48"/>
    <mergeCell ref="B49:C49"/>
    <mergeCell ref="B50:C50"/>
    <mergeCell ref="B51:C51"/>
    <mergeCell ref="B52:C52"/>
    <mergeCell ref="I67:J67"/>
    <mergeCell ref="A68:D68"/>
    <mergeCell ref="E68:F68"/>
    <mergeCell ref="G68:H68"/>
    <mergeCell ref="I68:J68"/>
    <mergeCell ref="B59:C59"/>
    <mergeCell ref="B60:C60"/>
    <mergeCell ref="B61:C61"/>
    <mergeCell ref="B62:C62"/>
    <mergeCell ref="B63:C63"/>
    <mergeCell ref="A67:D67"/>
    <mergeCell ref="A69:D69"/>
    <mergeCell ref="E69:F69"/>
    <mergeCell ref="A70:D70"/>
    <mergeCell ref="E70:F70"/>
    <mergeCell ref="E71:F71"/>
    <mergeCell ref="A72:D72"/>
    <mergeCell ref="E72:F72"/>
    <mergeCell ref="E67:F67"/>
    <mergeCell ref="G67:H67"/>
    <mergeCell ref="A74:D74"/>
    <mergeCell ref="E74:F74"/>
    <mergeCell ref="G74:H74"/>
    <mergeCell ref="I74:J74"/>
    <mergeCell ref="A75:D75"/>
    <mergeCell ref="E75:F75"/>
    <mergeCell ref="G75:H75"/>
    <mergeCell ref="I75:J75"/>
    <mergeCell ref="G72:H72"/>
    <mergeCell ref="I72:J72"/>
    <mergeCell ref="A73:D73"/>
    <mergeCell ref="E73:F73"/>
    <mergeCell ref="G73:H73"/>
    <mergeCell ref="I73:J73"/>
    <mergeCell ref="A78:D78"/>
    <mergeCell ref="E78:F78"/>
    <mergeCell ref="G78:H78"/>
    <mergeCell ref="I78:J78"/>
    <mergeCell ref="A79:D79"/>
    <mergeCell ref="E79:F79"/>
    <mergeCell ref="G79:H79"/>
    <mergeCell ref="I79:J79"/>
    <mergeCell ref="A76:D76"/>
    <mergeCell ref="E76:F76"/>
    <mergeCell ref="G76:H76"/>
    <mergeCell ref="I76:J76"/>
    <mergeCell ref="A77:D77"/>
    <mergeCell ref="E77:F77"/>
    <mergeCell ref="G77:H77"/>
    <mergeCell ref="I77:J77"/>
    <mergeCell ref="A82:D82"/>
    <mergeCell ref="E82:F82"/>
    <mergeCell ref="G82:H82"/>
    <mergeCell ref="I82:J82"/>
    <mergeCell ref="A83:D83"/>
    <mergeCell ref="E83:F83"/>
    <mergeCell ref="G83:H83"/>
    <mergeCell ref="I83:J83"/>
    <mergeCell ref="A80:D80"/>
    <mergeCell ref="E80:F80"/>
    <mergeCell ref="G80:H80"/>
    <mergeCell ref="I80:J80"/>
    <mergeCell ref="A81:D81"/>
    <mergeCell ref="E81:F81"/>
    <mergeCell ref="G81:H81"/>
    <mergeCell ref="I81:J81"/>
    <mergeCell ref="A86:D86"/>
    <mergeCell ref="E86:F86"/>
    <mergeCell ref="G86:H86"/>
    <mergeCell ref="I86:J86"/>
    <mergeCell ref="A87:D87"/>
    <mergeCell ref="E87:F87"/>
    <mergeCell ref="G87:H87"/>
    <mergeCell ref="I87:J87"/>
    <mergeCell ref="A84:D84"/>
    <mergeCell ref="E84:F84"/>
    <mergeCell ref="G84:H84"/>
    <mergeCell ref="I84:J84"/>
    <mergeCell ref="A85:D85"/>
    <mergeCell ref="E85:F85"/>
    <mergeCell ref="G85:H85"/>
    <mergeCell ref="I85:J85"/>
    <mergeCell ref="B90:M90"/>
    <mergeCell ref="A88:D88"/>
    <mergeCell ref="E88:F88"/>
    <mergeCell ref="G88:H88"/>
    <mergeCell ref="I88:J88"/>
    <mergeCell ref="A89:D89"/>
    <mergeCell ref="E89:F89"/>
    <mergeCell ref="G89:H89"/>
    <mergeCell ref="I89:J89"/>
  </mergeCells>
  <conditionalFormatting sqref="C26">
    <cfRule type="cellIs" dxfId="0" priority="1" stopIfTrue="1" operator="equal">
      <formula>0</formula>
    </cfRule>
  </conditionalFormatting>
  <dataValidations count="5">
    <dataValidation type="decimal" operator="greaterThanOrEqual" allowBlank="1" showInputMessage="1" showErrorMessage="1" errorTitle="Ошибка " error="Значение поля должно быть числовым и больше нуля" sqref="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36 JA65536 SW65536 ACS65536 AMO65536 AWK65536 BGG65536 BQC65536 BZY65536 CJU65536 CTQ65536 DDM65536 DNI65536 DXE65536 EHA65536 EQW65536 FAS65536 FKO65536 FUK65536 GEG65536 GOC65536 GXY65536 HHU65536 HRQ65536 IBM65536 ILI65536 IVE65536 JFA65536 JOW65536 JYS65536 KIO65536 KSK65536 LCG65536 LMC65536 LVY65536 MFU65536 MPQ65536 MZM65536 NJI65536 NTE65536 ODA65536 OMW65536 OWS65536 PGO65536 PQK65536 QAG65536 QKC65536 QTY65536 RDU65536 RNQ65536 RXM65536 SHI65536 SRE65536 TBA65536 TKW65536 TUS65536 UEO65536 UOK65536 UYG65536 VIC65536 VRY65536 WBU65536 WLQ65536 WVM65536 E131072 JA131072 SW131072 ACS131072 AMO131072 AWK131072 BGG131072 BQC131072 BZY131072 CJU131072 CTQ131072 DDM131072 DNI131072 DXE131072 EHA131072 EQW131072 FAS131072 FKO131072 FUK131072 GEG131072 GOC131072 GXY131072 HHU131072 HRQ131072 IBM131072 ILI131072 IVE131072 JFA131072 JOW131072 JYS131072 KIO131072 KSK131072 LCG131072 LMC131072 LVY131072 MFU131072 MPQ131072 MZM131072 NJI131072 NTE131072 ODA131072 OMW131072 OWS131072 PGO131072 PQK131072 QAG131072 QKC131072 QTY131072 RDU131072 RNQ131072 RXM131072 SHI131072 SRE131072 TBA131072 TKW131072 TUS131072 UEO131072 UOK131072 UYG131072 VIC131072 VRY131072 WBU131072 WLQ131072 WVM131072 E196608 JA196608 SW196608 ACS196608 AMO196608 AWK196608 BGG196608 BQC196608 BZY196608 CJU196608 CTQ196608 DDM196608 DNI196608 DXE196608 EHA196608 EQW196608 FAS196608 FKO196608 FUK196608 GEG196608 GOC196608 GXY196608 HHU196608 HRQ196608 IBM196608 ILI196608 IVE196608 JFA196608 JOW196608 JYS196608 KIO196608 KSK196608 LCG196608 LMC196608 LVY196608 MFU196608 MPQ196608 MZM196608 NJI196608 NTE196608 ODA196608 OMW196608 OWS196608 PGO196608 PQK196608 QAG196608 QKC196608 QTY196608 RDU196608 RNQ196608 RXM196608 SHI196608 SRE196608 TBA196608 TKW196608 TUS196608 UEO196608 UOK196608 UYG196608 VIC196608 VRY196608 WBU196608 WLQ196608 WVM196608 E262144 JA262144 SW262144 ACS262144 AMO262144 AWK262144 BGG262144 BQC262144 BZY262144 CJU262144 CTQ262144 DDM262144 DNI262144 DXE262144 EHA262144 EQW262144 FAS262144 FKO262144 FUK262144 GEG262144 GOC262144 GXY262144 HHU262144 HRQ262144 IBM262144 ILI262144 IVE262144 JFA262144 JOW262144 JYS262144 KIO262144 KSK262144 LCG262144 LMC262144 LVY262144 MFU262144 MPQ262144 MZM262144 NJI262144 NTE262144 ODA262144 OMW262144 OWS262144 PGO262144 PQK262144 QAG262144 QKC262144 QTY262144 RDU262144 RNQ262144 RXM262144 SHI262144 SRE262144 TBA262144 TKW262144 TUS262144 UEO262144 UOK262144 UYG262144 VIC262144 VRY262144 WBU262144 WLQ262144 WVM262144 E327680 JA327680 SW327680 ACS327680 AMO327680 AWK327680 BGG327680 BQC327680 BZY327680 CJU327680 CTQ327680 DDM327680 DNI327680 DXE327680 EHA327680 EQW327680 FAS327680 FKO327680 FUK327680 GEG327680 GOC327680 GXY327680 HHU327680 HRQ327680 IBM327680 ILI327680 IVE327680 JFA327680 JOW327680 JYS327680 KIO327680 KSK327680 LCG327680 LMC327680 LVY327680 MFU327680 MPQ327680 MZM327680 NJI327680 NTE327680 ODA327680 OMW327680 OWS327680 PGO327680 PQK327680 QAG327680 QKC327680 QTY327680 RDU327680 RNQ327680 RXM327680 SHI327680 SRE327680 TBA327680 TKW327680 TUS327680 UEO327680 UOK327680 UYG327680 VIC327680 VRY327680 WBU327680 WLQ327680 WVM327680 E393216 JA393216 SW393216 ACS393216 AMO393216 AWK393216 BGG393216 BQC393216 BZY393216 CJU393216 CTQ393216 DDM393216 DNI393216 DXE393216 EHA393216 EQW393216 FAS393216 FKO393216 FUK393216 GEG393216 GOC393216 GXY393216 HHU393216 HRQ393216 IBM393216 ILI393216 IVE393216 JFA393216 JOW393216 JYS393216 KIO393216 KSK393216 LCG393216 LMC393216 LVY393216 MFU393216 MPQ393216 MZM393216 NJI393216 NTE393216 ODA393216 OMW393216 OWS393216 PGO393216 PQK393216 QAG393216 QKC393216 QTY393216 RDU393216 RNQ393216 RXM393216 SHI393216 SRE393216 TBA393216 TKW393216 TUS393216 UEO393216 UOK393216 UYG393216 VIC393216 VRY393216 WBU393216 WLQ393216 WVM393216 E458752 JA458752 SW458752 ACS458752 AMO458752 AWK458752 BGG458752 BQC458752 BZY458752 CJU458752 CTQ458752 DDM458752 DNI458752 DXE458752 EHA458752 EQW458752 FAS458752 FKO458752 FUK458752 GEG458752 GOC458752 GXY458752 HHU458752 HRQ458752 IBM458752 ILI458752 IVE458752 JFA458752 JOW458752 JYS458752 KIO458752 KSK458752 LCG458752 LMC458752 LVY458752 MFU458752 MPQ458752 MZM458752 NJI458752 NTE458752 ODA458752 OMW458752 OWS458752 PGO458752 PQK458752 QAG458752 QKC458752 QTY458752 RDU458752 RNQ458752 RXM458752 SHI458752 SRE458752 TBA458752 TKW458752 TUS458752 UEO458752 UOK458752 UYG458752 VIC458752 VRY458752 WBU458752 WLQ458752 WVM458752 E524288 JA524288 SW524288 ACS524288 AMO524288 AWK524288 BGG524288 BQC524288 BZY524288 CJU524288 CTQ524288 DDM524288 DNI524288 DXE524288 EHA524288 EQW524288 FAS524288 FKO524288 FUK524288 GEG524288 GOC524288 GXY524288 HHU524288 HRQ524288 IBM524288 ILI524288 IVE524288 JFA524288 JOW524288 JYS524288 KIO524288 KSK524288 LCG524288 LMC524288 LVY524288 MFU524288 MPQ524288 MZM524288 NJI524288 NTE524288 ODA524288 OMW524288 OWS524288 PGO524288 PQK524288 QAG524288 QKC524288 QTY524288 RDU524288 RNQ524288 RXM524288 SHI524288 SRE524288 TBA524288 TKW524288 TUS524288 UEO524288 UOK524288 UYG524288 VIC524288 VRY524288 WBU524288 WLQ524288 WVM524288 E589824 JA589824 SW589824 ACS589824 AMO589824 AWK589824 BGG589824 BQC589824 BZY589824 CJU589824 CTQ589824 DDM589824 DNI589824 DXE589824 EHA589824 EQW589824 FAS589824 FKO589824 FUK589824 GEG589824 GOC589824 GXY589824 HHU589824 HRQ589824 IBM589824 ILI589824 IVE589824 JFA589824 JOW589824 JYS589824 KIO589824 KSK589824 LCG589824 LMC589824 LVY589824 MFU589824 MPQ589824 MZM589824 NJI589824 NTE589824 ODA589824 OMW589824 OWS589824 PGO589824 PQK589824 QAG589824 QKC589824 QTY589824 RDU589824 RNQ589824 RXM589824 SHI589824 SRE589824 TBA589824 TKW589824 TUS589824 UEO589824 UOK589824 UYG589824 VIC589824 VRY589824 WBU589824 WLQ589824 WVM589824 E655360 JA655360 SW655360 ACS655360 AMO655360 AWK655360 BGG655360 BQC655360 BZY655360 CJU655360 CTQ655360 DDM655360 DNI655360 DXE655360 EHA655360 EQW655360 FAS655360 FKO655360 FUK655360 GEG655360 GOC655360 GXY655360 HHU655360 HRQ655360 IBM655360 ILI655360 IVE655360 JFA655360 JOW655360 JYS655360 KIO655360 KSK655360 LCG655360 LMC655360 LVY655360 MFU655360 MPQ655360 MZM655360 NJI655360 NTE655360 ODA655360 OMW655360 OWS655360 PGO655360 PQK655360 QAG655360 QKC655360 QTY655360 RDU655360 RNQ655360 RXM655360 SHI655360 SRE655360 TBA655360 TKW655360 TUS655360 UEO655360 UOK655360 UYG655360 VIC655360 VRY655360 WBU655360 WLQ655360 WVM655360 E720896 JA720896 SW720896 ACS720896 AMO720896 AWK720896 BGG720896 BQC720896 BZY720896 CJU720896 CTQ720896 DDM720896 DNI720896 DXE720896 EHA720896 EQW720896 FAS720896 FKO720896 FUK720896 GEG720896 GOC720896 GXY720896 HHU720896 HRQ720896 IBM720896 ILI720896 IVE720896 JFA720896 JOW720896 JYS720896 KIO720896 KSK720896 LCG720896 LMC720896 LVY720896 MFU720896 MPQ720896 MZM720896 NJI720896 NTE720896 ODA720896 OMW720896 OWS720896 PGO720896 PQK720896 QAG720896 QKC720896 QTY720896 RDU720896 RNQ720896 RXM720896 SHI720896 SRE720896 TBA720896 TKW720896 TUS720896 UEO720896 UOK720896 UYG720896 VIC720896 VRY720896 WBU720896 WLQ720896 WVM720896 E786432 JA786432 SW786432 ACS786432 AMO786432 AWK786432 BGG786432 BQC786432 BZY786432 CJU786432 CTQ786432 DDM786432 DNI786432 DXE786432 EHA786432 EQW786432 FAS786432 FKO786432 FUK786432 GEG786432 GOC786432 GXY786432 HHU786432 HRQ786432 IBM786432 ILI786432 IVE786432 JFA786432 JOW786432 JYS786432 KIO786432 KSK786432 LCG786432 LMC786432 LVY786432 MFU786432 MPQ786432 MZM786432 NJI786432 NTE786432 ODA786432 OMW786432 OWS786432 PGO786432 PQK786432 QAG786432 QKC786432 QTY786432 RDU786432 RNQ786432 RXM786432 SHI786432 SRE786432 TBA786432 TKW786432 TUS786432 UEO786432 UOK786432 UYG786432 VIC786432 VRY786432 WBU786432 WLQ786432 WVM786432 E851968 JA851968 SW851968 ACS851968 AMO851968 AWK851968 BGG851968 BQC851968 BZY851968 CJU851968 CTQ851968 DDM851968 DNI851968 DXE851968 EHA851968 EQW851968 FAS851968 FKO851968 FUK851968 GEG851968 GOC851968 GXY851968 HHU851968 HRQ851968 IBM851968 ILI851968 IVE851968 JFA851968 JOW851968 JYS851968 KIO851968 KSK851968 LCG851968 LMC851968 LVY851968 MFU851968 MPQ851968 MZM851968 NJI851968 NTE851968 ODA851968 OMW851968 OWS851968 PGO851968 PQK851968 QAG851968 QKC851968 QTY851968 RDU851968 RNQ851968 RXM851968 SHI851968 SRE851968 TBA851968 TKW851968 TUS851968 UEO851968 UOK851968 UYG851968 VIC851968 VRY851968 WBU851968 WLQ851968 WVM851968 E917504 JA917504 SW917504 ACS917504 AMO917504 AWK917504 BGG917504 BQC917504 BZY917504 CJU917504 CTQ917504 DDM917504 DNI917504 DXE917504 EHA917504 EQW917504 FAS917504 FKO917504 FUK917504 GEG917504 GOC917504 GXY917504 HHU917504 HRQ917504 IBM917504 ILI917504 IVE917504 JFA917504 JOW917504 JYS917504 KIO917504 KSK917504 LCG917504 LMC917504 LVY917504 MFU917504 MPQ917504 MZM917504 NJI917504 NTE917504 ODA917504 OMW917504 OWS917504 PGO917504 PQK917504 QAG917504 QKC917504 QTY917504 RDU917504 RNQ917504 RXM917504 SHI917504 SRE917504 TBA917504 TKW917504 TUS917504 UEO917504 UOK917504 UYG917504 VIC917504 VRY917504 WBU917504 WLQ917504 WVM917504 E983040 JA983040 SW983040 ACS983040 AMO983040 AWK983040 BGG983040 BQC983040 BZY983040 CJU983040 CTQ983040 DDM983040 DNI983040 DXE983040 EHA983040 EQW983040 FAS983040 FKO983040 FUK983040 GEG983040 GOC983040 GXY983040 HHU983040 HRQ983040 IBM983040 ILI983040 IVE983040 JFA983040 JOW983040 JYS983040 KIO983040 KSK983040 LCG983040 LMC983040 LVY983040 MFU983040 MPQ983040 MZM983040 NJI983040 NTE983040 ODA983040 OMW983040 OWS983040 PGO983040 PQK983040 QAG983040 QKC983040 QTY983040 RDU983040 RNQ983040 RXM983040 SHI983040 SRE983040 TBA983040 TKW983040 TUS983040 UEO983040 UOK983040 UYG983040 VIC983040 VRY983040 WBU983040 WLQ983040 WVM983040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36:I65537 JE65536:JE65537 TA65536:TA65537 ACW65536:ACW65537 AMS65536:AMS65537 AWO65536:AWO65537 BGK65536:BGK65537 BQG65536:BQG65537 CAC65536:CAC65537 CJY65536:CJY65537 CTU65536:CTU65537 DDQ65536:DDQ65537 DNM65536:DNM65537 DXI65536:DXI65537 EHE65536:EHE65537 ERA65536:ERA65537 FAW65536:FAW65537 FKS65536:FKS65537 FUO65536:FUO65537 GEK65536:GEK65537 GOG65536:GOG65537 GYC65536:GYC65537 HHY65536:HHY65537 HRU65536:HRU65537 IBQ65536:IBQ65537 ILM65536:ILM65537 IVI65536:IVI65537 JFE65536:JFE65537 JPA65536:JPA65537 JYW65536:JYW65537 KIS65536:KIS65537 KSO65536:KSO65537 LCK65536:LCK65537 LMG65536:LMG65537 LWC65536:LWC65537 MFY65536:MFY65537 MPU65536:MPU65537 MZQ65536:MZQ65537 NJM65536:NJM65537 NTI65536:NTI65537 ODE65536:ODE65537 ONA65536:ONA65537 OWW65536:OWW65537 PGS65536:PGS65537 PQO65536:PQO65537 QAK65536:QAK65537 QKG65536:QKG65537 QUC65536:QUC65537 RDY65536:RDY65537 RNU65536:RNU65537 RXQ65536:RXQ65537 SHM65536:SHM65537 SRI65536:SRI65537 TBE65536:TBE65537 TLA65536:TLA65537 TUW65536:TUW65537 UES65536:UES65537 UOO65536:UOO65537 UYK65536:UYK65537 VIG65536:VIG65537 VSC65536:VSC65537 WBY65536:WBY65537 WLU65536:WLU65537 WVQ65536:WVQ65537 I131072:I131073 JE131072:JE131073 TA131072:TA131073 ACW131072:ACW131073 AMS131072:AMS131073 AWO131072:AWO131073 BGK131072:BGK131073 BQG131072:BQG131073 CAC131072:CAC131073 CJY131072:CJY131073 CTU131072:CTU131073 DDQ131072:DDQ131073 DNM131072:DNM131073 DXI131072:DXI131073 EHE131072:EHE131073 ERA131072:ERA131073 FAW131072:FAW131073 FKS131072:FKS131073 FUO131072:FUO131073 GEK131072:GEK131073 GOG131072:GOG131073 GYC131072:GYC131073 HHY131072:HHY131073 HRU131072:HRU131073 IBQ131072:IBQ131073 ILM131072:ILM131073 IVI131072:IVI131073 JFE131072:JFE131073 JPA131072:JPA131073 JYW131072:JYW131073 KIS131072:KIS131073 KSO131072:KSO131073 LCK131072:LCK131073 LMG131072:LMG131073 LWC131072:LWC131073 MFY131072:MFY131073 MPU131072:MPU131073 MZQ131072:MZQ131073 NJM131072:NJM131073 NTI131072:NTI131073 ODE131072:ODE131073 ONA131072:ONA131073 OWW131072:OWW131073 PGS131072:PGS131073 PQO131072:PQO131073 QAK131072:QAK131073 QKG131072:QKG131073 QUC131072:QUC131073 RDY131072:RDY131073 RNU131072:RNU131073 RXQ131072:RXQ131073 SHM131072:SHM131073 SRI131072:SRI131073 TBE131072:TBE131073 TLA131072:TLA131073 TUW131072:TUW131073 UES131072:UES131073 UOO131072:UOO131073 UYK131072:UYK131073 VIG131072:VIG131073 VSC131072:VSC131073 WBY131072:WBY131073 WLU131072:WLU131073 WVQ131072:WVQ131073 I196608:I196609 JE196608:JE196609 TA196608:TA196609 ACW196608:ACW196609 AMS196608:AMS196609 AWO196608:AWO196609 BGK196608:BGK196609 BQG196608:BQG196609 CAC196608:CAC196609 CJY196608:CJY196609 CTU196608:CTU196609 DDQ196608:DDQ196609 DNM196608:DNM196609 DXI196608:DXI196609 EHE196608:EHE196609 ERA196608:ERA196609 FAW196608:FAW196609 FKS196608:FKS196609 FUO196608:FUO196609 GEK196608:GEK196609 GOG196608:GOG196609 GYC196608:GYC196609 HHY196608:HHY196609 HRU196608:HRU196609 IBQ196608:IBQ196609 ILM196608:ILM196609 IVI196608:IVI196609 JFE196608:JFE196609 JPA196608:JPA196609 JYW196608:JYW196609 KIS196608:KIS196609 KSO196608:KSO196609 LCK196608:LCK196609 LMG196608:LMG196609 LWC196608:LWC196609 MFY196608:MFY196609 MPU196608:MPU196609 MZQ196608:MZQ196609 NJM196608:NJM196609 NTI196608:NTI196609 ODE196608:ODE196609 ONA196608:ONA196609 OWW196608:OWW196609 PGS196608:PGS196609 PQO196608:PQO196609 QAK196608:QAK196609 QKG196608:QKG196609 QUC196608:QUC196609 RDY196608:RDY196609 RNU196608:RNU196609 RXQ196608:RXQ196609 SHM196608:SHM196609 SRI196608:SRI196609 TBE196608:TBE196609 TLA196608:TLA196609 TUW196608:TUW196609 UES196608:UES196609 UOO196608:UOO196609 UYK196608:UYK196609 VIG196608:VIG196609 VSC196608:VSC196609 WBY196608:WBY196609 WLU196608:WLU196609 WVQ196608:WVQ196609 I262144:I262145 JE262144:JE262145 TA262144:TA262145 ACW262144:ACW262145 AMS262144:AMS262145 AWO262144:AWO262145 BGK262144:BGK262145 BQG262144:BQG262145 CAC262144:CAC262145 CJY262144:CJY262145 CTU262144:CTU262145 DDQ262144:DDQ262145 DNM262144:DNM262145 DXI262144:DXI262145 EHE262144:EHE262145 ERA262144:ERA262145 FAW262144:FAW262145 FKS262144:FKS262145 FUO262144:FUO262145 GEK262144:GEK262145 GOG262144:GOG262145 GYC262144:GYC262145 HHY262144:HHY262145 HRU262144:HRU262145 IBQ262144:IBQ262145 ILM262144:ILM262145 IVI262144:IVI262145 JFE262144:JFE262145 JPA262144:JPA262145 JYW262144:JYW262145 KIS262144:KIS262145 KSO262144:KSO262145 LCK262144:LCK262145 LMG262144:LMG262145 LWC262144:LWC262145 MFY262144:MFY262145 MPU262144:MPU262145 MZQ262144:MZQ262145 NJM262144:NJM262145 NTI262144:NTI262145 ODE262144:ODE262145 ONA262144:ONA262145 OWW262144:OWW262145 PGS262144:PGS262145 PQO262144:PQO262145 QAK262144:QAK262145 QKG262144:QKG262145 QUC262144:QUC262145 RDY262144:RDY262145 RNU262144:RNU262145 RXQ262144:RXQ262145 SHM262144:SHM262145 SRI262144:SRI262145 TBE262144:TBE262145 TLA262144:TLA262145 TUW262144:TUW262145 UES262144:UES262145 UOO262144:UOO262145 UYK262144:UYK262145 VIG262144:VIG262145 VSC262144:VSC262145 WBY262144:WBY262145 WLU262144:WLU262145 WVQ262144:WVQ262145 I327680:I327681 JE327680:JE327681 TA327680:TA327681 ACW327680:ACW327681 AMS327680:AMS327681 AWO327680:AWO327681 BGK327680:BGK327681 BQG327680:BQG327681 CAC327680:CAC327681 CJY327680:CJY327681 CTU327680:CTU327681 DDQ327680:DDQ327681 DNM327680:DNM327681 DXI327680:DXI327681 EHE327680:EHE327681 ERA327680:ERA327681 FAW327680:FAW327681 FKS327680:FKS327681 FUO327680:FUO327681 GEK327680:GEK327681 GOG327680:GOG327681 GYC327680:GYC327681 HHY327680:HHY327681 HRU327680:HRU327681 IBQ327680:IBQ327681 ILM327680:ILM327681 IVI327680:IVI327681 JFE327680:JFE327681 JPA327680:JPA327681 JYW327680:JYW327681 KIS327680:KIS327681 KSO327680:KSO327681 LCK327680:LCK327681 LMG327680:LMG327681 LWC327680:LWC327681 MFY327680:MFY327681 MPU327680:MPU327681 MZQ327680:MZQ327681 NJM327680:NJM327681 NTI327680:NTI327681 ODE327680:ODE327681 ONA327680:ONA327681 OWW327680:OWW327681 PGS327680:PGS327681 PQO327680:PQO327681 QAK327680:QAK327681 QKG327680:QKG327681 QUC327680:QUC327681 RDY327680:RDY327681 RNU327680:RNU327681 RXQ327680:RXQ327681 SHM327680:SHM327681 SRI327680:SRI327681 TBE327680:TBE327681 TLA327680:TLA327681 TUW327680:TUW327681 UES327680:UES327681 UOO327680:UOO327681 UYK327680:UYK327681 VIG327680:VIG327681 VSC327680:VSC327681 WBY327680:WBY327681 WLU327680:WLU327681 WVQ327680:WVQ327681 I393216:I393217 JE393216:JE393217 TA393216:TA393217 ACW393216:ACW393217 AMS393216:AMS393217 AWO393216:AWO393217 BGK393216:BGK393217 BQG393216:BQG393217 CAC393216:CAC393217 CJY393216:CJY393217 CTU393216:CTU393217 DDQ393216:DDQ393217 DNM393216:DNM393217 DXI393216:DXI393217 EHE393216:EHE393217 ERA393216:ERA393217 FAW393216:FAW393217 FKS393216:FKS393217 FUO393216:FUO393217 GEK393216:GEK393217 GOG393216:GOG393217 GYC393216:GYC393217 HHY393216:HHY393217 HRU393216:HRU393217 IBQ393216:IBQ393217 ILM393216:ILM393217 IVI393216:IVI393217 JFE393216:JFE393217 JPA393216:JPA393217 JYW393216:JYW393217 KIS393216:KIS393217 KSO393216:KSO393217 LCK393216:LCK393217 LMG393216:LMG393217 LWC393216:LWC393217 MFY393216:MFY393217 MPU393216:MPU393217 MZQ393216:MZQ393217 NJM393216:NJM393217 NTI393216:NTI393217 ODE393216:ODE393217 ONA393216:ONA393217 OWW393216:OWW393217 PGS393216:PGS393217 PQO393216:PQO393217 QAK393216:QAK393217 QKG393216:QKG393217 QUC393216:QUC393217 RDY393216:RDY393217 RNU393216:RNU393217 RXQ393216:RXQ393217 SHM393216:SHM393217 SRI393216:SRI393217 TBE393216:TBE393217 TLA393216:TLA393217 TUW393216:TUW393217 UES393216:UES393217 UOO393216:UOO393217 UYK393216:UYK393217 VIG393216:VIG393217 VSC393216:VSC393217 WBY393216:WBY393217 WLU393216:WLU393217 WVQ393216:WVQ393217 I458752:I458753 JE458752:JE458753 TA458752:TA458753 ACW458752:ACW458753 AMS458752:AMS458753 AWO458752:AWO458753 BGK458752:BGK458753 BQG458752:BQG458753 CAC458752:CAC458753 CJY458752:CJY458753 CTU458752:CTU458753 DDQ458752:DDQ458753 DNM458752:DNM458753 DXI458752:DXI458753 EHE458752:EHE458753 ERA458752:ERA458753 FAW458752:FAW458753 FKS458752:FKS458753 FUO458752:FUO458753 GEK458752:GEK458753 GOG458752:GOG458753 GYC458752:GYC458753 HHY458752:HHY458753 HRU458752:HRU458753 IBQ458752:IBQ458753 ILM458752:ILM458753 IVI458752:IVI458753 JFE458752:JFE458753 JPA458752:JPA458753 JYW458752:JYW458753 KIS458752:KIS458753 KSO458752:KSO458753 LCK458752:LCK458753 LMG458752:LMG458753 LWC458752:LWC458753 MFY458752:MFY458753 MPU458752:MPU458753 MZQ458752:MZQ458753 NJM458752:NJM458753 NTI458752:NTI458753 ODE458752:ODE458753 ONA458752:ONA458753 OWW458752:OWW458753 PGS458752:PGS458753 PQO458752:PQO458753 QAK458752:QAK458753 QKG458752:QKG458753 QUC458752:QUC458753 RDY458752:RDY458753 RNU458752:RNU458753 RXQ458752:RXQ458753 SHM458752:SHM458753 SRI458752:SRI458753 TBE458752:TBE458753 TLA458752:TLA458753 TUW458752:TUW458753 UES458752:UES458753 UOO458752:UOO458753 UYK458752:UYK458753 VIG458752:VIG458753 VSC458752:VSC458753 WBY458752:WBY458753 WLU458752:WLU458753 WVQ458752:WVQ458753 I524288:I524289 JE524288:JE524289 TA524288:TA524289 ACW524288:ACW524289 AMS524288:AMS524289 AWO524288:AWO524289 BGK524288:BGK524289 BQG524288:BQG524289 CAC524288:CAC524289 CJY524288:CJY524289 CTU524288:CTU524289 DDQ524288:DDQ524289 DNM524288:DNM524289 DXI524288:DXI524289 EHE524288:EHE524289 ERA524288:ERA524289 FAW524288:FAW524289 FKS524288:FKS524289 FUO524288:FUO524289 GEK524288:GEK524289 GOG524288:GOG524289 GYC524288:GYC524289 HHY524288:HHY524289 HRU524288:HRU524289 IBQ524288:IBQ524289 ILM524288:ILM524289 IVI524288:IVI524289 JFE524288:JFE524289 JPA524288:JPA524289 JYW524288:JYW524289 KIS524288:KIS524289 KSO524288:KSO524289 LCK524288:LCK524289 LMG524288:LMG524289 LWC524288:LWC524289 MFY524288:MFY524289 MPU524288:MPU524289 MZQ524288:MZQ524289 NJM524288:NJM524289 NTI524288:NTI524289 ODE524288:ODE524289 ONA524288:ONA524289 OWW524288:OWW524289 PGS524288:PGS524289 PQO524288:PQO524289 QAK524288:QAK524289 QKG524288:QKG524289 QUC524288:QUC524289 RDY524288:RDY524289 RNU524288:RNU524289 RXQ524288:RXQ524289 SHM524288:SHM524289 SRI524288:SRI524289 TBE524288:TBE524289 TLA524288:TLA524289 TUW524288:TUW524289 UES524288:UES524289 UOO524288:UOO524289 UYK524288:UYK524289 VIG524288:VIG524289 VSC524288:VSC524289 WBY524288:WBY524289 WLU524288:WLU524289 WVQ524288:WVQ524289 I589824:I589825 JE589824:JE589825 TA589824:TA589825 ACW589824:ACW589825 AMS589824:AMS589825 AWO589824:AWO589825 BGK589824:BGK589825 BQG589824:BQG589825 CAC589824:CAC589825 CJY589824:CJY589825 CTU589824:CTU589825 DDQ589824:DDQ589825 DNM589824:DNM589825 DXI589824:DXI589825 EHE589824:EHE589825 ERA589824:ERA589825 FAW589824:FAW589825 FKS589824:FKS589825 FUO589824:FUO589825 GEK589824:GEK589825 GOG589824:GOG589825 GYC589824:GYC589825 HHY589824:HHY589825 HRU589824:HRU589825 IBQ589824:IBQ589825 ILM589824:ILM589825 IVI589824:IVI589825 JFE589824:JFE589825 JPA589824:JPA589825 JYW589824:JYW589825 KIS589824:KIS589825 KSO589824:KSO589825 LCK589824:LCK589825 LMG589824:LMG589825 LWC589824:LWC589825 MFY589824:MFY589825 MPU589824:MPU589825 MZQ589824:MZQ589825 NJM589824:NJM589825 NTI589824:NTI589825 ODE589824:ODE589825 ONA589824:ONA589825 OWW589824:OWW589825 PGS589824:PGS589825 PQO589824:PQO589825 QAK589824:QAK589825 QKG589824:QKG589825 QUC589824:QUC589825 RDY589824:RDY589825 RNU589824:RNU589825 RXQ589824:RXQ589825 SHM589824:SHM589825 SRI589824:SRI589825 TBE589824:TBE589825 TLA589824:TLA589825 TUW589824:TUW589825 UES589824:UES589825 UOO589824:UOO589825 UYK589824:UYK589825 VIG589824:VIG589825 VSC589824:VSC589825 WBY589824:WBY589825 WLU589824:WLU589825 WVQ589824:WVQ589825 I655360:I655361 JE655360:JE655361 TA655360:TA655361 ACW655360:ACW655361 AMS655360:AMS655361 AWO655360:AWO655361 BGK655360:BGK655361 BQG655360:BQG655361 CAC655360:CAC655361 CJY655360:CJY655361 CTU655360:CTU655361 DDQ655360:DDQ655361 DNM655360:DNM655361 DXI655360:DXI655361 EHE655360:EHE655361 ERA655360:ERA655361 FAW655360:FAW655361 FKS655360:FKS655361 FUO655360:FUO655361 GEK655360:GEK655361 GOG655360:GOG655361 GYC655360:GYC655361 HHY655360:HHY655361 HRU655360:HRU655361 IBQ655360:IBQ655361 ILM655360:ILM655361 IVI655360:IVI655361 JFE655360:JFE655361 JPA655360:JPA655361 JYW655360:JYW655361 KIS655360:KIS655361 KSO655360:KSO655361 LCK655360:LCK655361 LMG655360:LMG655361 LWC655360:LWC655361 MFY655360:MFY655361 MPU655360:MPU655361 MZQ655360:MZQ655361 NJM655360:NJM655361 NTI655360:NTI655361 ODE655360:ODE655361 ONA655360:ONA655361 OWW655360:OWW655361 PGS655360:PGS655361 PQO655360:PQO655361 QAK655360:QAK655361 QKG655360:QKG655361 QUC655360:QUC655361 RDY655360:RDY655361 RNU655360:RNU655361 RXQ655360:RXQ655361 SHM655360:SHM655361 SRI655360:SRI655361 TBE655360:TBE655361 TLA655360:TLA655361 TUW655360:TUW655361 UES655360:UES655361 UOO655360:UOO655361 UYK655360:UYK655361 VIG655360:VIG655361 VSC655360:VSC655361 WBY655360:WBY655361 WLU655360:WLU655361 WVQ655360:WVQ655361 I720896:I720897 JE720896:JE720897 TA720896:TA720897 ACW720896:ACW720897 AMS720896:AMS720897 AWO720896:AWO720897 BGK720896:BGK720897 BQG720896:BQG720897 CAC720896:CAC720897 CJY720896:CJY720897 CTU720896:CTU720897 DDQ720896:DDQ720897 DNM720896:DNM720897 DXI720896:DXI720897 EHE720896:EHE720897 ERA720896:ERA720897 FAW720896:FAW720897 FKS720896:FKS720897 FUO720896:FUO720897 GEK720896:GEK720897 GOG720896:GOG720897 GYC720896:GYC720897 HHY720896:HHY720897 HRU720896:HRU720897 IBQ720896:IBQ720897 ILM720896:ILM720897 IVI720896:IVI720897 JFE720896:JFE720897 JPA720896:JPA720897 JYW720896:JYW720897 KIS720896:KIS720897 KSO720896:KSO720897 LCK720896:LCK720897 LMG720896:LMG720897 LWC720896:LWC720897 MFY720896:MFY720897 MPU720896:MPU720897 MZQ720896:MZQ720897 NJM720896:NJM720897 NTI720896:NTI720897 ODE720896:ODE720897 ONA720896:ONA720897 OWW720896:OWW720897 PGS720896:PGS720897 PQO720896:PQO720897 QAK720896:QAK720897 QKG720896:QKG720897 QUC720896:QUC720897 RDY720896:RDY720897 RNU720896:RNU720897 RXQ720896:RXQ720897 SHM720896:SHM720897 SRI720896:SRI720897 TBE720896:TBE720897 TLA720896:TLA720897 TUW720896:TUW720897 UES720896:UES720897 UOO720896:UOO720897 UYK720896:UYK720897 VIG720896:VIG720897 VSC720896:VSC720897 WBY720896:WBY720897 WLU720896:WLU720897 WVQ720896:WVQ720897 I786432:I786433 JE786432:JE786433 TA786432:TA786433 ACW786432:ACW786433 AMS786432:AMS786433 AWO786432:AWO786433 BGK786432:BGK786433 BQG786432:BQG786433 CAC786432:CAC786433 CJY786432:CJY786433 CTU786432:CTU786433 DDQ786432:DDQ786433 DNM786432:DNM786433 DXI786432:DXI786433 EHE786432:EHE786433 ERA786432:ERA786433 FAW786432:FAW786433 FKS786432:FKS786433 FUO786432:FUO786433 GEK786432:GEK786433 GOG786432:GOG786433 GYC786432:GYC786433 HHY786432:HHY786433 HRU786432:HRU786433 IBQ786432:IBQ786433 ILM786432:ILM786433 IVI786432:IVI786433 JFE786432:JFE786433 JPA786432:JPA786433 JYW786432:JYW786433 KIS786432:KIS786433 KSO786432:KSO786433 LCK786432:LCK786433 LMG786432:LMG786433 LWC786432:LWC786433 MFY786432:MFY786433 MPU786432:MPU786433 MZQ786432:MZQ786433 NJM786432:NJM786433 NTI786432:NTI786433 ODE786432:ODE786433 ONA786432:ONA786433 OWW786432:OWW786433 PGS786432:PGS786433 PQO786432:PQO786433 QAK786432:QAK786433 QKG786432:QKG786433 QUC786432:QUC786433 RDY786432:RDY786433 RNU786432:RNU786433 RXQ786432:RXQ786433 SHM786432:SHM786433 SRI786432:SRI786433 TBE786432:TBE786433 TLA786432:TLA786433 TUW786432:TUW786433 UES786432:UES786433 UOO786432:UOO786433 UYK786432:UYK786433 VIG786432:VIG786433 VSC786432:VSC786433 WBY786432:WBY786433 WLU786432:WLU786433 WVQ786432:WVQ786433 I851968:I851969 JE851968:JE851969 TA851968:TA851969 ACW851968:ACW851969 AMS851968:AMS851969 AWO851968:AWO851969 BGK851968:BGK851969 BQG851968:BQG851969 CAC851968:CAC851969 CJY851968:CJY851969 CTU851968:CTU851969 DDQ851968:DDQ851969 DNM851968:DNM851969 DXI851968:DXI851969 EHE851968:EHE851969 ERA851968:ERA851969 FAW851968:FAW851969 FKS851968:FKS851969 FUO851968:FUO851969 GEK851968:GEK851969 GOG851968:GOG851969 GYC851968:GYC851969 HHY851968:HHY851969 HRU851968:HRU851969 IBQ851968:IBQ851969 ILM851968:ILM851969 IVI851968:IVI851969 JFE851968:JFE851969 JPA851968:JPA851969 JYW851968:JYW851969 KIS851968:KIS851969 KSO851968:KSO851969 LCK851968:LCK851969 LMG851968:LMG851969 LWC851968:LWC851969 MFY851968:MFY851969 MPU851968:MPU851969 MZQ851968:MZQ851969 NJM851968:NJM851969 NTI851968:NTI851969 ODE851968:ODE851969 ONA851968:ONA851969 OWW851968:OWW851969 PGS851968:PGS851969 PQO851968:PQO851969 QAK851968:QAK851969 QKG851968:QKG851969 QUC851968:QUC851969 RDY851968:RDY851969 RNU851968:RNU851969 RXQ851968:RXQ851969 SHM851968:SHM851969 SRI851968:SRI851969 TBE851968:TBE851969 TLA851968:TLA851969 TUW851968:TUW851969 UES851968:UES851969 UOO851968:UOO851969 UYK851968:UYK851969 VIG851968:VIG851969 VSC851968:VSC851969 WBY851968:WBY851969 WLU851968:WLU851969 WVQ851968:WVQ851969 I917504:I917505 JE917504:JE917505 TA917504:TA917505 ACW917504:ACW917505 AMS917504:AMS917505 AWO917504:AWO917505 BGK917504:BGK917505 BQG917504:BQG917505 CAC917504:CAC917505 CJY917504:CJY917505 CTU917504:CTU917505 DDQ917504:DDQ917505 DNM917504:DNM917505 DXI917504:DXI917505 EHE917504:EHE917505 ERA917504:ERA917505 FAW917504:FAW917505 FKS917504:FKS917505 FUO917504:FUO917505 GEK917504:GEK917505 GOG917504:GOG917505 GYC917504:GYC917505 HHY917504:HHY917505 HRU917504:HRU917505 IBQ917504:IBQ917505 ILM917504:ILM917505 IVI917504:IVI917505 JFE917504:JFE917505 JPA917504:JPA917505 JYW917504:JYW917505 KIS917504:KIS917505 KSO917504:KSO917505 LCK917504:LCK917505 LMG917504:LMG917505 LWC917504:LWC917505 MFY917504:MFY917505 MPU917504:MPU917505 MZQ917504:MZQ917505 NJM917504:NJM917505 NTI917504:NTI917505 ODE917504:ODE917505 ONA917504:ONA917505 OWW917504:OWW917505 PGS917504:PGS917505 PQO917504:PQO917505 QAK917504:QAK917505 QKG917504:QKG917505 QUC917504:QUC917505 RDY917504:RDY917505 RNU917504:RNU917505 RXQ917504:RXQ917505 SHM917504:SHM917505 SRI917504:SRI917505 TBE917504:TBE917505 TLA917504:TLA917505 TUW917504:TUW917505 UES917504:UES917505 UOO917504:UOO917505 UYK917504:UYK917505 VIG917504:VIG917505 VSC917504:VSC917505 WBY917504:WBY917505 WLU917504:WLU917505 WVQ917504:WVQ917505 I983040:I983041 JE983040:JE983041 TA983040:TA983041 ACW983040:ACW983041 AMS983040:AMS983041 AWO983040:AWO983041 BGK983040:BGK983041 BQG983040:BQG983041 CAC983040:CAC983041 CJY983040:CJY983041 CTU983040:CTU983041 DDQ983040:DDQ983041 DNM983040:DNM983041 DXI983040:DXI983041 EHE983040:EHE983041 ERA983040:ERA983041 FAW983040:FAW983041 FKS983040:FKS983041 FUO983040:FUO983041 GEK983040:GEK983041 GOG983040:GOG983041 GYC983040:GYC983041 HHY983040:HHY983041 HRU983040:HRU983041 IBQ983040:IBQ983041 ILM983040:ILM983041 IVI983040:IVI983041 JFE983040:JFE983041 JPA983040:JPA983041 JYW983040:JYW983041 KIS983040:KIS983041 KSO983040:KSO983041 LCK983040:LCK983041 LMG983040:LMG983041 LWC983040:LWC983041 MFY983040:MFY983041 MPU983040:MPU983041 MZQ983040:MZQ983041 NJM983040:NJM983041 NTI983040:NTI983041 ODE983040:ODE983041 ONA983040:ONA983041 OWW983040:OWW983041 PGS983040:PGS983041 PQO983040:PQO983041 QAK983040:QAK983041 QKG983040:QKG983041 QUC983040:QUC983041 RDY983040:RDY983041 RNU983040:RNU983041 RXQ983040:RXQ983041 SHM983040:SHM983041 SRI983040:SRI983041 TBE983040:TBE983041 TLA983040:TLA983041 TUW983040:TUW983041 UES983040:UES983041 UOO983040:UOO983041 UYK983040:UYK983041 VIG983040:VIG983041 VSC983040:VSC983041 WBY983040:WBY983041 WLU983040:WLU983041 WVQ983040:WVQ983041 E33:H33 JA33:JD33 SW33:SZ33 ACS33:ACV33 AMO33:AMR33 AWK33:AWN33 BGG33:BGJ33 BQC33:BQF33 BZY33:CAB33 CJU33:CJX33 CTQ33:CTT33 DDM33:DDP33 DNI33:DNL33 DXE33:DXH33 EHA33:EHD33 EQW33:EQZ33 FAS33:FAV33 FKO33:FKR33 FUK33:FUN33 GEG33:GEJ33 GOC33:GOF33 GXY33:GYB33 HHU33:HHX33 HRQ33:HRT33 IBM33:IBP33 ILI33:ILL33 IVE33:IVH33 JFA33:JFD33 JOW33:JOZ33 JYS33:JYV33 KIO33:KIR33 KSK33:KSN33 LCG33:LCJ33 LMC33:LMF33 LVY33:LWB33 MFU33:MFX33 MPQ33:MPT33 MZM33:MZP33 NJI33:NJL33 NTE33:NTH33 ODA33:ODD33 OMW33:OMZ33 OWS33:OWV33 PGO33:PGR33 PQK33:PQN33 QAG33:QAJ33 QKC33:QKF33 QTY33:QUB33 RDU33:RDX33 RNQ33:RNT33 RXM33:RXP33 SHI33:SHL33 SRE33:SRH33 TBA33:TBD33 TKW33:TKZ33 TUS33:TUV33 UEO33:UER33 UOK33:UON33 UYG33:UYJ33 VIC33:VIF33 VRY33:VSB33 WBU33:WBX33 WLQ33:WLT33 WVM33:WVP33 E65545:H65545 JA65545:JD65545 SW65545:SZ65545 ACS65545:ACV65545 AMO65545:AMR65545 AWK65545:AWN65545 BGG65545:BGJ65545 BQC65545:BQF65545 BZY65545:CAB65545 CJU65545:CJX65545 CTQ65545:CTT65545 DDM65545:DDP65545 DNI65545:DNL65545 DXE65545:DXH65545 EHA65545:EHD65545 EQW65545:EQZ65545 FAS65545:FAV65545 FKO65545:FKR65545 FUK65545:FUN65545 GEG65545:GEJ65545 GOC65545:GOF65545 GXY65545:GYB65545 HHU65545:HHX65545 HRQ65545:HRT65545 IBM65545:IBP65545 ILI65545:ILL65545 IVE65545:IVH65545 JFA65545:JFD65545 JOW65545:JOZ65545 JYS65545:JYV65545 KIO65545:KIR65545 KSK65545:KSN65545 LCG65545:LCJ65545 LMC65545:LMF65545 LVY65545:LWB65545 MFU65545:MFX65545 MPQ65545:MPT65545 MZM65545:MZP65545 NJI65545:NJL65545 NTE65545:NTH65545 ODA65545:ODD65545 OMW65545:OMZ65545 OWS65545:OWV65545 PGO65545:PGR65545 PQK65545:PQN65545 QAG65545:QAJ65545 QKC65545:QKF65545 QTY65545:QUB65545 RDU65545:RDX65545 RNQ65545:RNT65545 RXM65545:RXP65545 SHI65545:SHL65545 SRE65545:SRH65545 TBA65545:TBD65545 TKW65545:TKZ65545 TUS65545:TUV65545 UEO65545:UER65545 UOK65545:UON65545 UYG65545:UYJ65545 VIC65545:VIF65545 VRY65545:VSB65545 WBU65545:WBX65545 WLQ65545:WLT65545 WVM65545:WVP65545 E131081:H131081 JA131081:JD131081 SW131081:SZ131081 ACS131081:ACV131081 AMO131081:AMR131081 AWK131081:AWN131081 BGG131081:BGJ131081 BQC131081:BQF131081 BZY131081:CAB131081 CJU131081:CJX131081 CTQ131081:CTT131081 DDM131081:DDP131081 DNI131081:DNL131081 DXE131081:DXH131081 EHA131081:EHD131081 EQW131081:EQZ131081 FAS131081:FAV131081 FKO131081:FKR131081 FUK131081:FUN131081 GEG131081:GEJ131081 GOC131081:GOF131081 GXY131081:GYB131081 HHU131081:HHX131081 HRQ131081:HRT131081 IBM131081:IBP131081 ILI131081:ILL131081 IVE131081:IVH131081 JFA131081:JFD131081 JOW131081:JOZ131081 JYS131081:JYV131081 KIO131081:KIR131081 KSK131081:KSN131081 LCG131081:LCJ131081 LMC131081:LMF131081 LVY131081:LWB131081 MFU131081:MFX131081 MPQ131081:MPT131081 MZM131081:MZP131081 NJI131081:NJL131081 NTE131081:NTH131081 ODA131081:ODD131081 OMW131081:OMZ131081 OWS131081:OWV131081 PGO131081:PGR131081 PQK131081:PQN131081 QAG131081:QAJ131081 QKC131081:QKF131081 QTY131081:QUB131081 RDU131081:RDX131081 RNQ131081:RNT131081 RXM131081:RXP131081 SHI131081:SHL131081 SRE131081:SRH131081 TBA131081:TBD131081 TKW131081:TKZ131081 TUS131081:TUV131081 UEO131081:UER131081 UOK131081:UON131081 UYG131081:UYJ131081 VIC131081:VIF131081 VRY131081:VSB131081 WBU131081:WBX131081 WLQ131081:WLT131081 WVM131081:WVP131081 E196617:H196617 JA196617:JD196617 SW196617:SZ196617 ACS196617:ACV196617 AMO196617:AMR196617 AWK196617:AWN196617 BGG196617:BGJ196617 BQC196617:BQF196617 BZY196617:CAB196617 CJU196617:CJX196617 CTQ196617:CTT196617 DDM196617:DDP196617 DNI196617:DNL196617 DXE196617:DXH196617 EHA196617:EHD196617 EQW196617:EQZ196617 FAS196617:FAV196617 FKO196617:FKR196617 FUK196617:FUN196617 GEG196617:GEJ196617 GOC196617:GOF196617 GXY196617:GYB196617 HHU196617:HHX196617 HRQ196617:HRT196617 IBM196617:IBP196617 ILI196617:ILL196617 IVE196617:IVH196617 JFA196617:JFD196617 JOW196617:JOZ196617 JYS196617:JYV196617 KIO196617:KIR196617 KSK196617:KSN196617 LCG196617:LCJ196617 LMC196617:LMF196617 LVY196617:LWB196617 MFU196617:MFX196617 MPQ196617:MPT196617 MZM196617:MZP196617 NJI196617:NJL196617 NTE196617:NTH196617 ODA196617:ODD196617 OMW196617:OMZ196617 OWS196617:OWV196617 PGO196617:PGR196617 PQK196617:PQN196617 QAG196617:QAJ196617 QKC196617:QKF196617 QTY196617:QUB196617 RDU196617:RDX196617 RNQ196617:RNT196617 RXM196617:RXP196617 SHI196617:SHL196617 SRE196617:SRH196617 TBA196617:TBD196617 TKW196617:TKZ196617 TUS196617:TUV196617 UEO196617:UER196617 UOK196617:UON196617 UYG196617:UYJ196617 VIC196617:VIF196617 VRY196617:VSB196617 WBU196617:WBX196617 WLQ196617:WLT196617 WVM196617:WVP196617 E262153:H262153 JA262153:JD262153 SW262153:SZ262153 ACS262153:ACV262153 AMO262153:AMR262153 AWK262153:AWN262153 BGG262153:BGJ262153 BQC262153:BQF262153 BZY262153:CAB262153 CJU262153:CJX262153 CTQ262153:CTT262153 DDM262153:DDP262153 DNI262153:DNL262153 DXE262153:DXH262153 EHA262153:EHD262153 EQW262153:EQZ262153 FAS262153:FAV262153 FKO262153:FKR262153 FUK262153:FUN262153 GEG262153:GEJ262153 GOC262153:GOF262153 GXY262153:GYB262153 HHU262153:HHX262153 HRQ262153:HRT262153 IBM262153:IBP262153 ILI262153:ILL262153 IVE262153:IVH262153 JFA262153:JFD262153 JOW262153:JOZ262153 JYS262153:JYV262153 KIO262153:KIR262153 KSK262153:KSN262153 LCG262153:LCJ262153 LMC262153:LMF262153 LVY262153:LWB262153 MFU262153:MFX262153 MPQ262153:MPT262153 MZM262153:MZP262153 NJI262153:NJL262153 NTE262153:NTH262153 ODA262153:ODD262153 OMW262153:OMZ262153 OWS262153:OWV262153 PGO262153:PGR262153 PQK262153:PQN262153 QAG262153:QAJ262153 QKC262153:QKF262153 QTY262153:QUB262153 RDU262153:RDX262153 RNQ262153:RNT262153 RXM262153:RXP262153 SHI262153:SHL262153 SRE262153:SRH262153 TBA262153:TBD262153 TKW262153:TKZ262153 TUS262153:TUV262153 UEO262153:UER262153 UOK262153:UON262153 UYG262153:UYJ262153 VIC262153:VIF262153 VRY262153:VSB262153 WBU262153:WBX262153 WLQ262153:WLT262153 WVM262153:WVP262153 E327689:H327689 JA327689:JD327689 SW327689:SZ327689 ACS327689:ACV327689 AMO327689:AMR327689 AWK327689:AWN327689 BGG327689:BGJ327689 BQC327689:BQF327689 BZY327689:CAB327689 CJU327689:CJX327689 CTQ327689:CTT327689 DDM327689:DDP327689 DNI327689:DNL327689 DXE327689:DXH327689 EHA327689:EHD327689 EQW327689:EQZ327689 FAS327689:FAV327689 FKO327689:FKR327689 FUK327689:FUN327689 GEG327689:GEJ327689 GOC327689:GOF327689 GXY327689:GYB327689 HHU327689:HHX327689 HRQ327689:HRT327689 IBM327689:IBP327689 ILI327689:ILL327689 IVE327689:IVH327689 JFA327689:JFD327689 JOW327689:JOZ327689 JYS327689:JYV327689 KIO327689:KIR327689 KSK327689:KSN327689 LCG327689:LCJ327689 LMC327689:LMF327689 LVY327689:LWB327689 MFU327689:MFX327689 MPQ327689:MPT327689 MZM327689:MZP327689 NJI327689:NJL327689 NTE327689:NTH327689 ODA327689:ODD327689 OMW327689:OMZ327689 OWS327689:OWV327689 PGO327689:PGR327689 PQK327689:PQN327689 QAG327689:QAJ327689 QKC327689:QKF327689 QTY327689:QUB327689 RDU327689:RDX327689 RNQ327689:RNT327689 RXM327689:RXP327689 SHI327689:SHL327689 SRE327689:SRH327689 TBA327689:TBD327689 TKW327689:TKZ327689 TUS327689:TUV327689 UEO327689:UER327689 UOK327689:UON327689 UYG327689:UYJ327689 VIC327689:VIF327689 VRY327689:VSB327689 WBU327689:WBX327689 WLQ327689:WLT327689 WVM327689:WVP327689 E393225:H393225 JA393225:JD393225 SW393225:SZ393225 ACS393225:ACV393225 AMO393225:AMR393225 AWK393225:AWN393225 BGG393225:BGJ393225 BQC393225:BQF393225 BZY393225:CAB393225 CJU393225:CJX393225 CTQ393225:CTT393225 DDM393225:DDP393225 DNI393225:DNL393225 DXE393225:DXH393225 EHA393225:EHD393225 EQW393225:EQZ393225 FAS393225:FAV393225 FKO393225:FKR393225 FUK393225:FUN393225 GEG393225:GEJ393225 GOC393225:GOF393225 GXY393225:GYB393225 HHU393225:HHX393225 HRQ393225:HRT393225 IBM393225:IBP393225 ILI393225:ILL393225 IVE393225:IVH393225 JFA393225:JFD393225 JOW393225:JOZ393225 JYS393225:JYV393225 KIO393225:KIR393225 KSK393225:KSN393225 LCG393225:LCJ393225 LMC393225:LMF393225 LVY393225:LWB393225 MFU393225:MFX393225 MPQ393225:MPT393225 MZM393225:MZP393225 NJI393225:NJL393225 NTE393225:NTH393225 ODA393225:ODD393225 OMW393225:OMZ393225 OWS393225:OWV393225 PGO393225:PGR393225 PQK393225:PQN393225 QAG393225:QAJ393225 QKC393225:QKF393225 QTY393225:QUB393225 RDU393225:RDX393225 RNQ393225:RNT393225 RXM393225:RXP393225 SHI393225:SHL393225 SRE393225:SRH393225 TBA393225:TBD393225 TKW393225:TKZ393225 TUS393225:TUV393225 UEO393225:UER393225 UOK393225:UON393225 UYG393225:UYJ393225 VIC393225:VIF393225 VRY393225:VSB393225 WBU393225:WBX393225 WLQ393225:WLT393225 WVM393225:WVP393225 E458761:H458761 JA458761:JD458761 SW458761:SZ458761 ACS458761:ACV458761 AMO458761:AMR458761 AWK458761:AWN458761 BGG458761:BGJ458761 BQC458761:BQF458761 BZY458761:CAB458761 CJU458761:CJX458761 CTQ458761:CTT458761 DDM458761:DDP458761 DNI458761:DNL458761 DXE458761:DXH458761 EHA458761:EHD458761 EQW458761:EQZ458761 FAS458761:FAV458761 FKO458761:FKR458761 FUK458761:FUN458761 GEG458761:GEJ458761 GOC458761:GOF458761 GXY458761:GYB458761 HHU458761:HHX458761 HRQ458761:HRT458761 IBM458761:IBP458761 ILI458761:ILL458761 IVE458761:IVH458761 JFA458761:JFD458761 JOW458761:JOZ458761 JYS458761:JYV458761 KIO458761:KIR458761 KSK458761:KSN458761 LCG458761:LCJ458761 LMC458761:LMF458761 LVY458761:LWB458761 MFU458761:MFX458761 MPQ458761:MPT458761 MZM458761:MZP458761 NJI458761:NJL458761 NTE458761:NTH458761 ODA458761:ODD458761 OMW458761:OMZ458761 OWS458761:OWV458761 PGO458761:PGR458761 PQK458761:PQN458761 QAG458761:QAJ458761 QKC458761:QKF458761 QTY458761:QUB458761 RDU458761:RDX458761 RNQ458761:RNT458761 RXM458761:RXP458761 SHI458761:SHL458761 SRE458761:SRH458761 TBA458761:TBD458761 TKW458761:TKZ458761 TUS458761:TUV458761 UEO458761:UER458761 UOK458761:UON458761 UYG458761:UYJ458761 VIC458761:VIF458761 VRY458761:VSB458761 WBU458761:WBX458761 WLQ458761:WLT458761 WVM458761:WVP458761 E524297:H524297 JA524297:JD524297 SW524297:SZ524297 ACS524297:ACV524297 AMO524297:AMR524297 AWK524297:AWN524297 BGG524297:BGJ524297 BQC524297:BQF524297 BZY524297:CAB524297 CJU524297:CJX524297 CTQ524297:CTT524297 DDM524297:DDP524297 DNI524297:DNL524297 DXE524297:DXH524297 EHA524297:EHD524297 EQW524297:EQZ524297 FAS524297:FAV524297 FKO524297:FKR524297 FUK524297:FUN524297 GEG524297:GEJ524297 GOC524297:GOF524297 GXY524297:GYB524297 HHU524297:HHX524297 HRQ524297:HRT524297 IBM524297:IBP524297 ILI524297:ILL524297 IVE524297:IVH524297 JFA524297:JFD524297 JOW524297:JOZ524297 JYS524297:JYV524297 KIO524297:KIR524297 KSK524297:KSN524297 LCG524297:LCJ524297 LMC524297:LMF524297 LVY524297:LWB524297 MFU524297:MFX524297 MPQ524297:MPT524297 MZM524297:MZP524297 NJI524297:NJL524297 NTE524297:NTH524297 ODA524297:ODD524297 OMW524297:OMZ524297 OWS524297:OWV524297 PGO524297:PGR524297 PQK524297:PQN524297 QAG524297:QAJ524297 QKC524297:QKF524297 QTY524297:QUB524297 RDU524297:RDX524297 RNQ524297:RNT524297 RXM524297:RXP524297 SHI524297:SHL524297 SRE524297:SRH524297 TBA524297:TBD524297 TKW524297:TKZ524297 TUS524297:TUV524297 UEO524297:UER524297 UOK524297:UON524297 UYG524297:UYJ524297 VIC524297:VIF524297 VRY524297:VSB524297 WBU524297:WBX524297 WLQ524297:WLT524297 WVM524297:WVP524297 E589833:H589833 JA589833:JD589833 SW589833:SZ589833 ACS589833:ACV589833 AMO589833:AMR589833 AWK589833:AWN589833 BGG589833:BGJ589833 BQC589833:BQF589833 BZY589833:CAB589833 CJU589833:CJX589833 CTQ589833:CTT589833 DDM589833:DDP589833 DNI589833:DNL589833 DXE589833:DXH589833 EHA589833:EHD589833 EQW589833:EQZ589833 FAS589833:FAV589833 FKO589833:FKR589833 FUK589833:FUN589833 GEG589833:GEJ589833 GOC589833:GOF589833 GXY589833:GYB589833 HHU589833:HHX589833 HRQ589833:HRT589833 IBM589833:IBP589833 ILI589833:ILL589833 IVE589833:IVH589833 JFA589833:JFD589833 JOW589833:JOZ589833 JYS589833:JYV589833 KIO589833:KIR589833 KSK589833:KSN589833 LCG589833:LCJ589833 LMC589833:LMF589833 LVY589833:LWB589833 MFU589833:MFX589833 MPQ589833:MPT589833 MZM589833:MZP589833 NJI589833:NJL589833 NTE589833:NTH589833 ODA589833:ODD589833 OMW589833:OMZ589833 OWS589833:OWV589833 PGO589833:PGR589833 PQK589833:PQN589833 QAG589833:QAJ589833 QKC589833:QKF589833 QTY589833:QUB589833 RDU589833:RDX589833 RNQ589833:RNT589833 RXM589833:RXP589833 SHI589833:SHL589833 SRE589833:SRH589833 TBA589833:TBD589833 TKW589833:TKZ589833 TUS589833:TUV589833 UEO589833:UER589833 UOK589833:UON589833 UYG589833:UYJ589833 VIC589833:VIF589833 VRY589833:VSB589833 WBU589833:WBX589833 WLQ589833:WLT589833 WVM589833:WVP589833 E655369:H655369 JA655369:JD655369 SW655369:SZ655369 ACS655369:ACV655369 AMO655369:AMR655369 AWK655369:AWN655369 BGG655369:BGJ655369 BQC655369:BQF655369 BZY655369:CAB655369 CJU655369:CJX655369 CTQ655369:CTT655369 DDM655369:DDP655369 DNI655369:DNL655369 DXE655369:DXH655369 EHA655369:EHD655369 EQW655369:EQZ655369 FAS655369:FAV655369 FKO655369:FKR655369 FUK655369:FUN655369 GEG655369:GEJ655369 GOC655369:GOF655369 GXY655369:GYB655369 HHU655369:HHX655369 HRQ655369:HRT655369 IBM655369:IBP655369 ILI655369:ILL655369 IVE655369:IVH655369 JFA655369:JFD655369 JOW655369:JOZ655369 JYS655369:JYV655369 KIO655369:KIR655369 KSK655369:KSN655369 LCG655369:LCJ655369 LMC655369:LMF655369 LVY655369:LWB655369 MFU655369:MFX655369 MPQ655369:MPT655369 MZM655369:MZP655369 NJI655369:NJL655369 NTE655369:NTH655369 ODA655369:ODD655369 OMW655369:OMZ655369 OWS655369:OWV655369 PGO655369:PGR655369 PQK655369:PQN655369 QAG655369:QAJ655369 QKC655369:QKF655369 QTY655369:QUB655369 RDU655369:RDX655369 RNQ655369:RNT655369 RXM655369:RXP655369 SHI655369:SHL655369 SRE655369:SRH655369 TBA655369:TBD655369 TKW655369:TKZ655369 TUS655369:TUV655369 UEO655369:UER655369 UOK655369:UON655369 UYG655369:UYJ655369 VIC655369:VIF655369 VRY655369:VSB655369 WBU655369:WBX655369 WLQ655369:WLT655369 WVM655369:WVP655369 E720905:H720905 JA720905:JD720905 SW720905:SZ720905 ACS720905:ACV720905 AMO720905:AMR720905 AWK720905:AWN720905 BGG720905:BGJ720905 BQC720905:BQF720905 BZY720905:CAB720905 CJU720905:CJX720905 CTQ720905:CTT720905 DDM720905:DDP720905 DNI720905:DNL720905 DXE720905:DXH720905 EHA720905:EHD720905 EQW720905:EQZ720905 FAS720905:FAV720905 FKO720905:FKR720905 FUK720905:FUN720905 GEG720905:GEJ720905 GOC720905:GOF720905 GXY720905:GYB720905 HHU720905:HHX720905 HRQ720905:HRT720905 IBM720905:IBP720905 ILI720905:ILL720905 IVE720905:IVH720905 JFA720905:JFD720905 JOW720905:JOZ720905 JYS720905:JYV720905 KIO720905:KIR720905 KSK720905:KSN720905 LCG720905:LCJ720905 LMC720905:LMF720905 LVY720905:LWB720905 MFU720905:MFX720905 MPQ720905:MPT720905 MZM720905:MZP720905 NJI720905:NJL720905 NTE720905:NTH720905 ODA720905:ODD720905 OMW720905:OMZ720905 OWS720905:OWV720905 PGO720905:PGR720905 PQK720905:PQN720905 QAG720905:QAJ720905 QKC720905:QKF720905 QTY720905:QUB720905 RDU720905:RDX720905 RNQ720905:RNT720905 RXM720905:RXP720905 SHI720905:SHL720905 SRE720905:SRH720905 TBA720905:TBD720905 TKW720905:TKZ720905 TUS720905:TUV720905 UEO720905:UER720905 UOK720905:UON720905 UYG720905:UYJ720905 VIC720905:VIF720905 VRY720905:VSB720905 WBU720905:WBX720905 WLQ720905:WLT720905 WVM720905:WVP720905 E786441:H786441 JA786441:JD786441 SW786441:SZ786441 ACS786441:ACV786441 AMO786441:AMR786441 AWK786441:AWN786441 BGG786441:BGJ786441 BQC786441:BQF786441 BZY786441:CAB786441 CJU786441:CJX786441 CTQ786441:CTT786441 DDM786441:DDP786441 DNI786441:DNL786441 DXE786441:DXH786441 EHA786441:EHD786441 EQW786441:EQZ786441 FAS786441:FAV786441 FKO786441:FKR786441 FUK786441:FUN786441 GEG786441:GEJ786441 GOC786441:GOF786441 GXY786441:GYB786441 HHU786441:HHX786441 HRQ786441:HRT786441 IBM786441:IBP786441 ILI786441:ILL786441 IVE786441:IVH786441 JFA786441:JFD786441 JOW786441:JOZ786441 JYS786441:JYV786441 KIO786441:KIR786441 KSK786441:KSN786441 LCG786441:LCJ786441 LMC786441:LMF786441 LVY786441:LWB786441 MFU786441:MFX786441 MPQ786441:MPT786441 MZM786441:MZP786441 NJI786441:NJL786441 NTE786441:NTH786441 ODA786441:ODD786441 OMW786441:OMZ786441 OWS786441:OWV786441 PGO786441:PGR786441 PQK786441:PQN786441 QAG786441:QAJ786441 QKC786441:QKF786441 QTY786441:QUB786441 RDU786441:RDX786441 RNQ786441:RNT786441 RXM786441:RXP786441 SHI786441:SHL786441 SRE786441:SRH786441 TBA786441:TBD786441 TKW786441:TKZ786441 TUS786441:TUV786441 UEO786441:UER786441 UOK786441:UON786441 UYG786441:UYJ786441 VIC786441:VIF786441 VRY786441:VSB786441 WBU786441:WBX786441 WLQ786441:WLT786441 WVM786441:WVP786441 E851977:H851977 JA851977:JD851977 SW851977:SZ851977 ACS851977:ACV851977 AMO851977:AMR851977 AWK851977:AWN851977 BGG851977:BGJ851977 BQC851977:BQF851977 BZY851977:CAB851977 CJU851977:CJX851977 CTQ851977:CTT851977 DDM851977:DDP851977 DNI851977:DNL851977 DXE851977:DXH851977 EHA851977:EHD851977 EQW851977:EQZ851977 FAS851977:FAV851977 FKO851977:FKR851977 FUK851977:FUN851977 GEG851977:GEJ851977 GOC851977:GOF851977 GXY851977:GYB851977 HHU851977:HHX851977 HRQ851977:HRT851977 IBM851977:IBP851977 ILI851977:ILL851977 IVE851977:IVH851977 JFA851977:JFD851977 JOW851977:JOZ851977 JYS851977:JYV851977 KIO851977:KIR851977 KSK851977:KSN851977 LCG851977:LCJ851977 LMC851977:LMF851977 LVY851977:LWB851977 MFU851977:MFX851977 MPQ851977:MPT851977 MZM851977:MZP851977 NJI851977:NJL851977 NTE851977:NTH851977 ODA851977:ODD851977 OMW851977:OMZ851977 OWS851977:OWV851977 PGO851977:PGR851977 PQK851977:PQN851977 QAG851977:QAJ851977 QKC851977:QKF851977 QTY851977:QUB851977 RDU851977:RDX851977 RNQ851977:RNT851977 RXM851977:RXP851977 SHI851977:SHL851977 SRE851977:SRH851977 TBA851977:TBD851977 TKW851977:TKZ851977 TUS851977:TUV851977 UEO851977:UER851977 UOK851977:UON851977 UYG851977:UYJ851977 VIC851977:VIF851977 VRY851977:VSB851977 WBU851977:WBX851977 WLQ851977:WLT851977 WVM851977:WVP851977 E917513:H917513 JA917513:JD917513 SW917513:SZ917513 ACS917513:ACV917513 AMO917513:AMR917513 AWK917513:AWN917513 BGG917513:BGJ917513 BQC917513:BQF917513 BZY917513:CAB917513 CJU917513:CJX917513 CTQ917513:CTT917513 DDM917513:DDP917513 DNI917513:DNL917513 DXE917513:DXH917513 EHA917513:EHD917513 EQW917513:EQZ917513 FAS917513:FAV917513 FKO917513:FKR917513 FUK917513:FUN917513 GEG917513:GEJ917513 GOC917513:GOF917513 GXY917513:GYB917513 HHU917513:HHX917513 HRQ917513:HRT917513 IBM917513:IBP917513 ILI917513:ILL917513 IVE917513:IVH917513 JFA917513:JFD917513 JOW917513:JOZ917513 JYS917513:JYV917513 KIO917513:KIR917513 KSK917513:KSN917513 LCG917513:LCJ917513 LMC917513:LMF917513 LVY917513:LWB917513 MFU917513:MFX917513 MPQ917513:MPT917513 MZM917513:MZP917513 NJI917513:NJL917513 NTE917513:NTH917513 ODA917513:ODD917513 OMW917513:OMZ917513 OWS917513:OWV917513 PGO917513:PGR917513 PQK917513:PQN917513 QAG917513:QAJ917513 QKC917513:QKF917513 QTY917513:QUB917513 RDU917513:RDX917513 RNQ917513:RNT917513 RXM917513:RXP917513 SHI917513:SHL917513 SRE917513:SRH917513 TBA917513:TBD917513 TKW917513:TKZ917513 TUS917513:TUV917513 UEO917513:UER917513 UOK917513:UON917513 UYG917513:UYJ917513 VIC917513:VIF917513 VRY917513:VSB917513 WBU917513:WBX917513 WLQ917513:WLT917513 WVM917513:WVP917513 E983049:H983049 JA983049:JD983049 SW983049:SZ983049 ACS983049:ACV983049 AMO983049:AMR983049 AWK983049:AWN983049 BGG983049:BGJ983049 BQC983049:BQF983049 BZY983049:CAB983049 CJU983049:CJX983049 CTQ983049:CTT983049 DDM983049:DDP983049 DNI983049:DNL983049 DXE983049:DXH983049 EHA983049:EHD983049 EQW983049:EQZ983049 FAS983049:FAV983049 FKO983049:FKR983049 FUK983049:FUN983049 GEG983049:GEJ983049 GOC983049:GOF983049 GXY983049:GYB983049 HHU983049:HHX983049 HRQ983049:HRT983049 IBM983049:IBP983049 ILI983049:ILL983049 IVE983049:IVH983049 JFA983049:JFD983049 JOW983049:JOZ983049 JYS983049:JYV983049 KIO983049:KIR983049 KSK983049:KSN983049 LCG983049:LCJ983049 LMC983049:LMF983049 LVY983049:LWB983049 MFU983049:MFX983049 MPQ983049:MPT983049 MZM983049:MZP983049 NJI983049:NJL983049 NTE983049:NTH983049 ODA983049:ODD983049 OMW983049:OMZ983049 OWS983049:OWV983049 PGO983049:PGR983049 PQK983049:PQN983049 QAG983049:QAJ983049 QKC983049:QKF983049 QTY983049:QUB983049 RDU983049:RDX983049 RNQ983049:RNT983049 RXM983049:RXP983049 SHI983049:SHL983049 SRE983049:SRH983049 TBA983049:TBD983049 TKW983049:TKZ983049 TUS983049:TUV983049 UEO983049:UER983049 UOK983049:UON983049 UYG983049:UYJ983049 VIC983049:VIF983049 VRY983049:VSB983049 WBU983049:WBX983049 WLQ983049:WLT983049 WVM983049:WVP983049 E65539:H65539 JA65539:JD65539 SW65539:SZ65539 ACS65539:ACV65539 AMO65539:AMR65539 AWK65539:AWN65539 BGG65539:BGJ65539 BQC65539:BQF65539 BZY65539:CAB65539 CJU65539:CJX65539 CTQ65539:CTT65539 DDM65539:DDP65539 DNI65539:DNL65539 DXE65539:DXH65539 EHA65539:EHD65539 EQW65539:EQZ65539 FAS65539:FAV65539 FKO65539:FKR65539 FUK65539:FUN65539 GEG65539:GEJ65539 GOC65539:GOF65539 GXY65539:GYB65539 HHU65539:HHX65539 HRQ65539:HRT65539 IBM65539:IBP65539 ILI65539:ILL65539 IVE65539:IVH65539 JFA65539:JFD65539 JOW65539:JOZ65539 JYS65539:JYV65539 KIO65539:KIR65539 KSK65539:KSN65539 LCG65539:LCJ65539 LMC65539:LMF65539 LVY65539:LWB65539 MFU65539:MFX65539 MPQ65539:MPT65539 MZM65539:MZP65539 NJI65539:NJL65539 NTE65539:NTH65539 ODA65539:ODD65539 OMW65539:OMZ65539 OWS65539:OWV65539 PGO65539:PGR65539 PQK65539:PQN65539 QAG65539:QAJ65539 QKC65539:QKF65539 QTY65539:QUB65539 RDU65539:RDX65539 RNQ65539:RNT65539 RXM65539:RXP65539 SHI65539:SHL65539 SRE65539:SRH65539 TBA65539:TBD65539 TKW65539:TKZ65539 TUS65539:TUV65539 UEO65539:UER65539 UOK65539:UON65539 UYG65539:UYJ65539 VIC65539:VIF65539 VRY65539:VSB65539 WBU65539:WBX65539 WLQ65539:WLT65539 WVM65539:WVP65539 E131075:H131075 JA131075:JD131075 SW131075:SZ131075 ACS131075:ACV131075 AMO131075:AMR131075 AWK131075:AWN131075 BGG131075:BGJ131075 BQC131075:BQF131075 BZY131075:CAB131075 CJU131075:CJX131075 CTQ131075:CTT131075 DDM131075:DDP131075 DNI131075:DNL131075 DXE131075:DXH131075 EHA131075:EHD131075 EQW131075:EQZ131075 FAS131075:FAV131075 FKO131075:FKR131075 FUK131075:FUN131075 GEG131075:GEJ131075 GOC131075:GOF131075 GXY131075:GYB131075 HHU131075:HHX131075 HRQ131075:HRT131075 IBM131075:IBP131075 ILI131075:ILL131075 IVE131075:IVH131075 JFA131075:JFD131075 JOW131075:JOZ131075 JYS131075:JYV131075 KIO131075:KIR131075 KSK131075:KSN131075 LCG131075:LCJ131075 LMC131075:LMF131075 LVY131075:LWB131075 MFU131075:MFX131075 MPQ131075:MPT131075 MZM131075:MZP131075 NJI131075:NJL131075 NTE131075:NTH131075 ODA131075:ODD131075 OMW131075:OMZ131075 OWS131075:OWV131075 PGO131075:PGR131075 PQK131075:PQN131075 QAG131075:QAJ131075 QKC131075:QKF131075 QTY131075:QUB131075 RDU131075:RDX131075 RNQ131075:RNT131075 RXM131075:RXP131075 SHI131075:SHL131075 SRE131075:SRH131075 TBA131075:TBD131075 TKW131075:TKZ131075 TUS131075:TUV131075 UEO131075:UER131075 UOK131075:UON131075 UYG131075:UYJ131075 VIC131075:VIF131075 VRY131075:VSB131075 WBU131075:WBX131075 WLQ131075:WLT131075 WVM131075:WVP131075 E196611:H196611 JA196611:JD196611 SW196611:SZ196611 ACS196611:ACV196611 AMO196611:AMR196611 AWK196611:AWN196611 BGG196611:BGJ196611 BQC196611:BQF196611 BZY196611:CAB196611 CJU196611:CJX196611 CTQ196611:CTT196611 DDM196611:DDP196611 DNI196611:DNL196611 DXE196611:DXH196611 EHA196611:EHD196611 EQW196611:EQZ196611 FAS196611:FAV196611 FKO196611:FKR196611 FUK196611:FUN196611 GEG196611:GEJ196611 GOC196611:GOF196611 GXY196611:GYB196611 HHU196611:HHX196611 HRQ196611:HRT196611 IBM196611:IBP196611 ILI196611:ILL196611 IVE196611:IVH196611 JFA196611:JFD196611 JOW196611:JOZ196611 JYS196611:JYV196611 KIO196611:KIR196611 KSK196611:KSN196611 LCG196611:LCJ196611 LMC196611:LMF196611 LVY196611:LWB196611 MFU196611:MFX196611 MPQ196611:MPT196611 MZM196611:MZP196611 NJI196611:NJL196611 NTE196611:NTH196611 ODA196611:ODD196611 OMW196611:OMZ196611 OWS196611:OWV196611 PGO196611:PGR196611 PQK196611:PQN196611 QAG196611:QAJ196611 QKC196611:QKF196611 QTY196611:QUB196611 RDU196611:RDX196611 RNQ196611:RNT196611 RXM196611:RXP196611 SHI196611:SHL196611 SRE196611:SRH196611 TBA196611:TBD196611 TKW196611:TKZ196611 TUS196611:TUV196611 UEO196611:UER196611 UOK196611:UON196611 UYG196611:UYJ196611 VIC196611:VIF196611 VRY196611:VSB196611 WBU196611:WBX196611 WLQ196611:WLT196611 WVM196611:WVP196611 E262147:H262147 JA262147:JD262147 SW262147:SZ262147 ACS262147:ACV262147 AMO262147:AMR262147 AWK262147:AWN262147 BGG262147:BGJ262147 BQC262147:BQF262147 BZY262147:CAB262147 CJU262147:CJX262147 CTQ262147:CTT262147 DDM262147:DDP262147 DNI262147:DNL262147 DXE262147:DXH262147 EHA262147:EHD262147 EQW262147:EQZ262147 FAS262147:FAV262147 FKO262147:FKR262147 FUK262147:FUN262147 GEG262147:GEJ262147 GOC262147:GOF262147 GXY262147:GYB262147 HHU262147:HHX262147 HRQ262147:HRT262147 IBM262147:IBP262147 ILI262147:ILL262147 IVE262147:IVH262147 JFA262147:JFD262147 JOW262147:JOZ262147 JYS262147:JYV262147 KIO262147:KIR262147 KSK262147:KSN262147 LCG262147:LCJ262147 LMC262147:LMF262147 LVY262147:LWB262147 MFU262147:MFX262147 MPQ262147:MPT262147 MZM262147:MZP262147 NJI262147:NJL262147 NTE262147:NTH262147 ODA262147:ODD262147 OMW262147:OMZ262147 OWS262147:OWV262147 PGO262147:PGR262147 PQK262147:PQN262147 QAG262147:QAJ262147 QKC262147:QKF262147 QTY262147:QUB262147 RDU262147:RDX262147 RNQ262147:RNT262147 RXM262147:RXP262147 SHI262147:SHL262147 SRE262147:SRH262147 TBA262147:TBD262147 TKW262147:TKZ262147 TUS262147:TUV262147 UEO262147:UER262147 UOK262147:UON262147 UYG262147:UYJ262147 VIC262147:VIF262147 VRY262147:VSB262147 WBU262147:WBX262147 WLQ262147:WLT262147 WVM262147:WVP262147 E327683:H327683 JA327683:JD327683 SW327683:SZ327683 ACS327683:ACV327683 AMO327683:AMR327683 AWK327683:AWN327683 BGG327683:BGJ327683 BQC327683:BQF327683 BZY327683:CAB327683 CJU327683:CJX327683 CTQ327683:CTT327683 DDM327683:DDP327683 DNI327683:DNL327683 DXE327683:DXH327683 EHA327683:EHD327683 EQW327683:EQZ327683 FAS327683:FAV327683 FKO327683:FKR327683 FUK327683:FUN327683 GEG327683:GEJ327683 GOC327683:GOF327683 GXY327683:GYB327683 HHU327683:HHX327683 HRQ327683:HRT327683 IBM327683:IBP327683 ILI327683:ILL327683 IVE327683:IVH327683 JFA327683:JFD327683 JOW327683:JOZ327683 JYS327683:JYV327683 KIO327683:KIR327683 KSK327683:KSN327683 LCG327683:LCJ327683 LMC327683:LMF327683 LVY327683:LWB327683 MFU327683:MFX327683 MPQ327683:MPT327683 MZM327683:MZP327683 NJI327683:NJL327683 NTE327683:NTH327683 ODA327683:ODD327683 OMW327683:OMZ327683 OWS327683:OWV327683 PGO327683:PGR327683 PQK327683:PQN327683 QAG327683:QAJ327683 QKC327683:QKF327683 QTY327683:QUB327683 RDU327683:RDX327683 RNQ327683:RNT327683 RXM327683:RXP327683 SHI327683:SHL327683 SRE327683:SRH327683 TBA327683:TBD327683 TKW327683:TKZ327683 TUS327683:TUV327683 UEO327683:UER327683 UOK327683:UON327683 UYG327683:UYJ327683 VIC327683:VIF327683 VRY327683:VSB327683 WBU327683:WBX327683 WLQ327683:WLT327683 WVM327683:WVP327683 E393219:H393219 JA393219:JD393219 SW393219:SZ393219 ACS393219:ACV393219 AMO393219:AMR393219 AWK393219:AWN393219 BGG393219:BGJ393219 BQC393219:BQF393219 BZY393219:CAB393219 CJU393219:CJX393219 CTQ393219:CTT393219 DDM393219:DDP393219 DNI393219:DNL393219 DXE393219:DXH393219 EHA393219:EHD393219 EQW393219:EQZ393219 FAS393219:FAV393219 FKO393219:FKR393219 FUK393219:FUN393219 GEG393219:GEJ393219 GOC393219:GOF393219 GXY393219:GYB393219 HHU393219:HHX393219 HRQ393219:HRT393219 IBM393219:IBP393219 ILI393219:ILL393219 IVE393219:IVH393219 JFA393219:JFD393219 JOW393219:JOZ393219 JYS393219:JYV393219 KIO393219:KIR393219 KSK393219:KSN393219 LCG393219:LCJ393219 LMC393219:LMF393219 LVY393219:LWB393219 MFU393219:MFX393219 MPQ393219:MPT393219 MZM393219:MZP393219 NJI393219:NJL393219 NTE393219:NTH393219 ODA393219:ODD393219 OMW393219:OMZ393219 OWS393219:OWV393219 PGO393219:PGR393219 PQK393219:PQN393219 QAG393219:QAJ393219 QKC393219:QKF393219 QTY393219:QUB393219 RDU393219:RDX393219 RNQ393219:RNT393219 RXM393219:RXP393219 SHI393219:SHL393219 SRE393219:SRH393219 TBA393219:TBD393219 TKW393219:TKZ393219 TUS393219:TUV393219 UEO393219:UER393219 UOK393219:UON393219 UYG393219:UYJ393219 VIC393219:VIF393219 VRY393219:VSB393219 WBU393219:WBX393219 WLQ393219:WLT393219 WVM393219:WVP393219 E458755:H458755 JA458755:JD458755 SW458755:SZ458755 ACS458755:ACV458755 AMO458755:AMR458755 AWK458755:AWN458755 BGG458755:BGJ458755 BQC458755:BQF458755 BZY458755:CAB458755 CJU458755:CJX458755 CTQ458755:CTT458755 DDM458755:DDP458755 DNI458755:DNL458755 DXE458755:DXH458755 EHA458755:EHD458755 EQW458755:EQZ458755 FAS458755:FAV458755 FKO458755:FKR458755 FUK458755:FUN458755 GEG458755:GEJ458755 GOC458755:GOF458755 GXY458755:GYB458755 HHU458755:HHX458755 HRQ458755:HRT458755 IBM458755:IBP458755 ILI458755:ILL458755 IVE458755:IVH458755 JFA458755:JFD458755 JOW458755:JOZ458755 JYS458755:JYV458755 KIO458755:KIR458755 KSK458755:KSN458755 LCG458755:LCJ458755 LMC458755:LMF458755 LVY458755:LWB458755 MFU458755:MFX458755 MPQ458755:MPT458755 MZM458755:MZP458755 NJI458755:NJL458755 NTE458755:NTH458755 ODA458755:ODD458755 OMW458755:OMZ458755 OWS458755:OWV458755 PGO458755:PGR458755 PQK458755:PQN458755 QAG458755:QAJ458755 QKC458755:QKF458755 QTY458755:QUB458755 RDU458755:RDX458755 RNQ458755:RNT458755 RXM458755:RXP458755 SHI458755:SHL458755 SRE458755:SRH458755 TBA458755:TBD458755 TKW458755:TKZ458755 TUS458755:TUV458755 UEO458755:UER458755 UOK458755:UON458755 UYG458755:UYJ458755 VIC458755:VIF458755 VRY458755:VSB458755 WBU458755:WBX458755 WLQ458755:WLT458755 WVM458755:WVP458755 E524291:H524291 JA524291:JD524291 SW524291:SZ524291 ACS524291:ACV524291 AMO524291:AMR524291 AWK524291:AWN524291 BGG524291:BGJ524291 BQC524291:BQF524291 BZY524291:CAB524291 CJU524291:CJX524291 CTQ524291:CTT524291 DDM524291:DDP524291 DNI524291:DNL524291 DXE524291:DXH524291 EHA524291:EHD524291 EQW524291:EQZ524291 FAS524291:FAV524291 FKO524291:FKR524291 FUK524291:FUN524291 GEG524291:GEJ524291 GOC524291:GOF524291 GXY524291:GYB524291 HHU524291:HHX524291 HRQ524291:HRT524291 IBM524291:IBP524291 ILI524291:ILL524291 IVE524291:IVH524291 JFA524291:JFD524291 JOW524291:JOZ524291 JYS524291:JYV524291 KIO524291:KIR524291 KSK524291:KSN524291 LCG524291:LCJ524291 LMC524291:LMF524291 LVY524291:LWB524291 MFU524291:MFX524291 MPQ524291:MPT524291 MZM524291:MZP524291 NJI524291:NJL524291 NTE524291:NTH524291 ODA524291:ODD524291 OMW524291:OMZ524291 OWS524291:OWV524291 PGO524291:PGR524291 PQK524291:PQN524291 QAG524291:QAJ524291 QKC524291:QKF524291 QTY524291:QUB524291 RDU524291:RDX524291 RNQ524291:RNT524291 RXM524291:RXP524291 SHI524291:SHL524291 SRE524291:SRH524291 TBA524291:TBD524291 TKW524291:TKZ524291 TUS524291:TUV524291 UEO524291:UER524291 UOK524291:UON524291 UYG524291:UYJ524291 VIC524291:VIF524291 VRY524291:VSB524291 WBU524291:WBX524291 WLQ524291:WLT524291 WVM524291:WVP524291 E589827:H589827 JA589827:JD589827 SW589827:SZ589827 ACS589827:ACV589827 AMO589827:AMR589827 AWK589827:AWN589827 BGG589827:BGJ589827 BQC589827:BQF589827 BZY589827:CAB589827 CJU589827:CJX589827 CTQ589827:CTT589827 DDM589827:DDP589827 DNI589827:DNL589827 DXE589827:DXH589827 EHA589827:EHD589827 EQW589827:EQZ589827 FAS589827:FAV589827 FKO589827:FKR589827 FUK589827:FUN589827 GEG589827:GEJ589827 GOC589827:GOF589827 GXY589827:GYB589827 HHU589827:HHX589827 HRQ589827:HRT589827 IBM589827:IBP589827 ILI589827:ILL589827 IVE589827:IVH589827 JFA589827:JFD589827 JOW589827:JOZ589827 JYS589827:JYV589827 KIO589827:KIR589827 KSK589827:KSN589827 LCG589827:LCJ589827 LMC589827:LMF589827 LVY589827:LWB589827 MFU589827:MFX589827 MPQ589827:MPT589827 MZM589827:MZP589827 NJI589827:NJL589827 NTE589827:NTH589827 ODA589827:ODD589827 OMW589827:OMZ589827 OWS589827:OWV589827 PGO589827:PGR589827 PQK589827:PQN589827 QAG589827:QAJ589827 QKC589827:QKF589827 QTY589827:QUB589827 RDU589827:RDX589827 RNQ589827:RNT589827 RXM589827:RXP589827 SHI589827:SHL589827 SRE589827:SRH589827 TBA589827:TBD589827 TKW589827:TKZ589827 TUS589827:TUV589827 UEO589827:UER589827 UOK589827:UON589827 UYG589827:UYJ589827 VIC589827:VIF589827 VRY589827:VSB589827 WBU589827:WBX589827 WLQ589827:WLT589827 WVM589827:WVP589827 E655363:H655363 JA655363:JD655363 SW655363:SZ655363 ACS655363:ACV655363 AMO655363:AMR655363 AWK655363:AWN655363 BGG655363:BGJ655363 BQC655363:BQF655363 BZY655363:CAB655363 CJU655363:CJX655363 CTQ655363:CTT655363 DDM655363:DDP655363 DNI655363:DNL655363 DXE655363:DXH655363 EHA655363:EHD655363 EQW655363:EQZ655363 FAS655363:FAV655363 FKO655363:FKR655363 FUK655363:FUN655363 GEG655363:GEJ655363 GOC655363:GOF655363 GXY655363:GYB655363 HHU655363:HHX655363 HRQ655363:HRT655363 IBM655363:IBP655363 ILI655363:ILL655363 IVE655363:IVH655363 JFA655363:JFD655363 JOW655363:JOZ655363 JYS655363:JYV655363 KIO655363:KIR655363 KSK655363:KSN655363 LCG655363:LCJ655363 LMC655363:LMF655363 LVY655363:LWB655363 MFU655363:MFX655363 MPQ655363:MPT655363 MZM655363:MZP655363 NJI655363:NJL655363 NTE655363:NTH655363 ODA655363:ODD655363 OMW655363:OMZ655363 OWS655363:OWV655363 PGO655363:PGR655363 PQK655363:PQN655363 QAG655363:QAJ655363 QKC655363:QKF655363 QTY655363:QUB655363 RDU655363:RDX655363 RNQ655363:RNT655363 RXM655363:RXP655363 SHI655363:SHL655363 SRE655363:SRH655363 TBA655363:TBD655363 TKW655363:TKZ655363 TUS655363:TUV655363 UEO655363:UER655363 UOK655363:UON655363 UYG655363:UYJ655363 VIC655363:VIF655363 VRY655363:VSB655363 WBU655363:WBX655363 WLQ655363:WLT655363 WVM655363:WVP655363 E720899:H720899 JA720899:JD720899 SW720899:SZ720899 ACS720899:ACV720899 AMO720899:AMR720899 AWK720899:AWN720899 BGG720899:BGJ720899 BQC720899:BQF720899 BZY720899:CAB720899 CJU720899:CJX720899 CTQ720899:CTT720899 DDM720899:DDP720899 DNI720899:DNL720899 DXE720899:DXH720899 EHA720899:EHD720899 EQW720899:EQZ720899 FAS720899:FAV720899 FKO720899:FKR720899 FUK720899:FUN720899 GEG720899:GEJ720899 GOC720899:GOF720899 GXY720899:GYB720899 HHU720899:HHX720899 HRQ720899:HRT720899 IBM720899:IBP720899 ILI720899:ILL720899 IVE720899:IVH720899 JFA720899:JFD720899 JOW720899:JOZ720899 JYS720899:JYV720899 KIO720899:KIR720899 KSK720899:KSN720899 LCG720899:LCJ720899 LMC720899:LMF720899 LVY720899:LWB720899 MFU720899:MFX720899 MPQ720899:MPT720899 MZM720899:MZP720899 NJI720899:NJL720899 NTE720899:NTH720899 ODA720899:ODD720899 OMW720899:OMZ720899 OWS720899:OWV720899 PGO720899:PGR720899 PQK720899:PQN720899 QAG720899:QAJ720899 QKC720899:QKF720899 QTY720899:QUB720899 RDU720899:RDX720899 RNQ720899:RNT720899 RXM720899:RXP720899 SHI720899:SHL720899 SRE720899:SRH720899 TBA720899:TBD720899 TKW720899:TKZ720899 TUS720899:TUV720899 UEO720899:UER720899 UOK720899:UON720899 UYG720899:UYJ720899 VIC720899:VIF720899 VRY720899:VSB720899 WBU720899:WBX720899 WLQ720899:WLT720899 WVM720899:WVP720899 E786435:H786435 JA786435:JD786435 SW786435:SZ786435 ACS786435:ACV786435 AMO786435:AMR786435 AWK786435:AWN786435 BGG786435:BGJ786435 BQC786435:BQF786435 BZY786435:CAB786435 CJU786435:CJX786435 CTQ786435:CTT786435 DDM786435:DDP786435 DNI786435:DNL786435 DXE786435:DXH786435 EHA786435:EHD786435 EQW786435:EQZ786435 FAS786435:FAV786435 FKO786435:FKR786435 FUK786435:FUN786435 GEG786435:GEJ786435 GOC786435:GOF786435 GXY786435:GYB786435 HHU786435:HHX786435 HRQ786435:HRT786435 IBM786435:IBP786435 ILI786435:ILL786435 IVE786435:IVH786435 JFA786435:JFD786435 JOW786435:JOZ786435 JYS786435:JYV786435 KIO786435:KIR786435 KSK786435:KSN786435 LCG786435:LCJ786435 LMC786435:LMF786435 LVY786435:LWB786435 MFU786435:MFX786435 MPQ786435:MPT786435 MZM786435:MZP786435 NJI786435:NJL786435 NTE786435:NTH786435 ODA786435:ODD786435 OMW786435:OMZ786435 OWS786435:OWV786435 PGO786435:PGR786435 PQK786435:PQN786435 QAG786435:QAJ786435 QKC786435:QKF786435 QTY786435:QUB786435 RDU786435:RDX786435 RNQ786435:RNT786435 RXM786435:RXP786435 SHI786435:SHL786435 SRE786435:SRH786435 TBA786435:TBD786435 TKW786435:TKZ786435 TUS786435:TUV786435 UEO786435:UER786435 UOK786435:UON786435 UYG786435:UYJ786435 VIC786435:VIF786435 VRY786435:VSB786435 WBU786435:WBX786435 WLQ786435:WLT786435 WVM786435:WVP786435 E851971:H851971 JA851971:JD851971 SW851971:SZ851971 ACS851971:ACV851971 AMO851971:AMR851971 AWK851971:AWN851971 BGG851971:BGJ851971 BQC851971:BQF851971 BZY851971:CAB851971 CJU851971:CJX851971 CTQ851971:CTT851971 DDM851971:DDP851971 DNI851971:DNL851971 DXE851971:DXH851971 EHA851971:EHD851971 EQW851971:EQZ851971 FAS851971:FAV851971 FKO851971:FKR851971 FUK851971:FUN851971 GEG851971:GEJ851971 GOC851971:GOF851971 GXY851971:GYB851971 HHU851971:HHX851971 HRQ851971:HRT851971 IBM851971:IBP851971 ILI851971:ILL851971 IVE851971:IVH851971 JFA851971:JFD851971 JOW851971:JOZ851971 JYS851971:JYV851971 KIO851971:KIR851971 KSK851971:KSN851971 LCG851971:LCJ851971 LMC851971:LMF851971 LVY851971:LWB851971 MFU851971:MFX851971 MPQ851971:MPT851971 MZM851971:MZP851971 NJI851971:NJL851971 NTE851971:NTH851971 ODA851971:ODD851971 OMW851971:OMZ851971 OWS851971:OWV851971 PGO851971:PGR851971 PQK851971:PQN851971 QAG851971:QAJ851971 QKC851971:QKF851971 QTY851971:QUB851971 RDU851971:RDX851971 RNQ851971:RNT851971 RXM851971:RXP851971 SHI851971:SHL851971 SRE851971:SRH851971 TBA851971:TBD851971 TKW851971:TKZ851971 TUS851971:TUV851971 UEO851971:UER851971 UOK851971:UON851971 UYG851971:UYJ851971 VIC851971:VIF851971 VRY851971:VSB851971 WBU851971:WBX851971 WLQ851971:WLT851971 WVM851971:WVP851971 E917507:H917507 JA917507:JD917507 SW917507:SZ917507 ACS917507:ACV917507 AMO917507:AMR917507 AWK917507:AWN917507 BGG917507:BGJ917507 BQC917507:BQF917507 BZY917507:CAB917507 CJU917507:CJX917507 CTQ917507:CTT917507 DDM917507:DDP917507 DNI917507:DNL917507 DXE917507:DXH917507 EHA917507:EHD917507 EQW917507:EQZ917507 FAS917507:FAV917507 FKO917507:FKR917507 FUK917507:FUN917507 GEG917507:GEJ917507 GOC917507:GOF917507 GXY917507:GYB917507 HHU917507:HHX917507 HRQ917507:HRT917507 IBM917507:IBP917507 ILI917507:ILL917507 IVE917507:IVH917507 JFA917507:JFD917507 JOW917507:JOZ917507 JYS917507:JYV917507 KIO917507:KIR917507 KSK917507:KSN917507 LCG917507:LCJ917507 LMC917507:LMF917507 LVY917507:LWB917507 MFU917507:MFX917507 MPQ917507:MPT917507 MZM917507:MZP917507 NJI917507:NJL917507 NTE917507:NTH917507 ODA917507:ODD917507 OMW917507:OMZ917507 OWS917507:OWV917507 PGO917507:PGR917507 PQK917507:PQN917507 QAG917507:QAJ917507 QKC917507:QKF917507 QTY917507:QUB917507 RDU917507:RDX917507 RNQ917507:RNT917507 RXM917507:RXP917507 SHI917507:SHL917507 SRE917507:SRH917507 TBA917507:TBD917507 TKW917507:TKZ917507 TUS917507:TUV917507 UEO917507:UER917507 UOK917507:UON917507 UYG917507:UYJ917507 VIC917507:VIF917507 VRY917507:VSB917507 WBU917507:WBX917507 WLQ917507:WLT917507 WVM917507:WVP917507 E983043:H983043 JA983043:JD983043 SW983043:SZ983043 ACS983043:ACV983043 AMO983043:AMR983043 AWK983043:AWN983043 BGG983043:BGJ983043 BQC983043:BQF983043 BZY983043:CAB983043 CJU983043:CJX983043 CTQ983043:CTT983043 DDM983043:DDP983043 DNI983043:DNL983043 DXE983043:DXH983043 EHA983043:EHD983043 EQW983043:EQZ983043 FAS983043:FAV983043 FKO983043:FKR983043 FUK983043:FUN983043 GEG983043:GEJ983043 GOC983043:GOF983043 GXY983043:GYB983043 HHU983043:HHX983043 HRQ983043:HRT983043 IBM983043:IBP983043 ILI983043:ILL983043 IVE983043:IVH983043 JFA983043:JFD983043 JOW983043:JOZ983043 JYS983043:JYV983043 KIO983043:KIR983043 KSK983043:KSN983043 LCG983043:LCJ983043 LMC983043:LMF983043 LVY983043:LWB983043 MFU983043:MFX983043 MPQ983043:MPT983043 MZM983043:MZP983043 NJI983043:NJL983043 NTE983043:NTH983043 ODA983043:ODD983043 OMW983043:OMZ983043 OWS983043:OWV983043 PGO983043:PGR983043 PQK983043:PQN983043 QAG983043:QAJ983043 QKC983043:QKF983043 QTY983043:QUB983043 RDU983043:RDX983043 RNQ983043:RNT983043 RXM983043:RXP983043 SHI983043:SHL983043 SRE983043:SRH983043 TBA983043:TBD983043 TKW983043:TKZ983043 TUS983043:TUV983043 UEO983043:UER983043 UOK983043:UON983043 UYG983043:UYJ983043 VIC983043:VIF983043 VRY983043:VSB983043 WBU983043:WBX983043 WLQ983043:WLT983043 WVM983043:WVP983043 K65511:K65516 JG65511:JG65516 TC65511:TC65516 ACY65511:ACY65516 AMU65511:AMU65516 AWQ65511:AWQ65516 BGM65511:BGM65516 BQI65511:BQI65516 CAE65511:CAE65516 CKA65511:CKA65516 CTW65511:CTW65516 DDS65511:DDS65516 DNO65511:DNO65516 DXK65511:DXK65516 EHG65511:EHG65516 ERC65511:ERC65516 FAY65511:FAY65516 FKU65511:FKU65516 FUQ65511:FUQ65516 GEM65511:GEM65516 GOI65511:GOI65516 GYE65511:GYE65516 HIA65511:HIA65516 HRW65511:HRW65516 IBS65511:IBS65516 ILO65511:ILO65516 IVK65511:IVK65516 JFG65511:JFG65516 JPC65511:JPC65516 JYY65511:JYY65516 KIU65511:KIU65516 KSQ65511:KSQ65516 LCM65511:LCM65516 LMI65511:LMI65516 LWE65511:LWE65516 MGA65511:MGA65516 MPW65511:MPW65516 MZS65511:MZS65516 NJO65511:NJO65516 NTK65511:NTK65516 ODG65511:ODG65516 ONC65511:ONC65516 OWY65511:OWY65516 PGU65511:PGU65516 PQQ65511:PQQ65516 QAM65511:QAM65516 QKI65511:QKI65516 QUE65511:QUE65516 REA65511:REA65516 RNW65511:RNW65516 RXS65511:RXS65516 SHO65511:SHO65516 SRK65511:SRK65516 TBG65511:TBG65516 TLC65511:TLC65516 TUY65511:TUY65516 UEU65511:UEU65516 UOQ65511:UOQ65516 UYM65511:UYM65516 VII65511:VII65516 VSE65511:VSE65516 WCA65511:WCA65516 WLW65511:WLW65516 WVS65511:WVS65516 K131047:K131052 JG131047:JG131052 TC131047:TC131052 ACY131047:ACY131052 AMU131047:AMU131052 AWQ131047:AWQ131052 BGM131047:BGM131052 BQI131047:BQI131052 CAE131047:CAE131052 CKA131047:CKA131052 CTW131047:CTW131052 DDS131047:DDS131052 DNO131047:DNO131052 DXK131047:DXK131052 EHG131047:EHG131052 ERC131047:ERC131052 FAY131047:FAY131052 FKU131047:FKU131052 FUQ131047:FUQ131052 GEM131047:GEM131052 GOI131047:GOI131052 GYE131047:GYE131052 HIA131047:HIA131052 HRW131047:HRW131052 IBS131047:IBS131052 ILO131047:ILO131052 IVK131047:IVK131052 JFG131047:JFG131052 JPC131047:JPC131052 JYY131047:JYY131052 KIU131047:KIU131052 KSQ131047:KSQ131052 LCM131047:LCM131052 LMI131047:LMI131052 LWE131047:LWE131052 MGA131047:MGA131052 MPW131047:MPW131052 MZS131047:MZS131052 NJO131047:NJO131052 NTK131047:NTK131052 ODG131047:ODG131052 ONC131047:ONC131052 OWY131047:OWY131052 PGU131047:PGU131052 PQQ131047:PQQ131052 QAM131047:QAM131052 QKI131047:QKI131052 QUE131047:QUE131052 REA131047:REA131052 RNW131047:RNW131052 RXS131047:RXS131052 SHO131047:SHO131052 SRK131047:SRK131052 TBG131047:TBG131052 TLC131047:TLC131052 TUY131047:TUY131052 UEU131047:UEU131052 UOQ131047:UOQ131052 UYM131047:UYM131052 VII131047:VII131052 VSE131047:VSE131052 WCA131047:WCA131052 WLW131047:WLW131052 WVS131047:WVS131052 K196583:K196588 JG196583:JG196588 TC196583:TC196588 ACY196583:ACY196588 AMU196583:AMU196588 AWQ196583:AWQ196588 BGM196583:BGM196588 BQI196583:BQI196588 CAE196583:CAE196588 CKA196583:CKA196588 CTW196583:CTW196588 DDS196583:DDS196588 DNO196583:DNO196588 DXK196583:DXK196588 EHG196583:EHG196588 ERC196583:ERC196588 FAY196583:FAY196588 FKU196583:FKU196588 FUQ196583:FUQ196588 GEM196583:GEM196588 GOI196583:GOI196588 GYE196583:GYE196588 HIA196583:HIA196588 HRW196583:HRW196588 IBS196583:IBS196588 ILO196583:ILO196588 IVK196583:IVK196588 JFG196583:JFG196588 JPC196583:JPC196588 JYY196583:JYY196588 KIU196583:KIU196588 KSQ196583:KSQ196588 LCM196583:LCM196588 LMI196583:LMI196588 LWE196583:LWE196588 MGA196583:MGA196588 MPW196583:MPW196588 MZS196583:MZS196588 NJO196583:NJO196588 NTK196583:NTK196588 ODG196583:ODG196588 ONC196583:ONC196588 OWY196583:OWY196588 PGU196583:PGU196588 PQQ196583:PQQ196588 QAM196583:QAM196588 QKI196583:QKI196588 QUE196583:QUE196588 REA196583:REA196588 RNW196583:RNW196588 RXS196583:RXS196588 SHO196583:SHO196588 SRK196583:SRK196588 TBG196583:TBG196588 TLC196583:TLC196588 TUY196583:TUY196588 UEU196583:UEU196588 UOQ196583:UOQ196588 UYM196583:UYM196588 VII196583:VII196588 VSE196583:VSE196588 WCA196583:WCA196588 WLW196583:WLW196588 WVS196583:WVS196588 K262119:K262124 JG262119:JG262124 TC262119:TC262124 ACY262119:ACY262124 AMU262119:AMU262124 AWQ262119:AWQ262124 BGM262119:BGM262124 BQI262119:BQI262124 CAE262119:CAE262124 CKA262119:CKA262124 CTW262119:CTW262124 DDS262119:DDS262124 DNO262119:DNO262124 DXK262119:DXK262124 EHG262119:EHG262124 ERC262119:ERC262124 FAY262119:FAY262124 FKU262119:FKU262124 FUQ262119:FUQ262124 GEM262119:GEM262124 GOI262119:GOI262124 GYE262119:GYE262124 HIA262119:HIA262124 HRW262119:HRW262124 IBS262119:IBS262124 ILO262119:ILO262124 IVK262119:IVK262124 JFG262119:JFG262124 JPC262119:JPC262124 JYY262119:JYY262124 KIU262119:KIU262124 KSQ262119:KSQ262124 LCM262119:LCM262124 LMI262119:LMI262124 LWE262119:LWE262124 MGA262119:MGA262124 MPW262119:MPW262124 MZS262119:MZS262124 NJO262119:NJO262124 NTK262119:NTK262124 ODG262119:ODG262124 ONC262119:ONC262124 OWY262119:OWY262124 PGU262119:PGU262124 PQQ262119:PQQ262124 QAM262119:QAM262124 QKI262119:QKI262124 QUE262119:QUE262124 REA262119:REA262124 RNW262119:RNW262124 RXS262119:RXS262124 SHO262119:SHO262124 SRK262119:SRK262124 TBG262119:TBG262124 TLC262119:TLC262124 TUY262119:TUY262124 UEU262119:UEU262124 UOQ262119:UOQ262124 UYM262119:UYM262124 VII262119:VII262124 VSE262119:VSE262124 WCA262119:WCA262124 WLW262119:WLW262124 WVS262119:WVS262124 K327655:K327660 JG327655:JG327660 TC327655:TC327660 ACY327655:ACY327660 AMU327655:AMU327660 AWQ327655:AWQ327660 BGM327655:BGM327660 BQI327655:BQI327660 CAE327655:CAE327660 CKA327655:CKA327660 CTW327655:CTW327660 DDS327655:DDS327660 DNO327655:DNO327660 DXK327655:DXK327660 EHG327655:EHG327660 ERC327655:ERC327660 FAY327655:FAY327660 FKU327655:FKU327660 FUQ327655:FUQ327660 GEM327655:GEM327660 GOI327655:GOI327660 GYE327655:GYE327660 HIA327655:HIA327660 HRW327655:HRW327660 IBS327655:IBS327660 ILO327655:ILO327660 IVK327655:IVK327660 JFG327655:JFG327660 JPC327655:JPC327660 JYY327655:JYY327660 KIU327655:KIU327660 KSQ327655:KSQ327660 LCM327655:LCM327660 LMI327655:LMI327660 LWE327655:LWE327660 MGA327655:MGA327660 MPW327655:MPW327660 MZS327655:MZS327660 NJO327655:NJO327660 NTK327655:NTK327660 ODG327655:ODG327660 ONC327655:ONC327660 OWY327655:OWY327660 PGU327655:PGU327660 PQQ327655:PQQ327660 QAM327655:QAM327660 QKI327655:QKI327660 QUE327655:QUE327660 REA327655:REA327660 RNW327655:RNW327660 RXS327655:RXS327660 SHO327655:SHO327660 SRK327655:SRK327660 TBG327655:TBG327660 TLC327655:TLC327660 TUY327655:TUY327660 UEU327655:UEU327660 UOQ327655:UOQ327660 UYM327655:UYM327660 VII327655:VII327660 VSE327655:VSE327660 WCA327655:WCA327660 WLW327655:WLW327660 WVS327655:WVS327660 K393191:K393196 JG393191:JG393196 TC393191:TC393196 ACY393191:ACY393196 AMU393191:AMU393196 AWQ393191:AWQ393196 BGM393191:BGM393196 BQI393191:BQI393196 CAE393191:CAE393196 CKA393191:CKA393196 CTW393191:CTW393196 DDS393191:DDS393196 DNO393191:DNO393196 DXK393191:DXK393196 EHG393191:EHG393196 ERC393191:ERC393196 FAY393191:FAY393196 FKU393191:FKU393196 FUQ393191:FUQ393196 GEM393191:GEM393196 GOI393191:GOI393196 GYE393191:GYE393196 HIA393191:HIA393196 HRW393191:HRW393196 IBS393191:IBS393196 ILO393191:ILO393196 IVK393191:IVK393196 JFG393191:JFG393196 JPC393191:JPC393196 JYY393191:JYY393196 KIU393191:KIU393196 KSQ393191:KSQ393196 LCM393191:LCM393196 LMI393191:LMI393196 LWE393191:LWE393196 MGA393191:MGA393196 MPW393191:MPW393196 MZS393191:MZS393196 NJO393191:NJO393196 NTK393191:NTK393196 ODG393191:ODG393196 ONC393191:ONC393196 OWY393191:OWY393196 PGU393191:PGU393196 PQQ393191:PQQ393196 QAM393191:QAM393196 QKI393191:QKI393196 QUE393191:QUE393196 REA393191:REA393196 RNW393191:RNW393196 RXS393191:RXS393196 SHO393191:SHO393196 SRK393191:SRK393196 TBG393191:TBG393196 TLC393191:TLC393196 TUY393191:TUY393196 UEU393191:UEU393196 UOQ393191:UOQ393196 UYM393191:UYM393196 VII393191:VII393196 VSE393191:VSE393196 WCA393191:WCA393196 WLW393191:WLW393196 WVS393191:WVS393196 K458727:K458732 JG458727:JG458732 TC458727:TC458732 ACY458727:ACY458732 AMU458727:AMU458732 AWQ458727:AWQ458732 BGM458727:BGM458732 BQI458727:BQI458732 CAE458727:CAE458732 CKA458727:CKA458732 CTW458727:CTW458732 DDS458727:DDS458732 DNO458727:DNO458732 DXK458727:DXK458732 EHG458727:EHG458732 ERC458727:ERC458732 FAY458727:FAY458732 FKU458727:FKU458732 FUQ458727:FUQ458732 GEM458727:GEM458732 GOI458727:GOI458732 GYE458727:GYE458732 HIA458727:HIA458732 HRW458727:HRW458732 IBS458727:IBS458732 ILO458727:ILO458732 IVK458727:IVK458732 JFG458727:JFG458732 JPC458727:JPC458732 JYY458727:JYY458732 KIU458727:KIU458732 KSQ458727:KSQ458732 LCM458727:LCM458732 LMI458727:LMI458732 LWE458727:LWE458732 MGA458727:MGA458732 MPW458727:MPW458732 MZS458727:MZS458732 NJO458727:NJO458732 NTK458727:NTK458732 ODG458727:ODG458732 ONC458727:ONC458732 OWY458727:OWY458732 PGU458727:PGU458732 PQQ458727:PQQ458732 QAM458727:QAM458732 QKI458727:QKI458732 QUE458727:QUE458732 REA458727:REA458732 RNW458727:RNW458732 RXS458727:RXS458732 SHO458727:SHO458732 SRK458727:SRK458732 TBG458727:TBG458732 TLC458727:TLC458732 TUY458727:TUY458732 UEU458727:UEU458732 UOQ458727:UOQ458732 UYM458727:UYM458732 VII458727:VII458732 VSE458727:VSE458732 WCA458727:WCA458732 WLW458727:WLW458732 WVS458727:WVS458732 K524263:K524268 JG524263:JG524268 TC524263:TC524268 ACY524263:ACY524268 AMU524263:AMU524268 AWQ524263:AWQ524268 BGM524263:BGM524268 BQI524263:BQI524268 CAE524263:CAE524268 CKA524263:CKA524268 CTW524263:CTW524268 DDS524263:DDS524268 DNO524263:DNO524268 DXK524263:DXK524268 EHG524263:EHG524268 ERC524263:ERC524268 FAY524263:FAY524268 FKU524263:FKU524268 FUQ524263:FUQ524268 GEM524263:GEM524268 GOI524263:GOI524268 GYE524263:GYE524268 HIA524263:HIA524268 HRW524263:HRW524268 IBS524263:IBS524268 ILO524263:ILO524268 IVK524263:IVK524268 JFG524263:JFG524268 JPC524263:JPC524268 JYY524263:JYY524268 KIU524263:KIU524268 KSQ524263:KSQ524268 LCM524263:LCM524268 LMI524263:LMI524268 LWE524263:LWE524268 MGA524263:MGA524268 MPW524263:MPW524268 MZS524263:MZS524268 NJO524263:NJO524268 NTK524263:NTK524268 ODG524263:ODG524268 ONC524263:ONC524268 OWY524263:OWY524268 PGU524263:PGU524268 PQQ524263:PQQ524268 QAM524263:QAM524268 QKI524263:QKI524268 QUE524263:QUE524268 REA524263:REA524268 RNW524263:RNW524268 RXS524263:RXS524268 SHO524263:SHO524268 SRK524263:SRK524268 TBG524263:TBG524268 TLC524263:TLC524268 TUY524263:TUY524268 UEU524263:UEU524268 UOQ524263:UOQ524268 UYM524263:UYM524268 VII524263:VII524268 VSE524263:VSE524268 WCA524263:WCA524268 WLW524263:WLW524268 WVS524263:WVS524268 K589799:K589804 JG589799:JG589804 TC589799:TC589804 ACY589799:ACY589804 AMU589799:AMU589804 AWQ589799:AWQ589804 BGM589799:BGM589804 BQI589799:BQI589804 CAE589799:CAE589804 CKA589799:CKA589804 CTW589799:CTW589804 DDS589799:DDS589804 DNO589799:DNO589804 DXK589799:DXK589804 EHG589799:EHG589804 ERC589799:ERC589804 FAY589799:FAY589804 FKU589799:FKU589804 FUQ589799:FUQ589804 GEM589799:GEM589804 GOI589799:GOI589804 GYE589799:GYE589804 HIA589799:HIA589804 HRW589799:HRW589804 IBS589799:IBS589804 ILO589799:ILO589804 IVK589799:IVK589804 JFG589799:JFG589804 JPC589799:JPC589804 JYY589799:JYY589804 KIU589799:KIU589804 KSQ589799:KSQ589804 LCM589799:LCM589804 LMI589799:LMI589804 LWE589799:LWE589804 MGA589799:MGA589804 MPW589799:MPW589804 MZS589799:MZS589804 NJO589799:NJO589804 NTK589799:NTK589804 ODG589799:ODG589804 ONC589799:ONC589804 OWY589799:OWY589804 PGU589799:PGU589804 PQQ589799:PQQ589804 QAM589799:QAM589804 QKI589799:QKI589804 QUE589799:QUE589804 REA589799:REA589804 RNW589799:RNW589804 RXS589799:RXS589804 SHO589799:SHO589804 SRK589799:SRK589804 TBG589799:TBG589804 TLC589799:TLC589804 TUY589799:TUY589804 UEU589799:UEU589804 UOQ589799:UOQ589804 UYM589799:UYM589804 VII589799:VII589804 VSE589799:VSE589804 WCA589799:WCA589804 WLW589799:WLW589804 WVS589799:WVS589804 K655335:K655340 JG655335:JG655340 TC655335:TC655340 ACY655335:ACY655340 AMU655335:AMU655340 AWQ655335:AWQ655340 BGM655335:BGM655340 BQI655335:BQI655340 CAE655335:CAE655340 CKA655335:CKA655340 CTW655335:CTW655340 DDS655335:DDS655340 DNO655335:DNO655340 DXK655335:DXK655340 EHG655335:EHG655340 ERC655335:ERC655340 FAY655335:FAY655340 FKU655335:FKU655340 FUQ655335:FUQ655340 GEM655335:GEM655340 GOI655335:GOI655340 GYE655335:GYE655340 HIA655335:HIA655340 HRW655335:HRW655340 IBS655335:IBS655340 ILO655335:ILO655340 IVK655335:IVK655340 JFG655335:JFG655340 JPC655335:JPC655340 JYY655335:JYY655340 KIU655335:KIU655340 KSQ655335:KSQ655340 LCM655335:LCM655340 LMI655335:LMI655340 LWE655335:LWE655340 MGA655335:MGA655340 MPW655335:MPW655340 MZS655335:MZS655340 NJO655335:NJO655340 NTK655335:NTK655340 ODG655335:ODG655340 ONC655335:ONC655340 OWY655335:OWY655340 PGU655335:PGU655340 PQQ655335:PQQ655340 QAM655335:QAM655340 QKI655335:QKI655340 QUE655335:QUE655340 REA655335:REA655340 RNW655335:RNW655340 RXS655335:RXS655340 SHO655335:SHO655340 SRK655335:SRK655340 TBG655335:TBG655340 TLC655335:TLC655340 TUY655335:TUY655340 UEU655335:UEU655340 UOQ655335:UOQ655340 UYM655335:UYM655340 VII655335:VII655340 VSE655335:VSE655340 WCA655335:WCA655340 WLW655335:WLW655340 WVS655335:WVS655340 K720871:K720876 JG720871:JG720876 TC720871:TC720876 ACY720871:ACY720876 AMU720871:AMU720876 AWQ720871:AWQ720876 BGM720871:BGM720876 BQI720871:BQI720876 CAE720871:CAE720876 CKA720871:CKA720876 CTW720871:CTW720876 DDS720871:DDS720876 DNO720871:DNO720876 DXK720871:DXK720876 EHG720871:EHG720876 ERC720871:ERC720876 FAY720871:FAY720876 FKU720871:FKU720876 FUQ720871:FUQ720876 GEM720871:GEM720876 GOI720871:GOI720876 GYE720871:GYE720876 HIA720871:HIA720876 HRW720871:HRW720876 IBS720871:IBS720876 ILO720871:ILO720876 IVK720871:IVK720876 JFG720871:JFG720876 JPC720871:JPC720876 JYY720871:JYY720876 KIU720871:KIU720876 KSQ720871:KSQ720876 LCM720871:LCM720876 LMI720871:LMI720876 LWE720871:LWE720876 MGA720871:MGA720876 MPW720871:MPW720876 MZS720871:MZS720876 NJO720871:NJO720876 NTK720871:NTK720876 ODG720871:ODG720876 ONC720871:ONC720876 OWY720871:OWY720876 PGU720871:PGU720876 PQQ720871:PQQ720876 QAM720871:QAM720876 QKI720871:QKI720876 QUE720871:QUE720876 REA720871:REA720876 RNW720871:RNW720876 RXS720871:RXS720876 SHO720871:SHO720876 SRK720871:SRK720876 TBG720871:TBG720876 TLC720871:TLC720876 TUY720871:TUY720876 UEU720871:UEU720876 UOQ720871:UOQ720876 UYM720871:UYM720876 VII720871:VII720876 VSE720871:VSE720876 WCA720871:WCA720876 WLW720871:WLW720876 WVS720871:WVS720876 K786407:K786412 JG786407:JG786412 TC786407:TC786412 ACY786407:ACY786412 AMU786407:AMU786412 AWQ786407:AWQ786412 BGM786407:BGM786412 BQI786407:BQI786412 CAE786407:CAE786412 CKA786407:CKA786412 CTW786407:CTW786412 DDS786407:DDS786412 DNO786407:DNO786412 DXK786407:DXK786412 EHG786407:EHG786412 ERC786407:ERC786412 FAY786407:FAY786412 FKU786407:FKU786412 FUQ786407:FUQ786412 GEM786407:GEM786412 GOI786407:GOI786412 GYE786407:GYE786412 HIA786407:HIA786412 HRW786407:HRW786412 IBS786407:IBS786412 ILO786407:ILO786412 IVK786407:IVK786412 JFG786407:JFG786412 JPC786407:JPC786412 JYY786407:JYY786412 KIU786407:KIU786412 KSQ786407:KSQ786412 LCM786407:LCM786412 LMI786407:LMI786412 LWE786407:LWE786412 MGA786407:MGA786412 MPW786407:MPW786412 MZS786407:MZS786412 NJO786407:NJO786412 NTK786407:NTK786412 ODG786407:ODG786412 ONC786407:ONC786412 OWY786407:OWY786412 PGU786407:PGU786412 PQQ786407:PQQ786412 QAM786407:QAM786412 QKI786407:QKI786412 QUE786407:QUE786412 REA786407:REA786412 RNW786407:RNW786412 RXS786407:RXS786412 SHO786407:SHO786412 SRK786407:SRK786412 TBG786407:TBG786412 TLC786407:TLC786412 TUY786407:TUY786412 UEU786407:UEU786412 UOQ786407:UOQ786412 UYM786407:UYM786412 VII786407:VII786412 VSE786407:VSE786412 WCA786407:WCA786412 WLW786407:WLW786412 WVS786407:WVS786412 K851943:K851948 JG851943:JG851948 TC851943:TC851948 ACY851943:ACY851948 AMU851943:AMU851948 AWQ851943:AWQ851948 BGM851943:BGM851948 BQI851943:BQI851948 CAE851943:CAE851948 CKA851943:CKA851948 CTW851943:CTW851948 DDS851943:DDS851948 DNO851943:DNO851948 DXK851943:DXK851948 EHG851943:EHG851948 ERC851943:ERC851948 FAY851943:FAY851948 FKU851943:FKU851948 FUQ851943:FUQ851948 GEM851943:GEM851948 GOI851943:GOI851948 GYE851943:GYE851948 HIA851943:HIA851948 HRW851943:HRW851948 IBS851943:IBS851948 ILO851943:ILO851948 IVK851943:IVK851948 JFG851943:JFG851948 JPC851943:JPC851948 JYY851943:JYY851948 KIU851943:KIU851948 KSQ851943:KSQ851948 LCM851943:LCM851948 LMI851943:LMI851948 LWE851943:LWE851948 MGA851943:MGA851948 MPW851943:MPW851948 MZS851943:MZS851948 NJO851943:NJO851948 NTK851943:NTK851948 ODG851943:ODG851948 ONC851943:ONC851948 OWY851943:OWY851948 PGU851943:PGU851948 PQQ851943:PQQ851948 QAM851943:QAM851948 QKI851943:QKI851948 QUE851943:QUE851948 REA851943:REA851948 RNW851943:RNW851948 RXS851943:RXS851948 SHO851943:SHO851948 SRK851943:SRK851948 TBG851943:TBG851948 TLC851943:TLC851948 TUY851943:TUY851948 UEU851943:UEU851948 UOQ851943:UOQ851948 UYM851943:UYM851948 VII851943:VII851948 VSE851943:VSE851948 WCA851943:WCA851948 WLW851943:WLW851948 WVS851943:WVS851948 K917479:K917484 JG917479:JG917484 TC917479:TC917484 ACY917479:ACY917484 AMU917479:AMU917484 AWQ917479:AWQ917484 BGM917479:BGM917484 BQI917479:BQI917484 CAE917479:CAE917484 CKA917479:CKA917484 CTW917479:CTW917484 DDS917479:DDS917484 DNO917479:DNO917484 DXK917479:DXK917484 EHG917479:EHG917484 ERC917479:ERC917484 FAY917479:FAY917484 FKU917479:FKU917484 FUQ917479:FUQ917484 GEM917479:GEM917484 GOI917479:GOI917484 GYE917479:GYE917484 HIA917479:HIA917484 HRW917479:HRW917484 IBS917479:IBS917484 ILO917479:ILO917484 IVK917479:IVK917484 JFG917479:JFG917484 JPC917479:JPC917484 JYY917479:JYY917484 KIU917479:KIU917484 KSQ917479:KSQ917484 LCM917479:LCM917484 LMI917479:LMI917484 LWE917479:LWE917484 MGA917479:MGA917484 MPW917479:MPW917484 MZS917479:MZS917484 NJO917479:NJO917484 NTK917479:NTK917484 ODG917479:ODG917484 ONC917479:ONC917484 OWY917479:OWY917484 PGU917479:PGU917484 PQQ917479:PQQ917484 QAM917479:QAM917484 QKI917479:QKI917484 QUE917479:QUE917484 REA917479:REA917484 RNW917479:RNW917484 RXS917479:RXS917484 SHO917479:SHO917484 SRK917479:SRK917484 TBG917479:TBG917484 TLC917479:TLC917484 TUY917479:TUY917484 UEU917479:UEU917484 UOQ917479:UOQ917484 UYM917479:UYM917484 VII917479:VII917484 VSE917479:VSE917484 WCA917479:WCA917484 WLW917479:WLW917484 WVS917479:WVS917484 K983015:K983020 JG983015:JG983020 TC983015:TC983020 ACY983015:ACY983020 AMU983015:AMU983020 AWQ983015:AWQ983020 BGM983015:BGM983020 BQI983015:BQI983020 CAE983015:CAE983020 CKA983015:CKA983020 CTW983015:CTW983020 DDS983015:DDS983020 DNO983015:DNO983020 DXK983015:DXK983020 EHG983015:EHG983020 ERC983015:ERC983020 FAY983015:FAY983020 FKU983015:FKU983020 FUQ983015:FUQ983020 GEM983015:GEM983020 GOI983015:GOI983020 GYE983015:GYE983020 HIA983015:HIA983020 HRW983015:HRW983020 IBS983015:IBS983020 ILO983015:ILO983020 IVK983015:IVK983020 JFG983015:JFG983020 JPC983015:JPC983020 JYY983015:JYY983020 KIU983015:KIU983020 KSQ983015:KSQ983020 LCM983015:LCM983020 LMI983015:LMI983020 LWE983015:LWE983020 MGA983015:MGA983020 MPW983015:MPW983020 MZS983015:MZS983020 NJO983015:NJO983020 NTK983015:NTK983020 ODG983015:ODG983020 ONC983015:ONC983020 OWY983015:OWY983020 PGU983015:PGU983020 PQQ983015:PQQ983020 QAM983015:QAM983020 QKI983015:QKI983020 QUE983015:QUE983020 REA983015:REA983020 RNW983015:RNW983020 RXS983015:RXS983020 SHO983015:SHO983020 SRK983015:SRK983020 TBG983015:TBG983020 TLC983015:TLC983020 TUY983015:TUY983020 UEU983015:UEU983020 UOQ983015:UOQ983020 UYM983015:UYM983020 VII983015:VII983020 VSE983015:VSE983020 WCA983015:WCA983020 WLW983015:WLW983020 WVS983015:WVS983020 K6:K8 K11:K17 WVS6:WVS8 WVS11:WVS17 WLW6:WLW8 WLW11:WLW17 WCA6:WCA8 WCA11:WCA17 VSE6:VSE8 VSE11:VSE17 VII6:VII8 VII11:VII17 UYM6:UYM8 UYM11:UYM17 UOQ6:UOQ8 UOQ11:UOQ17 UEU6:UEU8 UEU11:UEU17 TUY6:TUY8 TUY11:TUY17 TLC6:TLC8 TLC11:TLC17 TBG6:TBG8 TBG11:TBG17 SRK6:SRK8 SRK11:SRK17 SHO6:SHO8 SHO11:SHO17 RXS6:RXS8 RXS11:RXS17 RNW6:RNW8 RNW11:RNW17 REA6:REA8 REA11:REA17 QUE6:QUE8 QUE11:QUE17 QKI6:QKI8 QKI11:QKI17 QAM6:QAM8 QAM11:QAM17 PQQ6:PQQ8 PQQ11:PQQ17 PGU6:PGU8 PGU11:PGU17 OWY6:OWY8 OWY11:OWY17 ONC6:ONC8 ONC11:ONC17 ODG6:ODG8 ODG11:ODG17 NTK6:NTK8 NTK11:NTK17 NJO6:NJO8 NJO11:NJO17 MZS6:MZS8 MZS11:MZS17 MPW6:MPW8 MPW11:MPW17 MGA6:MGA8 MGA11:MGA17 LWE6:LWE8 LWE11:LWE17 LMI6:LMI8 LMI11:LMI17 LCM6:LCM8 LCM11:LCM17 KSQ6:KSQ8 KSQ11:KSQ17 KIU6:KIU8 KIU11:KIU17 JYY6:JYY8 JYY11:JYY17 JPC6:JPC8 JPC11:JPC17 JFG6:JFG8 JFG11:JFG17 IVK6:IVK8 IVK11:IVK17 ILO6:ILO8 ILO11:ILO17 IBS6:IBS8 IBS11:IBS17 HRW6:HRW8 HRW11:HRW17 HIA6:HIA8 HIA11:HIA17 GYE6:GYE8 GYE11:GYE17 GOI6:GOI8 GOI11:GOI17 GEM6:GEM8 GEM11:GEM17 FUQ6:FUQ8 FUQ11:FUQ17 FKU6:FKU8 FKU11:FKU17 FAY6:FAY8 FAY11:FAY17 ERC6:ERC8 ERC11:ERC17 EHG6:EHG8 EHG11:EHG17 DXK6:DXK8 DXK11:DXK17 DNO6:DNO8 DNO11:DNO17 DDS6:DDS8 DDS11:DDS17 CTW6:CTW8 CTW11:CTW17 CKA6:CKA8 CKA11:CKA17 CAE6:CAE8 CAE11:CAE17 BQI6:BQI8 BQI11:BQI17 BGM6:BGM8 BGM11:BGM17 AWQ6:AWQ8 AWQ11:AWQ17 AMU6:AMU8 AMU11:AMU17 ACY6:ACY8 ACY11:ACY17 TC6:TC8 TC11:TC17 JG6:JG8 JG11:JG17" xr:uid="{00000000-0002-0000-1D00-000000000000}">
      <formula1>0</formula1>
    </dataValidation>
    <dataValidation type="date" operator="greaterThanOrEqual" allowBlank="1" showInputMessage="1" showErrorMessage="1" sqref="I30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I65538 JE65538 TA65538 ACW65538 AMS65538 AWO65538 BGK65538 BQG65538 CAC65538 CJY65538 CTU65538 DDQ65538 DNM65538 DXI65538 EHE65538 ERA65538 FAW65538 FKS65538 FUO65538 GEK65538 GOG65538 GYC65538 HHY65538 HRU65538 IBQ65538 ILM65538 IVI65538 JFE65538 JPA65538 JYW65538 KIS65538 KSO65538 LCK65538 LMG65538 LWC65538 MFY65538 MPU65538 MZQ65538 NJM65538 NTI65538 ODE65538 ONA65538 OWW65538 PGS65538 PQO65538 QAK65538 QKG65538 QUC65538 RDY65538 RNU65538 RXQ65538 SHM65538 SRI65538 TBE65538 TLA65538 TUW65538 UES65538 UOO65538 UYK65538 VIG65538 VSC65538 WBY65538 WLU65538 WVQ65538 I131074 JE131074 TA131074 ACW131074 AMS131074 AWO131074 BGK131074 BQG131074 CAC131074 CJY131074 CTU131074 DDQ131074 DNM131074 DXI131074 EHE131074 ERA131074 FAW131074 FKS131074 FUO131074 GEK131074 GOG131074 GYC131074 HHY131074 HRU131074 IBQ131074 ILM131074 IVI131074 JFE131074 JPA131074 JYW131074 KIS131074 KSO131074 LCK131074 LMG131074 LWC131074 MFY131074 MPU131074 MZQ131074 NJM131074 NTI131074 ODE131074 ONA131074 OWW131074 PGS131074 PQO131074 QAK131074 QKG131074 QUC131074 RDY131074 RNU131074 RXQ131074 SHM131074 SRI131074 TBE131074 TLA131074 TUW131074 UES131074 UOO131074 UYK131074 VIG131074 VSC131074 WBY131074 WLU131074 WVQ131074 I196610 JE196610 TA196610 ACW196610 AMS196610 AWO196610 BGK196610 BQG196610 CAC196610 CJY196610 CTU196610 DDQ196610 DNM196610 DXI196610 EHE196610 ERA196610 FAW196610 FKS196610 FUO196610 GEK196610 GOG196610 GYC196610 HHY196610 HRU196610 IBQ196610 ILM196610 IVI196610 JFE196610 JPA196610 JYW196610 KIS196610 KSO196610 LCK196610 LMG196610 LWC196610 MFY196610 MPU196610 MZQ196610 NJM196610 NTI196610 ODE196610 ONA196610 OWW196610 PGS196610 PQO196610 QAK196610 QKG196610 QUC196610 RDY196610 RNU196610 RXQ196610 SHM196610 SRI196610 TBE196610 TLA196610 TUW196610 UES196610 UOO196610 UYK196610 VIG196610 VSC196610 WBY196610 WLU196610 WVQ196610 I262146 JE262146 TA262146 ACW262146 AMS262146 AWO262146 BGK262146 BQG262146 CAC262146 CJY262146 CTU262146 DDQ262146 DNM262146 DXI262146 EHE262146 ERA262146 FAW262146 FKS262146 FUO262146 GEK262146 GOG262146 GYC262146 HHY262146 HRU262146 IBQ262146 ILM262146 IVI262146 JFE262146 JPA262146 JYW262146 KIS262146 KSO262146 LCK262146 LMG262146 LWC262146 MFY262146 MPU262146 MZQ262146 NJM262146 NTI262146 ODE262146 ONA262146 OWW262146 PGS262146 PQO262146 QAK262146 QKG262146 QUC262146 RDY262146 RNU262146 RXQ262146 SHM262146 SRI262146 TBE262146 TLA262146 TUW262146 UES262146 UOO262146 UYK262146 VIG262146 VSC262146 WBY262146 WLU262146 WVQ262146 I327682 JE327682 TA327682 ACW327682 AMS327682 AWO327682 BGK327682 BQG327682 CAC327682 CJY327682 CTU327682 DDQ327682 DNM327682 DXI327682 EHE327682 ERA327682 FAW327682 FKS327682 FUO327682 GEK327682 GOG327682 GYC327682 HHY327682 HRU327682 IBQ327682 ILM327682 IVI327682 JFE327682 JPA327682 JYW327682 KIS327682 KSO327682 LCK327682 LMG327682 LWC327682 MFY327682 MPU327682 MZQ327682 NJM327682 NTI327682 ODE327682 ONA327682 OWW327682 PGS327682 PQO327682 QAK327682 QKG327682 QUC327682 RDY327682 RNU327682 RXQ327682 SHM327682 SRI327682 TBE327682 TLA327682 TUW327682 UES327682 UOO327682 UYK327682 VIG327682 VSC327682 WBY327682 WLU327682 WVQ327682 I393218 JE393218 TA393218 ACW393218 AMS393218 AWO393218 BGK393218 BQG393218 CAC393218 CJY393218 CTU393218 DDQ393218 DNM393218 DXI393218 EHE393218 ERA393218 FAW393218 FKS393218 FUO393218 GEK393218 GOG393218 GYC393218 HHY393218 HRU393218 IBQ393218 ILM393218 IVI393218 JFE393218 JPA393218 JYW393218 KIS393218 KSO393218 LCK393218 LMG393218 LWC393218 MFY393218 MPU393218 MZQ393218 NJM393218 NTI393218 ODE393218 ONA393218 OWW393218 PGS393218 PQO393218 QAK393218 QKG393218 QUC393218 RDY393218 RNU393218 RXQ393218 SHM393218 SRI393218 TBE393218 TLA393218 TUW393218 UES393218 UOO393218 UYK393218 VIG393218 VSC393218 WBY393218 WLU393218 WVQ393218 I458754 JE458754 TA458754 ACW458754 AMS458754 AWO458754 BGK458754 BQG458754 CAC458754 CJY458754 CTU458754 DDQ458754 DNM458754 DXI458754 EHE458754 ERA458754 FAW458754 FKS458754 FUO458754 GEK458754 GOG458754 GYC458754 HHY458754 HRU458754 IBQ458754 ILM458754 IVI458754 JFE458754 JPA458754 JYW458754 KIS458754 KSO458754 LCK458754 LMG458754 LWC458754 MFY458754 MPU458754 MZQ458754 NJM458754 NTI458754 ODE458754 ONA458754 OWW458754 PGS458754 PQO458754 QAK458754 QKG458754 QUC458754 RDY458754 RNU458754 RXQ458754 SHM458754 SRI458754 TBE458754 TLA458754 TUW458754 UES458754 UOO458754 UYK458754 VIG458754 VSC458754 WBY458754 WLU458754 WVQ458754 I524290 JE524290 TA524290 ACW524290 AMS524290 AWO524290 BGK524290 BQG524290 CAC524290 CJY524290 CTU524290 DDQ524290 DNM524290 DXI524290 EHE524290 ERA524290 FAW524290 FKS524290 FUO524290 GEK524290 GOG524290 GYC524290 HHY524290 HRU524290 IBQ524290 ILM524290 IVI524290 JFE524290 JPA524290 JYW524290 KIS524290 KSO524290 LCK524290 LMG524290 LWC524290 MFY524290 MPU524290 MZQ524290 NJM524290 NTI524290 ODE524290 ONA524290 OWW524290 PGS524290 PQO524290 QAK524290 QKG524290 QUC524290 RDY524290 RNU524290 RXQ524290 SHM524290 SRI524290 TBE524290 TLA524290 TUW524290 UES524290 UOO524290 UYK524290 VIG524290 VSC524290 WBY524290 WLU524290 WVQ524290 I589826 JE589826 TA589826 ACW589826 AMS589826 AWO589826 BGK589826 BQG589826 CAC589826 CJY589826 CTU589826 DDQ589826 DNM589826 DXI589826 EHE589826 ERA589826 FAW589826 FKS589826 FUO589826 GEK589826 GOG589826 GYC589826 HHY589826 HRU589826 IBQ589826 ILM589826 IVI589826 JFE589826 JPA589826 JYW589826 KIS589826 KSO589826 LCK589826 LMG589826 LWC589826 MFY589826 MPU589826 MZQ589826 NJM589826 NTI589826 ODE589826 ONA589826 OWW589826 PGS589826 PQO589826 QAK589826 QKG589826 QUC589826 RDY589826 RNU589826 RXQ589826 SHM589826 SRI589826 TBE589826 TLA589826 TUW589826 UES589826 UOO589826 UYK589826 VIG589826 VSC589826 WBY589826 WLU589826 WVQ589826 I655362 JE655362 TA655362 ACW655362 AMS655362 AWO655362 BGK655362 BQG655362 CAC655362 CJY655362 CTU655362 DDQ655362 DNM655362 DXI655362 EHE655362 ERA655362 FAW655362 FKS655362 FUO655362 GEK655362 GOG655362 GYC655362 HHY655362 HRU655362 IBQ655362 ILM655362 IVI655362 JFE655362 JPA655362 JYW655362 KIS655362 KSO655362 LCK655362 LMG655362 LWC655362 MFY655362 MPU655362 MZQ655362 NJM655362 NTI655362 ODE655362 ONA655362 OWW655362 PGS655362 PQO655362 QAK655362 QKG655362 QUC655362 RDY655362 RNU655362 RXQ655362 SHM655362 SRI655362 TBE655362 TLA655362 TUW655362 UES655362 UOO655362 UYK655362 VIG655362 VSC655362 WBY655362 WLU655362 WVQ655362 I720898 JE720898 TA720898 ACW720898 AMS720898 AWO720898 BGK720898 BQG720898 CAC720898 CJY720898 CTU720898 DDQ720898 DNM720898 DXI720898 EHE720898 ERA720898 FAW720898 FKS720898 FUO720898 GEK720898 GOG720898 GYC720898 HHY720898 HRU720898 IBQ720898 ILM720898 IVI720898 JFE720898 JPA720898 JYW720898 KIS720898 KSO720898 LCK720898 LMG720898 LWC720898 MFY720898 MPU720898 MZQ720898 NJM720898 NTI720898 ODE720898 ONA720898 OWW720898 PGS720898 PQO720898 QAK720898 QKG720898 QUC720898 RDY720898 RNU720898 RXQ720898 SHM720898 SRI720898 TBE720898 TLA720898 TUW720898 UES720898 UOO720898 UYK720898 VIG720898 VSC720898 WBY720898 WLU720898 WVQ720898 I786434 JE786434 TA786434 ACW786434 AMS786434 AWO786434 BGK786434 BQG786434 CAC786434 CJY786434 CTU786434 DDQ786434 DNM786434 DXI786434 EHE786434 ERA786434 FAW786434 FKS786434 FUO786434 GEK786434 GOG786434 GYC786434 HHY786434 HRU786434 IBQ786434 ILM786434 IVI786434 JFE786434 JPA786434 JYW786434 KIS786434 KSO786434 LCK786434 LMG786434 LWC786434 MFY786434 MPU786434 MZQ786434 NJM786434 NTI786434 ODE786434 ONA786434 OWW786434 PGS786434 PQO786434 QAK786434 QKG786434 QUC786434 RDY786434 RNU786434 RXQ786434 SHM786434 SRI786434 TBE786434 TLA786434 TUW786434 UES786434 UOO786434 UYK786434 VIG786434 VSC786434 WBY786434 WLU786434 WVQ786434 I851970 JE851970 TA851970 ACW851970 AMS851970 AWO851970 BGK851970 BQG851970 CAC851970 CJY851970 CTU851970 DDQ851970 DNM851970 DXI851970 EHE851970 ERA851970 FAW851970 FKS851970 FUO851970 GEK851970 GOG851970 GYC851970 HHY851970 HRU851970 IBQ851970 ILM851970 IVI851970 JFE851970 JPA851970 JYW851970 KIS851970 KSO851970 LCK851970 LMG851970 LWC851970 MFY851970 MPU851970 MZQ851970 NJM851970 NTI851970 ODE851970 ONA851970 OWW851970 PGS851970 PQO851970 QAK851970 QKG851970 QUC851970 RDY851970 RNU851970 RXQ851970 SHM851970 SRI851970 TBE851970 TLA851970 TUW851970 UES851970 UOO851970 UYK851970 VIG851970 VSC851970 WBY851970 WLU851970 WVQ851970 I917506 JE917506 TA917506 ACW917506 AMS917506 AWO917506 BGK917506 BQG917506 CAC917506 CJY917506 CTU917506 DDQ917506 DNM917506 DXI917506 EHE917506 ERA917506 FAW917506 FKS917506 FUO917506 GEK917506 GOG917506 GYC917506 HHY917506 HRU917506 IBQ917506 ILM917506 IVI917506 JFE917506 JPA917506 JYW917506 KIS917506 KSO917506 LCK917506 LMG917506 LWC917506 MFY917506 MPU917506 MZQ917506 NJM917506 NTI917506 ODE917506 ONA917506 OWW917506 PGS917506 PQO917506 QAK917506 QKG917506 QUC917506 RDY917506 RNU917506 RXQ917506 SHM917506 SRI917506 TBE917506 TLA917506 TUW917506 UES917506 UOO917506 UYK917506 VIG917506 VSC917506 WBY917506 WLU917506 WVQ917506 I983042 JE983042 TA983042 ACW983042 AMS983042 AWO983042 BGK983042 BQG983042 CAC983042 CJY983042 CTU983042 DDQ983042 DNM983042 DXI983042 EHE983042 ERA983042 FAW983042 FKS983042 FUO983042 GEK983042 GOG983042 GYC983042 HHY983042 HRU983042 IBQ983042 ILM983042 IVI983042 JFE983042 JPA983042 JYW983042 KIS983042 KSO983042 LCK983042 LMG983042 LWC983042 MFY983042 MPU983042 MZQ983042 NJM983042 NTI983042 ODE983042 ONA983042 OWW983042 PGS983042 PQO983042 QAK983042 QKG983042 QUC983042 RDY983042 RNU983042 RXQ983042 SHM983042 SRI983042 TBE983042 TLA983042 TUW983042 UES983042 UOO983042 UYK983042 VIG983042 VSC983042 WBY983042 WLU983042 WVQ983042 D28:D29 IZ28:IZ29 SV28:SV29 ACR28:ACR29 AMN28:AMN29 AWJ28:AWJ29 BGF28:BGF29 BQB28:BQB29 BZX28:BZX29 CJT28:CJT29 CTP28:CTP29 DDL28:DDL29 DNH28:DNH29 DXD28:DXD29 EGZ28:EGZ29 EQV28:EQV29 FAR28:FAR29 FKN28:FKN29 FUJ28:FUJ29 GEF28:GEF29 GOB28:GOB29 GXX28:GXX29 HHT28:HHT29 HRP28:HRP29 IBL28:IBL29 ILH28:ILH29 IVD28:IVD29 JEZ28:JEZ29 JOV28:JOV29 JYR28:JYR29 KIN28:KIN29 KSJ28:KSJ29 LCF28:LCF29 LMB28:LMB29 LVX28:LVX29 MFT28:MFT29 MPP28:MPP29 MZL28:MZL29 NJH28:NJH29 NTD28:NTD29 OCZ28:OCZ29 OMV28:OMV29 OWR28:OWR29 PGN28:PGN29 PQJ28:PQJ29 QAF28:QAF29 QKB28:QKB29 QTX28:QTX29 RDT28:RDT29 RNP28:RNP29 RXL28:RXL29 SHH28:SHH29 SRD28:SRD29 TAZ28:TAZ29 TKV28:TKV29 TUR28:TUR29 UEN28:UEN29 UOJ28:UOJ29 UYF28:UYF29 VIB28:VIB29 VRX28:VRX29 WBT28:WBT29 WLP28:WLP29 WVL28:WVL29 D65536:D65537 IZ65536:IZ65537 SV65536:SV65537 ACR65536:ACR65537 AMN65536:AMN65537 AWJ65536:AWJ65537 BGF65536:BGF65537 BQB65536:BQB65537 BZX65536:BZX65537 CJT65536:CJT65537 CTP65536:CTP65537 DDL65536:DDL65537 DNH65536:DNH65537 DXD65536:DXD65537 EGZ65536:EGZ65537 EQV65536:EQV65537 FAR65536:FAR65537 FKN65536:FKN65537 FUJ65536:FUJ65537 GEF65536:GEF65537 GOB65536:GOB65537 GXX65536:GXX65537 HHT65536:HHT65537 HRP65536:HRP65537 IBL65536:IBL65537 ILH65536:ILH65537 IVD65536:IVD65537 JEZ65536:JEZ65537 JOV65536:JOV65537 JYR65536:JYR65537 KIN65536:KIN65537 KSJ65536:KSJ65537 LCF65536:LCF65537 LMB65536:LMB65537 LVX65536:LVX65537 MFT65536:MFT65537 MPP65536:MPP65537 MZL65536:MZL65537 NJH65536:NJH65537 NTD65536:NTD65537 OCZ65536:OCZ65537 OMV65536:OMV65537 OWR65536:OWR65537 PGN65536:PGN65537 PQJ65536:PQJ65537 QAF65536:QAF65537 QKB65536:QKB65537 QTX65536:QTX65537 RDT65536:RDT65537 RNP65536:RNP65537 RXL65536:RXL65537 SHH65536:SHH65537 SRD65536:SRD65537 TAZ65536:TAZ65537 TKV65536:TKV65537 TUR65536:TUR65537 UEN65536:UEN65537 UOJ65536:UOJ65537 UYF65536:UYF65537 VIB65536:VIB65537 VRX65536:VRX65537 WBT65536:WBT65537 WLP65536:WLP65537 WVL65536:WVL65537 D131072:D131073 IZ131072:IZ131073 SV131072:SV131073 ACR131072:ACR131073 AMN131072:AMN131073 AWJ131072:AWJ131073 BGF131072:BGF131073 BQB131072:BQB131073 BZX131072:BZX131073 CJT131072:CJT131073 CTP131072:CTP131073 DDL131072:DDL131073 DNH131072:DNH131073 DXD131072:DXD131073 EGZ131072:EGZ131073 EQV131072:EQV131073 FAR131072:FAR131073 FKN131072:FKN131073 FUJ131072:FUJ131073 GEF131072:GEF131073 GOB131072:GOB131073 GXX131072:GXX131073 HHT131072:HHT131073 HRP131072:HRP131073 IBL131072:IBL131073 ILH131072:ILH131073 IVD131072:IVD131073 JEZ131072:JEZ131073 JOV131072:JOV131073 JYR131072:JYR131073 KIN131072:KIN131073 KSJ131072:KSJ131073 LCF131072:LCF131073 LMB131072:LMB131073 LVX131072:LVX131073 MFT131072:MFT131073 MPP131072:MPP131073 MZL131072:MZL131073 NJH131072:NJH131073 NTD131072:NTD131073 OCZ131072:OCZ131073 OMV131072:OMV131073 OWR131072:OWR131073 PGN131072:PGN131073 PQJ131072:PQJ131073 QAF131072:QAF131073 QKB131072:QKB131073 QTX131072:QTX131073 RDT131072:RDT131073 RNP131072:RNP131073 RXL131072:RXL131073 SHH131072:SHH131073 SRD131072:SRD131073 TAZ131072:TAZ131073 TKV131072:TKV131073 TUR131072:TUR131073 UEN131072:UEN131073 UOJ131072:UOJ131073 UYF131072:UYF131073 VIB131072:VIB131073 VRX131072:VRX131073 WBT131072:WBT131073 WLP131072:WLP131073 WVL131072:WVL131073 D196608:D196609 IZ196608:IZ196609 SV196608:SV196609 ACR196608:ACR196609 AMN196608:AMN196609 AWJ196608:AWJ196609 BGF196608:BGF196609 BQB196608:BQB196609 BZX196608:BZX196609 CJT196608:CJT196609 CTP196608:CTP196609 DDL196608:DDL196609 DNH196608:DNH196609 DXD196608:DXD196609 EGZ196608:EGZ196609 EQV196608:EQV196609 FAR196608:FAR196609 FKN196608:FKN196609 FUJ196608:FUJ196609 GEF196608:GEF196609 GOB196608:GOB196609 GXX196608:GXX196609 HHT196608:HHT196609 HRP196608:HRP196609 IBL196608:IBL196609 ILH196608:ILH196609 IVD196608:IVD196609 JEZ196608:JEZ196609 JOV196608:JOV196609 JYR196608:JYR196609 KIN196608:KIN196609 KSJ196608:KSJ196609 LCF196608:LCF196609 LMB196608:LMB196609 LVX196608:LVX196609 MFT196608:MFT196609 MPP196608:MPP196609 MZL196608:MZL196609 NJH196608:NJH196609 NTD196608:NTD196609 OCZ196608:OCZ196609 OMV196608:OMV196609 OWR196608:OWR196609 PGN196608:PGN196609 PQJ196608:PQJ196609 QAF196608:QAF196609 QKB196608:QKB196609 QTX196608:QTX196609 RDT196608:RDT196609 RNP196608:RNP196609 RXL196608:RXL196609 SHH196608:SHH196609 SRD196608:SRD196609 TAZ196608:TAZ196609 TKV196608:TKV196609 TUR196608:TUR196609 UEN196608:UEN196609 UOJ196608:UOJ196609 UYF196608:UYF196609 VIB196608:VIB196609 VRX196608:VRX196609 WBT196608:WBT196609 WLP196608:WLP196609 WVL196608:WVL196609 D262144:D262145 IZ262144:IZ262145 SV262144:SV262145 ACR262144:ACR262145 AMN262144:AMN262145 AWJ262144:AWJ262145 BGF262144:BGF262145 BQB262144:BQB262145 BZX262144:BZX262145 CJT262144:CJT262145 CTP262144:CTP262145 DDL262144:DDL262145 DNH262144:DNH262145 DXD262144:DXD262145 EGZ262144:EGZ262145 EQV262144:EQV262145 FAR262144:FAR262145 FKN262144:FKN262145 FUJ262144:FUJ262145 GEF262144:GEF262145 GOB262144:GOB262145 GXX262144:GXX262145 HHT262144:HHT262145 HRP262144:HRP262145 IBL262144:IBL262145 ILH262144:ILH262145 IVD262144:IVD262145 JEZ262144:JEZ262145 JOV262144:JOV262145 JYR262144:JYR262145 KIN262144:KIN262145 KSJ262144:KSJ262145 LCF262144:LCF262145 LMB262144:LMB262145 LVX262144:LVX262145 MFT262144:MFT262145 MPP262144:MPP262145 MZL262144:MZL262145 NJH262144:NJH262145 NTD262144:NTD262145 OCZ262144:OCZ262145 OMV262144:OMV262145 OWR262144:OWR262145 PGN262144:PGN262145 PQJ262144:PQJ262145 QAF262144:QAF262145 QKB262144:QKB262145 QTX262144:QTX262145 RDT262144:RDT262145 RNP262144:RNP262145 RXL262144:RXL262145 SHH262144:SHH262145 SRD262144:SRD262145 TAZ262144:TAZ262145 TKV262144:TKV262145 TUR262144:TUR262145 UEN262144:UEN262145 UOJ262144:UOJ262145 UYF262144:UYF262145 VIB262144:VIB262145 VRX262144:VRX262145 WBT262144:WBT262145 WLP262144:WLP262145 WVL262144:WVL262145 D327680:D327681 IZ327680:IZ327681 SV327680:SV327681 ACR327680:ACR327681 AMN327680:AMN327681 AWJ327680:AWJ327681 BGF327680:BGF327681 BQB327680:BQB327681 BZX327680:BZX327681 CJT327680:CJT327681 CTP327680:CTP327681 DDL327680:DDL327681 DNH327680:DNH327681 DXD327680:DXD327681 EGZ327680:EGZ327681 EQV327680:EQV327681 FAR327680:FAR327681 FKN327680:FKN327681 FUJ327680:FUJ327681 GEF327680:GEF327681 GOB327680:GOB327681 GXX327680:GXX327681 HHT327680:HHT327681 HRP327680:HRP327681 IBL327680:IBL327681 ILH327680:ILH327681 IVD327680:IVD327681 JEZ327680:JEZ327681 JOV327680:JOV327681 JYR327680:JYR327681 KIN327680:KIN327681 KSJ327680:KSJ327681 LCF327680:LCF327681 LMB327680:LMB327681 LVX327680:LVX327681 MFT327680:MFT327681 MPP327680:MPP327681 MZL327680:MZL327681 NJH327680:NJH327681 NTD327680:NTD327681 OCZ327680:OCZ327681 OMV327680:OMV327681 OWR327680:OWR327681 PGN327680:PGN327681 PQJ327680:PQJ327681 QAF327680:QAF327681 QKB327680:QKB327681 QTX327680:QTX327681 RDT327680:RDT327681 RNP327680:RNP327681 RXL327680:RXL327681 SHH327680:SHH327681 SRD327680:SRD327681 TAZ327680:TAZ327681 TKV327680:TKV327681 TUR327680:TUR327681 UEN327680:UEN327681 UOJ327680:UOJ327681 UYF327680:UYF327681 VIB327680:VIB327681 VRX327680:VRX327681 WBT327680:WBT327681 WLP327680:WLP327681 WVL327680:WVL327681 D393216:D393217 IZ393216:IZ393217 SV393216:SV393217 ACR393216:ACR393217 AMN393216:AMN393217 AWJ393216:AWJ393217 BGF393216:BGF393217 BQB393216:BQB393217 BZX393216:BZX393217 CJT393216:CJT393217 CTP393216:CTP393217 DDL393216:DDL393217 DNH393216:DNH393217 DXD393216:DXD393217 EGZ393216:EGZ393217 EQV393216:EQV393217 FAR393216:FAR393217 FKN393216:FKN393217 FUJ393216:FUJ393217 GEF393216:GEF393217 GOB393216:GOB393217 GXX393216:GXX393217 HHT393216:HHT393217 HRP393216:HRP393217 IBL393216:IBL393217 ILH393216:ILH393217 IVD393216:IVD393217 JEZ393216:JEZ393217 JOV393216:JOV393217 JYR393216:JYR393217 KIN393216:KIN393217 KSJ393216:KSJ393217 LCF393216:LCF393217 LMB393216:LMB393217 LVX393216:LVX393217 MFT393216:MFT393217 MPP393216:MPP393217 MZL393216:MZL393217 NJH393216:NJH393217 NTD393216:NTD393217 OCZ393216:OCZ393217 OMV393216:OMV393217 OWR393216:OWR393217 PGN393216:PGN393217 PQJ393216:PQJ393217 QAF393216:QAF393217 QKB393216:QKB393217 QTX393216:QTX393217 RDT393216:RDT393217 RNP393216:RNP393217 RXL393216:RXL393217 SHH393216:SHH393217 SRD393216:SRD393217 TAZ393216:TAZ393217 TKV393216:TKV393217 TUR393216:TUR393217 UEN393216:UEN393217 UOJ393216:UOJ393217 UYF393216:UYF393217 VIB393216:VIB393217 VRX393216:VRX393217 WBT393216:WBT393217 WLP393216:WLP393217 WVL393216:WVL393217 D458752:D458753 IZ458752:IZ458753 SV458752:SV458753 ACR458752:ACR458753 AMN458752:AMN458753 AWJ458752:AWJ458753 BGF458752:BGF458753 BQB458752:BQB458753 BZX458752:BZX458753 CJT458752:CJT458753 CTP458752:CTP458753 DDL458752:DDL458753 DNH458752:DNH458753 DXD458752:DXD458753 EGZ458752:EGZ458753 EQV458752:EQV458753 FAR458752:FAR458753 FKN458752:FKN458753 FUJ458752:FUJ458753 GEF458752:GEF458753 GOB458752:GOB458753 GXX458752:GXX458753 HHT458752:HHT458753 HRP458752:HRP458753 IBL458752:IBL458753 ILH458752:ILH458753 IVD458752:IVD458753 JEZ458752:JEZ458753 JOV458752:JOV458753 JYR458752:JYR458753 KIN458752:KIN458753 KSJ458752:KSJ458753 LCF458752:LCF458753 LMB458752:LMB458753 LVX458752:LVX458753 MFT458752:MFT458753 MPP458752:MPP458753 MZL458752:MZL458753 NJH458752:NJH458753 NTD458752:NTD458753 OCZ458752:OCZ458753 OMV458752:OMV458753 OWR458752:OWR458753 PGN458752:PGN458753 PQJ458752:PQJ458753 QAF458752:QAF458753 QKB458752:QKB458753 QTX458752:QTX458753 RDT458752:RDT458753 RNP458752:RNP458753 RXL458752:RXL458753 SHH458752:SHH458753 SRD458752:SRD458753 TAZ458752:TAZ458753 TKV458752:TKV458753 TUR458752:TUR458753 UEN458752:UEN458753 UOJ458752:UOJ458753 UYF458752:UYF458753 VIB458752:VIB458753 VRX458752:VRX458753 WBT458752:WBT458753 WLP458752:WLP458753 WVL458752:WVL458753 D524288:D524289 IZ524288:IZ524289 SV524288:SV524289 ACR524288:ACR524289 AMN524288:AMN524289 AWJ524288:AWJ524289 BGF524288:BGF524289 BQB524288:BQB524289 BZX524288:BZX524289 CJT524288:CJT524289 CTP524288:CTP524289 DDL524288:DDL524289 DNH524288:DNH524289 DXD524288:DXD524289 EGZ524288:EGZ524289 EQV524288:EQV524289 FAR524288:FAR524289 FKN524288:FKN524289 FUJ524288:FUJ524289 GEF524288:GEF524289 GOB524288:GOB524289 GXX524288:GXX524289 HHT524288:HHT524289 HRP524288:HRP524289 IBL524288:IBL524289 ILH524288:ILH524289 IVD524288:IVD524289 JEZ524288:JEZ524289 JOV524288:JOV524289 JYR524288:JYR524289 KIN524288:KIN524289 KSJ524288:KSJ524289 LCF524288:LCF524289 LMB524288:LMB524289 LVX524288:LVX524289 MFT524288:MFT524289 MPP524288:MPP524289 MZL524288:MZL524289 NJH524288:NJH524289 NTD524288:NTD524289 OCZ524288:OCZ524289 OMV524288:OMV524289 OWR524288:OWR524289 PGN524288:PGN524289 PQJ524288:PQJ524289 QAF524288:QAF524289 QKB524288:QKB524289 QTX524288:QTX524289 RDT524288:RDT524289 RNP524288:RNP524289 RXL524288:RXL524289 SHH524288:SHH524289 SRD524288:SRD524289 TAZ524288:TAZ524289 TKV524288:TKV524289 TUR524288:TUR524289 UEN524288:UEN524289 UOJ524288:UOJ524289 UYF524288:UYF524289 VIB524288:VIB524289 VRX524288:VRX524289 WBT524288:WBT524289 WLP524288:WLP524289 WVL524288:WVL524289 D589824:D589825 IZ589824:IZ589825 SV589824:SV589825 ACR589824:ACR589825 AMN589824:AMN589825 AWJ589824:AWJ589825 BGF589824:BGF589825 BQB589824:BQB589825 BZX589824:BZX589825 CJT589824:CJT589825 CTP589824:CTP589825 DDL589824:DDL589825 DNH589824:DNH589825 DXD589824:DXD589825 EGZ589824:EGZ589825 EQV589824:EQV589825 FAR589824:FAR589825 FKN589824:FKN589825 FUJ589824:FUJ589825 GEF589824:GEF589825 GOB589824:GOB589825 GXX589824:GXX589825 HHT589824:HHT589825 HRP589824:HRP589825 IBL589824:IBL589825 ILH589824:ILH589825 IVD589824:IVD589825 JEZ589824:JEZ589825 JOV589824:JOV589825 JYR589824:JYR589825 KIN589824:KIN589825 KSJ589824:KSJ589825 LCF589824:LCF589825 LMB589824:LMB589825 LVX589824:LVX589825 MFT589824:MFT589825 MPP589824:MPP589825 MZL589824:MZL589825 NJH589824:NJH589825 NTD589824:NTD589825 OCZ589824:OCZ589825 OMV589824:OMV589825 OWR589824:OWR589825 PGN589824:PGN589825 PQJ589824:PQJ589825 QAF589824:QAF589825 QKB589824:QKB589825 QTX589824:QTX589825 RDT589824:RDT589825 RNP589824:RNP589825 RXL589824:RXL589825 SHH589824:SHH589825 SRD589824:SRD589825 TAZ589824:TAZ589825 TKV589824:TKV589825 TUR589824:TUR589825 UEN589824:UEN589825 UOJ589824:UOJ589825 UYF589824:UYF589825 VIB589824:VIB589825 VRX589824:VRX589825 WBT589824:WBT589825 WLP589824:WLP589825 WVL589824:WVL589825 D655360:D655361 IZ655360:IZ655361 SV655360:SV655361 ACR655360:ACR655361 AMN655360:AMN655361 AWJ655360:AWJ655361 BGF655360:BGF655361 BQB655360:BQB655361 BZX655360:BZX655361 CJT655360:CJT655361 CTP655360:CTP655361 DDL655360:DDL655361 DNH655360:DNH655361 DXD655360:DXD655361 EGZ655360:EGZ655361 EQV655360:EQV655361 FAR655360:FAR655361 FKN655360:FKN655361 FUJ655360:FUJ655361 GEF655360:GEF655361 GOB655360:GOB655361 GXX655360:GXX655361 HHT655360:HHT655361 HRP655360:HRP655361 IBL655360:IBL655361 ILH655360:ILH655361 IVD655360:IVD655361 JEZ655360:JEZ655361 JOV655360:JOV655361 JYR655360:JYR655361 KIN655360:KIN655361 KSJ655360:KSJ655361 LCF655360:LCF655361 LMB655360:LMB655361 LVX655360:LVX655361 MFT655360:MFT655361 MPP655360:MPP655361 MZL655360:MZL655361 NJH655360:NJH655361 NTD655360:NTD655361 OCZ655360:OCZ655361 OMV655360:OMV655361 OWR655360:OWR655361 PGN655360:PGN655361 PQJ655360:PQJ655361 QAF655360:QAF655361 QKB655360:QKB655361 QTX655360:QTX655361 RDT655360:RDT655361 RNP655360:RNP655361 RXL655360:RXL655361 SHH655360:SHH655361 SRD655360:SRD655361 TAZ655360:TAZ655361 TKV655360:TKV655361 TUR655360:TUR655361 UEN655360:UEN655361 UOJ655360:UOJ655361 UYF655360:UYF655361 VIB655360:VIB655361 VRX655360:VRX655361 WBT655360:WBT655361 WLP655360:WLP655361 WVL655360:WVL655361 D720896:D720897 IZ720896:IZ720897 SV720896:SV720897 ACR720896:ACR720897 AMN720896:AMN720897 AWJ720896:AWJ720897 BGF720896:BGF720897 BQB720896:BQB720897 BZX720896:BZX720897 CJT720896:CJT720897 CTP720896:CTP720897 DDL720896:DDL720897 DNH720896:DNH720897 DXD720896:DXD720897 EGZ720896:EGZ720897 EQV720896:EQV720897 FAR720896:FAR720897 FKN720896:FKN720897 FUJ720896:FUJ720897 GEF720896:GEF720897 GOB720896:GOB720897 GXX720896:GXX720897 HHT720896:HHT720897 HRP720896:HRP720897 IBL720896:IBL720897 ILH720896:ILH720897 IVD720896:IVD720897 JEZ720896:JEZ720897 JOV720896:JOV720897 JYR720896:JYR720897 KIN720896:KIN720897 KSJ720896:KSJ720897 LCF720896:LCF720897 LMB720896:LMB720897 LVX720896:LVX720897 MFT720896:MFT720897 MPP720896:MPP720897 MZL720896:MZL720897 NJH720896:NJH720897 NTD720896:NTD720897 OCZ720896:OCZ720897 OMV720896:OMV720897 OWR720896:OWR720897 PGN720896:PGN720897 PQJ720896:PQJ720897 QAF720896:QAF720897 QKB720896:QKB720897 QTX720896:QTX720897 RDT720896:RDT720897 RNP720896:RNP720897 RXL720896:RXL720897 SHH720896:SHH720897 SRD720896:SRD720897 TAZ720896:TAZ720897 TKV720896:TKV720897 TUR720896:TUR720897 UEN720896:UEN720897 UOJ720896:UOJ720897 UYF720896:UYF720897 VIB720896:VIB720897 VRX720896:VRX720897 WBT720896:WBT720897 WLP720896:WLP720897 WVL720896:WVL720897 D786432:D786433 IZ786432:IZ786433 SV786432:SV786433 ACR786432:ACR786433 AMN786432:AMN786433 AWJ786432:AWJ786433 BGF786432:BGF786433 BQB786432:BQB786433 BZX786432:BZX786433 CJT786432:CJT786433 CTP786432:CTP786433 DDL786432:DDL786433 DNH786432:DNH786433 DXD786432:DXD786433 EGZ786432:EGZ786433 EQV786432:EQV786433 FAR786432:FAR786433 FKN786432:FKN786433 FUJ786432:FUJ786433 GEF786432:GEF786433 GOB786432:GOB786433 GXX786432:GXX786433 HHT786432:HHT786433 HRP786432:HRP786433 IBL786432:IBL786433 ILH786432:ILH786433 IVD786432:IVD786433 JEZ786432:JEZ786433 JOV786432:JOV786433 JYR786432:JYR786433 KIN786432:KIN786433 KSJ786432:KSJ786433 LCF786432:LCF786433 LMB786432:LMB786433 LVX786432:LVX786433 MFT786432:MFT786433 MPP786432:MPP786433 MZL786432:MZL786433 NJH786432:NJH786433 NTD786432:NTD786433 OCZ786432:OCZ786433 OMV786432:OMV786433 OWR786432:OWR786433 PGN786432:PGN786433 PQJ786432:PQJ786433 QAF786432:QAF786433 QKB786432:QKB786433 QTX786432:QTX786433 RDT786432:RDT786433 RNP786432:RNP786433 RXL786432:RXL786433 SHH786432:SHH786433 SRD786432:SRD786433 TAZ786432:TAZ786433 TKV786432:TKV786433 TUR786432:TUR786433 UEN786432:UEN786433 UOJ786432:UOJ786433 UYF786432:UYF786433 VIB786432:VIB786433 VRX786432:VRX786433 WBT786432:WBT786433 WLP786432:WLP786433 WVL786432:WVL786433 D851968:D851969 IZ851968:IZ851969 SV851968:SV851969 ACR851968:ACR851969 AMN851968:AMN851969 AWJ851968:AWJ851969 BGF851968:BGF851969 BQB851968:BQB851969 BZX851968:BZX851969 CJT851968:CJT851969 CTP851968:CTP851969 DDL851968:DDL851969 DNH851968:DNH851969 DXD851968:DXD851969 EGZ851968:EGZ851969 EQV851968:EQV851969 FAR851968:FAR851969 FKN851968:FKN851969 FUJ851968:FUJ851969 GEF851968:GEF851969 GOB851968:GOB851969 GXX851968:GXX851969 HHT851968:HHT851969 HRP851968:HRP851969 IBL851968:IBL851969 ILH851968:ILH851969 IVD851968:IVD851969 JEZ851968:JEZ851969 JOV851968:JOV851969 JYR851968:JYR851969 KIN851968:KIN851969 KSJ851968:KSJ851969 LCF851968:LCF851969 LMB851968:LMB851969 LVX851968:LVX851969 MFT851968:MFT851969 MPP851968:MPP851969 MZL851968:MZL851969 NJH851968:NJH851969 NTD851968:NTD851969 OCZ851968:OCZ851969 OMV851968:OMV851969 OWR851968:OWR851969 PGN851968:PGN851969 PQJ851968:PQJ851969 QAF851968:QAF851969 QKB851968:QKB851969 QTX851968:QTX851969 RDT851968:RDT851969 RNP851968:RNP851969 RXL851968:RXL851969 SHH851968:SHH851969 SRD851968:SRD851969 TAZ851968:TAZ851969 TKV851968:TKV851969 TUR851968:TUR851969 UEN851968:UEN851969 UOJ851968:UOJ851969 UYF851968:UYF851969 VIB851968:VIB851969 VRX851968:VRX851969 WBT851968:WBT851969 WLP851968:WLP851969 WVL851968:WVL851969 D917504:D917505 IZ917504:IZ917505 SV917504:SV917505 ACR917504:ACR917505 AMN917504:AMN917505 AWJ917504:AWJ917505 BGF917504:BGF917505 BQB917504:BQB917505 BZX917504:BZX917505 CJT917504:CJT917505 CTP917504:CTP917505 DDL917504:DDL917505 DNH917504:DNH917505 DXD917504:DXD917505 EGZ917504:EGZ917505 EQV917504:EQV917505 FAR917504:FAR917505 FKN917504:FKN917505 FUJ917504:FUJ917505 GEF917504:GEF917505 GOB917504:GOB917505 GXX917504:GXX917505 HHT917504:HHT917505 HRP917504:HRP917505 IBL917504:IBL917505 ILH917504:ILH917505 IVD917504:IVD917505 JEZ917504:JEZ917505 JOV917504:JOV917505 JYR917504:JYR917505 KIN917504:KIN917505 KSJ917504:KSJ917505 LCF917504:LCF917505 LMB917504:LMB917505 LVX917504:LVX917505 MFT917504:MFT917505 MPP917504:MPP917505 MZL917504:MZL917505 NJH917504:NJH917505 NTD917504:NTD917505 OCZ917504:OCZ917505 OMV917504:OMV917505 OWR917504:OWR917505 PGN917504:PGN917505 PQJ917504:PQJ917505 QAF917504:QAF917505 QKB917504:QKB917505 QTX917504:QTX917505 RDT917504:RDT917505 RNP917504:RNP917505 RXL917504:RXL917505 SHH917504:SHH917505 SRD917504:SRD917505 TAZ917504:TAZ917505 TKV917504:TKV917505 TUR917504:TUR917505 UEN917504:UEN917505 UOJ917504:UOJ917505 UYF917504:UYF917505 VIB917504:VIB917505 VRX917504:VRX917505 WBT917504:WBT917505 WLP917504:WLP917505 WVL917504:WVL917505 D983040:D983041 IZ983040:IZ983041 SV983040:SV983041 ACR983040:ACR983041 AMN983040:AMN983041 AWJ983040:AWJ983041 BGF983040:BGF983041 BQB983040:BQB983041 BZX983040:BZX983041 CJT983040:CJT983041 CTP983040:CTP983041 DDL983040:DDL983041 DNH983040:DNH983041 DXD983040:DXD983041 EGZ983040:EGZ983041 EQV983040:EQV983041 FAR983040:FAR983041 FKN983040:FKN983041 FUJ983040:FUJ983041 GEF983040:GEF983041 GOB983040:GOB983041 GXX983040:GXX983041 HHT983040:HHT983041 HRP983040:HRP983041 IBL983040:IBL983041 ILH983040:ILH983041 IVD983040:IVD983041 JEZ983040:JEZ983041 JOV983040:JOV983041 JYR983040:JYR983041 KIN983040:KIN983041 KSJ983040:KSJ983041 LCF983040:LCF983041 LMB983040:LMB983041 LVX983040:LVX983041 MFT983040:MFT983041 MPP983040:MPP983041 MZL983040:MZL983041 NJH983040:NJH983041 NTD983040:NTD983041 OCZ983040:OCZ983041 OMV983040:OMV983041 OWR983040:OWR983041 PGN983040:PGN983041 PQJ983040:PQJ983041 QAF983040:QAF983041 QKB983040:QKB983041 QTX983040:QTX983041 RDT983040:RDT983041 RNP983040:RNP983041 RXL983040:RXL983041 SHH983040:SHH983041 SRD983040:SRD983041 TAZ983040:TAZ983041 TKV983040:TKV983041 TUR983040:TUR983041 UEN983040:UEN983041 UOJ983040:UOJ983041 UYF983040:UYF983041 VIB983040:VIB983041 VRX983040:VRX983041 WBT983040:WBT983041 WLP983040:WLP983041 WVL983040:WVL983041" xr:uid="{00000000-0002-0000-1D00-000001000000}">
      <formula1>27395</formula1>
    </dataValidation>
    <dataValidation operator="greaterThanOrEqual" allowBlank="1" showInputMessage="1" showErrorMessage="1" sqref="B65501:B65502 IX65501:IX65502 ST65501:ST65502 ACP65501:ACP65502 AML65501:AML65502 AWH65501:AWH65502 BGD65501:BGD65502 BPZ65501:BPZ65502 BZV65501:BZV65502 CJR65501:CJR65502 CTN65501:CTN65502 DDJ65501:DDJ65502 DNF65501:DNF65502 DXB65501:DXB65502 EGX65501:EGX65502 EQT65501:EQT65502 FAP65501:FAP65502 FKL65501:FKL65502 FUH65501:FUH65502 GED65501:GED65502 GNZ65501:GNZ65502 GXV65501:GXV65502 HHR65501:HHR65502 HRN65501:HRN65502 IBJ65501:IBJ65502 ILF65501:ILF65502 IVB65501:IVB65502 JEX65501:JEX65502 JOT65501:JOT65502 JYP65501:JYP65502 KIL65501:KIL65502 KSH65501:KSH65502 LCD65501:LCD65502 LLZ65501:LLZ65502 LVV65501:LVV65502 MFR65501:MFR65502 MPN65501:MPN65502 MZJ65501:MZJ65502 NJF65501:NJF65502 NTB65501:NTB65502 OCX65501:OCX65502 OMT65501:OMT65502 OWP65501:OWP65502 PGL65501:PGL65502 PQH65501:PQH65502 QAD65501:QAD65502 QJZ65501:QJZ65502 QTV65501:QTV65502 RDR65501:RDR65502 RNN65501:RNN65502 RXJ65501:RXJ65502 SHF65501:SHF65502 SRB65501:SRB65502 TAX65501:TAX65502 TKT65501:TKT65502 TUP65501:TUP65502 UEL65501:UEL65502 UOH65501:UOH65502 UYD65501:UYD65502 VHZ65501:VHZ65502 VRV65501:VRV65502 WBR65501:WBR65502 WLN65501:WLN65502 WVJ65501:WVJ65502 B131037:B131038 IX131037:IX131038 ST131037:ST131038 ACP131037:ACP131038 AML131037:AML131038 AWH131037:AWH131038 BGD131037:BGD131038 BPZ131037:BPZ131038 BZV131037:BZV131038 CJR131037:CJR131038 CTN131037:CTN131038 DDJ131037:DDJ131038 DNF131037:DNF131038 DXB131037:DXB131038 EGX131037:EGX131038 EQT131037:EQT131038 FAP131037:FAP131038 FKL131037:FKL131038 FUH131037:FUH131038 GED131037:GED131038 GNZ131037:GNZ131038 GXV131037:GXV131038 HHR131037:HHR131038 HRN131037:HRN131038 IBJ131037:IBJ131038 ILF131037:ILF131038 IVB131037:IVB131038 JEX131037:JEX131038 JOT131037:JOT131038 JYP131037:JYP131038 KIL131037:KIL131038 KSH131037:KSH131038 LCD131037:LCD131038 LLZ131037:LLZ131038 LVV131037:LVV131038 MFR131037:MFR131038 MPN131037:MPN131038 MZJ131037:MZJ131038 NJF131037:NJF131038 NTB131037:NTB131038 OCX131037:OCX131038 OMT131037:OMT131038 OWP131037:OWP131038 PGL131037:PGL131038 PQH131037:PQH131038 QAD131037:QAD131038 QJZ131037:QJZ131038 QTV131037:QTV131038 RDR131037:RDR131038 RNN131037:RNN131038 RXJ131037:RXJ131038 SHF131037:SHF131038 SRB131037:SRB131038 TAX131037:TAX131038 TKT131037:TKT131038 TUP131037:TUP131038 UEL131037:UEL131038 UOH131037:UOH131038 UYD131037:UYD131038 VHZ131037:VHZ131038 VRV131037:VRV131038 WBR131037:WBR131038 WLN131037:WLN131038 WVJ131037:WVJ131038 B196573:B196574 IX196573:IX196574 ST196573:ST196574 ACP196573:ACP196574 AML196573:AML196574 AWH196573:AWH196574 BGD196573:BGD196574 BPZ196573:BPZ196574 BZV196573:BZV196574 CJR196573:CJR196574 CTN196573:CTN196574 DDJ196573:DDJ196574 DNF196573:DNF196574 DXB196573:DXB196574 EGX196573:EGX196574 EQT196573:EQT196574 FAP196573:FAP196574 FKL196573:FKL196574 FUH196573:FUH196574 GED196573:GED196574 GNZ196573:GNZ196574 GXV196573:GXV196574 HHR196573:HHR196574 HRN196573:HRN196574 IBJ196573:IBJ196574 ILF196573:ILF196574 IVB196573:IVB196574 JEX196573:JEX196574 JOT196573:JOT196574 JYP196573:JYP196574 KIL196573:KIL196574 KSH196573:KSH196574 LCD196573:LCD196574 LLZ196573:LLZ196574 LVV196573:LVV196574 MFR196573:MFR196574 MPN196573:MPN196574 MZJ196573:MZJ196574 NJF196573:NJF196574 NTB196573:NTB196574 OCX196573:OCX196574 OMT196573:OMT196574 OWP196573:OWP196574 PGL196573:PGL196574 PQH196573:PQH196574 QAD196573:QAD196574 QJZ196573:QJZ196574 QTV196573:QTV196574 RDR196573:RDR196574 RNN196573:RNN196574 RXJ196573:RXJ196574 SHF196573:SHF196574 SRB196573:SRB196574 TAX196573:TAX196574 TKT196573:TKT196574 TUP196573:TUP196574 UEL196573:UEL196574 UOH196573:UOH196574 UYD196573:UYD196574 VHZ196573:VHZ196574 VRV196573:VRV196574 WBR196573:WBR196574 WLN196573:WLN196574 WVJ196573:WVJ196574 B262109:B262110 IX262109:IX262110 ST262109:ST262110 ACP262109:ACP262110 AML262109:AML262110 AWH262109:AWH262110 BGD262109:BGD262110 BPZ262109:BPZ262110 BZV262109:BZV262110 CJR262109:CJR262110 CTN262109:CTN262110 DDJ262109:DDJ262110 DNF262109:DNF262110 DXB262109:DXB262110 EGX262109:EGX262110 EQT262109:EQT262110 FAP262109:FAP262110 FKL262109:FKL262110 FUH262109:FUH262110 GED262109:GED262110 GNZ262109:GNZ262110 GXV262109:GXV262110 HHR262109:HHR262110 HRN262109:HRN262110 IBJ262109:IBJ262110 ILF262109:ILF262110 IVB262109:IVB262110 JEX262109:JEX262110 JOT262109:JOT262110 JYP262109:JYP262110 KIL262109:KIL262110 KSH262109:KSH262110 LCD262109:LCD262110 LLZ262109:LLZ262110 LVV262109:LVV262110 MFR262109:MFR262110 MPN262109:MPN262110 MZJ262109:MZJ262110 NJF262109:NJF262110 NTB262109:NTB262110 OCX262109:OCX262110 OMT262109:OMT262110 OWP262109:OWP262110 PGL262109:PGL262110 PQH262109:PQH262110 QAD262109:QAD262110 QJZ262109:QJZ262110 QTV262109:QTV262110 RDR262109:RDR262110 RNN262109:RNN262110 RXJ262109:RXJ262110 SHF262109:SHF262110 SRB262109:SRB262110 TAX262109:TAX262110 TKT262109:TKT262110 TUP262109:TUP262110 UEL262109:UEL262110 UOH262109:UOH262110 UYD262109:UYD262110 VHZ262109:VHZ262110 VRV262109:VRV262110 WBR262109:WBR262110 WLN262109:WLN262110 WVJ262109:WVJ262110 B327645:B327646 IX327645:IX327646 ST327645:ST327646 ACP327645:ACP327646 AML327645:AML327646 AWH327645:AWH327646 BGD327645:BGD327646 BPZ327645:BPZ327646 BZV327645:BZV327646 CJR327645:CJR327646 CTN327645:CTN327646 DDJ327645:DDJ327646 DNF327645:DNF327646 DXB327645:DXB327646 EGX327645:EGX327646 EQT327645:EQT327646 FAP327645:FAP327646 FKL327645:FKL327646 FUH327645:FUH327646 GED327645:GED327646 GNZ327645:GNZ327646 GXV327645:GXV327646 HHR327645:HHR327646 HRN327645:HRN327646 IBJ327645:IBJ327646 ILF327645:ILF327646 IVB327645:IVB327646 JEX327645:JEX327646 JOT327645:JOT327646 JYP327645:JYP327646 KIL327645:KIL327646 KSH327645:KSH327646 LCD327645:LCD327646 LLZ327645:LLZ327646 LVV327645:LVV327646 MFR327645:MFR327646 MPN327645:MPN327646 MZJ327645:MZJ327646 NJF327645:NJF327646 NTB327645:NTB327646 OCX327645:OCX327646 OMT327645:OMT327646 OWP327645:OWP327646 PGL327645:PGL327646 PQH327645:PQH327646 QAD327645:QAD327646 QJZ327645:QJZ327646 QTV327645:QTV327646 RDR327645:RDR327646 RNN327645:RNN327646 RXJ327645:RXJ327646 SHF327645:SHF327646 SRB327645:SRB327646 TAX327645:TAX327646 TKT327645:TKT327646 TUP327645:TUP327646 UEL327645:UEL327646 UOH327645:UOH327646 UYD327645:UYD327646 VHZ327645:VHZ327646 VRV327645:VRV327646 WBR327645:WBR327646 WLN327645:WLN327646 WVJ327645:WVJ327646 B393181:B393182 IX393181:IX393182 ST393181:ST393182 ACP393181:ACP393182 AML393181:AML393182 AWH393181:AWH393182 BGD393181:BGD393182 BPZ393181:BPZ393182 BZV393181:BZV393182 CJR393181:CJR393182 CTN393181:CTN393182 DDJ393181:DDJ393182 DNF393181:DNF393182 DXB393181:DXB393182 EGX393181:EGX393182 EQT393181:EQT393182 FAP393181:FAP393182 FKL393181:FKL393182 FUH393181:FUH393182 GED393181:GED393182 GNZ393181:GNZ393182 GXV393181:GXV393182 HHR393181:HHR393182 HRN393181:HRN393182 IBJ393181:IBJ393182 ILF393181:ILF393182 IVB393181:IVB393182 JEX393181:JEX393182 JOT393181:JOT393182 JYP393181:JYP393182 KIL393181:KIL393182 KSH393181:KSH393182 LCD393181:LCD393182 LLZ393181:LLZ393182 LVV393181:LVV393182 MFR393181:MFR393182 MPN393181:MPN393182 MZJ393181:MZJ393182 NJF393181:NJF393182 NTB393181:NTB393182 OCX393181:OCX393182 OMT393181:OMT393182 OWP393181:OWP393182 PGL393181:PGL393182 PQH393181:PQH393182 QAD393181:QAD393182 QJZ393181:QJZ393182 QTV393181:QTV393182 RDR393181:RDR393182 RNN393181:RNN393182 RXJ393181:RXJ393182 SHF393181:SHF393182 SRB393181:SRB393182 TAX393181:TAX393182 TKT393181:TKT393182 TUP393181:TUP393182 UEL393181:UEL393182 UOH393181:UOH393182 UYD393181:UYD393182 VHZ393181:VHZ393182 VRV393181:VRV393182 WBR393181:WBR393182 WLN393181:WLN393182 WVJ393181:WVJ393182 B458717:B458718 IX458717:IX458718 ST458717:ST458718 ACP458717:ACP458718 AML458717:AML458718 AWH458717:AWH458718 BGD458717:BGD458718 BPZ458717:BPZ458718 BZV458717:BZV458718 CJR458717:CJR458718 CTN458717:CTN458718 DDJ458717:DDJ458718 DNF458717:DNF458718 DXB458717:DXB458718 EGX458717:EGX458718 EQT458717:EQT458718 FAP458717:FAP458718 FKL458717:FKL458718 FUH458717:FUH458718 GED458717:GED458718 GNZ458717:GNZ458718 GXV458717:GXV458718 HHR458717:HHR458718 HRN458717:HRN458718 IBJ458717:IBJ458718 ILF458717:ILF458718 IVB458717:IVB458718 JEX458717:JEX458718 JOT458717:JOT458718 JYP458717:JYP458718 KIL458717:KIL458718 KSH458717:KSH458718 LCD458717:LCD458718 LLZ458717:LLZ458718 LVV458717:LVV458718 MFR458717:MFR458718 MPN458717:MPN458718 MZJ458717:MZJ458718 NJF458717:NJF458718 NTB458717:NTB458718 OCX458717:OCX458718 OMT458717:OMT458718 OWP458717:OWP458718 PGL458717:PGL458718 PQH458717:PQH458718 QAD458717:QAD458718 QJZ458717:QJZ458718 QTV458717:QTV458718 RDR458717:RDR458718 RNN458717:RNN458718 RXJ458717:RXJ458718 SHF458717:SHF458718 SRB458717:SRB458718 TAX458717:TAX458718 TKT458717:TKT458718 TUP458717:TUP458718 UEL458717:UEL458718 UOH458717:UOH458718 UYD458717:UYD458718 VHZ458717:VHZ458718 VRV458717:VRV458718 WBR458717:WBR458718 WLN458717:WLN458718 WVJ458717:WVJ458718 B524253:B524254 IX524253:IX524254 ST524253:ST524254 ACP524253:ACP524254 AML524253:AML524254 AWH524253:AWH524254 BGD524253:BGD524254 BPZ524253:BPZ524254 BZV524253:BZV524254 CJR524253:CJR524254 CTN524253:CTN524254 DDJ524253:DDJ524254 DNF524253:DNF524254 DXB524253:DXB524254 EGX524253:EGX524254 EQT524253:EQT524254 FAP524253:FAP524254 FKL524253:FKL524254 FUH524253:FUH524254 GED524253:GED524254 GNZ524253:GNZ524254 GXV524253:GXV524254 HHR524253:HHR524254 HRN524253:HRN524254 IBJ524253:IBJ524254 ILF524253:ILF524254 IVB524253:IVB524254 JEX524253:JEX524254 JOT524253:JOT524254 JYP524253:JYP524254 KIL524253:KIL524254 KSH524253:KSH524254 LCD524253:LCD524254 LLZ524253:LLZ524254 LVV524253:LVV524254 MFR524253:MFR524254 MPN524253:MPN524254 MZJ524253:MZJ524254 NJF524253:NJF524254 NTB524253:NTB524254 OCX524253:OCX524254 OMT524253:OMT524254 OWP524253:OWP524254 PGL524253:PGL524254 PQH524253:PQH524254 QAD524253:QAD524254 QJZ524253:QJZ524254 QTV524253:QTV524254 RDR524253:RDR524254 RNN524253:RNN524254 RXJ524253:RXJ524254 SHF524253:SHF524254 SRB524253:SRB524254 TAX524253:TAX524254 TKT524253:TKT524254 TUP524253:TUP524254 UEL524253:UEL524254 UOH524253:UOH524254 UYD524253:UYD524254 VHZ524253:VHZ524254 VRV524253:VRV524254 WBR524253:WBR524254 WLN524253:WLN524254 WVJ524253:WVJ524254 B589789:B589790 IX589789:IX589790 ST589789:ST589790 ACP589789:ACP589790 AML589789:AML589790 AWH589789:AWH589790 BGD589789:BGD589790 BPZ589789:BPZ589790 BZV589789:BZV589790 CJR589789:CJR589790 CTN589789:CTN589790 DDJ589789:DDJ589790 DNF589789:DNF589790 DXB589789:DXB589790 EGX589789:EGX589790 EQT589789:EQT589790 FAP589789:FAP589790 FKL589789:FKL589790 FUH589789:FUH589790 GED589789:GED589790 GNZ589789:GNZ589790 GXV589789:GXV589790 HHR589789:HHR589790 HRN589789:HRN589790 IBJ589789:IBJ589790 ILF589789:ILF589790 IVB589789:IVB589790 JEX589789:JEX589790 JOT589789:JOT589790 JYP589789:JYP589790 KIL589789:KIL589790 KSH589789:KSH589790 LCD589789:LCD589790 LLZ589789:LLZ589790 LVV589789:LVV589790 MFR589789:MFR589790 MPN589789:MPN589790 MZJ589789:MZJ589790 NJF589789:NJF589790 NTB589789:NTB589790 OCX589789:OCX589790 OMT589789:OMT589790 OWP589789:OWP589790 PGL589789:PGL589790 PQH589789:PQH589790 QAD589789:QAD589790 QJZ589789:QJZ589790 QTV589789:QTV589790 RDR589789:RDR589790 RNN589789:RNN589790 RXJ589789:RXJ589790 SHF589789:SHF589790 SRB589789:SRB589790 TAX589789:TAX589790 TKT589789:TKT589790 TUP589789:TUP589790 UEL589789:UEL589790 UOH589789:UOH589790 UYD589789:UYD589790 VHZ589789:VHZ589790 VRV589789:VRV589790 WBR589789:WBR589790 WLN589789:WLN589790 WVJ589789:WVJ589790 B655325:B655326 IX655325:IX655326 ST655325:ST655326 ACP655325:ACP655326 AML655325:AML655326 AWH655325:AWH655326 BGD655325:BGD655326 BPZ655325:BPZ655326 BZV655325:BZV655326 CJR655325:CJR655326 CTN655325:CTN655326 DDJ655325:DDJ655326 DNF655325:DNF655326 DXB655325:DXB655326 EGX655325:EGX655326 EQT655325:EQT655326 FAP655325:FAP655326 FKL655325:FKL655326 FUH655325:FUH655326 GED655325:GED655326 GNZ655325:GNZ655326 GXV655325:GXV655326 HHR655325:HHR655326 HRN655325:HRN655326 IBJ655325:IBJ655326 ILF655325:ILF655326 IVB655325:IVB655326 JEX655325:JEX655326 JOT655325:JOT655326 JYP655325:JYP655326 KIL655325:KIL655326 KSH655325:KSH655326 LCD655325:LCD655326 LLZ655325:LLZ655326 LVV655325:LVV655326 MFR655325:MFR655326 MPN655325:MPN655326 MZJ655325:MZJ655326 NJF655325:NJF655326 NTB655325:NTB655326 OCX655325:OCX655326 OMT655325:OMT655326 OWP655325:OWP655326 PGL655325:PGL655326 PQH655325:PQH655326 QAD655325:QAD655326 QJZ655325:QJZ655326 QTV655325:QTV655326 RDR655325:RDR655326 RNN655325:RNN655326 RXJ655325:RXJ655326 SHF655325:SHF655326 SRB655325:SRB655326 TAX655325:TAX655326 TKT655325:TKT655326 TUP655325:TUP655326 UEL655325:UEL655326 UOH655325:UOH655326 UYD655325:UYD655326 VHZ655325:VHZ655326 VRV655325:VRV655326 WBR655325:WBR655326 WLN655325:WLN655326 WVJ655325:WVJ655326 B720861:B720862 IX720861:IX720862 ST720861:ST720862 ACP720861:ACP720862 AML720861:AML720862 AWH720861:AWH720862 BGD720861:BGD720862 BPZ720861:BPZ720862 BZV720861:BZV720862 CJR720861:CJR720862 CTN720861:CTN720862 DDJ720861:DDJ720862 DNF720861:DNF720862 DXB720861:DXB720862 EGX720861:EGX720862 EQT720861:EQT720862 FAP720861:FAP720862 FKL720861:FKL720862 FUH720861:FUH720862 GED720861:GED720862 GNZ720861:GNZ720862 GXV720861:GXV720862 HHR720861:HHR720862 HRN720861:HRN720862 IBJ720861:IBJ720862 ILF720861:ILF720862 IVB720861:IVB720862 JEX720861:JEX720862 JOT720861:JOT720862 JYP720861:JYP720862 KIL720861:KIL720862 KSH720861:KSH720862 LCD720861:LCD720862 LLZ720861:LLZ720862 LVV720861:LVV720862 MFR720861:MFR720862 MPN720861:MPN720862 MZJ720861:MZJ720862 NJF720861:NJF720862 NTB720861:NTB720862 OCX720861:OCX720862 OMT720861:OMT720862 OWP720861:OWP720862 PGL720861:PGL720862 PQH720861:PQH720862 QAD720861:QAD720862 QJZ720861:QJZ720862 QTV720861:QTV720862 RDR720861:RDR720862 RNN720861:RNN720862 RXJ720861:RXJ720862 SHF720861:SHF720862 SRB720861:SRB720862 TAX720861:TAX720862 TKT720861:TKT720862 TUP720861:TUP720862 UEL720861:UEL720862 UOH720861:UOH720862 UYD720861:UYD720862 VHZ720861:VHZ720862 VRV720861:VRV720862 WBR720861:WBR720862 WLN720861:WLN720862 WVJ720861:WVJ720862 B786397:B786398 IX786397:IX786398 ST786397:ST786398 ACP786397:ACP786398 AML786397:AML786398 AWH786397:AWH786398 BGD786397:BGD786398 BPZ786397:BPZ786398 BZV786397:BZV786398 CJR786397:CJR786398 CTN786397:CTN786398 DDJ786397:DDJ786398 DNF786397:DNF786398 DXB786397:DXB786398 EGX786397:EGX786398 EQT786397:EQT786398 FAP786397:FAP786398 FKL786397:FKL786398 FUH786397:FUH786398 GED786397:GED786398 GNZ786397:GNZ786398 GXV786397:GXV786398 HHR786397:HHR786398 HRN786397:HRN786398 IBJ786397:IBJ786398 ILF786397:ILF786398 IVB786397:IVB786398 JEX786397:JEX786398 JOT786397:JOT786398 JYP786397:JYP786398 KIL786397:KIL786398 KSH786397:KSH786398 LCD786397:LCD786398 LLZ786397:LLZ786398 LVV786397:LVV786398 MFR786397:MFR786398 MPN786397:MPN786398 MZJ786397:MZJ786398 NJF786397:NJF786398 NTB786397:NTB786398 OCX786397:OCX786398 OMT786397:OMT786398 OWP786397:OWP786398 PGL786397:PGL786398 PQH786397:PQH786398 QAD786397:QAD786398 QJZ786397:QJZ786398 QTV786397:QTV786398 RDR786397:RDR786398 RNN786397:RNN786398 RXJ786397:RXJ786398 SHF786397:SHF786398 SRB786397:SRB786398 TAX786397:TAX786398 TKT786397:TKT786398 TUP786397:TUP786398 UEL786397:UEL786398 UOH786397:UOH786398 UYD786397:UYD786398 VHZ786397:VHZ786398 VRV786397:VRV786398 WBR786397:WBR786398 WLN786397:WLN786398 WVJ786397:WVJ786398 B851933:B851934 IX851933:IX851934 ST851933:ST851934 ACP851933:ACP851934 AML851933:AML851934 AWH851933:AWH851934 BGD851933:BGD851934 BPZ851933:BPZ851934 BZV851933:BZV851934 CJR851933:CJR851934 CTN851933:CTN851934 DDJ851933:DDJ851934 DNF851933:DNF851934 DXB851933:DXB851934 EGX851933:EGX851934 EQT851933:EQT851934 FAP851933:FAP851934 FKL851933:FKL851934 FUH851933:FUH851934 GED851933:GED851934 GNZ851933:GNZ851934 GXV851933:GXV851934 HHR851933:HHR851934 HRN851933:HRN851934 IBJ851933:IBJ851934 ILF851933:ILF851934 IVB851933:IVB851934 JEX851933:JEX851934 JOT851933:JOT851934 JYP851933:JYP851934 KIL851933:KIL851934 KSH851933:KSH851934 LCD851933:LCD851934 LLZ851933:LLZ851934 LVV851933:LVV851934 MFR851933:MFR851934 MPN851933:MPN851934 MZJ851933:MZJ851934 NJF851933:NJF851934 NTB851933:NTB851934 OCX851933:OCX851934 OMT851933:OMT851934 OWP851933:OWP851934 PGL851933:PGL851934 PQH851933:PQH851934 QAD851933:QAD851934 QJZ851933:QJZ851934 QTV851933:QTV851934 RDR851933:RDR851934 RNN851933:RNN851934 RXJ851933:RXJ851934 SHF851933:SHF851934 SRB851933:SRB851934 TAX851933:TAX851934 TKT851933:TKT851934 TUP851933:TUP851934 UEL851933:UEL851934 UOH851933:UOH851934 UYD851933:UYD851934 VHZ851933:VHZ851934 VRV851933:VRV851934 WBR851933:WBR851934 WLN851933:WLN851934 WVJ851933:WVJ851934 B917469:B917470 IX917469:IX917470 ST917469:ST917470 ACP917469:ACP917470 AML917469:AML917470 AWH917469:AWH917470 BGD917469:BGD917470 BPZ917469:BPZ917470 BZV917469:BZV917470 CJR917469:CJR917470 CTN917469:CTN917470 DDJ917469:DDJ917470 DNF917469:DNF917470 DXB917469:DXB917470 EGX917469:EGX917470 EQT917469:EQT917470 FAP917469:FAP917470 FKL917469:FKL917470 FUH917469:FUH917470 GED917469:GED917470 GNZ917469:GNZ917470 GXV917469:GXV917470 HHR917469:HHR917470 HRN917469:HRN917470 IBJ917469:IBJ917470 ILF917469:ILF917470 IVB917469:IVB917470 JEX917469:JEX917470 JOT917469:JOT917470 JYP917469:JYP917470 KIL917469:KIL917470 KSH917469:KSH917470 LCD917469:LCD917470 LLZ917469:LLZ917470 LVV917469:LVV917470 MFR917469:MFR917470 MPN917469:MPN917470 MZJ917469:MZJ917470 NJF917469:NJF917470 NTB917469:NTB917470 OCX917469:OCX917470 OMT917469:OMT917470 OWP917469:OWP917470 PGL917469:PGL917470 PQH917469:PQH917470 QAD917469:QAD917470 QJZ917469:QJZ917470 QTV917469:QTV917470 RDR917469:RDR917470 RNN917469:RNN917470 RXJ917469:RXJ917470 SHF917469:SHF917470 SRB917469:SRB917470 TAX917469:TAX917470 TKT917469:TKT917470 TUP917469:TUP917470 UEL917469:UEL917470 UOH917469:UOH917470 UYD917469:UYD917470 VHZ917469:VHZ917470 VRV917469:VRV917470 WBR917469:WBR917470 WLN917469:WLN917470 WVJ917469:WVJ917470 B983005:B983006 IX983005:IX983006 ST983005:ST983006 ACP983005:ACP983006 AML983005:AML983006 AWH983005:AWH983006 BGD983005:BGD983006 BPZ983005:BPZ983006 BZV983005:BZV983006 CJR983005:CJR983006 CTN983005:CTN983006 DDJ983005:DDJ983006 DNF983005:DNF983006 DXB983005:DXB983006 EGX983005:EGX983006 EQT983005:EQT983006 FAP983005:FAP983006 FKL983005:FKL983006 FUH983005:FUH983006 GED983005:GED983006 GNZ983005:GNZ983006 GXV983005:GXV983006 HHR983005:HHR983006 HRN983005:HRN983006 IBJ983005:IBJ983006 ILF983005:ILF983006 IVB983005:IVB983006 JEX983005:JEX983006 JOT983005:JOT983006 JYP983005:JYP983006 KIL983005:KIL983006 KSH983005:KSH983006 LCD983005:LCD983006 LLZ983005:LLZ983006 LVV983005:LVV983006 MFR983005:MFR983006 MPN983005:MPN983006 MZJ983005:MZJ983006 NJF983005:NJF983006 NTB983005:NTB983006 OCX983005:OCX983006 OMT983005:OMT983006 OWP983005:OWP983006 PGL983005:PGL983006 PQH983005:PQH983006 QAD983005:QAD983006 QJZ983005:QJZ983006 QTV983005:QTV983006 RDR983005:RDR983006 RNN983005:RNN983006 RXJ983005:RXJ983006 SHF983005:SHF983006 SRB983005:SRB983006 TAX983005:TAX983006 TKT983005:TKT983006 TUP983005:TUP983006 UEL983005:UEL983006 UOH983005:UOH983006 UYD983005:UYD983006 VHZ983005:VHZ983006 VRV983005:VRV983006 WBR983005:WBR983006 WLN983005:WLN983006 WVJ983005:WVJ983006 C65501:C65509 IY65501:IY65509 SU65501:SU65509 ACQ65501:ACQ65509 AMM65501:AMM65509 AWI65501:AWI65509 BGE65501:BGE65509 BQA65501:BQA65509 BZW65501:BZW65509 CJS65501:CJS65509 CTO65501:CTO65509 DDK65501:DDK65509 DNG65501:DNG65509 DXC65501:DXC65509 EGY65501:EGY65509 EQU65501:EQU65509 FAQ65501:FAQ65509 FKM65501:FKM65509 FUI65501:FUI65509 GEE65501:GEE65509 GOA65501:GOA65509 GXW65501:GXW65509 HHS65501:HHS65509 HRO65501:HRO65509 IBK65501:IBK65509 ILG65501:ILG65509 IVC65501:IVC65509 JEY65501:JEY65509 JOU65501:JOU65509 JYQ65501:JYQ65509 KIM65501:KIM65509 KSI65501:KSI65509 LCE65501:LCE65509 LMA65501:LMA65509 LVW65501:LVW65509 MFS65501:MFS65509 MPO65501:MPO65509 MZK65501:MZK65509 NJG65501:NJG65509 NTC65501:NTC65509 OCY65501:OCY65509 OMU65501:OMU65509 OWQ65501:OWQ65509 PGM65501:PGM65509 PQI65501:PQI65509 QAE65501:QAE65509 QKA65501:QKA65509 QTW65501:QTW65509 RDS65501:RDS65509 RNO65501:RNO65509 RXK65501:RXK65509 SHG65501:SHG65509 SRC65501:SRC65509 TAY65501:TAY65509 TKU65501:TKU65509 TUQ65501:TUQ65509 UEM65501:UEM65509 UOI65501:UOI65509 UYE65501:UYE65509 VIA65501:VIA65509 VRW65501:VRW65509 WBS65501:WBS65509 WLO65501:WLO65509 WVK65501:WVK65509 C131037:C131045 IY131037:IY131045 SU131037:SU131045 ACQ131037:ACQ131045 AMM131037:AMM131045 AWI131037:AWI131045 BGE131037:BGE131045 BQA131037:BQA131045 BZW131037:BZW131045 CJS131037:CJS131045 CTO131037:CTO131045 DDK131037:DDK131045 DNG131037:DNG131045 DXC131037:DXC131045 EGY131037:EGY131045 EQU131037:EQU131045 FAQ131037:FAQ131045 FKM131037:FKM131045 FUI131037:FUI131045 GEE131037:GEE131045 GOA131037:GOA131045 GXW131037:GXW131045 HHS131037:HHS131045 HRO131037:HRO131045 IBK131037:IBK131045 ILG131037:ILG131045 IVC131037:IVC131045 JEY131037:JEY131045 JOU131037:JOU131045 JYQ131037:JYQ131045 KIM131037:KIM131045 KSI131037:KSI131045 LCE131037:LCE131045 LMA131037:LMA131045 LVW131037:LVW131045 MFS131037:MFS131045 MPO131037:MPO131045 MZK131037:MZK131045 NJG131037:NJG131045 NTC131037:NTC131045 OCY131037:OCY131045 OMU131037:OMU131045 OWQ131037:OWQ131045 PGM131037:PGM131045 PQI131037:PQI131045 QAE131037:QAE131045 QKA131037:QKA131045 QTW131037:QTW131045 RDS131037:RDS131045 RNO131037:RNO131045 RXK131037:RXK131045 SHG131037:SHG131045 SRC131037:SRC131045 TAY131037:TAY131045 TKU131037:TKU131045 TUQ131037:TUQ131045 UEM131037:UEM131045 UOI131037:UOI131045 UYE131037:UYE131045 VIA131037:VIA131045 VRW131037:VRW131045 WBS131037:WBS131045 WLO131037:WLO131045 WVK131037:WVK131045 C196573:C196581 IY196573:IY196581 SU196573:SU196581 ACQ196573:ACQ196581 AMM196573:AMM196581 AWI196573:AWI196581 BGE196573:BGE196581 BQA196573:BQA196581 BZW196573:BZW196581 CJS196573:CJS196581 CTO196573:CTO196581 DDK196573:DDK196581 DNG196573:DNG196581 DXC196573:DXC196581 EGY196573:EGY196581 EQU196573:EQU196581 FAQ196573:FAQ196581 FKM196573:FKM196581 FUI196573:FUI196581 GEE196573:GEE196581 GOA196573:GOA196581 GXW196573:GXW196581 HHS196573:HHS196581 HRO196573:HRO196581 IBK196573:IBK196581 ILG196573:ILG196581 IVC196573:IVC196581 JEY196573:JEY196581 JOU196573:JOU196581 JYQ196573:JYQ196581 KIM196573:KIM196581 KSI196573:KSI196581 LCE196573:LCE196581 LMA196573:LMA196581 LVW196573:LVW196581 MFS196573:MFS196581 MPO196573:MPO196581 MZK196573:MZK196581 NJG196573:NJG196581 NTC196573:NTC196581 OCY196573:OCY196581 OMU196573:OMU196581 OWQ196573:OWQ196581 PGM196573:PGM196581 PQI196573:PQI196581 QAE196573:QAE196581 QKA196573:QKA196581 QTW196573:QTW196581 RDS196573:RDS196581 RNO196573:RNO196581 RXK196573:RXK196581 SHG196573:SHG196581 SRC196573:SRC196581 TAY196573:TAY196581 TKU196573:TKU196581 TUQ196573:TUQ196581 UEM196573:UEM196581 UOI196573:UOI196581 UYE196573:UYE196581 VIA196573:VIA196581 VRW196573:VRW196581 WBS196573:WBS196581 WLO196573:WLO196581 WVK196573:WVK196581 C262109:C262117 IY262109:IY262117 SU262109:SU262117 ACQ262109:ACQ262117 AMM262109:AMM262117 AWI262109:AWI262117 BGE262109:BGE262117 BQA262109:BQA262117 BZW262109:BZW262117 CJS262109:CJS262117 CTO262109:CTO262117 DDK262109:DDK262117 DNG262109:DNG262117 DXC262109:DXC262117 EGY262109:EGY262117 EQU262109:EQU262117 FAQ262109:FAQ262117 FKM262109:FKM262117 FUI262109:FUI262117 GEE262109:GEE262117 GOA262109:GOA262117 GXW262109:GXW262117 HHS262109:HHS262117 HRO262109:HRO262117 IBK262109:IBK262117 ILG262109:ILG262117 IVC262109:IVC262117 JEY262109:JEY262117 JOU262109:JOU262117 JYQ262109:JYQ262117 KIM262109:KIM262117 KSI262109:KSI262117 LCE262109:LCE262117 LMA262109:LMA262117 LVW262109:LVW262117 MFS262109:MFS262117 MPO262109:MPO262117 MZK262109:MZK262117 NJG262109:NJG262117 NTC262109:NTC262117 OCY262109:OCY262117 OMU262109:OMU262117 OWQ262109:OWQ262117 PGM262109:PGM262117 PQI262109:PQI262117 QAE262109:QAE262117 QKA262109:QKA262117 QTW262109:QTW262117 RDS262109:RDS262117 RNO262109:RNO262117 RXK262109:RXK262117 SHG262109:SHG262117 SRC262109:SRC262117 TAY262109:TAY262117 TKU262109:TKU262117 TUQ262109:TUQ262117 UEM262109:UEM262117 UOI262109:UOI262117 UYE262109:UYE262117 VIA262109:VIA262117 VRW262109:VRW262117 WBS262109:WBS262117 WLO262109:WLO262117 WVK262109:WVK262117 C327645:C327653 IY327645:IY327653 SU327645:SU327653 ACQ327645:ACQ327653 AMM327645:AMM327653 AWI327645:AWI327653 BGE327645:BGE327653 BQA327645:BQA327653 BZW327645:BZW327653 CJS327645:CJS327653 CTO327645:CTO327653 DDK327645:DDK327653 DNG327645:DNG327653 DXC327645:DXC327653 EGY327645:EGY327653 EQU327645:EQU327653 FAQ327645:FAQ327653 FKM327645:FKM327653 FUI327645:FUI327653 GEE327645:GEE327653 GOA327645:GOA327653 GXW327645:GXW327653 HHS327645:HHS327653 HRO327645:HRO327653 IBK327645:IBK327653 ILG327645:ILG327653 IVC327645:IVC327653 JEY327645:JEY327653 JOU327645:JOU327653 JYQ327645:JYQ327653 KIM327645:KIM327653 KSI327645:KSI327653 LCE327645:LCE327653 LMA327645:LMA327653 LVW327645:LVW327653 MFS327645:MFS327653 MPO327645:MPO327653 MZK327645:MZK327653 NJG327645:NJG327653 NTC327645:NTC327653 OCY327645:OCY327653 OMU327645:OMU327653 OWQ327645:OWQ327653 PGM327645:PGM327653 PQI327645:PQI327653 QAE327645:QAE327653 QKA327645:QKA327653 QTW327645:QTW327653 RDS327645:RDS327653 RNO327645:RNO327653 RXK327645:RXK327653 SHG327645:SHG327653 SRC327645:SRC327653 TAY327645:TAY327653 TKU327645:TKU327653 TUQ327645:TUQ327653 UEM327645:UEM327653 UOI327645:UOI327653 UYE327645:UYE327653 VIA327645:VIA327653 VRW327645:VRW327653 WBS327645:WBS327653 WLO327645:WLO327653 WVK327645:WVK327653 C393181:C393189 IY393181:IY393189 SU393181:SU393189 ACQ393181:ACQ393189 AMM393181:AMM393189 AWI393181:AWI393189 BGE393181:BGE393189 BQA393181:BQA393189 BZW393181:BZW393189 CJS393181:CJS393189 CTO393181:CTO393189 DDK393181:DDK393189 DNG393181:DNG393189 DXC393181:DXC393189 EGY393181:EGY393189 EQU393181:EQU393189 FAQ393181:FAQ393189 FKM393181:FKM393189 FUI393181:FUI393189 GEE393181:GEE393189 GOA393181:GOA393189 GXW393181:GXW393189 HHS393181:HHS393189 HRO393181:HRO393189 IBK393181:IBK393189 ILG393181:ILG393189 IVC393181:IVC393189 JEY393181:JEY393189 JOU393181:JOU393189 JYQ393181:JYQ393189 KIM393181:KIM393189 KSI393181:KSI393189 LCE393181:LCE393189 LMA393181:LMA393189 LVW393181:LVW393189 MFS393181:MFS393189 MPO393181:MPO393189 MZK393181:MZK393189 NJG393181:NJG393189 NTC393181:NTC393189 OCY393181:OCY393189 OMU393181:OMU393189 OWQ393181:OWQ393189 PGM393181:PGM393189 PQI393181:PQI393189 QAE393181:QAE393189 QKA393181:QKA393189 QTW393181:QTW393189 RDS393181:RDS393189 RNO393181:RNO393189 RXK393181:RXK393189 SHG393181:SHG393189 SRC393181:SRC393189 TAY393181:TAY393189 TKU393181:TKU393189 TUQ393181:TUQ393189 UEM393181:UEM393189 UOI393181:UOI393189 UYE393181:UYE393189 VIA393181:VIA393189 VRW393181:VRW393189 WBS393181:WBS393189 WLO393181:WLO393189 WVK393181:WVK393189 C458717:C458725 IY458717:IY458725 SU458717:SU458725 ACQ458717:ACQ458725 AMM458717:AMM458725 AWI458717:AWI458725 BGE458717:BGE458725 BQA458717:BQA458725 BZW458717:BZW458725 CJS458717:CJS458725 CTO458717:CTO458725 DDK458717:DDK458725 DNG458717:DNG458725 DXC458717:DXC458725 EGY458717:EGY458725 EQU458717:EQU458725 FAQ458717:FAQ458725 FKM458717:FKM458725 FUI458717:FUI458725 GEE458717:GEE458725 GOA458717:GOA458725 GXW458717:GXW458725 HHS458717:HHS458725 HRO458717:HRO458725 IBK458717:IBK458725 ILG458717:ILG458725 IVC458717:IVC458725 JEY458717:JEY458725 JOU458717:JOU458725 JYQ458717:JYQ458725 KIM458717:KIM458725 KSI458717:KSI458725 LCE458717:LCE458725 LMA458717:LMA458725 LVW458717:LVW458725 MFS458717:MFS458725 MPO458717:MPO458725 MZK458717:MZK458725 NJG458717:NJG458725 NTC458717:NTC458725 OCY458717:OCY458725 OMU458717:OMU458725 OWQ458717:OWQ458725 PGM458717:PGM458725 PQI458717:PQI458725 QAE458717:QAE458725 QKA458717:QKA458725 QTW458717:QTW458725 RDS458717:RDS458725 RNO458717:RNO458725 RXK458717:RXK458725 SHG458717:SHG458725 SRC458717:SRC458725 TAY458717:TAY458725 TKU458717:TKU458725 TUQ458717:TUQ458725 UEM458717:UEM458725 UOI458717:UOI458725 UYE458717:UYE458725 VIA458717:VIA458725 VRW458717:VRW458725 WBS458717:WBS458725 WLO458717:WLO458725 WVK458717:WVK458725 C524253:C524261 IY524253:IY524261 SU524253:SU524261 ACQ524253:ACQ524261 AMM524253:AMM524261 AWI524253:AWI524261 BGE524253:BGE524261 BQA524253:BQA524261 BZW524253:BZW524261 CJS524253:CJS524261 CTO524253:CTO524261 DDK524253:DDK524261 DNG524253:DNG524261 DXC524253:DXC524261 EGY524253:EGY524261 EQU524253:EQU524261 FAQ524253:FAQ524261 FKM524253:FKM524261 FUI524253:FUI524261 GEE524253:GEE524261 GOA524253:GOA524261 GXW524253:GXW524261 HHS524253:HHS524261 HRO524253:HRO524261 IBK524253:IBK524261 ILG524253:ILG524261 IVC524253:IVC524261 JEY524253:JEY524261 JOU524253:JOU524261 JYQ524253:JYQ524261 KIM524253:KIM524261 KSI524253:KSI524261 LCE524253:LCE524261 LMA524253:LMA524261 LVW524253:LVW524261 MFS524253:MFS524261 MPO524253:MPO524261 MZK524253:MZK524261 NJG524253:NJG524261 NTC524253:NTC524261 OCY524253:OCY524261 OMU524253:OMU524261 OWQ524253:OWQ524261 PGM524253:PGM524261 PQI524253:PQI524261 QAE524253:QAE524261 QKA524253:QKA524261 QTW524253:QTW524261 RDS524253:RDS524261 RNO524253:RNO524261 RXK524253:RXK524261 SHG524253:SHG524261 SRC524253:SRC524261 TAY524253:TAY524261 TKU524253:TKU524261 TUQ524253:TUQ524261 UEM524253:UEM524261 UOI524253:UOI524261 UYE524253:UYE524261 VIA524253:VIA524261 VRW524253:VRW524261 WBS524253:WBS524261 WLO524253:WLO524261 WVK524253:WVK524261 C589789:C589797 IY589789:IY589797 SU589789:SU589797 ACQ589789:ACQ589797 AMM589789:AMM589797 AWI589789:AWI589797 BGE589789:BGE589797 BQA589789:BQA589797 BZW589789:BZW589797 CJS589789:CJS589797 CTO589789:CTO589797 DDK589789:DDK589797 DNG589789:DNG589797 DXC589789:DXC589797 EGY589789:EGY589797 EQU589789:EQU589797 FAQ589789:FAQ589797 FKM589789:FKM589797 FUI589789:FUI589797 GEE589789:GEE589797 GOA589789:GOA589797 GXW589789:GXW589797 HHS589789:HHS589797 HRO589789:HRO589797 IBK589789:IBK589797 ILG589789:ILG589797 IVC589789:IVC589797 JEY589789:JEY589797 JOU589789:JOU589797 JYQ589789:JYQ589797 KIM589789:KIM589797 KSI589789:KSI589797 LCE589789:LCE589797 LMA589789:LMA589797 LVW589789:LVW589797 MFS589789:MFS589797 MPO589789:MPO589797 MZK589789:MZK589797 NJG589789:NJG589797 NTC589789:NTC589797 OCY589789:OCY589797 OMU589789:OMU589797 OWQ589789:OWQ589797 PGM589789:PGM589797 PQI589789:PQI589797 QAE589789:QAE589797 QKA589789:QKA589797 QTW589789:QTW589797 RDS589789:RDS589797 RNO589789:RNO589797 RXK589789:RXK589797 SHG589789:SHG589797 SRC589789:SRC589797 TAY589789:TAY589797 TKU589789:TKU589797 TUQ589789:TUQ589797 UEM589789:UEM589797 UOI589789:UOI589797 UYE589789:UYE589797 VIA589789:VIA589797 VRW589789:VRW589797 WBS589789:WBS589797 WLO589789:WLO589797 WVK589789:WVK589797 C655325:C655333 IY655325:IY655333 SU655325:SU655333 ACQ655325:ACQ655333 AMM655325:AMM655333 AWI655325:AWI655333 BGE655325:BGE655333 BQA655325:BQA655333 BZW655325:BZW655333 CJS655325:CJS655333 CTO655325:CTO655333 DDK655325:DDK655333 DNG655325:DNG655333 DXC655325:DXC655333 EGY655325:EGY655333 EQU655325:EQU655333 FAQ655325:FAQ655333 FKM655325:FKM655333 FUI655325:FUI655333 GEE655325:GEE655333 GOA655325:GOA655333 GXW655325:GXW655333 HHS655325:HHS655333 HRO655325:HRO655333 IBK655325:IBK655333 ILG655325:ILG655333 IVC655325:IVC655333 JEY655325:JEY655333 JOU655325:JOU655333 JYQ655325:JYQ655333 KIM655325:KIM655333 KSI655325:KSI655333 LCE655325:LCE655333 LMA655325:LMA655333 LVW655325:LVW655333 MFS655325:MFS655333 MPO655325:MPO655333 MZK655325:MZK655333 NJG655325:NJG655333 NTC655325:NTC655333 OCY655325:OCY655333 OMU655325:OMU655333 OWQ655325:OWQ655333 PGM655325:PGM655333 PQI655325:PQI655333 QAE655325:QAE655333 QKA655325:QKA655333 QTW655325:QTW655333 RDS655325:RDS655333 RNO655325:RNO655333 RXK655325:RXK655333 SHG655325:SHG655333 SRC655325:SRC655333 TAY655325:TAY655333 TKU655325:TKU655333 TUQ655325:TUQ655333 UEM655325:UEM655333 UOI655325:UOI655333 UYE655325:UYE655333 VIA655325:VIA655333 VRW655325:VRW655333 WBS655325:WBS655333 WLO655325:WLO655333 WVK655325:WVK655333 C720861:C720869 IY720861:IY720869 SU720861:SU720869 ACQ720861:ACQ720869 AMM720861:AMM720869 AWI720861:AWI720869 BGE720861:BGE720869 BQA720861:BQA720869 BZW720861:BZW720869 CJS720861:CJS720869 CTO720861:CTO720869 DDK720861:DDK720869 DNG720861:DNG720869 DXC720861:DXC720869 EGY720861:EGY720869 EQU720861:EQU720869 FAQ720861:FAQ720869 FKM720861:FKM720869 FUI720861:FUI720869 GEE720861:GEE720869 GOA720861:GOA720869 GXW720861:GXW720869 HHS720861:HHS720869 HRO720861:HRO720869 IBK720861:IBK720869 ILG720861:ILG720869 IVC720861:IVC720869 JEY720861:JEY720869 JOU720861:JOU720869 JYQ720861:JYQ720869 KIM720861:KIM720869 KSI720861:KSI720869 LCE720861:LCE720869 LMA720861:LMA720869 LVW720861:LVW720869 MFS720861:MFS720869 MPO720861:MPO720869 MZK720861:MZK720869 NJG720861:NJG720869 NTC720861:NTC720869 OCY720861:OCY720869 OMU720861:OMU720869 OWQ720861:OWQ720869 PGM720861:PGM720869 PQI720861:PQI720869 QAE720861:QAE720869 QKA720861:QKA720869 QTW720861:QTW720869 RDS720861:RDS720869 RNO720861:RNO720869 RXK720861:RXK720869 SHG720861:SHG720869 SRC720861:SRC720869 TAY720861:TAY720869 TKU720861:TKU720869 TUQ720861:TUQ720869 UEM720861:UEM720869 UOI720861:UOI720869 UYE720861:UYE720869 VIA720861:VIA720869 VRW720861:VRW720869 WBS720861:WBS720869 WLO720861:WLO720869 WVK720861:WVK720869 C786397:C786405 IY786397:IY786405 SU786397:SU786405 ACQ786397:ACQ786405 AMM786397:AMM786405 AWI786397:AWI786405 BGE786397:BGE786405 BQA786397:BQA786405 BZW786397:BZW786405 CJS786397:CJS786405 CTO786397:CTO786405 DDK786397:DDK786405 DNG786397:DNG786405 DXC786397:DXC786405 EGY786397:EGY786405 EQU786397:EQU786405 FAQ786397:FAQ786405 FKM786397:FKM786405 FUI786397:FUI786405 GEE786397:GEE786405 GOA786397:GOA786405 GXW786397:GXW786405 HHS786397:HHS786405 HRO786397:HRO786405 IBK786397:IBK786405 ILG786397:ILG786405 IVC786397:IVC786405 JEY786397:JEY786405 JOU786397:JOU786405 JYQ786397:JYQ786405 KIM786397:KIM786405 KSI786397:KSI786405 LCE786397:LCE786405 LMA786397:LMA786405 LVW786397:LVW786405 MFS786397:MFS786405 MPO786397:MPO786405 MZK786397:MZK786405 NJG786397:NJG786405 NTC786397:NTC786405 OCY786397:OCY786405 OMU786397:OMU786405 OWQ786397:OWQ786405 PGM786397:PGM786405 PQI786397:PQI786405 QAE786397:QAE786405 QKA786397:QKA786405 QTW786397:QTW786405 RDS786397:RDS786405 RNO786397:RNO786405 RXK786397:RXK786405 SHG786397:SHG786405 SRC786397:SRC786405 TAY786397:TAY786405 TKU786397:TKU786405 TUQ786397:TUQ786405 UEM786397:UEM786405 UOI786397:UOI786405 UYE786397:UYE786405 VIA786397:VIA786405 VRW786397:VRW786405 WBS786397:WBS786405 WLO786397:WLO786405 WVK786397:WVK786405 C851933:C851941 IY851933:IY851941 SU851933:SU851941 ACQ851933:ACQ851941 AMM851933:AMM851941 AWI851933:AWI851941 BGE851933:BGE851941 BQA851933:BQA851941 BZW851933:BZW851941 CJS851933:CJS851941 CTO851933:CTO851941 DDK851933:DDK851941 DNG851933:DNG851941 DXC851933:DXC851941 EGY851933:EGY851941 EQU851933:EQU851941 FAQ851933:FAQ851941 FKM851933:FKM851941 FUI851933:FUI851941 GEE851933:GEE851941 GOA851933:GOA851941 GXW851933:GXW851941 HHS851933:HHS851941 HRO851933:HRO851941 IBK851933:IBK851941 ILG851933:ILG851941 IVC851933:IVC851941 JEY851933:JEY851941 JOU851933:JOU851941 JYQ851933:JYQ851941 KIM851933:KIM851941 KSI851933:KSI851941 LCE851933:LCE851941 LMA851933:LMA851941 LVW851933:LVW851941 MFS851933:MFS851941 MPO851933:MPO851941 MZK851933:MZK851941 NJG851933:NJG851941 NTC851933:NTC851941 OCY851933:OCY851941 OMU851933:OMU851941 OWQ851933:OWQ851941 PGM851933:PGM851941 PQI851933:PQI851941 QAE851933:QAE851941 QKA851933:QKA851941 QTW851933:QTW851941 RDS851933:RDS851941 RNO851933:RNO851941 RXK851933:RXK851941 SHG851933:SHG851941 SRC851933:SRC851941 TAY851933:TAY851941 TKU851933:TKU851941 TUQ851933:TUQ851941 UEM851933:UEM851941 UOI851933:UOI851941 UYE851933:UYE851941 VIA851933:VIA851941 VRW851933:VRW851941 WBS851933:WBS851941 WLO851933:WLO851941 WVK851933:WVK851941 C917469:C917477 IY917469:IY917477 SU917469:SU917477 ACQ917469:ACQ917477 AMM917469:AMM917477 AWI917469:AWI917477 BGE917469:BGE917477 BQA917469:BQA917477 BZW917469:BZW917477 CJS917469:CJS917477 CTO917469:CTO917477 DDK917469:DDK917477 DNG917469:DNG917477 DXC917469:DXC917477 EGY917469:EGY917477 EQU917469:EQU917477 FAQ917469:FAQ917477 FKM917469:FKM917477 FUI917469:FUI917477 GEE917469:GEE917477 GOA917469:GOA917477 GXW917469:GXW917477 HHS917469:HHS917477 HRO917469:HRO917477 IBK917469:IBK917477 ILG917469:ILG917477 IVC917469:IVC917477 JEY917469:JEY917477 JOU917469:JOU917477 JYQ917469:JYQ917477 KIM917469:KIM917477 KSI917469:KSI917477 LCE917469:LCE917477 LMA917469:LMA917477 LVW917469:LVW917477 MFS917469:MFS917477 MPO917469:MPO917477 MZK917469:MZK917477 NJG917469:NJG917477 NTC917469:NTC917477 OCY917469:OCY917477 OMU917469:OMU917477 OWQ917469:OWQ917477 PGM917469:PGM917477 PQI917469:PQI917477 QAE917469:QAE917477 QKA917469:QKA917477 QTW917469:QTW917477 RDS917469:RDS917477 RNO917469:RNO917477 RXK917469:RXK917477 SHG917469:SHG917477 SRC917469:SRC917477 TAY917469:TAY917477 TKU917469:TKU917477 TUQ917469:TUQ917477 UEM917469:UEM917477 UOI917469:UOI917477 UYE917469:UYE917477 VIA917469:VIA917477 VRW917469:VRW917477 WBS917469:WBS917477 WLO917469:WLO917477 WVK917469:WVK917477 C983005:C983013 IY983005:IY983013 SU983005:SU983013 ACQ983005:ACQ983013 AMM983005:AMM983013 AWI983005:AWI983013 BGE983005:BGE983013 BQA983005:BQA983013 BZW983005:BZW983013 CJS983005:CJS983013 CTO983005:CTO983013 DDK983005:DDK983013 DNG983005:DNG983013 DXC983005:DXC983013 EGY983005:EGY983013 EQU983005:EQU983013 FAQ983005:FAQ983013 FKM983005:FKM983013 FUI983005:FUI983013 GEE983005:GEE983013 GOA983005:GOA983013 GXW983005:GXW983013 HHS983005:HHS983013 HRO983005:HRO983013 IBK983005:IBK983013 ILG983005:ILG983013 IVC983005:IVC983013 JEY983005:JEY983013 JOU983005:JOU983013 JYQ983005:JYQ983013 KIM983005:KIM983013 KSI983005:KSI983013 LCE983005:LCE983013 LMA983005:LMA983013 LVW983005:LVW983013 MFS983005:MFS983013 MPO983005:MPO983013 MZK983005:MZK983013 NJG983005:NJG983013 NTC983005:NTC983013 OCY983005:OCY983013 OMU983005:OMU983013 OWQ983005:OWQ983013 PGM983005:PGM983013 PQI983005:PQI983013 QAE983005:QAE983013 QKA983005:QKA983013 QTW983005:QTW983013 RDS983005:RDS983013 RNO983005:RNO983013 RXK983005:RXK983013 SHG983005:SHG983013 SRC983005:SRC983013 TAY983005:TAY983013 TKU983005:TKU983013 TUQ983005:TUQ983013 UEM983005:UEM983013 UOI983005:UOI983013 UYE983005:UYE983013 VIA983005:VIA983013 VRW983005:VRW983013 WBS983005:WBS983013 WLO983005:WLO983013 WVK983005:WVK983013 D65511:D65515 IZ65511:IZ65515 SV65511:SV65515 ACR65511:ACR65515 AMN65511:AMN65515 AWJ65511:AWJ65515 BGF65511:BGF65515 BQB65511:BQB65515 BZX65511:BZX65515 CJT65511:CJT65515 CTP65511:CTP65515 DDL65511:DDL65515 DNH65511:DNH65515 DXD65511:DXD65515 EGZ65511:EGZ65515 EQV65511:EQV65515 FAR65511:FAR65515 FKN65511:FKN65515 FUJ65511:FUJ65515 GEF65511:GEF65515 GOB65511:GOB65515 GXX65511:GXX65515 HHT65511:HHT65515 HRP65511:HRP65515 IBL65511:IBL65515 ILH65511:ILH65515 IVD65511:IVD65515 JEZ65511:JEZ65515 JOV65511:JOV65515 JYR65511:JYR65515 KIN65511:KIN65515 KSJ65511:KSJ65515 LCF65511:LCF65515 LMB65511:LMB65515 LVX65511:LVX65515 MFT65511:MFT65515 MPP65511:MPP65515 MZL65511:MZL65515 NJH65511:NJH65515 NTD65511:NTD65515 OCZ65511:OCZ65515 OMV65511:OMV65515 OWR65511:OWR65515 PGN65511:PGN65515 PQJ65511:PQJ65515 QAF65511:QAF65515 QKB65511:QKB65515 QTX65511:QTX65515 RDT65511:RDT65515 RNP65511:RNP65515 RXL65511:RXL65515 SHH65511:SHH65515 SRD65511:SRD65515 TAZ65511:TAZ65515 TKV65511:TKV65515 TUR65511:TUR65515 UEN65511:UEN65515 UOJ65511:UOJ65515 UYF65511:UYF65515 VIB65511:VIB65515 VRX65511:VRX65515 WBT65511:WBT65515 WLP65511:WLP65515 WVL65511:WVL65515 D131047:D131051 IZ131047:IZ131051 SV131047:SV131051 ACR131047:ACR131051 AMN131047:AMN131051 AWJ131047:AWJ131051 BGF131047:BGF131051 BQB131047:BQB131051 BZX131047:BZX131051 CJT131047:CJT131051 CTP131047:CTP131051 DDL131047:DDL131051 DNH131047:DNH131051 DXD131047:DXD131051 EGZ131047:EGZ131051 EQV131047:EQV131051 FAR131047:FAR131051 FKN131047:FKN131051 FUJ131047:FUJ131051 GEF131047:GEF131051 GOB131047:GOB131051 GXX131047:GXX131051 HHT131047:HHT131051 HRP131047:HRP131051 IBL131047:IBL131051 ILH131047:ILH131051 IVD131047:IVD131051 JEZ131047:JEZ131051 JOV131047:JOV131051 JYR131047:JYR131051 KIN131047:KIN131051 KSJ131047:KSJ131051 LCF131047:LCF131051 LMB131047:LMB131051 LVX131047:LVX131051 MFT131047:MFT131051 MPP131047:MPP131051 MZL131047:MZL131051 NJH131047:NJH131051 NTD131047:NTD131051 OCZ131047:OCZ131051 OMV131047:OMV131051 OWR131047:OWR131051 PGN131047:PGN131051 PQJ131047:PQJ131051 QAF131047:QAF131051 QKB131047:QKB131051 QTX131047:QTX131051 RDT131047:RDT131051 RNP131047:RNP131051 RXL131047:RXL131051 SHH131047:SHH131051 SRD131047:SRD131051 TAZ131047:TAZ131051 TKV131047:TKV131051 TUR131047:TUR131051 UEN131047:UEN131051 UOJ131047:UOJ131051 UYF131047:UYF131051 VIB131047:VIB131051 VRX131047:VRX131051 WBT131047:WBT131051 WLP131047:WLP131051 WVL131047:WVL131051 D196583:D196587 IZ196583:IZ196587 SV196583:SV196587 ACR196583:ACR196587 AMN196583:AMN196587 AWJ196583:AWJ196587 BGF196583:BGF196587 BQB196583:BQB196587 BZX196583:BZX196587 CJT196583:CJT196587 CTP196583:CTP196587 DDL196583:DDL196587 DNH196583:DNH196587 DXD196583:DXD196587 EGZ196583:EGZ196587 EQV196583:EQV196587 FAR196583:FAR196587 FKN196583:FKN196587 FUJ196583:FUJ196587 GEF196583:GEF196587 GOB196583:GOB196587 GXX196583:GXX196587 HHT196583:HHT196587 HRP196583:HRP196587 IBL196583:IBL196587 ILH196583:ILH196587 IVD196583:IVD196587 JEZ196583:JEZ196587 JOV196583:JOV196587 JYR196583:JYR196587 KIN196583:KIN196587 KSJ196583:KSJ196587 LCF196583:LCF196587 LMB196583:LMB196587 LVX196583:LVX196587 MFT196583:MFT196587 MPP196583:MPP196587 MZL196583:MZL196587 NJH196583:NJH196587 NTD196583:NTD196587 OCZ196583:OCZ196587 OMV196583:OMV196587 OWR196583:OWR196587 PGN196583:PGN196587 PQJ196583:PQJ196587 QAF196583:QAF196587 QKB196583:QKB196587 QTX196583:QTX196587 RDT196583:RDT196587 RNP196583:RNP196587 RXL196583:RXL196587 SHH196583:SHH196587 SRD196583:SRD196587 TAZ196583:TAZ196587 TKV196583:TKV196587 TUR196583:TUR196587 UEN196583:UEN196587 UOJ196583:UOJ196587 UYF196583:UYF196587 VIB196583:VIB196587 VRX196583:VRX196587 WBT196583:WBT196587 WLP196583:WLP196587 WVL196583:WVL196587 D262119:D262123 IZ262119:IZ262123 SV262119:SV262123 ACR262119:ACR262123 AMN262119:AMN262123 AWJ262119:AWJ262123 BGF262119:BGF262123 BQB262119:BQB262123 BZX262119:BZX262123 CJT262119:CJT262123 CTP262119:CTP262123 DDL262119:DDL262123 DNH262119:DNH262123 DXD262119:DXD262123 EGZ262119:EGZ262123 EQV262119:EQV262123 FAR262119:FAR262123 FKN262119:FKN262123 FUJ262119:FUJ262123 GEF262119:GEF262123 GOB262119:GOB262123 GXX262119:GXX262123 HHT262119:HHT262123 HRP262119:HRP262123 IBL262119:IBL262123 ILH262119:ILH262123 IVD262119:IVD262123 JEZ262119:JEZ262123 JOV262119:JOV262123 JYR262119:JYR262123 KIN262119:KIN262123 KSJ262119:KSJ262123 LCF262119:LCF262123 LMB262119:LMB262123 LVX262119:LVX262123 MFT262119:MFT262123 MPP262119:MPP262123 MZL262119:MZL262123 NJH262119:NJH262123 NTD262119:NTD262123 OCZ262119:OCZ262123 OMV262119:OMV262123 OWR262119:OWR262123 PGN262119:PGN262123 PQJ262119:PQJ262123 QAF262119:QAF262123 QKB262119:QKB262123 QTX262119:QTX262123 RDT262119:RDT262123 RNP262119:RNP262123 RXL262119:RXL262123 SHH262119:SHH262123 SRD262119:SRD262123 TAZ262119:TAZ262123 TKV262119:TKV262123 TUR262119:TUR262123 UEN262119:UEN262123 UOJ262119:UOJ262123 UYF262119:UYF262123 VIB262119:VIB262123 VRX262119:VRX262123 WBT262119:WBT262123 WLP262119:WLP262123 WVL262119:WVL262123 D327655:D327659 IZ327655:IZ327659 SV327655:SV327659 ACR327655:ACR327659 AMN327655:AMN327659 AWJ327655:AWJ327659 BGF327655:BGF327659 BQB327655:BQB327659 BZX327655:BZX327659 CJT327655:CJT327659 CTP327655:CTP327659 DDL327655:DDL327659 DNH327655:DNH327659 DXD327655:DXD327659 EGZ327655:EGZ327659 EQV327655:EQV327659 FAR327655:FAR327659 FKN327655:FKN327659 FUJ327655:FUJ327659 GEF327655:GEF327659 GOB327655:GOB327659 GXX327655:GXX327659 HHT327655:HHT327659 HRP327655:HRP327659 IBL327655:IBL327659 ILH327655:ILH327659 IVD327655:IVD327659 JEZ327655:JEZ327659 JOV327655:JOV327659 JYR327655:JYR327659 KIN327655:KIN327659 KSJ327655:KSJ327659 LCF327655:LCF327659 LMB327655:LMB327659 LVX327655:LVX327659 MFT327655:MFT327659 MPP327655:MPP327659 MZL327655:MZL327659 NJH327655:NJH327659 NTD327655:NTD327659 OCZ327655:OCZ327659 OMV327655:OMV327659 OWR327655:OWR327659 PGN327655:PGN327659 PQJ327655:PQJ327659 QAF327655:QAF327659 QKB327655:QKB327659 QTX327655:QTX327659 RDT327655:RDT327659 RNP327655:RNP327659 RXL327655:RXL327659 SHH327655:SHH327659 SRD327655:SRD327659 TAZ327655:TAZ327659 TKV327655:TKV327659 TUR327655:TUR327659 UEN327655:UEN327659 UOJ327655:UOJ327659 UYF327655:UYF327659 VIB327655:VIB327659 VRX327655:VRX327659 WBT327655:WBT327659 WLP327655:WLP327659 WVL327655:WVL327659 D393191:D393195 IZ393191:IZ393195 SV393191:SV393195 ACR393191:ACR393195 AMN393191:AMN393195 AWJ393191:AWJ393195 BGF393191:BGF393195 BQB393191:BQB393195 BZX393191:BZX393195 CJT393191:CJT393195 CTP393191:CTP393195 DDL393191:DDL393195 DNH393191:DNH393195 DXD393191:DXD393195 EGZ393191:EGZ393195 EQV393191:EQV393195 FAR393191:FAR393195 FKN393191:FKN393195 FUJ393191:FUJ393195 GEF393191:GEF393195 GOB393191:GOB393195 GXX393191:GXX393195 HHT393191:HHT393195 HRP393191:HRP393195 IBL393191:IBL393195 ILH393191:ILH393195 IVD393191:IVD393195 JEZ393191:JEZ393195 JOV393191:JOV393195 JYR393191:JYR393195 KIN393191:KIN393195 KSJ393191:KSJ393195 LCF393191:LCF393195 LMB393191:LMB393195 LVX393191:LVX393195 MFT393191:MFT393195 MPP393191:MPP393195 MZL393191:MZL393195 NJH393191:NJH393195 NTD393191:NTD393195 OCZ393191:OCZ393195 OMV393191:OMV393195 OWR393191:OWR393195 PGN393191:PGN393195 PQJ393191:PQJ393195 QAF393191:QAF393195 QKB393191:QKB393195 QTX393191:QTX393195 RDT393191:RDT393195 RNP393191:RNP393195 RXL393191:RXL393195 SHH393191:SHH393195 SRD393191:SRD393195 TAZ393191:TAZ393195 TKV393191:TKV393195 TUR393191:TUR393195 UEN393191:UEN393195 UOJ393191:UOJ393195 UYF393191:UYF393195 VIB393191:VIB393195 VRX393191:VRX393195 WBT393191:WBT393195 WLP393191:WLP393195 WVL393191:WVL393195 D458727:D458731 IZ458727:IZ458731 SV458727:SV458731 ACR458727:ACR458731 AMN458727:AMN458731 AWJ458727:AWJ458731 BGF458727:BGF458731 BQB458727:BQB458731 BZX458727:BZX458731 CJT458727:CJT458731 CTP458727:CTP458731 DDL458727:DDL458731 DNH458727:DNH458731 DXD458727:DXD458731 EGZ458727:EGZ458731 EQV458727:EQV458731 FAR458727:FAR458731 FKN458727:FKN458731 FUJ458727:FUJ458731 GEF458727:GEF458731 GOB458727:GOB458731 GXX458727:GXX458731 HHT458727:HHT458731 HRP458727:HRP458731 IBL458727:IBL458731 ILH458727:ILH458731 IVD458727:IVD458731 JEZ458727:JEZ458731 JOV458727:JOV458731 JYR458727:JYR458731 KIN458727:KIN458731 KSJ458727:KSJ458731 LCF458727:LCF458731 LMB458727:LMB458731 LVX458727:LVX458731 MFT458727:MFT458731 MPP458727:MPP458731 MZL458727:MZL458731 NJH458727:NJH458731 NTD458727:NTD458731 OCZ458727:OCZ458731 OMV458727:OMV458731 OWR458727:OWR458731 PGN458727:PGN458731 PQJ458727:PQJ458731 QAF458727:QAF458731 QKB458727:QKB458731 QTX458727:QTX458731 RDT458727:RDT458731 RNP458727:RNP458731 RXL458727:RXL458731 SHH458727:SHH458731 SRD458727:SRD458731 TAZ458727:TAZ458731 TKV458727:TKV458731 TUR458727:TUR458731 UEN458727:UEN458731 UOJ458727:UOJ458731 UYF458727:UYF458731 VIB458727:VIB458731 VRX458727:VRX458731 WBT458727:WBT458731 WLP458727:WLP458731 WVL458727:WVL458731 D524263:D524267 IZ524263:IZ524267 SV524263:SV524267 ACR524263:ACR524267 AMN524263:AMN524267 AWJ524263:AWJ524267 BGF524263:BGF524267 BQB524263:BQB524267 BZX524263:BZX524267 CJT524263:CJT524267 CTP524263:CTP524267 DDL524263:DDL524267 DNH524263:DNH524267 DXD524263:DXD524267 EGZ524263:EGZ524267 EQV524263:EQV524267 FAR524263:FAR524267 FKN524263:FKN524267 FUJ524263:FUJ524267 GEF524263:GEF524267 GOB524263:GOB524267 GXX524263:GXX524267 HHT524263:HHT524267 HRP524263:HRP524267 IBL524263:IBL524267 ILH524263:ILH524267 IVD524263:IVD524267 JEZ524263:JEZ524267 JOV524263:JOV524267 JYR524263:JYR524267 KIN524263:KIN524267 KSJ524263:KSJ524267 LCF524263:LCF524267 LMB524263:LMB524267 LVX524263:LVX524267 MFT524263:MFT524267 MPP524263:MPP524267 MZL524263:MZL524267 NJH524263:NJH524267 NTD524263:NTD524267 OCZ524263:OCZ524267 OMV524263:OMV524267 OWR524263:OWR524267 PGN524263:PGN524267 PQJ524263:PQJ524267 QAF524263:QAF524267 QKB524263:QKB524267 QTX524263:QTX524267 RDT524263:RDT524267 RNP524263:RNP524267 RXL524263:RXL524267 SHH524263:SHH524267 SRD524263:SRD524267 TAZ524263:TAZ524267 TKV524263:TKV524267 TUR524263:TUR524267 UEN524263:UEN524267 UOJ524263:UOJ524267 UYF524263:UYF524267 VIB524263:VIB524267 VRX524263:VRX524267 WBT524263:WBT524267 WLP524263:WLP524267 WVL524263:WVL524267 D589799:D589803 IZ589799:IZ589803 SV589799:SV589803 ACR589799:ACR589803 AMN589799:AMN589803 AWJ589799:AWJ589803 BGF589799:BGF589803 BQB589799:BQB589803 BZX589799:BZX589803 CJT589799:CJT589803 CTP589799:CTP589803 DDL589799:DDL589803 DNH589799:DNH589803 DXD589799:DXD589803 EGZ589799:EGZ589803 EQV589799:EQV589803 FAR589799:FAR589803 FKN589799:FKN589803 FUJ589799:FUJ589803 GEF589799:GEF589803 GOB589799:GOB589803 GXX589799:GXX589803 HHT589799:HHT589803 HRP589799:HRP589803 IBL589799:IBL589803 ILH589799:ILH589803 IVD589799:IVD589803 JEZ589799:JEZ589803 JOV589799:JOV589803 JYR589799:JYR589803 KIN589799:KIN589803 KSJ589799:KSJ589803 LCF589799:LCF589803 LMB589799:LMB589803 LVX589799:LVX589803 MFT589799:MFT589803 MPP589799:MPP589803 MZL589799:MZL589803 NJH589799:NJH589803 NTD589799:NTD589803 OCZ589799:OCZ589803 OMV589799:OMV589803 OWR589799:OWR589803 PGN589799:PGN589803 PQJ589799:PQJ589803 QAF589799:QAF589803 QKB589799:QKB589803 QTX589799:QTX589803 RDT589799:RDT589803 RNP589799:RNP589803 RXL589799:RXL589803 SHH589799:SHH589803 SRD589799:SRD589803 TAZ589799:TAZ589803 TKV589799:TKV589803 TUR589799:TUR589803 UEN589799:UEN589803 UOJ589799:UOJ589803 UYF589799:UYF589803 VIB589799:VIB589803 VRX589799:VRX589803 WBT589799:WBT589803 WLP589799:WLP589803 WVL589799:WVL589803 D655335:D655339 IZ655335:IZ655339 SV655335:SV655339 ACR655335:ACR655339 AMN655335:AMN655339 AWJ655335:AWJ655339 BGF655335:BGF655339 BQB655335:BQB655339 BZX655335:BZX655339 CJT655335:CJT655339 CTP655335:CTP655339 DDL655335:DDL655339 DNH655335:DNH655339 DXD655335:DXD655339 EGZ655335:EGZ655339 EQV655335:EQV655339 FAR655335:FAR655339 FKN655335:FKN655339 FUJ655335:FUJ655339 GEF655335:GEF655339 GOB655335:GOB655339 GXX655335:GXX655339 HHT655335:HHT655339 HRP655335:HRP655339 IBL655335:IBL655339 ILH655335:ILH655339 IVD655335:IVD655339 JEZ655335:JEZ655339 JOV655335:JOV655339 JYR655335:JYR655339 KIN655335:KIN655339 KSJ655335:KSJ655339 LCF655335:LCF655339 LMB655335:LMB655339 LVX655335:LVX655339 MFT655335:MFT655339 MPP655335:MPP655339 MZL655335:MZL655339 NJH655335:NJH655339 NTD655335:NTD655339 OCZ655335:OCZ655339 OMV655335:OMV655339 OWR655335:OWR655339 PGN655335:PGN655339 PQJ655335:PQJ655339 QAF655335:QAF655339 QKB655335:QKB655339 QTX655335:QTX655339 RDT655335:RDT655339 RNP655335:RNP655339 RXL655335:RXL655339 SHH655335:SHH655339 SRD655335:SRD655339 TAZ655335:TAZ655339 TKV655335:TKV655339 TUR655335:TUR655339 UEN655335:UEN655339 UOJ655335:UOJ655339 UYF655335:UYF655339 VIB655335:VIB655339 VRX655335:VRX655339 WBT655335:WBT655339 WLP655335:WLP655339 WVL655335:WVL655339 D720871:D720875 IZ720871:IZ720875 SV720871:SV720875 ACR720871:ACR720875 AMN720871:AMN720875 AWJ720871:AWJ720875 BGF720871:BGF720875 BQB720871:BQB720875 BZX720871:BZX720875 CJT720871:CJT720875 CTP720871:CTP720875 DDL720871:DDL720875 DNH720871:DNH720875 DXD720871:DXD720875 EGZ720871:EGZ720875 EQV720871:EQV720875 FAR720871:FAR720875 FKN720871:FKN720875 FUJ720871:FUJ720875 GEF720871:GEF720875 GOB720871:GOB720875 GXX720871:GXX720875 HHT720871:HHT720875 HRP720871:HRP720875 IBL720871:IBL720875 ILH720871:ILH720875 IVD720871:IVD720875 JEZ720871:JEZ720875 JOV720871:JOV720875 JYR720871:JYR720875 KIN720871:KIN720875 KSJ720871:KSJ720875 LCF720871:LCF720875 LMB720871:LMB720875 LVX720871:LVX720875 MFT720871:MFT720875 MPP720871:MPP720875 MZL720871:MZL720875 NJH720871:NJH720875 NTD720871:NTD720875 OCZ720871:OCZ720875 OMV720871:OMV720875 OWR720871:OWR720875 PGN720871:PGN720875 PQJ720871:PQJ720875 QAF720871:QAF720875 QKB720871:QKB720875 QTX720871:QTX720875 RDT720871:RDT720875 RNP720871:RNP720875 RXL720871:RXL720875 SHH720871:SHH720875 SRD720871:SRD720875 TAZ720871:TAZ720875 TKV720871:TKV720875 TUR720871:TUR720875 UEN720871:UEN720875 UOJ720871:UOJ720875 UYF720871:UYF720875 VIB720871:VIB720875 VRX720871:VRX720875 WBT720871:WBT720875 WLP720871:WLP720875 WVL720871:WVL720875 D786407:D786411 IZ786407:IZ786411 SV786407:SV786411 ACR786407:ACR786411 AMN786407:AMN786411 AWJ786407:AWJ786411 BGF786407:BGF786411 BQB786407:BQB786411 BZX786407:BZX786411 CJT786407:CJT786411 CTP786407:CTP786411 DDL786407:DDL786411 DNH786407:DNH786411 DXD786407:DXD786411 EGZ786407:EGZ786411 EQV786407:EQV786411 FAR786407:FAR786411 FKN786407:FKN786411 FUJ786407:FUJ786411 GEF786407:GEF786411 GOB786407:GOB786411 GXX786407:GXX786411 HHT786407:HHT786411 HRP786407:HRP786411 IBL786407:IBL786411 ILH786407:ILH786411 IVD786407:IVD786411 JEZ786407:JEZ786411 JOV786407:JOV786411 JYR786407:JYR786411 KIN786407:KIN786411 KSJ786407:KSJ786411 LCF786407:LCF786411 LMB786407:LMB786411 LVX786407:LVX786411 MFT786407:MFT786411 MPP786407:MPP786411 MZL786407:MZL786411 NJH786407:NJH786411 NTD786407:NTD786411 OCZ786407:OCZ786411 OMV786407:OMV786411 OWR786407:OWR786411 PGN786407:PGN786411 PQJ786407:PQJ786411 QAF786407:QAF786411 QKB786407:QKB786411 QTX786407:QTX786411 RDT786407:RDT786411 RNP786407:RNP786411 RXL786407:RXL786411 SHH786407:SHH786411 SRD786407:SRD786411 TAZ786407:TAZ786411 TKV786407:TKV786411 TUR786407:TUR786411 UEN786407:UEN786411 UOJ786407:UOJ786411 UYF786407:UYF786411 VIB786407:VIB786411 VRX786407:VRX786411 WBT786407:WBT786411 WLP786407:WLP786411 WVL786407:WVL786411 D851943:D851947 IZ851943:IZ851947 SV851943:SV851947 ACR851943:ACR851947 AMN851943:AMN851947 AWJ851943:AWJ851947 BGF851943:BGF851947 BQB851943:BQB851947 BZX851943:BZX851947 CJT851943:CJT851947 CTP851943:CTP851947 DDL851943:DDL851947 DNH851943:DNH851947 DXD851943:DXD851947 EGZ851943:EGZ851947 EQV851943:EQV851947 FAR851943:FAR851947 FKN851943:FKN851947 FUJ851943:FUJ851947 GEF851943:GEF851947 GOB851943:GOB851947 GXX851943:GXX851947 HHT851943:HHT851947 HRP851943:HRP851947 IBL851943:IBL851947 ILH851943:ILH851947 IVD851943:IVD851947 JEZ851943:JEZ851947 JOV851943:JOV851947 JYR851943:JYR851947 KIN851943:KIN851947 KSJ851943:KSJ851947 LCF851943:LCF851947 LMB851943:LMB851947 LVX851943:LVX851947 MFT851943:MFT851947 MPP851943:MPP851947 MZL851943:MZL851947 NJH851943:NJH851947 NTD851943:NTD851947 OCZ851943:OCZ851947 OMV851943:OMV851947 OWR851943:OWR851947 PGN851943:PGN851947 PQJ851943:PQJ851947 QAF851943:QAF851947 QKB851943:QKB851947 QTX851943:QTX851947 RDT851943:RDT851947 RNP851943:RNP851947 RXL851943:RXL851947 SHH851943:SHH851947 SRD851943:SRD851947 TAZ851943:TAZ851947 TKV851943:TKV851947 TUR851943:TUR851947 UEN851943:UEN851947 UOJ851943:UOJ851947 UYF851943:UYF851947 VIB851943:VIB851947 VRX851943:VRX851947 WBT851943:WBT851947 WLP851943:WLP851947 WVL851943:WVL851947 D917479:D917483 IZ917479:IZ917483 SV917479:SV917483 ACR917479:ACR917483 AMN917479:AMN917483 AWJ917479:AWJ917483 BGF917479:BGF917483 BQB917479:BQB917483 BZX917479:BZX917483 CJT917479:CJT917483 CTP917479:CTP917483 DDL917479:DDL917483 DNH917479:DNH917483 DXD917479:DXD917483 EGZ917479:EGZ917483 EQV917479:EQV917483 FAR917479:FAR917483 FKN917479:FKN917483 FUJ917479:FUJ917483 GEF917479:GEF917483 GOB917479:GOB917483 GXX917479:GXX917483 HHT917479:HHT917483 HRP917479:HRP917483 IBL917479:IBL917483 ILH917479:ILH917483 IVD917479:IVD917483 JEZ917479:JEZ917483 JOV917479:JOV917483 JYR917479:JYR917483 KIN917479:KIN917483 KSJ917479:KSJ917483 LCF917479:LCF917483 LMB917479:LMB917483 LVX917479:LVX917483 MFT917479:MFT917483 MPP917479:MPP917483 MZL917479:MZL917483 NJH917479:NJH917483 NTD917479:NTD917483 OCZ917479:OCZ917483 OMV917479:OMV917483 OWR917479:OWR917483 PGN917479:PGN917483 PQJ917479:PQJ917483 QAF917479:QAF917483 QKB917479:QKB917483 QTX917479:QTX917483 RDT917479:RDT917483 RNP917479:RNP917483 RXL917479:RXL917483 SHH917479:SHH917483 SRD917479:SRD917483 TAZ917479:TAZ917483 TKV917479:TKV917483 TUR917479:TUR917483 UEN917479:UEN917483 UOJ917479:UOJ917483 UYF917479:UYF917483 VIB917479:VIB917483 VRX917479:VRX917483 WBT917479:WBT917483 WLP917479:WLP917483 WVL917479:WVL917483 D983015:D983019 IZ983015:IZ983019 SV983015:SV983019 ACR983015:ACR983019 AMN983015:AMN983019 AWJ983015:AWJ983019 BGF983015:BGF983019 BQB983015:BQB983019 BZX983015:BZX983019 CJT983015:CJT983019 CTP983015:CTP983019 DDL983015:DDL983019 DNH983015:DNH983019 DXD983015:DXD983019 EGZ983015:EGZ983019 EQV983015:EQV983019 FAR983015:FAR983019 FKN983015:FKN983019 FUJ983015:FUJ983019 GEF983015:GEF983019 GOB983015:GOB983019 GXX983015:GXX983019 HHT983015:HHT983019 HRP983015:HRP983019 IBL983015:IBL983019 ILH983015:ILH983019 IVD983015:IVD983019 JEZ983015:JEZ983019 JOV983015:JOV983019 JYR983015:JYR983019 KIN983015:KIN983019 KSJ983015:KSJ983019 LCF983015:LCF983019 LMB983015:LMB983019 LVX983015:LVX983019 MFT983015:MFT983019 MPP983015:MPP983019 MZL983015:MZL983019 NJH983015:NJH983019 NTD983015:NTD983019 OCZ983015:OCZ983019 OMV983015:OMV983019 OWR983015:OWR983019 PGN983015:PGN983019 PQJ983015:PQJ983019 QAF983015:QAF983019 QKB983015:QKB983019 QTX983015:QTX983019 RDT983015:RDT983019 RNP983015:RNP983019 RXL983015:RXL983019 SHH983015:SHH983019 SRD983015:SRD983019 TAZ983015:TAZ983019 TKV983015:TKV983019 TUR983015:TUR983019 UEN983015:UEN983019 UOJ983015:UOJ983019 UYF983015:UYF983019 VIB983015:VIB983019 VRX983015:VRX983019 WBT983015:WBT983019 WLP983015:WLP983019 WVL983015:WVL983019 B65511:C65516 IX65511:IY65516 ST65511:SU65516 ACP65511:ACQ65516 AML65511:AMM65516 AWH65511:AWI65516 BGD65511:BGE65516 BPZ65511:BQA65516 BZV65511:BZW65516 CJR65511:CJS65516 CTN65511:CTO65516 DDJ65511:DDK65516 DNF65511:DNG65516 DXB65511:DXC65516 EGX65511:EGY65516 EQT65511:EQU65516 FAP65511:FAQ65516 FKL65511:FKM65516 FUH65511:FUI65516 GED65511:GEE65516 GNZ65511:GOA65516 GXV65511:GXW65516 HHR65511:HHS65516 HRN65511:HRO65516 IBJ65511:IBK65516 ILF65511:ILG65516 IVB65511:IVC65516 JEX65511:JEY65516 JOT65511:JOU65516 JYP65511:JYQ65516 KIL65511:KIM65516 KSH65511:KSI65516 LCD65511:LCE65516 LLZ65511:LMA65516 LVV65511:LVW65516 MFR65511:MFS65516 MPN65511:MPO65516 MZJ65511:MZK65516 NJF65511:NJG65516 NTB65511:NTC65516 OCX65511:OCY65516 OMT65511:OMU65516 OWP65511:OWQ65516 PGL65511:PGM65516 PQH65511:PQI65516 QAD65511:QAE65516 QJZ65511:QKA65516 QTV65511:QTW65516 RDR65511:RDS65516 RNN65511:RNO65516 RXJ65511:RXK65516 SHF65511:SHG65516 SRB65511:SRC65516 TAX65511:TAY65516 TKT65511:TKU65516 TUP65511:TUQ65516 UEL65511:UEM65516 UOH65511:UOI65516 UYD65511:UYE65516 VHZ65511:VIA65516 VRV65511:VRW65516 WBR65511:WBS65516 WLN65511:WLO65516 WVJ65511:WVK65516 B131047:C131052 IX131047:IY131052 ST131047:SU131052 ACP131047:ACQ131052 AML131047:AMM131052 AWH131047:AWI131052 BGD131047:BGE131052 BPZ131047:BQA131052 BZV131047:BZW131052 CJR131047:CJS131052 CTN131047:CTO131052 DDJ131047:DDK131052 DNF131047:DNG131052 DXB131047:DXC131052 EGX131047:EGY131052 EQT131047:EQU131052 FAP131047:FAQ131052 FKL131047:FKM131052 FUH131047:FUI131052 GED131047:GEE131052 GNZ131047:GOA131052 GXV131047:GXW131052 HHR131047:HHS131052 HRN131047:HRO131052 IBJ131047:IBK131052 ILF131047:ILG131052 IVB131047:IVC131052 JEX131047:JEY131052 JOT131047:JOU131052 JYP131047:JYQ131052 KIL131047:KIM131052 KSH131047:KSI131052 LCD131047:LCE131052 LLZ131047:LMA131052 LVV131047:LVW131052 MFR131047:MFS131052 MPN131047:MPO131052 MZJ131047:MZK131052 NJF131047:NJG131052 NTB131047:NTC131052 OCX131047:OCY131052 OMT131047:OMU131052 OWP131047:OWQ131052 PGL131047:PGM131052 PQH131047:PQI131052 QAD131047:QAE131052 QJZ131047:QKA131052 QTV131047:QTW131052 RDR131047:RDS131052 RNN131047:RNO131052 RXJ131047:RXK131052 SHF131047:SHG131052 SRB131047:SRC131052 TAX131047:TAY131052 TKT131047:TKU131052 TUP131047:TUQ131052 UEL131047:UEM131052 UOH131047:UOI131052 UYD131047:UYE131052 VHZ131047:VIA131052 VRV131047:VRW131052 WBR131047:WBS131052 WLN131047:WLO131052 WVJ131047:WVK131052 B196583:C196588 IX196583:IY196588 ST196583:SU196588 ACP196583:ACQ196588 AML196583:AMM196588 AWH196583:AWI196588 BGD196583:BGE196588 BPZ196583:BQA196588 BZV196583:BZW196588 CJR196583:CJS196588 CTN196583:CTO196588 DDJ196583:DDK196588 DNF196583:DNG196588 DXB196583:DXC196588 EGX196583:EGY196588 EQT196583:EQU196588 FAP196583:FAQ196588 FKL196583:FKM196588 FUH196583:FUI196588 GED196583:GEE196588 GNZ196583:GOA196588 GXV196583:GXW196588 HHR196583:HHS196588 HRN196583:HRO196588 IBJ196583:IBK196588 ILF196583:ILG196588 IVB196583:IVC196588 JEX196583:JEY196588 JOT196583:JOU196588 JYP196583:JYQ196588 KIL196583:KIM196588 KSH196583:KSI196588 LCD196583:LCE196588 LLZ196583:LMA196588 LVV196583:LVW196588 MFR196583:MFS196588 MPN196583:MPO196588 MZJ196583:MZK196588 NJF196583:NJG196588 NTB196583:NTC196588 OCX196583:OCY196588 OMT196583:OMU196588 OWP196583:OWQ196588 PGL196583:PGM196588 PQH196583:PQI196588 QAD196583:QAE196588 QJZ196583:QKA196588 QTV196583:QTW196588 RDR196583:RDS196588 RNN196583:RNO196588 RXJ196583:RXK196588 SHF196583:SHG196588 SRB196583:SRC196588 TAX196583:TAY196588 TKT196583:TKU196588 TUP196583:TUQ196588 UEL196583:UEM196588 UOH196583:UOI196588 UYD196583:UYE196588 VHZ196583:VIA196588 VRV196583:VRW196588 WBR196583:WBS196588 WLN196583:WLO196588 WVJ196583:WVK196588 B262119:C262124 IX262119:IY262124 ST262119:SU262124 ACP262119:ACQ262124 AML262119:AMM262124 AWH262119:AWI262124 BGD262119:BGE262124 BPZ262119:BQA262124 BZV262119:BZW262124 CJR262119:CJS262124 CTN262119:CTO262124 DDJ262119:DDK262124 DNF262119:DNG262124 DXB262119:DXC262124 EGX262119:EGY262124 EQT262119:EQU262124 FAP262119:FAQ262124 FKL262119:FKM262124 FUH262119:FUI262124 GED262119:GEE262124 GNZ262119:GOA262124 GXV262119:GXW262124 HHR262119:HHS262124 HRN262119:HRO262124 IBJ262119:IBK262124 ILF262119:ILG262124 IVB262119:IVC262124 JEX262119:JEY262124 JOT262119:JOU262124 JYP262119:JYQ262124 KIL262119:KIM262124 KSH262119:KSI262124 LCD262119:LCE262124 LLZ262119:LMA262124 LVV262119:LVW262124 MFR262119:MFS262124 MPN262119:MPO262124 MZJ262119:MZK262124 NJF262119:NJG262124 NTB262119:NTC262124 OCX262119:OCY262124 OMT262119:OMU262124 OWP262119:OWQ262124 PGL262119:PGM262124 PQH262119:PQI262124 QAD262119:QAE262124 QJZ262119:QKA262124 QTV262119:QTW262124 RDR262119:RDS262124 RNN262119:RNO262124 RXJ262119:RXK262124 SHF262119:SHG262124 SRB262119:SRC262124 TAX262119:TAY262124 TKT262119:TKU262124 TUP262119:TUQ262124 UEL262119:UEM262124 UOH262119:UOI262124 UYD262119:UYE262124 VHZ262119:VIA262124 VRV262119:VRW262124 WBR262119:WBS262124 WLN262119:WLO262124 WVJ262119:WVK262124 B327655:C327660 IX327655:IY327660 ST327655:SU327660 ACP327655:ACQ327660 AML327655:AMM327660 AWH327655:AWI327660 BGD327655:BGE327660 BPZ327655:BQA327660 BZV327655:BZW327660 CJR327655:CJS327660 CTN327655:CTO327660 DDJ327655:DDK327660 DNF327655:DNG327660 DXB327655:DXC327660 EGX327655:EGY327660 EQT327655:EQU327660 FAP327655:FAQ327660 FKL327655:FKM327660 FUH327655:FUI327660 GED327655:GEE327660 GNZ327655:GOA327660 GXV327655:GXW327660 HHR327655:HHS327660 HRN327655:HRO327660 IBJ327655:IBK327660 ILF327655:ILG327660 IVB327655:IVC327660 JEX327655:JEY327660 JOT327655:JOU327660 JYP327655:JYQ327660 KIL327655:KIM327660 KSH327655:KSI327660 LCD327655:LCE327660 LLZ327655:LMA327660 LVV327655:LVW327660 MFR327655:MFS327660 MPN327655:MPO327660 MZJ327655:MZK327660 NJF327655:NJG327660 NTB327655:NTC327660 OCX327655:OCY327660 OMT327655:OMU327660 OWP327655:OWQ327660 PGL327655:PGM327660 PQH327655:PQI327660 QAD327655:QAE327660 QJZ327655:QKA327660 QTV327655:QTW327660 RDR327655:RDS327660 RNN327655:RNO327660 RXJ327655:RXK327660 SHF327655:SHG327660 SRB327655:SRC327660 TAX327655:TAY327660 TKT327655:TKU327660 TUP327655:TUQ327660 UEL327655:UEM327660 UOH327655:UOI327660 UYD327655:UYE327660 VHZ327655:VIA327660 VRV327655:VRW327660 WBR327655:WBS327660 WLN327655:WLO327660 WVJ327655:WVK327660 B393191:C393196 IX393191:IY393196 ST393191:SU393196 ACP393191:ACQ393196 AML393191:AMM393196 AWH393191:AWI393196 BGD393191:BGE393196 BPZ393191:BQA393196 BZV393191:BZW393196 CJR393191:CJS393196 CTN393191:CTO393196 DDJ393191:DDK393196 DNF393191:DNG393196 DXB393191:DXC393196 EGX393191:EGY393196 EQT393191:EQU393196 FAP393191:FAQ393196 FKL393191:FKM393196 FUH393191:FUI393196 GED393191:GEE393196 GNZ393191:GOA393196 GXV393191:GXW393196 HHR393191:HHS393196 HRN393191:HRO393196 IBJ393191:IBK393196 ILF393191:ILG393196 IVB393191:IVC393196 JEX393191:JEY393196 JOT393191:JOU393196 JYP393191:JYQ393196 KIL393191:KIM393196 KSH393191:KSI393196 LCD393191:LCE393196 LLZ393191:LMA393196 LVV393191:LVW393196 MFR393191:MFS393196 MPN393191:MPO393196 MZJ393191:MZK393196 NJF393191:NJG393196 NTB393191:NTC393196 OCX393191:OCY393196 OMT393191:OMU393196 OWP393191:OWQ393196 PGL393191:PGM393196 PQH393191:PQI393196 QAD393191:QAE393196 QJZ393191:QKA393196 QTV393191:QTW393196 RDR393191:RDS393196 RNN393191:RNO393196 RXJ393191:RXK393196 SHF393191:SHG393196 SRB393191:SRC393196 TAX393191:TAY393196 TKT393191:TKU393196 TUP393191:TUQ393196 UEL393191:UEM393196 UOH393191:UOI393196 UYD393191:UYE393196 VHZ393191:VIA393196 VRV393191:VRW393196 WBR393191:WBS393196 WLN393191:WLO393196 WVJ393191:WVK393196 B458727:C458732 IX458727:IY458732 ST458727:SU458732 ACP458727:ACQ458732 AML458727:AMM458732 AWH458727:AWI458732 BGD458727:BGE458732 BPZ458727:BQA458732 BZV458727:BZW458732 CJR458727:CJS458732 CTN458727:CTO458732 DDJ458727:DDK458732 DNF458727:DNG458732 DXB458727:DXC458732 EGX458727:EGY458732 EQT458727:EQU458732 FAP458727:FAQ458732 FKL458727:FKM458732 FUH458727:FUI458732 GED458727:GEE458732 GNZ458727:GOA458732 GXV458727:GXW458732 HHR458727:HHS458732 HRN458727:HRO458732 IBJ458727:IBK458732 ILF458727:ILG458732 IVB458727:IVC458732 JEX458727:JEY458732 JOT458727:JOU458732 JYP458727:JYQ458732 KIL458727:KIM458732 KSH458727:KSI458732 LCD458727:LCE458732 LLZ458727:LMA458732 LVV458727:LVW458732 MFR458727:MFS458732 MPN458727:MPO458732 MZJ458727:MZK458732 NJF458727:NJG458732 NTB458727:NTC458732 OCX458727:OCY458732 OMT458727:OMU458732 OWP458727:OWQ458732 PGL458727:PGM458732 PQH458727:PQI458732 QAD458727:QAE458732 QJZ458727:QKA458732 QTV458727:QTW458732 RDR458727:RDS458732 RNN458727:RNO458732 RXJ458727:RXK458732 SHF458727:SHG458732 SRB458727:SRC458732 TAX458727:TAY458732 TKT458727:TKU458732 TUP458727:TUQ458732 UEL458727:UEM458732 UOH458727:UOI458732 UYD458727:UYE458732 VHZ458727:VIA458732 VRV458727:VRW458732 WBR458727:WBS458732 WLN458727:WLO458732 WVJ458727:WVK458732 B524263:C524268 IX524263:IY524268 ST524263:SU524268 ACP524263:ACQ524268 AML524263:AMM524268 AWH524263:AWI524268 BGD524263:BGE524268 BPZ524263:BQA524268 BZV524263:BZW524268 CJR524263:CJS524268 CTN524263:CTO524268 DDJ524263:DDK524268 DNF524263:DNG524268 DXB524263:DXC524268 EGX524263:EGY524268 EQT524263:EQU524268 FAP524263:FAQ524268 FKL524263:FKM524268 FUH524263:FUI524268 GED524263:GEE524268 GNZ524263:GOA524268 GXV524263:GXW524268 HHR524263:HHS524268 HRN524263:HRO524268 IBJ524263:IBK524268 ILF524263:ILG524268 IVB524263:IVC524268 JEX524263:JEY524268 JOT524263:JOU524268 JYP524263:JYQ524268 KIL524263:KIM524268 KSH524263:KSI524268 LCD524263:LCE524268 LLZ524263:LMA524268 LVV524263:LVW524268 MFR524263:MFS524268 MPN524263:MPO524268 MZJ524263:MZK524268 NJF524263:NJG524268 NTB524263:NTC524268 OCX524263:OCY524268 OMT524263:OMU524268 OWP524263:OWQ524268 PGL524263:PGM524268 PQH524263:PQI524268 QAD524263:QAE524268 QJZ524263:QKA524268 QTV524263:QTW524268 RDR524263:RDS524268 RNN524263:RNO524268 RXJ524263:RXK524268 SHF524263:SHG524268 SRB524263:SRC524268 TAX524263:TAY524268 TKT524263:TKU524268 TUP524263:TUQ524268 UEL524263:UEM524268 UOH524263:UOI524268 UYD524263:UYE524268 VHZ524263:VIA524268 VRV524263:VRW524268 WBR524263:WBS524268 WLN524263:WLO524268 WVJ524263:WVK524268 B589799:C589804 IX589799:IY589804 ST589799:SU589804 ACP589799:ACQ589804 AML589799:AMM589804 AWH589799:AWI589804 BGD589799:BGE589804 BPZ589799:BQA589804 BZV589799:BZW589804 CJR589799:CJS589804 CTN589799:CTO589804 DDJ589799:DDK589804 DNF589799:DNG589804 DXB589799:DXC589804 EGX589799:EGY589804 EQT589799:EQU589804 FAP589799:FAQ589804 FKL589799:FKM589804 FUH589799:FUI589804 GED589799:GEE589804 GNZ589799:GOA589804 GXV589799:GXW589804 HHR589799:HHS589804 HRN589799:HRO589804 IBJ589799:IBK589804 ILF589799:ILG589804 IVB589799:IVC589804 JEX589799:JEY589804 JOT589799:JOU589804 JYP589799:JYQ589804 KIL589799:KIM589804 KSH589799:KSI589804 LCD589799:LCE589804 LLZ589799:LMA589804 LVV589799:LVW589804 MFR589799:MFS589804 MPN589799:MPO589804 MZJ589799:MZK589804 NJF589799:NJG589804 NTB589799:NTC589804 OCX589799:OCY589804 OMT589799:OMU589804 OWP589799:OWQ589804 PGL589799:PGM589804 PQH589799:PQI589804 QAD589799:QAE589804 QJZ589799:QKA589804 QTV589799:QTW589804 RDR589799:RDS589804 RNN589799:RNO589804 RXJ589799:RXK589804 SHF589799:SHG589804 SRB589799:SRC589804 TAX589799:TAY589804 TKT589799:TKU589804 TUP589799:TUQ589804 UEL589799:UEM589804 UOH589799:UOI589804 UYD589799:UYE589804 VHZ589799:VIA589804 VRV589799:VRW589804 WBR589799:WBS589804 WLN589799:WLO589804 WVJ589799:WVK589804 B655335:C655340 IX655335:IY655340 ST655335:SU655340 ACP655335:ACQ655340 AML655335:AMM655340 AWH655335:AWI655340 BGD655335:BGE655340 BPZ655335:BQA655340 BZV655335:BZW655340 CJR655335:CJS655340 CTN655335:CTO655340 DDJ655335:DDK655340 DNF655335:DNG655340 DXB655335:DXC655340 EGX655335:EGY655340 EQT655335:EQU655340 FAP655335:FAQ655340 FKL655335:FKM655340 FUH655335:FUI655340 GED655335:GEE655340 GNZ655335:GOA655340 GXV655335:GXW655340 HHR655335:HHS655340 HRN655335:HRO655340 IBJ655335:IBK655340 ILF655335:ILG655340 IVB655335:IVC655340 JEX655335:JEY655340 JOT655335:JOU655340 JYP655335:JYQ655340 KIL655335:KIM655340 KSH655335:KSI655340 LCD655335:LCE655340 LLZ655335:LMA655340 LVV655335:LVW655340 MFR655335:MFS655340 MPN655335:MPO655340 MZJ655335:MZK655340 NJF655335:NJG655340 NTB655335:NTC655340 OCX655335:OCY655340 OMT655335:OMU655340 OWP655335:OWQ655340 PGL655335:PGM655340 PQH655335:PQI655340 QAD655335:QAE655340 QJZ655335:QKA655340 QTV655335:QTW655340 RDR655335:RDS655340 RNN655335:RNO655340 RXJ655335:RXK655340 SHF655335:SHG655340 SRB655335:SRC655340 TAX655335:TAY655340 TKT655335:TKU655340 TUP655335:TUQ655340 UEL655335:UEM655340 UOH655335:UOI655340 UYD655335:UYE655340 VHZ655335:VIA655340 VRV655335:VRW655340 WBR655335:WBS655340 WLN655335:WLO655340 WVJ655335:WVK655340 B720871:C720876 IX720871:IY720876 ST720871:SU720876 ACP720871:ACQ720876 AML720871:AMM720876 AWH720871:AWI720876 BGD720871:BGE720876 BPZ720871:BQA720876 BZV720871:BZW720876 CJR720871:CJS720876 CTN720871:CTO720876 DDJ720871:DDK720876 DNF720871:DNG720876 DXB720871:DXC720876 EGX720871:EGY720876 EQT720871:EQU720876 FAP720871:FAQ720876 FKL720871:FKM720876 FUH720871:FUI720876 GED720871:GEE720876 GNZ720871:GOA720876 GXV720871:GXW720876 HHR720871:HHS720876 HRN720871:HRO720876 IBJ720871:IBK720876 ILF720871:ILG720876 IVB720871:IVC720876 JEX720871:JEY720876 JOT720871:JOU720876 JYP720871:JYQ720876 KIL720871:KIM720876 KSH720871:KSI720876 LCD720871:LCE720876 LLZ720871:LMA720876 LVV720871:LVW720876 MFR720871:MFS720876 MPN720871:MPO720876 MZJ720871:MZK720876 NJF720871:NJG720876 NTB720871:NTC720876 OCX720871:OCY720876 OMT720871:OMU720876 OWP720871:OWQ720876 PGL720871:PGM720876 PQH720871:PQI720876 QAD720871:QAE720876 QJZ720871:QKA720876 QTV720871:QTW720876 RDR720871:RDS720876 RNN720871:RNO720876 RXJ720871:RXK720876 SHF720871:SHG720876 SRB720871:SRC720876 TAX720871:TAY720876 TKT720871:TKU720876 TUP720871:TUQ720876 UEL720871:UEM720876 UOH720871:UOI720876 UYD720871:UYE720876 VHZ720871:VIA720876 VRV720871:VRW720876 WBR720871:WBS720876 WLN720871:WLO720876 WVJ720871:WVK720876 B786407:C786412 IX786407:IY786412 ST786407:SU786412 ACP786407:ACQ786412 AML786407:AMM786412 AWH786407:AWI786412 BGD786407:BGE786412 BPZ786407:BQA786412 BZV786407:BZW786412 CJR786407:CJS786412 CTN786407:CTO786412 DDJ786407:DDK786412 DNF786407:DNG786412 DXB786407:DXC786412 EGX786407:EGY786412 EQT786407:EQU786412 FAP786407:FAQ786412 FKL786407:FKM786412 FUH786407:FUI786412 GED786407:GEE786412 GNZ786407:GOA786412 GXV786407:GXW786412 HHR786407:HHS786412 HRN786407:HRO786412 IBJ786407:IBK786412 ILF786407:ILG786412 IVB786407:IVC786412 JEX786407:JEY786412 JOT786407:JOU786412 JYP786407:JYQ786412 KIL786407:KIM786412 KSH786407:KSI786412 LCD786407:LCE786412 LLZ786407:LMA786412 LVV786407:LVW786412 MFR786407:MFS786412 MPN786407:MPO786412 MZJ786407:MZK786412 NJF786407:NJG786412 NTB786407:NTC786412 OCX786407:OCY786412 OMT786407:OMU786412 OWP786407:OWQ786412 PGL786407:PGM786412 PQH786407:PQI786412 QAD786407:QAE786412 QJZ786407:QKA786412 QTV786407:QTW786412 RDR786407:RDS786412 RNN786407:RNO786412 RXJ786407:RXK786412 SHF786407:SHG786412 SRB786407:SRC786412 TAX786407:TAY786412 TKT786407:TKU786412 TUP786407:TUQ786412 UEL786407:UEM786412 UOH786407:UOI786412 UYD786407:UYE786412 VHZ786407:VIA786412 VRV786407:VRW786412 WBR786407:WBS786412 WLN786407:WLO786412 WVJ786407:WVK786412 B851943:C851948 IX851943:IY851948 ST851943:SU851948 ACP851943:ACQ851948 AML851943:AMM851948 AWH851943:AWI851948 BGD851943:BGE851948 BPZ851943:BQA851948 BZV851943:BZW851948 CJR851943:CJS851948 CTN851943:CTO851948 DDJ851943:DDK851948 DNF851943:DNG851948 DXB851943:DXC851948 EGX851943:EGY851948 EQT851943:EQU851948 FAP851943:FAQ851948 FKL851943:FKM851948 FUH851943:FUI851948 GED851943:GEE851948 GNZ851943:GOA851948 GXV851943:GXW851948 HHR851943:HHS851948 HRN851943:HRO851948 IBJ851943:IBK851948 ILF851943:ILG851948 IVB851943:IVC851948 JEX851943:JEY851948 JOT851943:JOU851948 JYP851943:JYQ851948 KIL851943:KIM851948 KSH851943:KSI851948 LCD851943:LCE851948 LLZ851943:LMA851948 LVV851943:LVW851948 MFR851943:MFS851948 MPN851943:MPO851948 MZJ851943:MZK851948 NJF851943:NJG851948 NTB851943:NTC851948 OCX851943:OCY851948 OMT851943:OMU851948 OWP851943:OWQ851948 PGL851943:PGM851948 PQH851943:PQI851948 QAD851943:QAE851948 QJZ851943:QKA851948 QTV851943:QTW851948 RDR851943:RDS851948 RNN851943:RNO851948 RXJ851943:RXK851948 SHF851943:SHG851948 SRB851943:SRC851948 TAX851943:TAY851948 TKT851943:TKU851948 TUP851943:TUQ851948 UEL851943:UEM851948 UOH851943:UOI851948 UYD851943:UYE851948 VHZ851943:VIA851948 VRV851943:VRW851948 WBR851943:WBS851948 WLN851943:WLO851948 WVJ851943:WVK851948 B917479:C917484 IX917479:IY917484 ST917479:SU917484 ACP917479:ACQ917484 AML917479:AMM917484 AWH917479:AWI917484 BGD917479:BGE917484 BPZ917479:BQA917484 BZV917479:BZW917484 CJR917479:CJS917484 CTN917479:CTO917484 DDJ917479:DDK917484 DNF917479:DNG917484 DXB917479:DXC917484 EGX917479:EGY917484 EQT917479:EQU917484 FAP917479:FAQ917484 FKL917479:FKM917484 FUH917479:FUI917484 GED917479:GEE917484 GNZ917479:GOA917484 GXV917479:GXW917484 HHR917479:HHS917484 HRN917479:HRO917484 IBJ917479:IBK917484 ILF917479:ILG917484 IVB917479:IVC917484 JEX917479:JEY917484 JOT917479:JOU917484 JYP917479:JYQ917484 KIL917479:KIM917484 KSH917479:KSI917484 LCD917479:LCE917484 LLZ917479:LMA917484 LVV917479:LVW917484 MFR917479:MFS917484 MPN917479:MPO917484 MZJ917479:MZK917484 NJF917479:NJG917484 NTB917479:NTC917484 OCX917479:OCY917484 OMT917479:OMU917484 OWP917479:OWQ917484 PGL917479:PGM917484 PQH917479:PQI917484 QAD917479:QAE917484 QJZ917479:QKA917484 QTV917479:QTW917484 RDR917479:RDS917484 RNN917479:RNO917484 RXJ917479:RXK917484 SHF917479:SHG917484 SRB917479:SRC917484 TAX917479:TAY917484 TKT917479:TKU917484 TUP917479:TUQ917484 UEL917479:UEM917484 UOH917479:UOI917484 UYD917479:UYE917484 VHZ917479:VIA917484 VRV917479:VRW917484 WBR917479:WBS917484 WLN917479:WLO917484 WVJ917479:WVK917484 B983015:C983020 IX983015:IY983020 ST983015:SU983020 ACP983015:ACQ983020 AML983015:AMM983020 AWH983015:AWI983020 BGD983015:BGE983020 BPZ983015:BQA983020 BZV983015:BZW983020 CJR983015:CJS983020 CTN983015:CTO983020 DDJ983015:DDK983020 DNF983015:DNG983020 DXB983015:DXC983020 EGX983015:EGY983020 EQT983015:EQU983020 FAP983015:FAQ983020 FKL983015:FKM983020 FUH983015:FUI983020 GED983015:GEE983020 GNZ983015:GOA983020 GXV983015:GXW983020 HHR983015:HHS983020 HRN983015:HRO983020 IBJ983015:IBK983020 ILF983015:ILG983020 IVB983015:IVC983020 JEX983015:JEY983020 JOT983015:JOU983020 JYP983015:JYQ983020 KIL983015:KIM983020 KSH983015:KSI983020 LCD983015:LCE983020 LLZ983015:LMA983020 LVV983015:LVW983020 MFR983015:MFS983020 MPN983015:MPO983020 MZJ983015:MZK983020 NJF983015:NJG983020 NTB983015:NTC983020 OCX983015:OCY983020 OMT983015:OMU983020 OWP983015:OWQ983020 PGL983015:PGM983020 PQH983015:PQI983020 QAD983015:QAE983020 QJZ983015:QKA983020 QTV983015:QTW983020 RDR983015:RDS983020 RNN983015:RNO983020 RXJ983015:RXK983020 SHF983015:SHG983020 SRB983015:SRC983020 TAX983015:TAY983020 TKT983015:TKU983020 TUP983015:TUQ983020 UEL983015:UEM983020 UOH983015:UOI983020 UYD983015:UYE983020 VHZ983015:VIA983020 VRV983015:VRW983020 WBR983015:WBS983020 WLN983015:WLO983020 WVJ983015:WVK983020 B15:D17 WVK9 WLO9 WBS9 VRW9 VIA9 UYE9 UOI9 UEM9 TUQ9 TKU9 TAY9 SRC9 SHG9 RXK9 RNO9 RDS9 QTW9 QKA9 QAE9 PQI9 PGM9 OWQ9 OMU9 OCY9 NTC9 NJG9 MZK9 MPO9 MFS9 LVW9 LMA9 LCE9 KSI9 KIM9 JYQ9 JOU9 JEY9 IVC9 ILG9 IBK9 HRO9 HHS9 GXW9 GOA9 GEE9 FUI9 FKM9 FAQ9 EQU9 EGY9 DXC9 DNG9 DDK9 CTO9 CJS9 BZW9 BQA9 BGE9 AWI9 AMM9 ACQ9 SU9 IY9 IX6:IZ8 IX11:IZ17 C6:C9 C11:C14 WVJ6:WVL8 WVJ11:WVL17 WLN6:WLP8 WLN11:WLP17 WBR6:WBT8 WBR11:WBT17 VRV6:VRX8 VRV11:VRX17 VHZ6:VIB8 VHZ11:VIB17 UYD6:UYF8 UYD11:UYF17 UOH6:UOJ8 UOH11:UOJ17 UEL6:UEN8 UEL11:UEN17 TUP6:TUR8 TUP11:TUR17 TKT6:TKV8 TKT11:TKV17 TAX6:TAZ8 TAX11:TAZ17 SRB6:SRD8 SRB11:SRD17 SHF6:SHH8 SHF11:SHH17 RXJ6:RXL8 RXJ11:RXL17 RNN6:RNP8 RNN11:RNP17 RDR6:RDT8 RDR11:RDT17 QTV6:QTX8 QTV11:QTX17 QJZ6:QKB8 QJZ11:QKB17 QAD6:QAF8 QAD11:QAF17 PQH6:PQJ8 PQH11:PQJ17 PGL6:PGN8 PGL11:PGN17 OWP6:OWR8 OWP11:OWR17 OMT6:OMV8 OMT11:OMV17 OCX6:OCZ8 OCX11:OCZ17 NTB6:NTD8 NTB11:NTD17 NJF6:NJH8 NJF11:NJH17 MZJ6:MZL8 MZJ11:MZL17 MPN6:MPP8 MPN11:MPP17 MFR6:MFT8 MFR11:MFT17 LVV6:LVX8 LVV11:LVX17 LLZ6:LMB8 LLZ11:LMB17 LCD6:LCF8 LCD11:LCF17 KSH6:KSJ8 KSH11:KSJ17 KIL6:KIN8 KIL11:KIN17 JYP6:JYR8 JYP11:JYR17 JOT6:JOV8 JOT11:JOV17 JEX6:JEZ8 JEX11:JEZ17 IVB6:IVD8 IVB11:IVD17 ILF6:ILH8 ILF11:ILH17 IBJ6:IBL8 IBJ11:IBL17 HRN6:HRP8 HRN11:HRP17 HHR6:HHT8 HHR11:HHT17 GXV6:GXX8 GXV11:GXX17 GNZ6:GOB8 GNZ11:GOB17 GED6:GEF8 GED11:GEF17 FUH6:FUJ8 FUH11:FUJ17 FKL6:FKN8 FKL11:FKN17 FAP6:FAR8 FAP11:FAR17 EQT6:EQV8 EQT11:EQV17 EGX6:EGZ8 EGX11:EGZ17 DXB6:DXD8 DXB11:DXD17 DNF6:DNH8 DNF11:DNH17 DDJ6:DDL8 DDJ11:DDL17 CTN6:CTP8 CTN11:CTP17 CJR6:CJT8 CJR11:CJT17 BZV6:BZX8 BZV11:BZX17 BPZ6:BQB8 BPZ11:BQB17 BGD6:BGF8 BGD11:BGF17 AWH6:AWJ8 AWH11:AWJ17 AML6:AMN8 AML11:AMN17 ACP6:ACR8 ACP11:ACR17 ST6:SV8 ST11:SV17" xr:uid="{00000000-0002-0000-1D00-000002000000}"/>
    <dataValidation type="list" allowBlank="1" showInputMessage="1" showErrorMessage="1" sqref="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36 JM65536 TI65536 ADE65536 ANA65536 AWW65536 BGS65536 BQO65536 CAK65536 CKG65536 CUC65536 DDY65536 DNU65536 DXQ65536 EHM65536 ERI65536 FBE65536 FLA65536 FUW65536 GES65536 GOO65536 GYK65536 HIG65536 HSC65536 IBY65536 ILU65536 IVQ65536 JFM65536 JPI65536 JZE65536 KJA65536 KSW65536 LCS65536 LMO65536 LWK65536 MGG65536 MQC65536 MZY65536 NJU65536 NTQ65536 ODM65536 ONI65536 OXE65536 PHA65536 PQW65536 QAS65536 QKO65536 QUK65536 REG65536 ROC65536 RXY65536 SHU65536 SRQ65536 TBM65536 TLI65536 TVE65536 UFA65536 UOW65536 UYS65536 VIO65536 VSK65536 WCG65536 WMC65536 WVY65536 Q131072 JM131072 TI131072 ADE131072 ANA131072 AWW131072 BGS131072 BQO131072 CAK131072 CKG131072 CUC131072 DDY131072 DNU131072 DXQ131072 EHM131072 ERI131072 FBE131072 FLA131072 FUW131072 GES131072 GOO131072 GYK131072 HIG131072 HSC131072 IBY131072 ILU131072 IVQ131072 JFM131072 JPI131072 JZE131072 KJA131072 KSW131072 LCS131072 LMO131072 LWK131072 MGG131072 MQC131072 MZY131072 NJU131072 NTQ131072 ODM131072 ONI131072 OXE131072 PHA131072 PQW131072 QAS131072 QKO131072 QUK131072 REG131072 ROC131072 RXY131072 SHU131072 SRQ131072 TBM131072 TLI131072 TVE131072 UFA131072 UOW131072 UYS131072 VIO131072 VSK131072 WCG131072 WMC131072 WVY131072 Q196608 JM196608 TI196608 ADE196608 ANA196608 AWW196608 BGS196608 BQO196608 CAK196608 CKG196608 CUC196608 DDY196608 DNU196608 DXQ196608 EHM196608 ERI196608 FBE196608 FLA196608 FUW196608 GES196608 GOO196608 GYK196608 HIG196608 HSC196608 IBY196608 ILU196608 IVQ196608 JFM196608 JPI196608 JZE196608 KJA196608 KSW196608 LCS196608 LMO196608 LWK196608 MGG196608 MQC196608 MZY196608 NJU196608 NTQ196608 ODM196608 ONI196608 OXE196608 PHA196608 PQW196608 QAS196608 QKO196608 QUK196608 REG196608 ROC196608 RXY196608 SHU196608 SRQ196608 TBM196608 TLI196608 TVE196608 UFA196608 UOW196608 UYS196608 VIO196608 VSK196608 WCG196608 WMC196608 WVY196608 Q262144 JM262144 TI262144 ADE262144 ANA262144 AWW262144 BGS262144 BQO262144 CAK262144 CKG262144 CUC262144 DDY262144 DNU262144 DXQ262144 EHM262144 ERI262144 FBE262144 FLA262144 FUW262144 GES262144 GOO262144 GYK262144 HIG262144 HSC262144 IBY262144 ILU262144 IVQ262144 JFM262144 JPI262144 JZE262144 KJA262144 KSW262144 LCS262144 LMO262144 LWK262144 MGG262144 MQC262144 MZY262144 NJU262144 NTQ262144 ODM262144 ONI262144 OXE262144 PHA262144 PQW262144 QAS262144 QKO262144 QUK262144 REG262144 ROC262144 RXY262144 SHU262144 SRQ262144 TBM262144 TLI262144 TVE262144 UFA262144 UOW262144 UYS262144 VIO262144 VSK262144 WCG262144 WMC262144 WVY262144 Q327680 JM327680 TI327680 ADE327680 ANA327680 AWW327680 BGS327680 BQO327680 CAK327680 CKG327680 CUC327680 DDY327680 DNU327680 DXQ327680 EHM327680 ERI327680 FBE327680 FLA327680 FUW327680 GES327680 GOO327680 GYK327680 HIG327680 HSC327680 IBY327680 ILU327680 IVQ327680 JFM327680 JPI327680 JZE327680 KJA327680 KSW327680 LCS327680 LMO327680 LWK327680 MGG327680 MQC327680 MZY327680 NJU327680 NTQ327680 ODM327680 ONI327680 OXE327680 PHA327680 PQW327680 QAS327680 QKO327680 QUK327680 REG327680 ROC327680 RXY327680 SHU327680 SRQ327680 TBM327680 TLI327680 TVE327680 UFA327680 UOW327680 UYS327680 VIO327680 VSK327680 WCG327680 WMC327680 WVY327680 Q393216 JM393216 TI393216 ADE393216 ANA393216 AWW393216 BGS393216 BQO393216 CAK393216 CKG393216 CUC393216 DDY393216 DNU393216 DXQ393216 EHM393216 ERI393216 FBE393216 FLA393216 FUW393216 GES393216 GOO393216 GYK393216 HIG393216 HSC393216 IBY393216 ILU393216 IVQ393216 JFM393216 JPI393216 JZE393216 KJA393216 KSW393216 LCS393216 LMO393216 LWK393216 MGG393216 MQC393216 MZY393216 NJU393216 NTQ393216 ODM393216 ONI393216 OXE393216 PHA393216 PQW393216 QAS393216 QKO393216 QUK393216 REG393216 ROC393216 RXY393216 SHU393216 SRQ393216 TBM393216 TLI393216 TVE393216 UFA393216 UOW393216 UYS393216 VIO393216 VSK393216 WCG393216 WMC393216 WVY393216 Q458752 JM458752 TI458752 ADE458752 ANA458752 AWW458752 BGS458752 BQO458752 CAK458752 CKG458752 CUC458752 DDY458752 DNU458752 DXQ458752 EHM458752 ERI458752 FBE458752 FLA458752 FUW458752 GES458752 GOO458752 GYK458752 HIG458752 HSC458752 IBY458752 ILU458752 IVQ458752 JFM458752 JPI458752 JZE458752 KJA458752 KSW458752 LCS458752 LMO458752 LWK458752 MGG458752 MQC458752 MZY458752 NJU458752 NTQ458752 ODM458752 ONI458752 OXE458752 PHA458752 PQW458752 QAS458752 QKO458752 QUK458752 REG458752 ROC458752 RXY458752 SHU458752 SRQ458752 TBM458752 TLI458752 TVE458752 UFA458752 UOW458752 UYS458752 VIO458752 VSK458752 WCG458752 WMC458752 WVY458752 Q524288 JM524288 TI524288 ADE524288 ANA524288 AWW524288 BGS524288 BQO524288 CAK524288 CKG524288 CUC524288 DDY524288 DNU524288 DXQ524288 EHM524288 ERI524288 FBE524288 FLA524288 FUW524288 GES524288 GOO524288 GYK524288 HIG524288 HSC524288 IBY524288 ILU524288 IVQ524288 JFM524288 JPI524288 JZE524288 KJA524288 KSW524288 LCS524288 LMO524288 LWK524288 MGG524288 MQC524288 MZY524288 NJU524288 NTQ524288 ODM524288 ONI524288 OXE524288 PHA524288 PQW524288 QAS524288 QKO524288 QUK524288 REG524288 ROC524288 RXY524288 SHU524288 SRQ524288 TBM524288 TLI524288 TVE524288 UFA524288 UOW524288 UYS524288 VIO524288 VSK524288 WCG524288 WMC524288 WVY524288 Q589824 JM589824 TI589824 ADE589824 ANA589824 AWW589824 BGS589824 BQO589824 CAK589824 CKG589824 CUC589824 DDY589824 DNU589824 DXQ589824 EHM589824 ERI589824 FBE589824 FLA589824 FUW589824 GES589824 GOO589824 GYK589824 HIG589824 HSC589824 IBY589824 ILU589824 IVQ589824 JFM589824 JPI589824 JZE589824 KJA589824 KSW589824 LCS589824 LMO589824 LWK589824 MGG589824 MQC589824 MZY589824 NJU589824 NTQ589824 ODM589824 ONI589824 OXE589824 PHA589824 PQW589824 QAS589824 QKO589824 QUK589824 REG589824 ROC589824 RXY589824 SHU589824 SRQ589824 TBM589824 TLI589824 TVE589824 UFA589824 UOW589824 UYS589824 VIO589824 VSK589824 WCG589824 WMC589824 WVY589824 Q655360 JM655360 TI655360 ADE655360 ANA655360 AWW655360 BGS655360 BQO655360 CAK655360 CKG655360 CUC655360 DDY655360 DNU655360 DXQ655360 EHM655360 ERI655360 FBE655360 FLA655360 FUW655360 GES655360 GOO655360 GYK655360 HIG655360 HSC655360 IBY655360 ILU655360 IVQ655360 JFM655360 JPI655360 JZE655360 KJA655360 KSW655360 LCS655360 LMO655360 LWK655360 MGG655360 MQC655360 MZY655360 NJU655360 NTQ655360 ODM655360 ONI655360 OXE655360 PHA655360 PQW655360 QAS655360 QKO655360 QUK655360 REG655360 ROC655360 RXY655360 SHU655360 SRQ655360 TBM655360 TLI655360 TVE655360 UFA655360 UOW655360 UYS655360 VIO655360 VSK655360 WCG655360 WMC655360 WVY655360 Q720896 JM720896 TI720896 ADE720896 ANA720896 AWW720896 BGS720896 BQO720896 CAK720896 CKG720896 CUC720896 DDY720896 DNU720896 DXQ720896 EHM720896 ERI720896 FBE720896 FLA720896 FUW720896 GES720896 GOO720896 GYK720896 HIG720896 HSC720896 IBY720896 ILU720896 IVQ720896 JFM720896 JPI720896 JZE720896 KJA720896 KSW720896 LCS720896 LMO720896 LWK720896 MGG720896 MQC720896 MZY720896 NJU720896 NTQ720896 ODM720896 ONI720896 OXE720896 PHA720896 PQW720896 QAS720896 QKO720896 QUK720896 REG720896 ROC720896 RXY720896 SHU720896 SRQ720896 TBM720896 TLI720896 TVE720896 UFA720896 UOW720896 UYS720896 VIO720896 VSK720896 WCG720896 WMC720896 WVY720896 Q786432 JM786432 TI786432 ADE786432 ANA786432 AWW786432 BGS786432 BQO786432 CAK786432 CKG786432 CUC786432 DDY786432 DNU786432 DXQ786432 EHM786432 ERI786432 FBE786432 FLA786432 FUW786432 GES786432 GOO786432 GYK786432 HIG786432 HSC786432 IBY786432 ILU786432 IVQ786432 JFM786432 JPI786432 JZE786432 KJA786432 KSW786432 LCS786432 LMO786432 LWK786432 MGG786432 MQC786432 MZY786432 NJU786432 NTQ786432 ODM786432 ONI786432 OXE786432 PHA786432 PQW786432 QAS786432 QKO786432 QUK786432 REG786432 ROC786432 RXY786432 SHU786432 SRQ786432 TBM786432 TLI786432 TVE786432 UFA786432 UOW786432 UYS786432 VIO786432 VSK786432 WCG786432 WMC786432 WVY786432 Q851968 JM851968 TI851968 ADE851968 ANA851968 AWW851968 BGS851968 BQO851968 CAK851968 CKG851968 CUC851968 DDY851968 DNU851968 DXQ851968 EHM851968 ERI851968 FBE851968 FLA851968 FUW851968 GES851968 GOO851968 GYK851968 HIG851968 HSC851968 IBY851968 ILU851968 IVQ851968 JFM851968 JPI851968 JZE851968 KJA851968 KSW851968 LCS851968 LMO851968 LWK851968 MGG851968 MQC851968 MZY851968 NJU851968 NTQ851968 ODM851968 ONI851968 OXE851968 PHA851968 PQW851968 QAS851968 QKO851968 QUK851968 REG851968 ROC851968 RXY851968 SHU851968 SRQ851968 TBM851968 TLI851968 TVE851968 UFA851968 UOW851968 UYS851968 VIO851968 VSK851968 WCG851968 WMC851968 WVY851968 Q917504 JM917504 TI917504 ADE917504 ANA917504 AWW917504 BGS917504 BQO917504 CAK917504 CKG917504 CUC917504 DDY917504 DNU917504 DXQ917504 EHM917504 ERI917504 FBE917504 FLA917504 FUW917504 GES917504 GOO917504 GYK917504 HIG917504 HSC917504 IBY917504 ILU917504 IVQ917504 JFM917504 JPI917504 JZE917504 KJA917504 KSW917504 LCS917504 LMO917504 LWK917504 MGG917504 MQC917504 MZY917504 NJU917504 NTQ917504 ODM917504 ONI917504 OXE917504 PHA917504 PQW917504 QAS917504 QKO917504 QUK917504 REG917504 ROC917504 RXY917504 SHU917504 SRQ917504 TBM917504 TLI917504 TVE917504 UFA917504 UOW917504 UYS917504 VIO917504 VSK917504 WCG917504 WMC917504 WVY917504 Q983040 JM983040 TI983040 ADE983040 ANA983040 AWW983040 BGS983040 BQO983040 CAK983040 CKG983040 CUC983040 DDY983040 DNU983040 DXQ983040 EHM983040 ERI983040 FBE983040 FLA983040 FUW983040 GES983040 GOO983040 GYK983040 HIG983040 HSC983040 IBY983040 ILU983040 IVQ983040 JFM983040 JPI983040 JZE983040 KJA983040 KSW983040 LCS983040 LMO983040 LWK983040 MGG983040 MQC983040 MZY983040 NJU983040 NTQ983040 ODM983040 ONI983040 OXE983040 PHA983040 PQW983040 QAS983040 QKO983040 QUK983040 REG983040 ROC983040 RXY983040 SHU983040 SRQ983040 TBM983040 TLI983040 TVE983040 UFA983040 UOW983040 UYS983040 VIO983040 VSK983040 WCG983040 WMC983040 WVY983040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37 JK65537 TG65537 ADC65537 AMY65537 AWU65537 BGQ65537 BQM65537 CAI65537 CKE65537 CUA65537 DDW65537 DNS65537 DXO65537 EHK65537 ERG65537 FBC65537 FKY65537 FUU65537 GEQ65537 GOM65537 GYI65537 HIE65537 HSA65537 IBW65537 ILS65537 IVO65537 JFK65537 JPG65537 JZC65537 KIY65537 KSU65537 LCQ65537 LMM65537 LWI65537 MGE65537 MQA65537 MZW65537 NJS65537 NTO65537 ODK65537 ONG65537 OXC65537 PGY65537 PQU65537 QAQ65537 QKM65537 QUI65537 REE65537 ROA65537 RXW65537 SHS65537 SRO65537 TBK65537 TLG65537 TVC65537 UEY65537 UOU65537 UYQ65537 VIM65537 VSI65537 WCE65537 WMA65537 WVW65537 O131073 JK131073 TG131073 ADC131073 AMY131073 AWU131073 BGQ131073 BQM131073 CAI131073 CKE131073 CUA131073 DDW131073 DNS131073 DXO131073 EHK131073 ERG131073 FBC131073 FKY131073 FUU131073 GEQ131073 GOM131073 GYI131073 HIE131073 HSA131073 IBW131073 ILS131073 IVO131073 JFK131073 JPG131073 JZC131073 KIY131073 KSU131073 LCQ131073 LMM131073 LWI131073 MGE131073 MQA131073 MZW131073 NJS131073 NTO131073 ODK131073 ONG131073 OXC131073 PGY131073 PQU131073 QAQ131073 QKM131073 QUI131073 REE131073 ROA131073 RXW131073 SHS131073 SRO131073 TBK131073 TLG131073 TVC131073 UEY131073 UOU131073 UYQ131073 VIM131073 VSI131073 WCE131073 WMA131073 WVW131073 O196609 JK196609 TG196609 ADC196609 AMY196609 AWU196609 BGQ196609 BQM196609 CAI196609 CKE196609 CUA196609 DDW196609 DNS196609 DXO196609 EHK196609 ERG196609 FBC196609 FKY196609 FUU196609 GEQ196609 GOM196609 GYI196609 HIE196609 HSA196609 IBW196609 ILS196609 IVO196609 JFK196609 JPG196609 JZC196609 KIY196609 KSU196609 LCQ196609 LMM196609 LWI196609 MGE196609 MQA196609 MZW196609 NJS196609 NTO196609 ODK196609 ONG196609 OXC196609 PGY196609 PQU196609 QAQ196609 QKM196609 QUI196609 REE196609 ROA196609 RXW196609 SHS196609 SRO196609 TBK196609 TLG196609 TVC196609 UEY196609 UOU196609 UYQ196609 VIM196609 VSI196609 WCE196609 WMA196609 WVW196609 O262145 JK262145 TG262145 ADC262145 AMY262145 AWU262145 BGQ262145 BQM262145 CAI262145 CKE262145 CUA262145 DDW262145 DNS262145 DXO262145 EHK262145 ERG262145 FBC262145 FKY262145 FUU262145 GEQ262145 GOM262145 GYI262145 HIE262145 HSA262145 IBW262145 ILS262145 IVO262145 JFK262145 JPG262145 JZC262145 KIY262145 KSU262145 LCQ262145 LMM262145 LWI262145 MGE262145 MQA262145 MZW262145 NJS262145 NTO262145 ODK262145 ONG262145 OXC262145 PGY262145 PQU262145 QAQ262145 QKM262145 QUI262145 REE262145 ROA262145 RXW262145 SHS262145 SRO262145 TBK262145 TLG262145 TVC262145 UEY262145 UOU262145 UYQ262145 VIM262145 VSI262145 WCE262145 WMA262145 WVW262145 O327681 JK327681 TG327681 ADC327681 AMY327681 AWU327681 BGQ327681 BQM327681 CAI327681 CKE327681 CUA327681 DDW327681 DNS327681 DXO327681 EHK327681 ERG327681 FBC327681 FKY327681 FUU327681 GEQ327681 GOM327681 GYI327681 HIE327681 HSA327681 IBW327681 ILS327681 IVO327681 JFK327681 JPG327681 JZC327681 KIY327681 KSU327681 LCQ327681 LMM327681 LWI327681 MGE327681 MQA327681 MZW327681 NJS327681 NTO327681 ODK327681 ONG327681 OXC327681 PGY327681 PQU327681 QAQ327681 QKM327681 QUI327681 REE327681 ROA327681 RXW327681 SHS327681 SRO327681 TBK327681 TLG327681 TVC327681 UEY327681 UOU327681 UYQ327681 VIM327681 VSI327681 WCE327681 WMA327681 WVW327681 O393217 JK393217 TG393217 ADC393217 AMY393217 AWU393217 BGQ393217 BQM393217 CAI393217 CKE393217 CUA393217 DDW393217 DNS393217 DXO393217 EHK393217 ERG393217 FBC393217 FKY393217 FUU393217 GEQ393217 GOM393217 GYI393217 HIE393217 HSA393217 IBW393217 ILS393217 IVO393217 JFK393217 JPG393217 JZC393217 KIY393217 KSU393217 LCQ393217 LMM393217 LWI393217 MGE393217 MQA393217 MZW393217 NJS393217 NTO393217 ODK393217 ONG393217 OXC393217 PGY393217 PQU393217 QAQ393217 QKM393217 QUI393217 REE393217 ROA393217 RXW393217 SHS393217 SRO393217 TBK393217 TLG393217 TVC393217 UEY393217 UOU393217 UYQ393217 VIM393217 VSI393217 WCE393217 WMA393217 WVW393217 O458753 JK458753 TG458753 ADC458753 AMY458753 AWU458753 BGQ458753 BQM458753 CAI458753 CKE458753 CUA458753 DDW458753 DNS458753 DXO458753 EHK458753 ERG458753 FBC458753 FKY458753 FUU458753 GEQ458753 GOM458753 GYI458753 HIE458753 HSA458753 IBW458753 ILS458753 IVO458753 JFK458753 JPG458753 JZC458753 KIY458753 KSU458753 LCQ458753 LMM458753 LWI458753 MGE458753 MQA458753 MZW458753 NJS458753 NTO458753 ODK458753 ONG458753 OXC458753 PGY458753 PQU458753 QAQ458753 QKM458753 QUI458753 REE458753 ROA458753 RXW458753 SHS458753 SRO458753 TBK458753 TLG458753 TVC458753 UEY458753 UOU458753 UYQ458753 VIM458753 VSI458753 WCE458753 WMA458753 WVW458753 O524289 JK524289 TG524289 ADC524289 AMY524289 AWU524289 BGQ524289 BQM524289 CAI524289 CKE524289 CUA524289 DDW524289 DNS524289 DXO524289 EHK524289 ERG524289 FBC524289 FKY524289 FUU524289 GEQ524289 GOM524289 GYI524289 HIE524289 HSA524289 IBW524289 ILS524289 IVO524289 JFK524289 JPG524289 JZC524289 KIY524289 KSU524289 LCQ524289 LMM524289 LWI524289 MGE524289 MQA524289 MZW524289 NJS524289 NTO524289 ODK524289 ONG524289 OXC524289 PGY524289 PQU524289 QAQ524289 QKM524289 QUI524289 REE524289 ROA524289 RXW524289 SHS524289 SRO524289 TBK524289 TLG524289 TVC524289 UEY524289 UOU524289 UYQ524289 VIM524289 VSI524289 WCE524289 WMA524289 WVW524289 O589825 JK589825 TG589825 ADC589825 AMY589825 AWU589825 BGQ589825 BQM589825 CAI589825 CKE589825 CUA589825 DDW589825 DNS589825 DXO589825 EHK589825 ERG589825 FBC589825 FKY589825 FUU589825 GEQ589825 GOM589825 GYI589825 HIE589825 HSA589825 IBW589825 ILS589825 IVO589825 JFK589825 JPG589825 JZC589825 KIY589825 KSU589825 LCQ589825 LMM589825 LWI589825 MGE589825 MQA589825 MZW589825 NJS589825 NTO589825 ODK589825 ONG589825 OXC589825 PGY589825 PQU589825 QAQ589825 QKM589825 QUI589825 REE589825 ROA589825 RXW589825 SHS589825 SRO589825 TBK589825 TLG589825 TVC589825 UEY589825 UOU589825 UYQ589825 VIM589825 VSI589825 WCE589825 WMA589825 WVW589825 O655361 JK655361 TG655361 ADC655361 AMY655361 AWU655361 BGQ655361 BQM655361 CAI655361 CKE655361 CUA655361 DDW655361 DNS655361 DXO655361 EHK655361 ERG655361 FBC655361 FKY655361 FUU655361 GEQ655361 GOM655361 GYI655361 HIE655361 HSA655361 IBW655361 ILS655361 IVO655361 JFK655361 JPG655361 JZC655361 KIY655361 KSU655361 LCQ655361 LMM655361 LWI655361 MGE655361 MQA655361 MZW655361 NJS655361 NTO655361 ODK655361 ONG655361 OXC655361 PGY655361 PQU655361 QAQ655361 QKM655361 QUI655361 REE655361 ROA655361 RXW655361 SHS655361 SRO655361 TBK655361 TLG655361 TVC655361 UEY655361 UOU655361 UYQ655361 VIM655361 VSI655361 WCE655361 WMA655361 WVW655361 O720897 JK720897 TG720897 ADC720897 AMY720897 AWU720897 BGQ720897 BQM720897 CAI720897 CKE720897 CUA720897 DDW720897 DNS720897 DXO720897 EHK720897 ERG720897 FBC720897 FKY720897 FUU720897 GEQ720897 GOM720897 GYI720897 HIE720897 HSA720897 IBW720897 ILS720897 IVO720897 JFK720897 JPG720897 JZC720897 KIY720897 KSU720897 LCQ720897 LMM720897 LWI720897 MGE720897 MQA720897 MZW720897 NJS720897 NTO720897 ODK720897 ONG720897 OXC720897 PGY720897 PQU720897 QAQ720897 QKM720897 QUI720897 REE720897 ROA720897 RXW720897 SHS720897 SRO720897 TBK720897 TLG720897 TVC720897 UEY720897 UOU720897 UYQ720897 VIM720897 VSI720897 WCE720897 WMA720897 WVW720897 O786433 JK786433 TG786433 ADC786433 AMY786433 AWU786433 BGQ786433 BQM786433 CAI786433 CKE786433 CUA786433 DDW786433 DNS786433 DXO786433 EHK786433 ERG786433 FBC786433 FKY786433 FUU786433 GEQ786433 GOM786433 GYI786433 HIE786433 HSA786433 IBW786433 ILS786433 IVO786433 JFK786433 JPG786433 JZC786433 KIY786433 KSU786433 LCQ786433 LMM786433 LWI786433 MGE786433 MQA786433 MZW786433 NJS786433 NTO786433 ODK786433 ONG786433 OXC786433 PGY786433 PQU786433 QAQ786433 QKM786433 QUI786433 REE786433 ROA786433 RXW786433 SHS786433 SRO786433 TBK786433 TLG786433 TVC786433 UEY786433 UOU786433 UYQ786433 VIM786433 VSI786433 WCE786433 WMA786433 WVW786433 O851969 JK851969 TG851969 ADC851969 AMY851969 AWU851969 BGQ851969 BQM851969 CAI851969 CKE851969 CUA851969 DDW851969 DNS851969 DXO851969 EHK851969 ERG851969 FBC851969 FKY851969 FUU851969 GEQ851969 GOM851969 GYI851969 HIE851969 HSA851969 IBW851969 ILS851969 IVO851969 JFK851969 JPG851969 JZC851969 KIY851969 KSU851969 LCQ851969 LMM851969 LWI851969 MGE851969 MQA851969 MZW851969 NJS851969 NTO851969 ODK851969 ONG851969 OXC851969 PGY851969 PQU851969 QAQ851969 QKM851969 QUI851969 REE851969 ROA851969 RXW851969 SHS851969 SRO851969 TBK851969 TLG851969 TVC851969 UEY851969 UOU851969 UYQ851969 VIM851969 VSI851969 WCE851969 WMA851969 WVW851969 O917505 JK917505 TG917505 ADC917505 AMY917505 AWU917505 BGQ917505 BQM917505 CAI917505 CKE917505 CUA917505 DDW917505 DNS917505 DXO917505 EHK917505 ERG917505 FBC917505 FKY917505 FUU917505 GEQ917505 GOM917505 GYI917505 HIE917505 HSA917505 IBW917505 ILS917505 IVO917505 JFK917505 JPG917505 JZC917505 KIY917505 KSU917505 LCQ917505 LMM917505 LWI917505 MGE917505 MQA917505 MZW917505 NJS917505 NTO917505 ODK917505 ONG917505 OXC917505 PGY917505 PQU917505 QAQ917505 QKM917505 QUI917505 REE917505 ROA917505 RXW917505 SHS917505 SRO917505 TBK917505 TLG917505 TVC917505 UEY917505 UOU917505 UYQ917505 VIM917505 VSI917505 WCE917505 WMA917505 WVW917505 O983041 JK983041 TG983041 ADC983041 AMY983041 AWU983041 BGQ983041 BQM983041 CAI983041 CKE983041 CUA983041 DDW983041 DNS983041 DXO983041 EHK983041 ERG983041 FBC983041 FKY983041 FUU983041 GEQ983041 GOM983041 GYI983041 HIE983041 HSA983041 IBW983041 ILS983041 IVO983041 JFK983041 JPG983041 JZC983041 KIY983041 KSU983041 LCQ983041 LMM983041 LWI983041 MGE983041 MQA983041 MZW983041 NJS983041 NTO983041 ODK983041 ONG983041 OXC983041 PGY983041 PQU983041 QAQ983041 QKM983041 QUI983041 REE983041 ROA983041 RXW983041 SHS983041 SRO983041 TBK983041 TLG983041 TVC983041 UEY983041 UOU983041 UYQ983041 VIM983041 VSI983041 WCE983041 WMA983041 WVW983041" xr:uid="{00000000-0002-0000-1D00-000003000000}">
      <formula1>"да,нет"</formula1>
    </dataValidation>
    <dataValidation type="decimal" operator="greaterThanOrEqual" allowBlank="1" showInputMessage="1" showErrorMessage="1" error="введенное в эту ячейку значение должно быть числом" sqref="L28:L29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L65536:L65537 JH65536:JH65537 TD65536:TD65537 ACZ65536:ACZ65537 AMV65536:AMV65537 AWR65536:AWR65537 BGN65536:BGN65537 BQJ65536:BQJ65537 CAF65536:CAF65537 CKB65536:CKB65537 CTX65536:CTX65537 DDT65536:DDT65537 DNP65536:DNP65537 DXL65536:DXL65537 EHH65536:EHH65537 ERD65536:ERD65537 FAZ65536:FAZ65537 FKV65536:FKV65537 FUR65536:FUR65537 GEN65536:GEN65537 GOJ65536:GOJ65537 GYF65536:GYF65537 HIB65536:HIB65537 HRX65536:HRX65537 IBT65536:IBT65537 ILP65536:ILP65537 IVL65536:IVL65537 JFH65536:JFH65537 JPD65536:JPD65537 JYZ65536:JYZ65537 KIV65536:KIV65537 KSR65536:KSR65537 LCN65536:LCN65537 LMJ65536:LMJ65537 LWF65536:LWF65537 MGB65536:MGB65537 MPX65536:MPX65537 MZT65536:MZT65537 NJP65536:NJP65537 NTL65536:NTL65537 ODH65536:ODH65537 OND65536:OND65537 OWZ65536:OWZ65537 PGV65536:PGV65537 PQR65536:PQR65537 QAN65536:QAN65537 QKJ65536:QKJ65537 QUF65536:QUF65537 REB65536:REB65537 RNX65536:RNX65537 RXT65536:RXT65537 SHP65536:SHP65537 SRL65536:SRL65537 TBH65536:TBH65537 TLD65536:TLD65537 TUZ65536:TUZ65537 UEV65536:UEV65537 UOR65536:UOR65537 UYN65536:UYN65537 VIJ65536:VIJ65537 VSF65536:VSF65537 WCB65536:WCB65537 WLX65536:WLX65537 WVT65536:WVT65537 L131072:L131073 JH131072:JH131073 TD131072:TD131073 ACZ131072:ACZ131073 AMV131072:AMV131073 AWR131072:AWR131073 BGN131072:BGN131073 BQJ131072:BQJ131073 CAF131072:CAF131073 CKB131072:CKB131073 CTX131072:CTX131073 DDT131072:DDT131073 DNP131072:DNP131073 DXL131072:DXL131073 EHH131072:EHH131073 ERD131072:ERD131073 FAZ131072:FAZ131073 FKV131072:FKV131073 FUR131072:FUR131073 GEN131072:GEN131073 GOJ131072:GOJ131073 GYF131072:GYF131073 HIB131072:HIB131073 HRX131072:HRX131073 IBT131072:IBT131073 ILP131072:ILP131073 IVL131072:IVL131073 JFH131072:JFH131073 JPD131072:JPD131073 JYZ131072:JYZ131073 KIV131072:KIV131073 KSR131072:KSR131073 LCN131072:LCN131073 LMJ131072:LMJ131073 LWF131072:LWF131073 MGB131072:MGB131073 MPX131072:MPX131073 MZT131072:MZT131073 NJP131072:NJP131073 NTL131072:NTL131073 ODH131072:ODH131073 OND131072:OND131073 OWZ131072:OWZ131073 PGV131072:PGV131073 PQR131072:PQR131073 QAN131072:QAN131073 QKJ131072:QKJ131073 QUF131072:QUF131073 REB131072:REB131073 RNX131072:RNX131073 RXT131072:RXT131073 SHP131072:SHP131073 SRL131072:SRL131073 TBH131072:TBH131073 TLD131072:TLD131073 TUZ131072:TUZ131073 UEV131072:UEV131073 UOR131072:UOR131073 UYN131072:UYN131073 VIJ131072:VIJ131073 VSF131072:VSF131073 WCB131072:WCB131073 WLX131072:WLX131073 WVT131072:WVT131073 L196608:L196609 JH196608:JH196609 TD196608:TD196609 ACZ196608:ACZ196609 AMV196608:AMV196609 AWR196608:AWR196609 BGN196608:BGN196609 BQJ196608:BQJ196609 CAF196608:CAF196609 CKB196608:CKB196609 CTX196608:CTX196609 DDT196608:DDT196609 DNP196608:DNP196609 DXL196608:DXL196609 EHH196608:EHH196609 ERD196608:ERD196609 FAZ196608:FAZ196609 FKV196608:FKV196609 FUR196608:FUR196609 GEN196608:GEN196609 GOJ196608:GOJ196609 GYF196608:GYF196609 HIB196608:HIB196609 HRX196608:HRX196609 IBT196608:IBT196609 ILP196608:ILP196609 IVL196608:IVL196609 JFH196608:JFH196609 JPD196608:JPD196609 JYZ196608:JYZ196609 KIV196608:KIV196609 KSR196608:KSR196609 LCN196608:LCN196609 LMJ196608:LMJ196609 LWF196608:LWF196609 MGB196608:MGB196609 MPX196608:MPX196609 MZT196608:MZT196609 NJP196608:NJP196609 NTL196608:NTL196609 ODH196608:ODH196609 OND196608:OND196609 OWZ196608:OWZ196609 PGV196608:PGV196609 PQR196608:PQR196609 QAN196608:QAN196609 QKJ196608:QKJ196609 QUF196608:QUF196609 REB196608:REB196609 RNX196608:RNX196609 RXT196608:RXT196609 SHP196608:SHP196609 SRL196608:SRL196609 TBH196608:TBH196609 TLD196608:TLD196609 TUZ196608:TUZ196609 UEV196608:UEV196609 UOR196608:UOR196609 UYN196608:UYN196609 VIJ196608:VIJ196609 VSF196608:VSF196609 WCB196608:WCB196609 WLX196608:WLX196609 WVT196608:WVT196609 L262144:L262145 JH262144:JH262145 TD262144:TD262145 ACZ262144:ACZ262145 AMV262144:AMV262145 AWR262144:AWR262145 BGN262144:BGN262145 BQJ262144:BQJ262145 CAF262144:CAF262145 CKB262144:CKB262145 CTX262144:CTX262145 DDT262144:DDT262145 DNP262144:DNP262145 DXL262144:DXL262145 EHH262144:EHH262145 ERD262144:ERD262145 FAZ262144:FAZ262145 FKV262144:FKV262145 FUR262144:FUR262145 GEN262144:GEN262145 GOJ262144:GOJ262145 GYF262144:GYF262145 HIB262144:HIB262145 HRX262144:HRX262145 IBT262144:IBT262145 ILP262144:ILP262145 IVL262144:IVL262145 JFH262144:JFH262145 JPD262144:JPD262145 JYZ262144:JYZ262145 KIV262144:KIV262145 KSR262144:KSR262145 LCN262144:LCN262145 LMJ262144:LMJ262145 LWF262144:LWF262145 MGB262144:MGB262145 MPX262144:MPX262145 MZT262144:MZT262145 NJP262144:NJP262145 NTL262144:NTL262145 ODH262144:ODH262145 OND262144:OND262145 OWZ262144:OWZ262145 PGV262144:PGV262145 PQR262144:PQR262145 QAN262144:QAN262145 QKJ262144:QKJ262145 QUF262144:QUF262145 REB262144:REB262145 RNX262144:RNX262145 RXT262144:RXT262145 SHP262144:SHP262145 SRL262144:SRL262145 TBH262144:TBH262145 TLD262144:TLD262145 TUZ262144:TUZ262145 UEV262144:UEV262145 UOR262144:UOR262145 UYN262144:UYN262145 VIJ262144:VIJ262145 VSF262144:VSF262145 WCB262144:WCB262145 WLX262144:WLX262145 WVT262144:WVT262145 L327680:L327681 JH327680:JH327681 TD327680:TD327681 ACZ327680:ACZ327681 AMV327680:AMV327681 AWR327680:AWR327681 BGN327680:BGN327681 BQJ327680:BQJ327681 CAF327680:CAF327681 CKB327680:CKB327681 CTX327680:CTX327681 DDT327680:DDT327681 DNP327680:DNP327681 DXL327680:DXL327681 EHH327680:EHH327681 ERD327680:ERD327681 FAZ327680:FAZ327681 FKV327680:FKV327681 FUR327680:FUR327681 GEN327680:GEN327681 GOJ327680:GOJ327681 GYF327680:GYF327681 HIB327680:HIB327681 HRX327680:HRX327681 IBT327680:IBT327681 ILP327680:ILP327681 IVL327680:IVL327681 JFH327680:JFH327681 JPD327680:JPD327681 JYZ327680:JYZ327681 KIV327680:KIV327681 KSR327680:KSR327681 LCN327680:LCN327681 LMJ327680:LMJ327681 LWF327680:LWF327681 MGB327680:MGB327681 MPX327680:MPX327681 MZT327680:MZT327681 NJP327680:NJP327681 NTL327680:NTL327681 ODH327680:ODH327681 OND327680:OND327681 OWZ327680:OWZ327681 PGV327680:PGV327681 PQR327680:PQR327681 QAN327680:QAN327681 QKJ327680:QKJ327681 QUF327680:QUF327681 REB327680:REB327681 RNX327680:RNX327681 RXT327680:RXT327681 SHP327680:SHP327681 SRL327680:SRL327681 TBH327680:TBH327681 TLD327680:TLD327681 TUZ327680:TUZ327681 UEV327680:UEV327681 UOR327680:UOR327681 UYN327680:UYN327681 VIJ327680:VIJ327681 VSF327680:VSF327681 WCB327680:WCB327681 WLX327680:WLX327681 WVT327680:WVT327681 L393216:L393217 JH393216:JH393217 TD393216:TD393217 ACZ393216:ACZ393217 AMV393216:AMV393217 AWR393216:AWR393217 BGN393216:BGN393217 BQJ393216:BQJ393217 CAF393216:CAF393217 CKB393216:CKB393217 CTX393216:CTX393217 DDT393216:DDT393217 DNP393216:DNP393217 DXL393216:DXL393217 EHH393216:EHH393217 ERD393216:ERD393217 FAZ393216:FAZ393217 FKV393216:FKV393217 FUR393216:FUR393217 GEN393216:GEN393217 GOJ393216:GOJ393217 GYF393216:GYF393217 HIB393216:HIB393217 HRX393216:HRX393217 IBT393216:IBT393217 ILP393216:ILP393217 IVL393216:IVL393217 JFH393216:JFH393217 JPD393216:JPD393217 JYZ393216:JYZ393217 KIV393216:KIV393217 KSR393216:KSR393217 LCN393216:LCN393217 LMJ393216:LMJ393217 LWF393216:LWF393217 MGB393216:MGB393217 MPX393216:MPX393217 MZT393216:MZT393217 NJP393216:NJP393217 NTL393216:NTL393217 ODH393216:ODH393217 OND393216:OND393217 OWZ393216:OWZ393217 PGV393216:PGV393217 PQR393216:PQR393217 QAN393216:QAN393217 QKJ393216:QKJ393217 QUF393216:QUF393217 REB393216:REB393217 RNX393216:RNX393217 RXT393216:RXT393217 SHP393216:SHP393217 SRL393216:SRL393217 TBH393216:TBH393217 TLD393216:TLD393217 TUZ393216:TUZ393217 UEV393216:UEV393217 UOR393216:UOR393217 UYN393216:UYN393217 VIJ393216:VIJ393217 VSF393216:VSF393217 WCB393216:WCB393217 WLX393216:WLX393217 WVT393216:WVT393217 L458752:L458753 JH458752:JH458753 TD458752:TD458753 ACZ458752:ACZ458753 AMV458752:AMV458753 AWR458752:AWR458753 BGN458752:BGN458753 BQJ458752:BQJ458753 CAF458752:CAF458753 CKB458752:CKB458753 CTX458752:CTX458753 DDT458752:DDT458753 DNP458752:DNP458753 DXL458752:DXL458753 EHH458752:EHH458753 ERD458752:ERD458753 FAZ458752:FAZ458753 FKV458752:FKV458753 FUR458752:FUR458753 GEN458752:GEN458753 GOJ458752:GOJ458753 GYF458752:GYF458753 HIB458752:HIB458753 HRX458752:HRX458753 IBT458752:IBT458753 ILP458752:ILP458753 IVL458752:IVL458753 JFH458752:JFH458753 JPD458752:JPD458753 JYZ458752:JYZ458753 KIV458752:KIV458753 KSR458752:KSR458753 LCN458752:LCN458753 LMJ458752:LMJ458753 LWF458752:LWF458753 MGB458752:MGB458753 MPX458752:MPX458753 MZT458752:MZT458753 NJP458752:NJP458753 NTL458752:NTL458753 ODH458752:ODH458753 OND458752:OND458753 OWZ458752:OWZ458753 PGV458752:PGV458753 PQR458752:PQR458753 QAN458752:QAN458753 QKJ458752:QKJ458753 QUF458752:QUF458753 REB458752:REB458753 RNX458752:RNX458753 RXT458752:RXT458753 SHP458752:SHP458753 SRL458752:SRL458753 TBH458752:TBH458753 TLD458752:TLD458753 TUZ458752:TUZ458753 UEV458752:UEV458753 UOR458752:UOR458753 UYN458752:UYN458753 VIJ458752:VIJ458753 VSF458752:VSF458753 WCB458752:WCB458753 WLX458752:WLX458753 WVT458752:WVT458753 L524288:L524289 JH524288:JH524289 TD524288:TD524289 ACZ524288:ACZ524289 AMV524288:AMV524289 AWR524288:AWR524289 BGN524288:BGN524289 BQJ524288:BQJ524289 CAF524288:CAF524289 CKB524288:CKB524289 CTX524288:CTX524289 DDT524288:DDT524289 DNP524288:DNP524289 DXL524288:DXL524289 EHH524288:EHH524289 ERD524288:ERD524289 FAZ524288:FAZ524289 FKV524288:FKV524289 FUR524288:FUR524289 GEN524288:GEN524289 GOJ524288:GOJ524289 GYF524288:GYF524289 HIB524288:HIB524289 HRX524288:HRX524289 IBT524288:IBT524289 ILP524288:ILP524289 IVL524288:IVL524289 JFH524288:JFH524289 JPD524288:JPD524289 JYZ524288:JYZ524289 KIV524288:KIV524289 KSR524288:KSR524289 LCN524288:LCN524289 LMJ524288:LMJ524289 LWF524288:LWF524289 MGB524288:MGB524289 MPX524288:MPX524289 MZT524288:MZT524289 NJP524288:NJP524289 NTL524288:NTL524289 ODH524288:ODH524289 OND524288:OND524289 OWZ524288:OWZ524289 PGV524288:PGV524289 PQR524288:PQR524289 QAN524288:QAN524289 QKJ524288:QKJ524289 QUF524288:QUF524289 REB524288:REB524289 RNX524288:RNX524289 RXT524288:RXT524289 SHP524288:SHP524289 SRL524288:SRL524289 TBH524288:TBH524289 TLD524288:TLD524289 TUZ524288:TUZ524289 UEV524288:UEV524289 UOR524288:UOR524289 UYN524288:UYN524289 VIJ524288:VIJ524289 VSF524288:VSF524289 WCB524288:WCB524289 WLX524288:WLX524289 WVT524288:WVT524289 L589824:L589825 JH589824:JH589825 TD589824:TD589825 ACZ589824:ACZ589825 AMV589824:AMV589825 AWR589824:AWR589825 BGN589824:BGN589825 BQJ589824:BQJ589825 CAF589824:CAF589825 CKB589824:CKB589825 CTX589824:CTX589825 DDT589824:DDT589825 DNP589824:DNP589825 DXL589824:DXL589825 EHH589824:EHH589825 ERD589824:ERD589825 FAZ589824:FAZ589825 FKV589824:FKV589825 FUR589824:FUR589825 GEN589824:GEN589825 GOJ589824:GOJ589825 GYF589824:GYF589825 HIB589824:HIB589825 HRX589824:HRX589825 IBT589824:IBT589825 ILP589824:ILP589825 IVL589824:IVL589825 JFH589824:JFH589825 JPD589824:JPD589825 JYZ589824:JYZ589825 KIV589824:KIV589825 KSR589824:KSR589825 LCN589824:LCN589825 LMJ589824:LMJ589825 LWF589824:LWF589825 MGB589824:MGB589825 MPX589824:MPX589825 MZT589824:MZT589825 NJP589824:NJP589825 NTL589824:NTL589825 ODH589824:ODH589825 OND589824:OND589825 OWZ589824:OWZ589825 PGV589824:PGV589825 PQR589824:PQR589825 QAN589824:QAN589825 QKJ589824:QKJ589825 QUF589824:QUF589825 REB589824:REB589825 RNX589824:RNX589825 RXT589824:RXT589825 SHP589824:SHP589825 SRL589824:SRL589825 TBH589824:TBH589825 TLD589824:TLD589825 TUZ589824:TUZ589825 UEV589824:UEV589825 UOR589824:UOR589825 UYN589824:UYN589825 VIJ589824:VIJ589825 VSF589824:VSF589825 WCB589824:WCB589825 WLX589824:WLX589825 WVT589824:WVT589825 L655360:L655361 JH655360:JH655361 TD655360:TD655361 ACZ655360:ACZ655361 AMV655360:AMV655361 AWR655360:AWR655361 BGN655360:BGN655361 BQJ655360:BQJ655361 CAF655360:CAF655361 CKB655360:CKB655361 CTX655360:CTX655361 DDT655360:DDT655361 DNP655360:DNP655361 DXL655360:DXL655361 EHH655360:EHH655361 ERD655360:ERD655361 FAZ655360:FAZ655361 FKV655360:FKV655361 FUR655360:FUR655361 GEN655360:GEN655361 GOJ655360:GOJ655361 GYF655360:GYF655361 HIB655360:HIB655361 HRX655360:HRX655361 IBT655360:IBT655361 ILP655360:ILP655361 IVL655360:IVL655361 JFH655360:JFH655361 JPD655360:JPD655361 JYZ655360:JYZ655361 KIV655360:KIV655361 KSR655360:KSR655361 LCN655360:LCN655361 LMJ655360:LMJ655361 LWF655360:LWF655361 MGB655360:MGB655361 MPX655360:MPX655361 MZT655360:MZT655361 NJP655360:NJP655361 NTL655360:NTL655361 ODH655360:ODH655361 OND655360:OND655361 OWZ655360:OWZ655361 PGV655360:PGV655361 PQR655360:PQR655361 QAN655360:QAN655361 QKJ655360:QKJ655361 QUF655360:QUF655361 REB655360:REB655361 RNX655360:RNX655361 RXT655360:RXT655361 SHP655360:SHP655361 SRL655360:SRL655361 TBH655360:TBH655361 TLD655360:TLD655361 TUZ655360:TUZ655361 UEV655360:UEV655361 UOR655360:UOR655361 UYN655360:UYN655361 VIJ655360:VIJ655361 VSF655360:VSF655361 WCB655360:WCB655361 WLX655360:WLX655361 WVT655360:WVT655361 L720896:L720897 JH720896:JH720897 TD720896:TD720897 ACZ720896:ACZ720897 AMV720896:AMV720897 AWR720896:AWR720897 BGN720896:BGN720897 BQJ720896:BQJ720897 CAF720896:CAF720897 CKB720896:CKB720897 CTX720896:CTX720897 DDT720896:DDT720897 DNP720896:DNP720897 DXL720896:DXL720897 EHH720896:EHH720897 ERD720896:ERD720897 FAZ720896:FAZ720897 FKV720896:FKV720897 FUR720896:FUR720897 GEN720896:GEN720897 GOJ720896:GOJ720897 GYF720896:GYF720897 HIB720896:HIB720897 HRX720896:HRX720897 IBT720896:IBT720897 ILP720896:ILP720897 IVL720896:IVL720897 JFH720896:JFH720897 JPD720896:JPD720897 JYZ720896:JYZ720897 KIV720896:KIV720897 KSR720896:KSR720897 LCN720896:LCN720897 LMJ720896:LMJ720897 LWF720896:LWF720897 MGB720896:MGB720897 MPX720896:MPX720897 MZT720896:MZT720897 NJP720896:NJP720897 NTL720896:NTL720897 ODH720896:ODH720897 OND720896:OND720897 OWZ720896:OWZ720897 PGV720896:PGV720897 PQR720896:PQR720897 QAN720896:QAN720897 QKJ720896:QKJ720897 QUF720896:QUF720897 REB720896:REB720897 RNX720896:RNX720897 RXT720896:RXT720897 SHP720896:SHP720897 SRL720896:SRL720897 TBH720896:TBH720897 TLD720896:TLD720897 TUZ720896:TUZ720897 UEV720896:UEV720897 UOR720896:UOR720897 UYN720896:UYN720897 VIJ720896:VIJ720897 VSF720896:VSF720897 WCB720896:WCB720897 WLX720896:WLX720897 WVT720896:WVT720897 L786432:L786433 JH786432:JH786433 TD786432:TD786433 ACZ786432:ACZ786433 AMV786432:AMV786433 AWR786432:AWR786433 BGN786432:BGN786433 BQJ786432:BQJ786433 CAF786432:CAF786433 CKB786432:CKB786433 CTX786432:CTX786433 DDT786432:DDT786433 DNP786432:DNP786433 DXL786432:DXL786433 EHH786432:EHH786433 ERD786432:ERD786433 FAZ786432:FAZ786433 FKV786432:FKV786433 FUR786432:FUR786433 GEN786432:GEN786433 GOJ786432:GOJ786433 GYF786432:GYF786433 HIB786432:HIB786433 HRX786432:HRX786433 IBT786432:IBT786433 ILP786432:ILP786433 IVL786432:IVL786433 JFH786432:JFH786433 JPD786432:JPD786433 JYZ786432:JYZ786433 KIV786432:KIV786433 KSR786432:KSR786433 LCN786432:LCN786433 LMJ786432:LMJ786433 LWF786432:LWF786433 MGB786432:MGB786433 MPX786432:MPX786433 MZT786432:MZT786433 NJP786432:NJP786433 NTL786432:NTL786433 ODH786432:ODH786433 OND786432:OND786433 OWZ786432:OWZ786433 PGV786432:PGV786433 PQR786432:PQR786433 QAN786432:QAN786433 QKJ786432:QKJ786433 QUF786432:QUF786433 REB786432:REB786433 RNX786432:RNX786433 RXT786432:RXT786433 SHP786432:SHP786433 SRL786432:SRL786433 TBH786432:TBH786433 TLD786432:TLD786433 TUZ786432:TUZ786433 UEV786432:UEV786433 UOR786432:UOR786433 UYN786432:UYN786433 VIJ786432:VIJ786433 VSF786432:VSF786433 WCB786432:WCB786433 WLX786432:WLX786433 WVT786432:WVT786433 L851968:L851969 JH851968:JH851969 TD851968:TD851969 ACZ851968:ACZ851969 AMV851968:AMV851969 AWR851968:AWR851969 BGN851968:BGN851969 BQJ851968:BQJ851969 CAF851968:CAF851969 CKB851968:CKB851969 CTX851968:CTX851969 DDT851968:DDT851969 DNP851968:DNP851969 DXL851968:DXL851969 EHH851968:EHH851969 ERD851968:ERD851969 FAZ851968:FAZ851969 FKV851968:FKV851969 FUR851968:FUR851969 GEN851968:GEN851969 GOJ851968:GOJ851969 GYF851968:GYF851969 HIB851968:HIB851969 HRX851968:HRX851969 IBT851968:IBT851969 ILP851968:ILP851969 IVL851968:IVL851969 JFH851968:JFH851969 JPD851968:JPD851969 JYZ851968:JYZ851969 KIV851968:KIV851969 KSR851968:KSR851969 LCN851968:LCN851969 LMJ851968:LMJ851969 LWF851968:LWF851969 MGB851968:MGB851969 MPX851968:MPX851969 MZT851968:MZT851969 NJP851968:NJP851969 NTL851968:NTL851969 ODH851968:ODH851969 OND851968:OND851969 OWZ851968:OWZ851969 PGV851968:PGV851969 PQR851968:PQR851969 QAN851968:QAN851969 QKJ851968:QKJ851969 QUF851968:QUF851969 REB851968:REB851969 RNX851968:RNX851969 RXT851968:RXT851969 SHP851968:SHP851969 SRL851968:SRL851969 TBH851968:TBH851969 TLD851968:TLD851969 TUZ851968:TUZ851969 UEV851968:UEV851969 UOR851968:UOR851969 UYN851968:UYN851969 VIJ851968:VIJ851969 VSF851968:VSF851969 WCB851968:WCB851969 WLX851968:WLX851969 WVT851968:WVT851969 L917504:L917505 JH917504:JH917505 TD917504:TD917505 ACZ917504:ACZ917505 AMV917504:AMV917505 AWR917504:AWR917505 BGN917504:BGN917505 BQJ917504:BQJ917505 CAF917504:CAF917505 CKB917504:CKB917505 CTX917504:CTX917505 DDT917504:DDT917505 DNP917504:DNP917505 DXL917504:DXL917505 EHH917504:EHH917505 ERD917504:ERD917505 FAZ917504:FAZ917505 FKV917504:FKV917505 FUR917504:FUR917505 GEN917504:GEN917505 GOJ917504:GOJ917505 GYF917504:GYF917505 HIB917504:HIB917505 HRX917504:HRX917505 IBT917504:IBT917505 ILP917504:ILP917505 IVL917504:IVL917505 JFH917504:JFH917505 JPD917504:JPD917505 JYZ917504:JYZ917505 KIV917504:KIV917505 KSR917504:KSR917505 LCN917504:LCN917505 LMJ917504:LMJ917505 LWF917504:LWF917505 MGB917504:MGB917505 MPX917504:MPX917505 MZT917504:MZT917505 NJP917504:NJP917505 NTL917504:NTL917505 ODH917504:ODH917505 OND917504:OND917505 OWZ917504:OWZ917505 PGV917504:PGV917505 PQR917504:PQR917505 QAN917504:QAN917505 QKJ917504:QKJ917505 QUF917504:QUF917505 REB917504:REB917505 RNX917504:RNX917505 RXT917504:RXT917505 SHP917504:SHP917505 SRL917504:SRL917505 TBH917504:TBH917505 TLD917504:TLD917505 TUZ917504:TUZ917505 UEV917504:UEV917505 UOR917504:UOR917505 UYN917504:UYN917505 VIJ917504:VIJ917505 VSF917504:VSF917505 WCB917504:WCB917505 WLX917504:WLX917505 WVT917504:WVT917505 L983040:L983041 JH983040:JH983041 TD983040:TD983041 ACZ983040:ACZ983041 AMV983040:AMV983041 AWR983040:AWR983041 BGN983040:BGN983041 BQJ983040:BQJ983041 CAF983040:CAF983041 CKB983040:CKB983041 CTX983040:CTX983041 DDT983040:DDT983041 DNP983040:DNP983041 DXL983040:DXL983041 EHH983040:EHH983041 ERD983040:ERD983041 FAZ983040:FAZ983041 FKV983040:FKV983041 FUR983040:FUR983041 GEN983040:GEN983041 GOJ983040:GOJ983041 GYF983040:GYF983041 HIB983040:HIB983041 HRX983040:HRX983041 IBT983040:IBT983041 ILP983040:ILP983041 IVL983040:IVL983041 JFH983040:JFH983041 JPD983040:JPD983041 JYZ983040:JYZ983041 KIV983040:KIV983041 KSR983040:KSR983041 LCN983040:LCN983041 LMJ983040:LMJ983041 LWF983040:LWF983041 MGB983040:MGB983041 MPX983040:MPX983041 MZT983040:MZT983041 NJP983040:NJP983041 NTL983040:NTL983041 ODH983040:ODH983041 OND983040:OND983041 OWZ983040:OWZ983041 PGV983040:PGV983041 PQR983040:PQR983041 QAN983040:QAN983041 QKJ983040:QKJ983041 QUF983040:QUF983041 REB983040:REB983041 RNX983040:RNX983041 RXT983040:RXT983041 SHP983040:SHP983041 SRL983040:SRL983041 TBH983040:TBH983041 TLD983040:TLD983041 TUZ983040:TUZ983041 UEV983040:UEV983041 UOR983040:UOR983041 UYN983040:UYN983041 VIJ983040:VIJ983041 VSF983040:VSF983041 WCB983040:WCB983041 WLX983040:WLX983041 WVT983040:WVT983041" xr:uid="{00000000-0002-0000-1D00-000004000000}">
      <formula1>0</formula1>
    </dataValidation>
  </dataValidations>
  <pageMargins left="0.7" right="0.7" top="0.75" bottom="0.75" header="0.3" footer="0.3"/>
  <pageSetup paperSize="9" scale="29" orientation="landscape"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C1:N39"/>
  <sheetViews>
    <sheetView view="pageBreakPreview" topLeftCell="B10" zoomScaleNormal="100" zoomScaleSheetLayoutView="100" workbookViewId="0">
      <selection activeCell="L58" sqref="L58"/>
    </sheetView>
  </sheetViews>
  <sheetFormatPr baseColWidth="10" defaultColWidth="8.83203125" defaultRowHeight="14"/>
  <cols>
    <col min="1" max="2" width="8.83203125" style="278"/>
    <col min="3" max="3" width="27.1640625" style="278" customWidth="1"/>
    <col min="4" max="4" width="18.5" style="278" customWidth="1"/>
    <col min="5" max="5" width="12.6640625" style="278" customWidth="1"/>
    <col min="6" max="6" width="14.6640625" style="278" customWidth="1"/>
    <col min="7" max="7" width="11.6640625" style="278" customWidth="1"/>
    <col min="8" max="8" width="15.1640625" style="278" customWidth="1"/>
    <col min="9" max="9" width="14.5" style="278" customWidth="1"/>
    <col min="10" max="10" width="14.33203125" style="278" customWidth="1"/>
    <col min="11" max="11" width="12.5" style="278" customWidth="1"/>
    <col min="12" max="12" width="10.83203125" style="278" customWidth="1"/>
    <col min="13" max="16384" width="8.83203125" style="278"/>
  </cols>
  <sheetData>
    <row r="1" spans="3:13">
      <c r="L1" s="278" t="s">
        <v>531</v>
      </c>
    </row>
    <row r="2" spans="3:13">
      <c r="K2" s="912"/>
      <c r="L2" s="912"/>
      <c r="M2" s="912"/>
    </row>
    <row r="3" spans="3:13" ht="46.5" customHeight="1">
      <c r="J3" s="913" t="s">
        <v>530</v>
      </c>
      <c r="K3" s="914"/>
      <c r="L3" s="914"/>
      <c r="M3" s="422"/>
    </row>
    <row r="4" spans="3:13">
      <c r="K4" s="421"/>
      <c r="L4" s="421"/>
      <c r="M4" s="421"/>
    </row>
    <row r="5" spans="3:13" ht="18">
      <c r="C5" s="915" t="s">
        <v>529</v>
      </c>
      <c r="D5" s="915"/>
      <c r="E5" s="915"/>
      <c r="F5" s="915"/>
      <c r="G5" s="915"/>
      <c r="H5" s="915"/>
      <c r="I5" s="915"/>
      <c r="J5" s="915"/>
      <c r="K5" s="915"/>
      <c r="L5" s="915"/>
    </row>
    <row r="6" spans="3:13">
      <c r="C6" s="297"/>
      <c r="D6" s="285"/>
      <c r="E6" s="285"/>
      <c r="F6" s="285"/>
      <c r="G6" s="285"/>
      <c r="H6" s="285"/>
      <c r="I6" s="297"/>
    </row>
    <row r="7" spans="3:13" ht="30">
      <c r="C7" s="295" t="s">
        <v>528</v>
      </c>
      <c r="D7" s="299" t="str">
        <f>'[10]Расшифровка кредитов и займов'!D4</f>
        <v>ООО "Интеринвест"</v>
      </c>
      <c r="E7" s="285"/>
      <c r="F7" s="285"/>
      <c r="G7" s="285"/>
      <c r="H7" s="285"/>
      <c r="I7" s="297"/>
    </row>
    <row r="8" spans="3:13">
      <c r="C8" s="296" t="s">
        <v>527</v>
      </c>
      <c r="D8" s="298">
        <f>'[10]Расшифровка кредитов и займов'!D5</f>
        <v>2625026920</v>
      </c>
      <c r="E8" s="285"/>
      <c r="F8" s="285"/>
      <c r="G8" s="285"/>
      <c r="H8" s="285"/>
      <c r="I8" s="297"/>
    </row>
    <row r="9" spans="3:13" ht="15" customHeight="1">
      <c r="C9" s="296" t="s">
        <v>500</v>
      </c>
      <c r="D9" s="294">
        <v>44013</v>
      </c>
      <c r="E9" s="285"/>
      <c r="F9" s="285"/>
      <c r="G9" s="285"/>
      <c r="H9" s="280"/>
      <c r="I9" s="280"/>
    </row>
    <row r="10" spans="3:13" ht="15">
      <c r="C10" s="295" t="s">
        <v>526</v>
      </c>
      <c r="D10" s="294" t="s">
        <v>525</v>
      </c>
      <c r="E10" s="285"/>
      <c r="F10" s="285"/>
      <c r="G10" s="285"/>
      <c r="H10" s="280"/>
      <c r="I10" s="508"/>
    </row>
    <row r="11" spans="3:13" ht="15" thickBot="1">
      <c r="C11" s="285"/>
      <c r="D11" s="285"/>
      <c r="E11" s="285"/>
      <c r="F11" s="285"/>
      <c r="G11" s="285"/>
      <c r="H11" s="508"/>
      <c r="I11" s="508"/>
    </row>
    <row r="12" spans="3:13" ht="45">
      <c r="C12" s="916" t="s">
        <v>524</v>
      </c>
      <c r="D12" s="509" t="s">
        <v>523</v>
      </c>
      <c r="E12" s="293" t="s">
        <v>473</v>
      </c>
      <c r="F12" s="293" t="s">
        <v>469</v>
      </c>
      <c r="G12" s="293" t="s">
        <v>466</v>
      </c>
      <c r="H12" s="293" t="s">
        <v>462</v>
      </c>
      <c r="I12" s="293"/>
      <c r="J12" s="293"/>
      <c r="K12" s="293"/>
      <c r="L12" s="292"/>
    </row>
    <row r="13" spans="3:13" ht="15">
      <c r="C13" s="917"/>
      <c r="D13" s="510" t="s">
        <v>522</v>
      </c>
      <c r="E13" s="291">
        <v>42915</v>
      </c>
      <c r="F13" s="291">
        <v>43237</v>
      </c>
      <c r="G13" s="291">
        <v>43497</v>
      </c>
      <c r="H13" s="291">
        <v>43913</v>
      </c>
      <c r="I13" s="291"/>
      <c r="J13" s="291"/>
      <c r="K13" s="291"/>
      <c r="L13" s="290"/>
    </row>
    <row r="14" spans="3:13" ht="16" thickBot="1">
      <c r="C14" s="918"/>
      <c r="D14" s="511" t="s">
        <v>521</v>
      </c>
      <c r="E14" s="289" t="s">
        <v>520</v>
      </c>
      <c r="F14" s="289" t="s">
        <v>520</v>
      </c>
      <c r="G14" s="289" t="s">
        <v>520</v>
      </c>
      <c r="H14" s="289" t="s">
        <v>520</v>
      </c>
      <c r="I14" s="289"/>
      <c r="J14" s="289"/>
      <c r="K14" s="289"/>
      <c r="L14" s="288"/>
    </row>
    <row r="15" spans="3:13">
      <c r="C15" s="919"/>
      <c r="D15" s="920"/>
      <c r="E15" s="512"/>
      <c r="F15" s="512"/>
      <c r="G15" s="512"/>
      <c r="H15" s="512"/>
      <c r="I15" s="512"/>
      <c r="J15" s="512"/>
      <c r="K15" s="512"/>
      <c r="L15" s="513"/>
    </row>
    <row r="16" spans="3:13">
      <c r="C16" s="423" t="s">
        <v>519</v>
      </c>
      <c r="D16" s="424"/>
      <c r="E16" s="512">
        <v>8500</v>
      </c>
      <c r="F16" s="512">
        <v>1500</v>
      </c>
      <c r="G16" s="512"/>
      <c r="H16" s="512"/>
      <c r="I16" s="512"/>
      <c r="J16" s="512"/>
      <c r="K16" s="512"/>
      <c r="L16" s="513"/>
    </row>
    <row r="17" spans="3:12">
      <c r="C17" s="423" t="s">
        <v>518</v>
      </c>
      <c r="D17" s="424"/>
      <c r="E17" s="512">
        <v>17000</v>
      </c>
      <c r="F17" s="512">
        <v>1500</v>
      </c>
      <c r="G17" s="512">
        <v>5000</v>
      </c>
      <c r="H17" s="512">
        <v>51000</v>
      </c>
      <c r="I17" s="512"/>
      <c r="J17" s="512"/>
      <c r="K17" s="512"/>
      <c r="L17" s="513"/>
    </row>
    <row r="18" spans="3:12">
      <c r="C18" s="423" t="s">
        <v>517</v>
      </c>
      <c r="D18" s="424"/>
      <c r="E18" s="512">
        <v>17000</v>
      </c>
      <c r="F18" s="512">
        <v>1500</v>
      </c>
      <c r="G18" s="512">
        <v>5000</v>
      </c>
      <c r="H18" s="512"/>
      <c r="I18" s="512"/>
      <c r="J18" s="512"/>
      <c r="K18" s="512"/>
      <c r="L18" s="513"/>
    </row>
    <row r="19" spans="3:12">
      <c r="C19" s="423" t="s">
        <v>516</v>
      </c>
      <c r="D19" s="424"/>
      <c r="E19" s="512">
        <v>8500</v>
      </c>
      <c r="F19" s="512">
        <v>1500</v>
      </c>
      <c r="G19" s="512"/>
      <c r="H19" s="512"/>
      <c r="I19" s="512"/>
      <c r="J19" s="512"/>
      <c r="K19" s="512"/>
      <c r="L19" s="513"/>
    </row>
    <row r="20" spans="3:12">
      <c r="C20" s="423" t="s">
        <v>515</v>
      </c>
      <c r="D20" s="424"/>
      <c r="E20" s="512">
        <v>17000</v>
      </c>
      <c r="F20" s="512">
        <v>1500</v>
      </c>
      <c r="G20" s="512">
        <v>5000</v>
      </c>
      <c r="H20" s="512"/>
      <c r="I20" s="512"/>
      <c r="J20" s="512"/>
      <c r="K20" s="512"/>
      <c r="L20" s="513"/>
    </row>
    <row r="21" spans="3:12">
      <c r="C21" s="423" t="s">
        <v>514</v>
      </c>
      <c r="D21" s="424"/>
      <c r="E21" s="512">
        <v>17000</v>
      </c>
      <c r="F21" s="512">
        <v>1500</v>
      </c>
      <c r="G21" s="512">
        <v>5000</v>
      </c>
      <c r="H21" s="512"/>
      <c r="I21" s="512"/>
      <c r="J21" s="512"/>
      <c r="K21" s="512"/>
      <c r="L21" s="513"/>
    </row>
    <row r="22" spans="3:12">
      <c r="C22" s="423" t="s">
        <v>513</v>
      </c>
      <c r="D22" s="424"/>
      <c r="E22" s="512"/>
      <c r="F22" s="512">
        <v>4700</v>
      </c>
      <c r="G22" s="512"/>
      <c r="H22" s="512"/>
      <c r="I22" s="512"/>
      <c r="J22" s="512"/>
      <c r="K22" s="512"/>
      <c r="L22" s="513"/>
    </row>
    <row r="23" spans="3:12">
      <c r="C23" s="423" t="s">
        <v>512</v>
      </c>
      <c r="D23" s="424"/>
      <c r="E23" s="512"/>
      <c r="F23" s="512">
        <v>4700</v>
      </c>
      <c r="G23" s="512">
        <v>5000</v>
      </c>
      <c r="H23" s="512"/>
      <c r="I23" s="512"/>
      <c r="J23" s="512"/>
      <c r="K23" s="512"/>
      <c r="L23" s="513"/>
    </row>
    <row r="24" spans="3:12">
      <c r="C24" s="423" t="s">
        <v>511</v>
      </c>
      <c r="D24" s="424"/>
      <c r="E24" s="512"/>
      <c r="F24" s="512">
        <v>4700</v>
      </c>
      <c r="G24" s="512">
        <v>5000</v>
      </c>
      <c r="H24" s="512"/>
      <c r="I24" s="512"/>
      <c r="J24" s="512"/>
      <c r="K24" s="512"/>
      <c r="L24" s="513"/>
    </row>
    <row r="25" spans="3:12">
      <c r="C25" s="423" t="s">
        <v>510</v>
      </c>
      <c r="D25" s="424"/>
      <c r="E25" s="512"/>
      <c r="F25" s="512">
        <v>4700</v>
      </c>
      <c r="G25" s="512"/>
      <c r="H25" s="512"/>
      <c r="I25" s="512"/>
      <c r="J25" s="512"/>
      <c r="K25" s="512"/>
      <c r="L25" s="513"/>
    </row>
    <row r="26" spans="3:12">
      <c r="C26" s="423" t="s">
        <v>509</v>
      </c>
      <c r="D26" s="424"/>
      <c r="E26" s="512"/>
      <c r="F26" s="512">
        <v>4700</v>
      </c>
      <c r="G26" s="512">
        <v>5000</v>
      </c>
      <c r="H26" s="512"/>
      <c r="I26" s="512"/>
      <c r="J26" s="512"/>
      <c r="K26" s="512"/>
      <c r="L26" s="513"/>
    </row>
    <row r="27" spans="3:12">
      <c r="C27" s="423" t="s">
        <v>508</v>
      </c>
      <c r="D27" s="424"/>
      <c r="E27" s="512"/>
      <c r="F27" s="512">
        <v>4700</v>
      </c>
      <c r="G27" s="512">
        <v>5000</v>
      </c>
      <c r="H27" s="512"/>
      <c r="I27" s="512"/>
      <c r="J27" s="512"/>
      <c r="K27" s="512"/>
      <c r="L27" s="513"/>
    </row>
    <row r="28" spans="3:12">
      <c r="C28" s="423" t="s">
        <v>507</v>
      </c>
      <c r="D28" s="424"/>
      <c r="E28" s="512"/>
      <c r="F28" s="512">
        <v>4700</v>
      </c>
      <c r="G28" s="512"/>
      <c r="H28" s="512"/>
      <c r="I28" s="512"/>
      <c r="J28" s="512"/>
      <c r="K28" s="512"/>
      <c r="L28" s="513"/>
    </row>
    <row r="29" spans="3:12">
      <c r="C29" s="423" t="s">
        <v>506</v>
      </c>
      <c r="D29" s="424"/>
      <c r="E29" s="512"/>
      <c r="F29" s="512">
        <v>4700</v>
      </c>
      <c r="G29" s="512"/>
      <c r="H29" s="512"/>
      <c r="I29" s="512"/>
      <c r="J29" s="512"/>
      <c r="K29" s="512"/>
      <c r="L29" s="513"/>
    </row>
    <row r="30" spans="3:12">
      <c r="C30" s="423" t="s">
        <v>505</v>
      </c>
      <c r="D30" s="424"/>
      <c r="E30" s="512"/>
      <c r="F30" s="512">
        <v>4700</v>
      </c>
      <c r="G30" s="512"/>
      <c r="H30" s="512"/>
      <c r="I30" s="512"/>
      <c r="J30" s="512"/>
      <c r="K30" s="512"/>
      <c r="L30" s="513"/>
    </row>
    <row r="31" spans="3:12">
      <c r="C31" s="423" t="s">
        <v>504</v>
      </c>
      <c r="D31" s="424"/>
      <c r="E31" s="512"/>
      <c r="F31" s="512">
        <v>4700</v>
      </c>
      <c r="G31" s="512">
        <v>5000</v>
      </c>
      <c r="H31" s="512"/>
      <c r="I31" s="512"/>
      <c r="J31" s="512"/>
      <c r="K31" s="512"/>
      <c r="L31" s="513"/>
    </row>
    <row r="32" spans="3:12">
      <c r="C32" s="423" t="s">
        <v>503</v>
      </c>
      <c r="D32" s="424"/>
      <c r="E32" s="512"/>
      <c r="F32" s="512">
        <v>4500</v>
      </c>
      <c r="G32" s="512">
        <v>5000</v>
      </c>
      <c r="H32" s="512"/>
      <c r="I32" s="512"/>
      <c r="J32" s="512"/>
      <c r="K32" s="512"/>
      <c r="L32" s="513"/>
    </row>
    <row r="33" spans="3:14" ht="15" thickBot="1">
      <c r="C33" s="921"/>
      <c r="D33" s="922"/>
      <c r="E33" s="514"/>
      <c r="F33" s="514"/>
      <c r="G33" s="514"/>
      <c r="H33" s="514"/>
      <c r="I33" s="514"/>
      <c r="J33" s="514"/>
      <c r="K33" s="514"/>
      <c r="L33" s="515"/>
    </row>
    <row r="34" spans="3:14" ht="15" thickBot="1">
      <c r="C34" s="910" t="s">
        <v>168</v>
      </c>
      <c r="D34" s="911"/>
      <c r="E34" s="287">
        <f t="shared" ref="E34:L34" si="0">SUM(E15:E33)</f>
        <v>85000</v>
      </c>
      <c r="F34" s="287">
        <f t="shared" si="0"/>
        <v>60500</v>
      </c>
      <c r="G34" s="287">
        <f t="shared" si="0"/>
        <v>50000</v>
      </c>
      <c r="H34" s="287">
        <f t="shared" si="0"/>
        <v>51000</v>
      </c>
      <c r="I34" s="287">
        <f t="shared" si="0"/>
        <v>0</v>
      </c>
      <c r="J34" s="287">
        <f t="shared" si="0"/>
        <v>0</v>
      </c>
      <c r="K34" s="287">
        <f t="shared" si="0"/>
        <v>0</v>
      </c>
      <c r="L34" s="286">
        <f t="shared" si="0"/>
        <v>0</v>
      </c>
    </row>
    <row r="35" spans="3:14">
      <c r="C35" s="285"/>
      <c r="D35" s="285"/>
      <c r="E35" s="285"/>
      <c r="F35" s="285"/>
      <c r="G35" s="285"/>
      <c r="H35" s="285"/>
      <c r="I35" s="285"/>
    </row>
    <row r="37" spans="3:14">
      <c r="C37" s="284" t="s">
        <v>502</v>
      </c>
      <c r="D37" s="280"/>
      <c r="E37" s="280"/>
      <c r="F37" s="280"/>
      <c r="G37" s="280"/>
      <c r="H37" s="280"/>
      <c r="I37" s="279"/>
      <c r="J37" s="516"/>
      <c r="K37" s="283" t="s">
        <v>411</v>
      </c>
      <c r="N37" s="280"/>
    </row>
    <row r="38" spans="3:14">
      <c r="C38" s="280"/>
      <c r="D38" s="280"/>
      <c r="E38" s="280"/>
      <c r="F38" s="280"/>
      <c r="G38" s="280"/>
      <c r="H38" s="280"/>
      <c r="I38" s="279"/>
      <c r="J38" s="282" t="s">
        <v>501</v>
      </c>
      <c r="K38" s="281" t="s">
        <v>500</v>
      </c>
      <c r="N38" s="280"/>
    </row>
    <row r="39" spans="3:14">
      <c r="H39" s="279"/>
    </row>
  </sheetData>
  <mergeCells count="7">
    <mergeCell ref="C34:D34"/>
    <mergeCell ref="K2:M2"/>
    <mergeCell ref="J3:L3"/>
    <mergeCell ref="C5:L5"/>
    <mergeCell ref="C12:C14"/>
    <mergeCell ref="C15:D15"/>
    <mergeCell ref="C33:D33"/>
  </mergeCells>
  <pageMargins left="0.7" right="0.7" top="0.75" bottom="0.75" header="0.3" footer="0.3"/>
  <pageSetup paperSize="9" scale="4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M25"/>
  <sheetViews>
    <sheetView workbookViewId="0">
      <selection activeCell="I8" sqref="I8"/>
    </sheetView>
  </sheetViews>
  <sheetFormatPr baseColWidth="10" defaultColWidth="8.83203125" defaultRowHeight="15"/>
  <cols>
    <col min="1" max="1" width="8.33203125" bestFit="1" customWidth="1"/>
    <col min="2" max="3" width="9.83203125" bestFit="1" customWidth="1"/>
    <col min="4" max="4" width="25" bestFit="1" customWidth="1"/>
    <col min="5" max="5" width="13.83203125" bestFit="1" customWidth="1"/>
    <col min="6" max="6" width="8.1640625" bestFit="1" customWidth="1"/>
    <col min="7" max="7" width="8.6640625" bestFit="1" customWidth="1"/>
    <col min="8" max="8" width="14.83203125" bestFit="1" customWidth="1"/>
    <col min="9" max="9" width="11.5" bestFit="1" customWidth="1"/>
    <col min="10" max="13" width="14.33203125" bestFit="1" customWidth="1"/>
  </cols>
  <sheetData>
    <row r="1" spans="1:13">
      <c r="A1" s="923" t="s">
        <v>650</v>
      </c>
      <c r="B1" s="924"/>
      <c r="C1" s="924"/>
      <c r="D1" s="924"/>
      <c r="E1" s="924"/>
      <c r="F1" s="924"/>
      <c r="G1" s="924"/>
      <c r="H1" s="924"/>
      <c r="I1" s="924"/>
    </row>
    <row r="2" spans="1:13" ht="30">
      <c r="A2" s="311"/>
      <c r="B2" s="311" t="s">
        <v>540</v>
      </c>
      <c r="C2" s="311" t="s">
        <v>40</v>
      </c>
      <c r="D2" s="311" t="s">
        <v>426</v>
      </c>
      <c r="E2" s="311" t="s">
        <v>539</v>
      </c>
      <c r="F2" s="311" t="s">
        <v>253</v>
      </c>
      <c r="G2" s="311" t="s">
        <v>538</v>
      </c>
      <c r="H2" s="310" t="s">
        <v>651</v>
      </c>
      <c r="I2" s="925" t="s">
        <v>537</v>
      </c>
      <c r="J2" s="926"/>
      <c r="K2" s="926"/>
      <c r="L2" s="926"/>
      <c r="M2" s="927"/>
    </row>
    <row r="3" spans="1:13">
      <c r="A3" s="302"/>
      <c r="B3" s="302"/>
      <c r="C3" s="302"/>
      <c r="D3" s="302"/>
      <c r="E3" s="302"/>
      <c r="F3" s="302"/>
      <c r="G3" s="302"/>
      <c r="H3" s="302"/>
      <c r="I3" s="309">
        <v>44028</v>
      </c>
      <c r="J3" s="303">
        <v>44190</v>
      </c>
      <c r="K3" s="303">
        <v>44221</v>
      </c>
      <c r="L3" s="303">
        <v>44252</v>
      </c>
      <c r="M3" s="303">
        <v>44264</v>
      </c>
    </row>
    <row r="4" spans="1:13">
      <c r="A4" s="302" t="s">
        <v>536</v>
      </c>
      <c r="B4" s="308">
        <v>41892</v>
      </c>
      <c r="C4" s="308">
        <v>42366</v>
      </c>
      <c r="D4" s="302" t="s">
        <v>250</v>
      </c>
      <c r="E4" s="300">
        <v>24000000</v>
      </c>
      <c r="F4" s="300">
        <v>15</v>
      </c>
      <c r="G4" s="517">
        <v>15</v>
      </c>
      <c r="H4" s="300"/>
      <c r="I4" s="300"/>
      <c r="J4" s="302"/>
      <c r="K4" s="302"/>
      <c r="L4" s="302"/>
      <c r="M4" s="302"/>
    </row>
    <row r="5" spans="1:13">
      <c r="A5" s="302"/>
      <c r="B5" s="308">
        <v>42227</v>
      </c>
      <c r="C5" s="308">
        <v>44028</v>
      </c>
      <c r="D5" s="302" t="s">
        <v>377</v>
      </c>
      <c r="E5" s="300">
        <v>30782976</v>
      </c>
      <c r="F5" s="300">
        <v>17.84</v>
      </c>
      <c r="G5" s="517">
        <v>60</v>
      </c>
      <c r="H5" s="300">
        <v>500000</v>
      </c>
      <c r="I5" s="300">
        <v>500000</v>
      </c>
      <c r="J5" s="300"/>
      <c r="K5" s="300"/>
      <c r="L5" s="300"/>
      <c r="M5" s="300"/>
    </row>
    <row r="6" spans="1:13">
      <c r="A6" s="302"/>
      <c r="B6" s="308">
        <v>42277</v>
      </c>
      <c r="C6" s="308">
        <v>42639</v>
      </c>
      <c r="D6" s="302" t="s">
        <v>377</v>
      </c>
      <c r="E6" s="300">
        <v>35116800</v>
      </c>
      <c r="F6" s="300">
        <v>17.12</v>
      </c>
      <c r="G6" s="517">
        <v>12</v>
      </c>
      <c r="H6" s="300"/>
      <c r="I6" s="300"/>
      <c r="J6" s="300"/>
      <c r="K6" s="300"/>
      <c r="L6" s="300"/>
      <c r="M6" s="300"/>
    </row>
    <row r="7" spans="1:13">
      <c r="A7" s="302"/>
      <c r="B7" s="308">
        <v>42284</v>
      </c>
      <c r="C7" s="308">
        <v>42639</v>
      </c>
      <c r="D7" s="302" t="s">
        <v>377</v>
      </c>
      <c r="E7" s="300">
        <v>25868726</v>
      </c>
      <c r="F7" s="300">
        <v>17.829999999999998</v>
      </c>
      <c r="G7" s="517">
        <v>12</v>
      </c>
      <c r="H7" s="300"/>
      <c r="I7" s="300"/>
      <c r="J7" s="300"/>
      <c r="K7" s="300"/>
      <c r="L7" s="300"/>
      <c r="M7" s="300"/>
    </row>
    <row r="8" spans="1:13">
      <c r="A8" s="302"/>
      <c r="B8" s="308">
        <v>42521</v>
      </c>
      <c r="C8" s="308">
        <v>42850</v>
      </c>
      <c r="D8" s="302" t="s">
        <v>377</v>
      </c>
      <c r="E8" s="300">
        <v>8370000</v>
      </c>
      <c r="F8" s="300">
        <v>15.66</v>
      </c>
      <c r="G8" s="517">
        <v>12</v>
      </c>
      <c r="H8" s="300"/>
      <c r="I8" s="300"/>
      <c r="J8" s="300"/>
      <c r="K8" s="300"/>
      <c r="L8" s="300"/>
      <c r="M8" s="300"/>
    </row>
    <row r="9" spans="1:13">
      <c r="A9" s="302"/>
      <c r="B9" s="308">
        <v>42810</v>
      </c>
      <c r="C9" s="308">
        <v>43146</v>
      </c>
      <c r="D9" s="302" t="s">
        <v>377</v>
      </c>
      <c r="E9" s="300">
        <v>57969221</v>
      </c>
      <c r="F9" s="300">
        <v>5</v>
      </c>
      <c r="G9" s="517">
        <v>12</v>
      </c>
      <c r="H9" s="300"/>
      <c r="I9" s="300"/>
      <c r="J9" s="300"/>
      <c r="K9" s="300"/>
      <c r="L9" s="300"/>
      <c r="M9" s="300"/>
    </row>
    <row r="10" spans="1:13">
      <c r="A10" s="302"/>
      <c r="B10" s="308">
        <v>43137</v>
      </c>
      <c r="C10" s="308">
        <v>43490</v>
      </c>
      <c r="D10" s="302" t="s">
        <v>377</v>
      </c>
      <c r="E10" s="300">
        <v>81517000</v>
      </c>
      <c r="F10" s="300">
        <v>2.8</v>
      </c>
      <c r="G10" s="517">
        <v>12</v>
      </c>
      <c r="H10" s="300"/>
      <c r="I10" s="300"/>
      <c r="J10" s="300"/>
      <c r="K10" s="300"/>
      <c r="L10" s="300"/>
      <c r="M10" s="300"/>
    </row>
    <row r="11" spans="1:13">
      <c r="A11" s="302"/>
      <c r="B11" s="308">
        <v>43405</v>
      </c>
      <c r="C11" s="308">
        <v>43767</v>
      </c>
      <c r="D11" s="302" t="s">
        <v>377</v>
      </c>
      <c r="E11" s="300">
        <v>24164412</v>
      </c>
      <c r="F11" s="300">
        <v>2.8</v>
      </c>
      <c r="G11" s="517">
        <v>12</v>
      </c>
      <c r="H11" s="300">
        <v>0</v>
      </c>
      <c r="I11" s="300"/>
      <c r="J11" s="300"/>
      <c r="K11" s="300"/>
      <c r="L11" s="300"/>
      <c r="M11" s="300"/>
    </row>
    <row r="12" spans="1:13">
      <c r="A12" s="302"/>
      <c r="B12" s="308">
        <v>43537</v>
      </c>
      <c r="C12" s="308">
        <v>43886</v>
      </c>
      <c r="D12" s="302" t="s">
        <v>377</v>
      </c>
      <c r="E12" s="300">
        <v>54375295</v>
      </c>
      <c r="F12" s="300">
        <v>2.78</v>
      </c>
      <c r="G12" s="517">
        <v>12</v>
      </c>
      <c r="H12" s="300">
        <v>0</v>
      </c>
      <c r="I12" s="300"/>
      <c r="J12" s="300"/>
      <c r="K12" s="300"/>
      <c r="L12" s="300"/>
      <c r="M12" s="300"/>
    </row>
    <row r="13" spans="1:13">
      <c r="A13" s="302"/>
      <c r="B13" s="308">
        <v>43900</v>
      </c>
      <c r="C13" s="308">
        <v>44264</v>
      </c>
      <c r="D13" s="302" t="s">
        <v>377</v>
      </c>
      <c r="E13" s="300">
        <v>80000000</v>
      </c>
      <c r="F13" s="300">
        <v>2.78</v>
      </c>
      <c r="G13" s="517">
        <v>12</v>
      </c>
      <c r="H13" s="300">
        <v>50179130.789999999</v>
      </c>
      <c r="I13" s="300"/>
      <c r="J13" s="300">
        <v>18600000</v>
      </c>
      <c r="K13" s="300">
        <v>18600000</v>
      </c>
      <c r="L13" s="300">
        <v>18800000</v>
      </c>
      <c r="M13" s="300">
        <v>24000000</v>
      </c>
    </row>
    <row r="14" spans="1:13">
      <c r="A14" s="304" t="s">
        <v>533</v>
      </c>
      <c r="B14" s="307"/>
      <c r="C14" s="307"/>
      <c r="D14" s="304"/>
      <c r="E14" s="301"/>
      <c r="F14" s="301"/>
      <c r="G14" s="518"/>
      <c r="H14" s="301">
        <f t="shared" ref="H14:M14" si="0">SUM(H4:H13)</f>
        <v>50679130.789999999</v>
      </c>
      <c r="I14" s="301">
        <f t="shared" si="0"/>
        <v>500000</v>
      </c>
      <c r="J14" s="300">
        <f t="shared" si="0"/>
        <v>18600000</v>
      </c>
      <c r="K14" s="300">
        <f t="shared" si="0"/>
        <v>18600000</v>
      </c>
      <c r="L14" s="300">
        <f t="shared" si="0"/>
        <v>18800000</v>
      </c>
      <c r="M14" s="300">
        <f t="shared" si="0"/>
        <v>24000000</v>
      </c>
    </row>
    <row r="15" spans="1:13">
      <c r="A15" s="302" t="s">
        <v>535</v>
      </c>
      <c r="B15" s="306">
        <v>42674</v>
      </c>
      <c r="C15" s="306">
        <v>44926</v>
      </c>
      <c r="D15" s="519" t="s">
        <v>534</v>
      </c>
      <c r="E15" s="305">
        <v>5000000</v>
      </c>
      <c r="F15" s="300">
        <v>8.25</v>
      </c>
      <c r="G15" s="517">
        <v>74</v>
      </c>
      <c r="H15" s="305">
        <v>5000000</v>
      </c>
      <c r="I15" s="300"/>
      <c r="J15" s="300"/>
      <c r="K15" s="300"/>
      <c r="L15" s="300"/>
      <c r="M15" s="300"/>
    </row>
    <row r="16" spans="1:13">
      <c r="A16" s="302"/>
      <c r="B16" s="306">
        <v>42681</v>
      </c>
      <c r="C16" s="306">
        <v>44926</v>
      </c>
      <c r="D16" s="519" t="s">
        <v>534</v>
      </c>
      <c r="E16" s="305">
        <f>9699000+349800</f>
        <v>10048800</v>
      </c>
      <c r="F16" s="300">
        <v>8.25</v>
      </c>
      <c r="G16" s="517">
        <v>74</v>
      </c>
      <c r="H16" s="305">
        <v>10048800</v>
      </c>
      <c r="I16" s="300"/>
      <c r="J16" s="300"/>
      <c r="K16" s="300"/>
      <c r="L16" s="300"/>
      <c r="M16" s="300"/>
    </row>
    <row r="17" spans="1:13">
      <c r="A17" s="302"/>
      <c r="B17" s="306">
        <v>42681</v>
      </c>
      <c r="C17" s="306">
        <v>44926</v>
      </c>
      <c r="D17" s="519" t="s">
        <v>534</v>
      </c>
      <c r="E17" s="305">
        <f>26961860+1343120.53</f>
        <v>28304980.530000001</v>
      </c>
      <c r="F17" s="300">
        <v>8.25</v>
      </c>
      <c r="G17" s="517">
        <v>74</v>
      </c>
      <c r="H17" s="305">
        <v>28304980.530000001</v>
      </c>
      <c r="I17" s="300"/>
      <c r="J17" s="300"/>
      <c r="K17" s="300"/>
      <c r="L17" s="300"/>
      <c r="M17" s="300"/>
    </row>
    <row r="18" spans="1:13">
      <c r="A18" s="302"/>
      <c r="B18" s="306">
        <v>42732</v>
      </c>
      <c r="C18" s="306">
        <v>44926</v>
      </c>
      <c r="D18" s="519" t="s">
        <v>534</v>
      </c>
      <c r="E18" s="305">
        <v>15000000</v>
      </c>
      <c r="F18" s="300">
        <v>10</v>
      </c>
      <c r="G18" s="517">
        <v>72</v>
      </c>
      <c r="H18" s="305">
        <v>15000000</v>
      </c>
      <c r="I18" s="300" t="s">
        <v>224</v>
      </c>
      <c r="J18" s="300"/>
      <c r="K18" s="300"/>
      <c r="L18" s="300"/>
      <c r="M18" s="300"/>
    </row>
    <row r="19" spans="1:13">
      <c r="A19" s="304" t="s">
        <v>533</v>
      </c>
      <c r="B19" s="303"/>
      <c r="C19" s="303"/>
      <c r="D19" s="519"/>
      <c r="E19" s="517"/>
      <c r="F19" s="300"/>
      <c r="G19" s="517"/>
      <c r="H19" s="301">
        <f>SUM(H15:H18)</f>
        <v>58353780.530000001</v>
      </c>
      <c r="I19" s="301"/>
      <c r="J19" s="300"/>
      <c r="K19" s="300"/>
      <c r="L19" s="300"/>
      <c r="M19" s="300"/>
    </row>
    <row r="20" spans="1:13">
      <c r="A20" s="304" t="s">
        <v>532</v>
      </c>
      <c r="B20" s="303"/>
      <c r="C20" s="303"/>
      <c r="D20" s="302"/>
      <c r="E20" s="517"/>
      <c r="F20" s="300"/>
      <c r="G20" s="517"/>
      <c r="H20" s="301">
        <f>H14+H19</f>
        <v>109032911.31999999</v>
      </c>
      <c r="I20" s="300"/>
      <c r="J20" s="300"/>
      <c r="K20" s="300"/>
      <c r="L20" s="300"/>
      <c r="M20" s="300"/>
    </row>
    <row r="21" spans="1:13">
      <c r="A21" s="93"/>
      <c r="B21" s="93"/>
      <c r="C21" s="93"/>
      <c r="D21" s="93"/>
      <c r="E21" s="93"/>
      <c r="F21" s="93"/>
      <c r="G21" s="93"/>
      <c r="H21" s="93"/>
    </row>
    <row r="22" spans="1:13">
      <c r="A22" s="93"/>
      <c r="B22" s="93"/>
      <c r="C22" s="93"/>
      <c r="D22" s="93"/>
      <c r="E22" s="93"/>
      <c r="F22" s="93"/>
      <c r="G22" s="93"/>
      <c r="H22" s="93"/>
    </row>
    <row r="25" spans="1:13">
      <c r="L25" t="s">
        <v>224</v>
      </c>
    </row>
  </sheetData>
  <mergeCells count="2">
    <mergeCell ref="A1:I1"/>
    <mergeCell ref="I2:M2"/>
  </mergeCells>
  <pageMargins left="0.7" right="0.7" top="0.75" bottom="0.75" header="0.3" footer="0.3"/>
  <pageSetup paperSize="9" scale="79" orientation="landscape"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26"/>
  <sheetViews>
    <sheetView workbookViewId="0">
      <selection activeCell="J22" sqref="J22"/>
    </sheetView>
  </sheetViews>
  <sheetFormatPr baseColWidth="10" defaultColWidth="8.83203125" defaultRowHeight="15"/>
  <cols>
    <col min="1" max="1" width="8.33203125" bestFit="1" customWidth="1"/>
    <col min="2" max="3" width="9.83203125" bestFit="1" customWidth="1"/>
    <col min="4" max="4" width="25" bestFit="1" customWidth="1"/>
    <col min="5" max="5" width="13.83203125" bestFit="1" customWidth="1"/>
    <col min="6" max="6" width="8.1640625" bestFit="1" customWidth="1"/>
    <col min="7" max="7" width="8.6640625" bestFit="1" customWidth="1"/>
    <col min="8" max="8" width="14.83203125" bestFit="1" customWidth="1"/>
    <col min="9" max="12" width="14.33203125" bestFit="1" customWidth="1"/>
  </cols>
  <sheetData>
    <row r="1" spans="1:18">
      <c r="A1" s="923" t="s">
        <v>652</v>
      </c>
      <c r="B1" s="924"/>
      <c r="C1" s="924"/>
      <c r="D1" s="924"/>
      <c r="E1" s="924"/>
      <c r="F1" s="924"/>
      <c r="G1" s="924"/>
      <c r="H1" s="924"/>
    </row>
    <row r="2" spans="1:18" ht="30">
      <c r="A2" s="311"/>
      <c r="B2" s="311" t="s">
        <v>540</v>
      </c>
      <c r="C2" s="311" t="s">
        <v>40</v>
      </c>
      <c r="D2" s="311" t="s">
        <v>426</v>
      </c>
      <c r="E2" s="311" t="s">
        <v>539</v>
      </c>
      <c r="F2" s="311" t="s">
        <v>253</v>
      </c>
      <c r="G2" s="311" t="s">
        <v>538</v>
      </c>
      <c r="H2" s="310" t="s">
        <v>653</v>
      </c>
      <c r="I2" s="926"/>
      <c r="J2" s="926"/>
      <c r="K2" s="926"/>
      <c r="L2" s="927"/>
    </row>
    <row r="3" spans="1:18">
      <c r="A3" s="302"/>
      <c r="B3" s="302"/>
      <c r="C3" s="302"/>
      <c r="D3" s="302"/>
      <c r="E3" s="302"/>
      <c r="F3" s="302"/>
      <c r="G3" s="302"/>
      <c r="H3" s="302"/>
      <c r="I3" s="303">
        <v>44190</v>
      </c>
      <c r="J3" s="303">
        <v>44221</v>
      </c>
      <c r="K3" s="303">
        <v>44252</v>
      </c>
      <c r="L3" s="303">
        <v>44264</v>
      </c>
    </row>
    <row r="4" spans="1:18">
      <c r="A4" s="302" t="s">
        <v>536</v>
      </c>
      <c r="B4" s="308">
        <v>41892</v>
      </c>
      <c r="C4" s="308">
        <v>42366</v>
      </c>
      <c r="D4" s="302" t="s">
        <v>250</v>
      </c>
      <c r="E4" s="300">
        <v>24000000</v>
      </c>
      <c r="F4" s="300">
        <v>15</v>
      </c>
      <c r="G4" s="517">
        <v>15</v>
      </c>
      <c r="H4" s="300"/>
      <c r="I4" s="302"/>
      <c r="J4" s="302"/>
      <c r="K4" s="302"/>
      <c r="L4" s="302"/>
    </row>
    <row r="5" spans="1:18">
      <c r="A5" s="302"/>
      <c r="B5" s="308">
        <v>42227</v>
      </c>
      <c r="C5" s="308">
        <v>44028</v>
      </c>
      <c r="D5" s="302" t="s">
        <v>377</v>
      </c>
      <c r="E5" s="300">
        <v>30782976</v>
      </c>
      <c r="F5" s="300">
        <v>17.84</v>
      </c>
      <c r="G5" s="517">
        <v>60</v>
      </c>
      <c r="H5" s="300"/>
      <c r="I5" s="300"/>
      <c r="J5" s="300"/>
      <c r="K5" s="300"/>
      <c r="L5" s="300"/>
    </row>
    <row r="6" spans="1:18">
      <c r="A6" s="302"/>
      <c r="B6" s="308">
        <v>42277</v>
      </c>
      <c r="C6" s="308">
        <v>42639</v>
      </c>
      <c r="D6" s="302" t="s">
        <v>377</v>
      </c>
      <c r="E6" s="300">
        <v>35116800</v>
      </c>
      <c r="F6" s="300">
        <v>17.12</v>
      </c>
      <c r="G6" s="517">
        <v>12</v>
      </c>
      <c r="H6" s="300"/>
      <c r="I6" s="300"/>
      <c r="J6" s="300"/>
      <c r="K6" s="300"/>
      <c r="L6" s="300"/>
    </row>
    <row r="7" spans="1:18">
      <c r="A7" s="302"/>
      <c r="B7" s="308">
        <v>42284</v>
      </c>
      <c r="C7" s="308">
        <v>42639</v>
      </c>
      <c r="D7" s="302" t="s">
        <v>377</v>
      </c>
      <c r="E7" s="300">
        <v>25868726</v>
      </c>
      <c r="F7" s="300">
        <v>17.829999999999998</v>
      </c>
      <c r="G7" s="517">
        <v>12</v>
      </c>
      <c r="H7" s="300"/>
      <c r="I7" s="300"/>
      <c r="J7" s="300"/>
      <c r="K7" s="300"/>
      <c r="L7" s="300"/>
    </row>
    <row r="8" spans="1:18">
      <c r="A8" s="302"/>
      <c r="B8" s="308">
        <v>42521</v>
      </c>
      <c r="C8" s="308">
        <v>42850</v>
      </c>
      <c r="D8" s="302" t="s">
        <v>377</v>
      </c>
      <c r="E8" s="300">
        <v>8370000</v>
      </c>
      <c r="F8" s="300">
        <v>15.66</v>
      </c>
      <c r="G8" s="517">
        <v>12</v>
      </c>
      <c r="H8" s="300"/>
      <c r="I8" s="300"/>
      <c r="J8" s="300"/>
      <c r="K8" s="300"/>
      <c r="L8" s="300"/>
    </row>
    <row r="9" spans="1:18">
      <c r="A9" s="302"/>
      <c r="B9" s="308">
        <v>42810</v>
      </c>
      <c r="C9" s="308">
        <v>43146</v>
      </c>
      <c r="D9" s="302" t="s">
        <v>377</v>
      </c>
      <c r="E9" s="300">
        <v>57969221</v>
      </c>
      <c r="F9" s="300">
        <v>5</v>
      </c>
      <c r="G9" s="517">
        <v>12</v>
      </c>
      <c r="H9" s="300"/>
      <c r="I9" s="300"/>
      <c r="J9" s="300"/>
      <c r="K9" s="300"/>
      <c r="L9" s="300"/>
    </row>
    <row r="10" spans="1:18">
      <c r="A10" s="302"/>
      <c r="B10" s="308">
        <v>43137</v>
      </c>
      <c r="C10" s="308">
        <v>43490</v>
      </c>
      <c r="D10" s="302" t="s">
        <v>377</v>
      </c>
      <c r="E10" s="300">
        <v>81517000</v>
      </c>
      <c r="F10" s="300">
        <v>2.8</v>
      </c>
      <c r="G10" s="517">
        <v>12</v>
      </c>
      <c r="H10" s="300"/>
      <c r="I10" s="300"/>
      <c r="J10" s="300"/>
      <c r="K10" s="300"/>
      <c r="L10" s="300"/>
    </row>
    <row r="11" spans="1:18">
      <c r="A11" s="302"/>
      <c r="B11" s="308">
        <v>43405</v>
      </c>
      <c r="C11" s="308">
        <v>43767</v>
      </c>
      <c r="D11" s="302" t="s">
        <v>377</v>
      </c>
      <c r="E11" s="300">
        <v>24164412</v>
      </c>
      <c r="F11" s="300">
        <v>2.8</v>
      </c>
      <c r="G11" s="517">
        <v>12</v>
      </c>
      <c r="H11" s="300">
        <v>0</v>
      </c>
      <c r="I11" s="300"/>
      <c r="J11" s="300"/>
      <c r="K11" s="300"/>
      <c r="L11" s="300"/>
      <c r="R11" t="s">
        <v>224</v>
      </c>
    </row>
    <row r="12" spans="1:18">
      <c r="A12" s="302"/>
      <c r="B12" s="308">
        <v>43537</v>
      </c>
      <c r="C12" s="308">
        <v>43886</v>
      </c>
      <c r="D12" s="302" t="s">
        <v>377</v>
      </c>
      <c r="E12" s="300">
        <v>54375295</v>
      </c>
      <c r="F12" s="300">
        <v>2.78</v>
      </c>
      <c r="G12" s="517">
        <v>12</v>
      </c>
      <c r="H12" s="300">
        <v>0</v>
      </c>
      <c r="I12" s="300"/>
      <c r="J12" s="300"/>
      <c r="K12" s="300"/>
      <c r="L12" s="300"/>
    </row>
    <row r="13" spans="1:18">
      <c r="A13" s="302"/>
      <c r="B13" s="308">
        <v>43900</v>
      </c>
      <c r="C13" s="308">
        <v>44264</v>
      </c>
      <c r="D13" s="302" t="s">
        <v>377</v>
      </c>
      <c r="E13" s="300">
        <v>80000000</v>
      </c>
      <c r="F13" s="300">
        <v>2.78</v>
      </c>
      <c r="G13" s="517">
        <v>12</v>
      </c>
      <c r="H13" s="520">
        <v>65608076.789999999</v>
      </c>
      <c r="I13" s="300">
        <v>18600000</v>
      </c>
      <c r="J13" s="300">
        <v>18600000</v>
      </c>
      <c r="K13" s="300">
        <v>18800000</v>
      </c>
      <c r="L13" s="300">
        <v>9608076.7899999991</v>
      </c>
      <c r="P13" t="s">
        <v>224</v>
      </c>
    </row>
    <row r="14" spans="1:18">
      <c r="A14" s="304" t="s">
        <v>533</v>
      </c>
      <c r="B14" s="307"/>
      <c r="C14" s="307"/>
      <c r="D14" s="304"/>
      <c r="E14" s="301"/>
      <c r="F14" s="301"/>
      <c r="G14" s="518"/>
      <c r="H14" s="301">
        <f>SUM(H4:H13)</f>
        <v>65608076.789999999</v>
      </c>
      <c r="I14" s="300">
        <f>SUM(I4:I13)</f>
        <v>18600000</v>
      </c>
      <c r="J14" s="300">
        <f>SUM(J4:J13)</f>
        <v>18600000</v>
      </c>
      <c r="K14" s="300">
        <f>SUM(K4:K13)</f>
        <v>18800000</v>
      </c>
      <c r="L14" s="300">
        <f>SUM(L4:L13)</f>
        <v>9608076.7899999991</v>
      </c>
      <c r="O14" t="s">
        <v>224</v>
      </c>
    </row>
    <row r="15" spans="1:18">
      <c r="A15" s="302" t="s">
        <v>535</v>
      </c>
      <c r="B15" s="306">
        <v>42674</v>
      </c>
      <c r="C15" s="306">
        <v>44926</v>
      </c>
      <c r="D15" s="519" t="s">
        <v>534</v>
      </c>
      <c r="E15" s="305">
        <v>5000000</v>
      </c>
      <c r="F15" s="300">
        <v>8.25</v>
      </c>
      <c r="G15" s="517">
        <v>74</v>
      </c>
      <c r="H15" s="305">
        <v>5000000</v>
      </c>
      <c r="I15" s="300"/>
      <c r="J15" s="300"/>
      <c r="K15" s="300"/>
      <c r="L15" s="300"/>
    </row>
    <row r="16" spans="1:18">
      <c r="A16" s="302"/>
      <c r="B16" s="306">
        <v>42681</v>
      </c>
      <c r="C16" s="306">
        <v>44926</v>
      </c>
      <c r="D16" s="519" t="s">
        <v>534</v>
      </c>
      <c r="E16" s="305">
        <f>9699000+349800</f>
        <v>10048800</v>
      </c>
      <c r="F16" s="300">
        <v>8.25</v>
      </c>
      <c r="G16" s="517">
        <v>74</v>
      </c>
      <c r="H16" s="305">
        <v>10048800</v>
      </c>
      <c r="I16" s="300"/>
      <c r="J16" s="300"/>
      <c r="K16" s="300"/>
      <c r="L16" s="300"/>
    </row>
    <row r="17" spans="1:12">
      <c r="A17" s="302"/>
      <c r="B17" s="306">
        <v>42681</v>
      </c>
      <c r="C17" s="306">
        <v>44926</v>
      </c>
      <c r="D17" s="519" t="s">
        <v>534</v>
      </c>
      <c r="E17" s="305">
        <f>26961860+1343120.53</f>
        <v>28304980.530000001</v>
      </c>
      <c r="F17" s="300">
        <v>8.25</v>
      </c>
      <c r="G17" s="517">
        <v>74</v>
      </c>
      <c r="H17" s="305">
        <v>28304980.530000001</v>
      </c>
      <c r="I17" s="300"/>
      <c r="J17" s="300"/>
      <c r="K17" s="300"/>
      <c r="L17" s="300"/>
    </row>
    <row r="18" spans="1:12">
      <c r="A18" s="302"/>
      <c r="B18" s="306">
        <v>42732</v>
      </c>
      <c r="C18" s="306">
        <v>44926</v>
      </c>
      <c r="D18" s="519" t="s">
        <v>534</v>
      </c>
      <c r="E18" s="305">
        <v>15000000</v>
      </c>
      <c r="F18" s="300">
        <v>10</v>
      </c>
      <c r="G18" s="517">
        <v>72</v>
      </c>
      <c r="H18" s="305">
        <v>15000000</v>
      </c>
      <c r="I18" s="300"/>
      <c r="J18" s="300"/>
      <c r="K18" s="300"/>
      <c r="L18" s="300"/>
    </row>
    <row r="19" spans="1:12">
      <c r="A19" s="304" t="s">
        <v>533</v>
      </c>
      <c r="B19" s="303"/>
      <c r="C19" s="303"/>
      <c r="D19" s="519"/>
      <c r="E19" s="517"/>
      <c r="F19" s="300"/>
      <c r="G19" s="517"/>
      <c r="H19" s="301">
        <f>SUM(H15:H18)</f>
        <v>58353780.530000001</v>
      </c>
      <c r="I19" s="300"/>
      <c r="J19" s="300"/>
      <c r="K19" s="300"/>
      <c r="L19" s="300"/>
    </row>
    <row r="20" spans="1:12">
      <c r="A20" s="304" t="s">
        <v>532</v>
      </c>
      <c r="B20" s="303"/>
      <c r="C20" s="303"/>
      <c r="D20" s="302"/>
      <c r="E20" s="517"/>
      <c r="F20" s="300"/>
      <c r="G20" s="517"/>
      <c r="H20" s="301">
        <f>H14+H19</f>
        <v>123961857.31999999</v>
      </c>
      <c r="I20" s="300"/>
      <c r="J20" s="300"/>
      <c r="K20" s="300"/>
      <c r="L20" s="300"/>
    </row>
    <row r="21" spans="1:12">
      <c r="A21" s="93"/>
      <c r="B21" s="93"/>
      <c r="C21" s="93"/>
      <c r="D21" s="93"/>
      <c r="E21" s="93"/>
      <c r="F21" s="93"/>
      <c r="G21" s="93"/>
      <c r="H21" s="93"/>
    </row>
    <row r="22" spans="1:12">
      <c r="A22" s="93"/>
      <c r="B22" s="93"/>
      <c r="C22" s="93"/>
      <c r="D22" s="93"/>
      <c r="E22" s="93"/>
      <c r="F22" s="93"/>
      <c r="G22" s="93"/>
      <c r="H22" s="93"/>
    </row>
    <row r="23" spans="1:12">
      <c r="H23" s="92" t="s">
        <v>224</v>
      </c>
    </row>
    <row r="25" spans="1:12">
      <c r="K25" t="s">
        <v>224</v>
      </c>
    </row>
    <row r="26" spans="1:12">
      <c r="K26" t="s">
        <v>224</v>
      </c>
    </row>
  </sheetData>
  <mergeCells count="2">
    <mergeCell ref="A1:H1"/>
    <mergeCell ref="I2:L2"/>
  </mergeCell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N41"/>
  <sheetViews>
    <sheetView topLeftCell="A16" workbookViewId="0">
      <selection activeCell="H42" sqref="H42"/>
    </sheetView>
  </sheetViews>
  <sheetFormatPr baseColWidth="10" defaultColWidth="10" defaultRowHeight="14"/>
  <cols>
    <col min="1" max="1" width="10" style="343"/>
    <col min="2" max="2" width="51.33203125" style="343" customWidth="1"/>
    <col min="3" max="3" width="11.5" style="343" customWidth="1"/>
    <col min="4" max="4" width="2.83203125" style="343" customWidth="1"/>
    <col min="5" max="5" width="12.6640625" style="343" customWidth="1"/>
    <col min="6" max="6" width="9.5" style="343" customWidth="1"/>
    <col min="7" max="9" width="10" style="343"/>
    <col min="10" max="10" width="13.5" style="343" customWidth="1"/>
    <col min="11" max="11" width="12.5" style="343" customWidth="1"/>
    <col min="12" max="12" width="4.5" style="343" customWidth="1"/>
    <col min="13" max="13" width="11.33203125" style="343" customWidth="1"/>
    <col min="14" max="16384" width="10" style="343"/>
  </cols>
  <sheetData>
    <row r="1" spans="2:14" ht="15" thickBot="1"/>
    <row r="2" spans="2:14">
      <c r="B2" s="386" t="s">
        <v>596</v>
      </c>
      <c r="C2" s="385" t="s">
        <v>595</v>
      </c>
      <c r="D2" s="384"/>
      <c r="E2" s="384">
        <v>2015</v>
      </c>
      <c r="F2" s="384">
        <v>2016</v>
      </c>
      <c r="G2" s="384">
        <v>2017</v>
      </c>
      <c r="H2" s="384">
        <v>2018</v>
      </c>
      <c r="I2" s="384">
        <v>2019</v>
      </c>
      <c r="J2" s="383" t="s">
        <v>615</v>
      </c>
      <c r="K2" s="383" t="s">
        <v>614</v>
      </c>
      <c r="L2" s="382"/>
      <c r="M2" s="381" t="s">
        <v>613</v>
      </c>
    </row>
    <row r="3" spans="2:14">
      <c r="B3" s="356"/>
      <c r="C3" s="356"/>
      <c r="D3" s="356"/>
      <c r="E3" s="356"/>
      <c r="F3" s="356"/>
      <c r="G3" s="356"/>
      <c r="H3" s="356"/>
      <c r="I3" s="356"/>
      <c r="J3" s="356"/>
      <c r="K3" s="356"/>
      <c r="M3" s="355"/>
    </row>
    <row r="4" spans="2:14">
      <c r="B4" s="360" t="s">
        <v>590</v>
      </c>
      <c r="C4" s="389" t="s">
        <v>569</v>
      </c>
      <c r="D4" s="360"/>
      <c r="E4" s="362">
        <v>4929.8</v>
      </c>
      <c r="F4" s="362">
        <v>11322.247160000001</v>
      </c>
      <c r="G4" s="362">
        <v>15536.881999999998</v>
      </c>
      <c r="H4" s="362">
        <v>3547</v>
      </c>
      <c r="I4" s="362">
        <v>513.71249999999998</v>
      </c>
      <c r="J4" s="362"/>
      <c r="K4" s="362"/>
      <c r="L4" s="353"/>
      <c r="M4" s="387">
        <f>SUM(E4:I4)</f>
        <v>35849.641660000001</v>
      </c>
    </row>
    <row r="5" spans="2:14">
      <c r="B5" s="360" t="s">
        <v>589</v>
      </c>
      <c r="C5" s="389" t="s">
        <v>569</v>
      </c>
      <c r="D5" s="360"/>
      <c r="E5" s="362">
        <v>42805.65</v>
      </c>
      <c r="F5" s="362">
        <v>24609.39</v>
      </c>
      <c r="G5" s="362"/>
      <c r="H5" s="362"/>
      <c r="I5" s="362"/>
      <c r="J5" s="362"/>
      <c r="K5" s="362"/>
      <c r="L5" s="353"/>
      <c r="M5" s="387">
        <f>SUM(E5:I5)</f>
        <v>67415.040000000008</v>
      </c>
    </row>
    <row r="6" spans="2:14">
      <c r="B6" s="364" t="s">
        <v>588</v>
      </c>
      <c r="C6" s="357" t="s">
        <v>581</v>
      </c>
      <c r="D6" s="356"/>
      <c r="E6" s="375">
        <v>185.34</v>
      </c>
      <c r="F6" s="375">
        <v>99.1</v>
      </c>
      <c r="G6" s="375">
        <v>0</v>
      </c>
      <c r="H6" s="375">
        <v>0</v>
      </c>
      <c r="I6" s="375">
        <v>0</v>
      </c>
      <c r="J6" s="356"/>
      <c r="K6" s="356"/>
      <c r="M6" s="355">
        <f>SUM(E6:I6)</f>
        <v>284.44</v>
      </c>
    </row>
    <row r="7" spans="2:14" ht="15">
      <c r="B7" s="364" t="s">
        <v>587</v>
      </c>
      <c r="C7" s="380" t="s">
        <v>578</v>
      </c>
      <c r="D7" s="379"/>
      <c r="E7" s="397">
        <f>E5/E6</f>
        <v>230.9574295888637</v>
      </c>
      <c r="F7" s="397">
        <f>F5/F6</f>
        <v>248.32885973763877</v>
      </c>
      <c r="G7" s="397"/>
      <c r="H7" s="397"/>
      <c r="I7" s="397"/>
      <c r="J7" s="397"/>
      <c r="K7" s="397"/>
      <c r="L7" s="396"/>
      <c r="M7" s="361">
        <f>M5/M6</f>
        <v>237.00970327661372</v>
      </c>
    </row>
    <row r="8" spans="2:14">
      <c r="B8" s="360" t="s">
        <v>586</v>
      </c>
      <c r="C8" s="389" t="s">
        <v>569</v>
      </c>
      <c r="D8" s="360"/>
      <c r="E8" s="362">
        <v>74.885000000000005</v>
      </c>
      <c r="F8" s="362">
        <v>804.71514000000002</v>
      </c>
      <c r="G8" s="362">
        <v>0</v>
      </c>
      <c r="H8" s="362">
        <v>2803.6706600000002</v>
      </c>
      <c r="I8" s="362">
        <v>910</v>
      </c>
      <c r="J8" s="362"/>
      <c r="K8" s="362"/>
      <c r="L8" s="353"/>
      <c r="M8" s="387">
        <f>SUM(E8:I8)</f>
        <v>4593.2708000000002</v>
      </c>
    </row>
    <row r="9" spans="2:14">
      <c r="B9" s="364" t="s">
        <v>585</v>
      </c>
      <c r="C9" s="357" t="s">
        <v>581</v>
      </c>
      <c r="D9" s="356"/>
      <c r="E9" s="375">
        <v>13.8</v>
      </c>
      <c r="F9" s="375">
        <v>32.049999999999997</v>
      </c>
      <c r="G9" s="375">
        <v>0</v>
      </c>
      <c r="H9" s="375">
        <v>84.8</v>
      </c>
      <c r="I9" s="375">
        <v>34.299999999999997</v>
      </c>
      <c r="J9" s="356"/>
      <c r="K9" s="356"/>
      <c r="M9" s="355">
        <f>SUM(E9:I9)</f>
        <v>164.95</v>
      </c>
    </row>
    <row r="10" spans="2:14">
      <c r="B10" s="364" t="s">
        <v>584</v>
      </c>
      <c r="C10" s="357" t="s">
        <v>578</v>
      </c>
      <c r="D10" s="356"/>
      <c r="E10" s="375">
        <f>E8/E9</f>
        <v>5.4264492753623186</v>
      </c>
      <c r="F10" s="375">
        <f>F8/F9</f>
        <v>25.108116692667711</v>
      </c>
      <c r="G10" s="375"/>
      <c r="H10" s="375">
        <f>H8/H9</f>
        <v>33.062154009433968</v>
      </c>
      <c r="I10" s="375">
        <f>I8/I9</f>
        <v>26.530612244897963</v>
      </c>
      <c r="J10" s="375"/>
      <c r="K10" s="375"/>
      <c r="L10" s="374"/>
      <c r="M10" s="373">
        <f>M8/M9</f>
        <v>27.846443164595335</v>
      </c>
    </row>
    <row r="11" spans="2:14">
      <c r="B11" s="360" t="s">
        <v>583</v>
      </c>
      <c r="C11" s="389" t="s">
        <v>569</v>
      </c>
      <c r="D11" s="360"/>
      <c r="E11" s="362">
        <v>0</v>
      </c>
      <c r="F11" s="362">
        <v>23048.487710000001</v>
      </c>
      <c r="G11" s="362">
        <v>54193.522599999997</v>
      </c>
      <c r="H11" s="362">
        <v>24389.058139999997</v>
      </c>
      <c r="I11" s="362">
        <v>66585.903399999996</v>
      </c>
      <c r="J11" s="362"/>
      <c r="K11" s="362"/>
      <c r="L11" s="353"/>
      <c r="M11" s="387">
        <f>SUM(E11:I11)</f>
        <v>168216.97184999997</v>
      </c>
    </row>
    <row r="12" spans="2:14">
      <c r="B12" s="364" t="s">
        <v>582</v>
      </c>
      <c r="C12" s="357" t="s">
        <v>581</v>
      </c>
      <c r="D12" s="356"/>
      <c r="E12" s="375">
        <v>0</v>
      </c>
      <c r="F12" s="375">
        <v>0</v>
      </c>
      <c r="G12" s="375">
        <v>262</v>
      </c>
      <c r="H12" s="375">
        <v>87.3</v>
      </c>
      <c r="I12" s="375">
        <f>193+43</f>
        <v>236</v>
      </c>
      <c r="J12" s="362"/>
      <c r="K12" s="362"/>
      <c r="M12" s="355">
        <f>SUM(E12:I12)</f>
        <v>585.29999999999995</v>
      </c>
    </row>
    <row r="13" spans="2:14">
      <c r="B13" s="364" t="s">
        <v>612</v>
      </c>
      <c r="C13" s="357"/>
      <c r="D13" s="356"/>
      <c r="E13" s="375"/>
      <c r="F13" s="375"/>
      <c r="G13" s="359">
        <f>F11+G11</f>
        <v>77242.010309999998</v>
      </c>
      <c r="H13" s="359">
        <v>7676.78</v>
      </c>
      <c r="I13" s="359">
        <f>I11+H11-H13</f>
        <v>83298.18153999999</v>
      </c>
      <c r="J13" s="362"/>
      <c r="K13" s="362"/>
      <c r="M13" s="387">
        <f>SUM(E13:I13)</f>
        <v>168216.97184999997</v>
      </c>
      <c r="N13" s="347"/>
    </row>
    <row r="14" spans="2:14">
      <c r="B14" s="364" t="s">
        <v>579</v>
      </c>
      <c r="C14" s="395" t="s">
        <v>578</v>
      </c>
      <c r="D14" s="394"/>
      <c r="E14" s="369"/>
      <c r="F14" s="369"/>
      <c r="G14" s="393">
        <f>G13/G12</f>
        <v>294.81683324427479</v>
      </c>
      <c r="H14" s="393">
        <f>H13/H12</f>
        <v>87.935624284077889</v>
      </c>
      <c r="I14" s="393">
        <f>I13/I12</f>
        <v>352.95839635593217</v>
      </c>
      <c r="J14" s="362"/>
      <c r="K14" s="362"/>
      <c r="L14" s="368"/>
      <c r="M14" s="392">
        <f>M11/M12</f>
        <v>287.4029930804715</v>
      </c>
    </row>
    <row r="15" spans="2:14">
      <c r="B15" s="360" t="s">
        <v>577</v>
      </c>
      <c r="C15" s="389"/>
      <c r="D15" s="360"/>
      <c r="E15" s="362">
        <v>203.36799999999999</v>
      </c>
      <c r="F15" s="362">
        <v>129203.93068999999</v>
      </c>
      <c r="G15" s="362">
        <v>26849.029770000001</v>
      </c>
      <c r="H15" s="362">
        <v>44623.599000000002</v>
      </c>
      <c r="I15" s="362">
        <v>0</v>
      </c>
      <c r="J15" s="362"/>
      <c r="K15" s="362"/>
      <c r="L15" s="353"/>
      <c r="M15" s="387">
        <f>SUM(E15:I15)</f>
        <v>200879.92745999998</v>
      </c>
    </row>
    <row r="16" spans="2:14">
      <c r="B16" s="364" t="s">
        <v>576</v>
      </c>
      <c r="C16" s="357" t="s">
        <v>575</v>
      </c>
      <c r="D16" s="356"/>
      <c r="E16" s="359">
        <v>0</v>
      </c>
      <c r="F16" s="359">
        <v>2250</v>
      </c>
      <c r="G16" s="359">
        <v>0</v>
      </c>
      <c r="H16" s="359">
        <v>1080</v>
      </c>
      <c r="I16" s="359">
        <v>0</v>
      </c>
      <c r="J16" s="362"/>
      <c r="K16" s="362"/>
      <c r="L16" s="347"/>
      <c r="M16" s="358">
        <f>SUM(E16:I16)</f>
        <v>3330</v>
      </c>
    </row>
    <row r="17" spans="2:13">
      <c r="B17" s="364" t="s">
        <v>574</v>
      </c>
      <c r="C17" s="366"/>
      <c r="D17" s="356"/>
      <c r="E17" s="359"/>
      <c r="F17" s="359">
        <f>E15+F15</f>
        <v>129407.29869</v>
      </c>
      <c r="G17" s="359"/>
      <c r="H17" s="359">
        <f>G15+H15</f>
        <v>71472.62877000001</v>
      </c>
      <c r="I17" s="359"/>
      <c r="J17" s="362"/>
      <c r="K17" s="362"/>
      <c r="L17" s="347"/>
      <c r="M17" s="358"/>
    </row>
    <row r="18" spans="2:13">
      <c r="B18" s="364" t="s">
        <v>611</v>
      </c>
      <c r="C18" s="391" t="s">
        <v>572</v>
      </c>
      <c r="D18" s="356"/>
      <c r="E18" s="359"/>
      <c r="F18" s="362">
        <f>F17/F16</f>
        <v>57.514354973333333</v>
      </c>
      <c r="G18" s="362"/>
      <c r="H18" s="362">
        <f>H17/H16</f>
        <v>66.178359972222225</v>
      </c>
      <c r="I18" s="362"/>
      <c r="J18" s="362"/>
      <c r="K18" s="362"/>
      <c r="L18" s="353"/>
      <c r="M18" s="390">
        <f>M15/M16</f>
        <v>60.324302540540536</v>
      </c>
    </row>
    <row r="19" spans="2:13">
      <c r="B19" s="360" t="s">
        <v>571</v>
      </c>
      <c r="C19" s="389" t="s">
        <v>569</v>
      </c>
      <c r="D19" s="360"/>
      <c r="E19" s="362">
        <v>0</v>
      </c>
      <c r="F19" s="362">
        <v>6958.2181100000007</v>
      </c>
      <c r="G19" s="362">
        <v>0</v>
      </c>
      <c r="H19" s="362">
        <v>0</v>
      </c>
      <c r="I19" s="362">
        <v>0</v>
      </c>
      <c r="J19" s="362"/>
      <c r="K19" s="362"/>
      <c r="L19" s="353"/>
      <c r="M19" s="387">
        <f>SUM(E19:I19)</f>
        <v>6958.2181100000007</v>
      </c>
    </row>
    <row r="20" spans="2:13">
      <c r="B20" s="360" t="s">
        <v>610</v>
      </c>
      <c r="C20" s="389"/>
      <c r="D20" s="360"/>
      <c r="E20" s="362">
        <v>48013.703000000001</v>
      </c>
      <c r="F20" s="362">
        <v>28057.011190000019</v>
      </c>
      <c r="G20" s="362">
        <v>28280.565629999997</v>
      </c>
      <c r="H20" s="362">
        <v>9904.6722000000009</v>
      </c>
      <c r="I20" s="362">
        <v>14143.384099999999</v>
      </c>
      <c r="J20" s="388">
        <f>6000+316*4</f>
        <v>7264</v>
      </c>
      <c r="K20" s="388">
        <f>2000+F6*20*(1+5%)</f>
        <v>4081.1</v>
      </c>
      <c r="L20" s="353"/>
      <c r="M20" s="387">
        <f>SUM(E20:I20)</f>
        <v>128399.33612000002</v>
      </c>
    </row>
    <row r="21" spans="2:13">
      <c r="B21" s="356"/>
      <c r="C21" s="357"/>
      <c r="D21" s="356"/>
      <c r="E21" s="356"/>
      <c r="F21" s="356"/>
      <c r="G21" s="356"/>
      <c r="H21" s="356"/>
      <c r="I21" s="356"/>
      <c r="J21" s="356"/>
      <c r="K21" s="356"/>
      <c r="M21" s="355"/>
    </row>
    <row r="22" spans="2:13" ht="15" thickBot="1">
      <c r="B22" s="349" t="s">
        <v>176</v>
      </c>
      <c r="C22" s="354" t="s">
        <v>569</v>
      </c>
      <c r="D22" s="349"/>
      <c r="E22" s="344">
        <f t="shared" ref="E22:K22" si="0">E20+E19+E15+E11+E8+E5+E4</f>
        <v>96027.406000000003</v>
      </c>
      <c r="F22" s="344">
        <f t="shared" si="0"/>
        <v>224004.00000000003</v>
      </c>
      <c r="G22" s="344">
        <f t="shared" si="0"/>
        <v>124859.99999999999</v>
      </c>
      <c r="H22" s="344">
        <f t="shared" si="0"/>
        <v>85268</v>
      </c>
      <c r="I22" s="344">
        <f t="shared" si="0"/>
        <v>82152.999999999985</v>
      </c>
      <c r="J22" s="344">
        <f t="shared" si="0"/>
        <v>7264</v>
      </c>
      <c r="K22" s="344">
        <f t="shared" si="0"/>
        <v>4081.1</v>
      </c>
      <c r="L22" s="353"/>
      <c r="M22" s="352">
        <f>SUM(E22:I22)</f>
        <v>612312.40599999996</v>
      </c>
    </row>
    <row r="23" spans="2:13">
      <c r="F23" s="347"/>
      <c r="G23" s="347"/>
      <c r="H23" s="347"/>
      <c r="I23" s="347"/>
    </row>
    <row r="24" spans="2:13">
      <c r="F24" s="347"/>
    </row>
    <row r="25" spans="2:13">
      <c r="B25" s="343" t="s">
        <v>609</v>
      </c>
    </row>
    <row r="26" spans="2:13">
      <c r="B26" s="343" t="s">
        <v>608</v>
      </c>
    </row>
    <row r="27" spans="2:13">
      <c r="B27" s="343" t="s">
        <v>607</v>
      </c>
      <c r="I27" s="375">
        <f>56956.95+11868.7</f>
        <v>68825.649999999994</v>
      </c>
    </row>
    <row r="28" spans="2:13">
      <c r="B28" s="343" t="s">
        <v>606</v>
      </c>
    </row>
    <row r="31" spans="2:13">
      <c r="B31" s="343" t="s">
        <v>605</v>
      </c>
    </row>
    <row r="32" spans="2:13">
      <c r="B32" s="343" t="s">
        <v>604</v>
      </c>
    </row>
    <row r="33" spans="2:3">
      <c r="B33" s="343" t="s">
        <v>603</v>
      </c>
    </row>
    <row r="35" spans="2:3">
      <c r="B35" s="343" t="s">
        <v>602</v>
      </c>
    </row>
    <row r="36" spans="2:3">
      <c r="B36" s="343" t="s">
        <v>601</v>
      </c>
    </row>
    <row r="37" spans="2:3">
      <c r="B37" s="343" t="s">
        <v>600</v>
      </c>
    </row>
    <row r="38" spans="2:3">
      <c r="B38" s="343" t="s">
        <v>599</v>
      </c>
    </row>
    <row r="39" spans="2:3">
      <c r="B39" s="343" t="s">
        <v>598</v>
      </c>
    </row>
    <row r="40" spans="2:3">
      <c r="B40" s="374"/>
      <c r="C40" s="374"/>
    </row>
    <row r="41" spans="2:3">
      <c r="B41" s="343" t="s">
        <v>597</v>
      </c>
    </row>
  </sheetData>
  <pageMargins left="0.7" right="0.7" top="0.75" bottom="0.75" header="0.3" footer="0.3"/>
  <pageSetup paperSize="9" scale="7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MK40"/>
  <sheetViews>
    <sheetView topLeftCell="B2" workbookViewId="0">
      <selection activeCell="B2" sqref="B2"/>
    </sheetView>
  </sheetViews>
  <sheetFormatPr baseColWidth="10" defaultColWidth="10" defaultRowHeight="14"/>
  <cols>
    <col min="1" max="1" width="9.5" style="399" hidden="1" customWidth="1"/>
    <col min="2" max="2" width="49.33203125" style="399" customWidth="1"/>
    <col min="3" max="3" width="11.33203125" style="399" customWidth="1"/>
    <col min="4" max="4" width="3" style="399" customWidth="1"/>
    <col min="5" max="9" width="9.5" style="399" customWidth="1"/>
    <col min="10" max="12" width="12.33203125" style="399" customWidth="1"/>
    <col min="13" max="13" width="12.6640625" style="399" customWidth="1"/>
    <col min="14" max="1025" width="9.5" style="399" customWidth="1"/>
    <col min="1026" max="1026" width="10" style="398" customWidth="1"/>
    <col min="1027" max="16384" width="10" style="398"/>
  </cols>
  <sheetData>
    <row r="1" spans="2:14" ht="15" thickBot="1">
      <c r="B1" s="371"/>
      <c r="C1" s="371"/>
      <c r="D1" s="371"/>
      <c r="E1" s="371"/>
      <c r="F1" s="371"/>
      <c r="G1" s="371"/>
      <c r="H1" s="371"/>
      <c r="I1" s="371"/>
      <c r="J1" s="371"/>
      <c r="K1" s="411"/>
      <c r="L1" s="411"/>
    </row>
    <row r="2" spans="2:14">
      <c r="B2" s="410" t="s">
        <v>596</v>
      </c>
      <c r="C2" s="409" t="s">
        <v>595</v>
      </c>
      <c r="D2" s="410"/>
      <c r="E2" s="410">
        <v>2015</v>
      </c>
      <c r="F2" s="410">
        <v>2016</v>
      </c>
      <c r="G2" s="410">
        <v>2017</v>
      </c>
      <c r="H2" s="410">
        <v>2018</v>
      </c>
      <c r="I2" s="410">
        <v>2019</v>
      </c>
      <c r="J2" s="409" t="s">
        <v>594</v>
      </c>
      <c r="K2" s="409" t="s">
        <v>593</v>
      </c>
      <c r="L2" s="409" t="s">
        <v>592</v>
      </c>
      <c r="N2" s="381" t="s">
        <v>625</v>
      </c>
    </row>
    <row r="3" spans="2:14">
      <c r="B3" s="371"/>
      <c r="C3" s="371"/>
      <c r="D3" s="371"/>
      <c r="E3" s="371"/>
      <c r="F3" s="371"/>
      <c r="G3" s="371"/>
      <c r="H3" s="371"/>
      <c r="I3" s="371"/>
      <c r="J3" s="371"/>
      <c r="K3" s="371"/>
      <c r="L3" s="371"/>
      <c r="N3" s="355"/>
    </row>
    <row r="4" spans="2:14">
      <c r="B4" s="394" t="s">
        <v>590</v>
      </c>
      <c r="C4" s="391" t="s">
        <v>569</v>
      </c>
      <c r="D4" s="394"/>
      <c r="E4" s="369">
        <v>2407</v>
      </c>
      <c r="F4" s="369">
        <v>3622</v>
      </c>
      <c r="G4" s="369">
        <v>8929</v>
      </c>
      <c r="H4" s="369">
        <v>306</v>
      </c>
      <c r="I4" s="369"/>
      <c r="J4" s="369"/>
      <c r="K4" s="369"/>
      <c r="L4" s="369"/>
      <c r="N4" s="387">
        <f>SUM(E4:I4)</f>
        <v>15264</v>
      </c>
    </row>
    <row r="5" spans="2:14">
      <c r="B5" s="394" t="s">
        <v>589</v>
      </c>
      <c r="C5" s="391" t="s">
        <v>569</v>
      </c>
      <c r="D5" s="394"/>
      <c r="E5" s="369">
        <v>33291</v>
      </c>
      <c r="F5" s="369">
        <v>5750</v>
      </c>
      <c r="G5" s="369">
        <v>55230</v>
      </c>
      <c r="H5" s="393"/>
      <c r="I5" s="393"/>
      <c r="J5" s="369"/>
      <c r="K5" s="369"/>
      <c r="L5" s="369"/>
      <c r="N5" s="387">
        <f>SUM(E5:I5)</f>
        <v>94271</v>
      </c>
    </row>
    <row r="6" spans="2:14">
      <c r="B6" s="404" t="s">
        <v>588</v>
      </c>
      <c r="C6" s="395" t="s">
        <v>581</v>
      </c>
      <c r="D6" s="371"/>
      <c r="E6" s="370">
        <v>137</v>
      </c>
      <c r="F6" s="370">
        <v>23</v>
      </c>
      <c r="G6" s="370">
        <v>210</v>
      </c>
      <c r="H6" s="370"/>
      <c r="I6" s="370"/>
      <c r="J6" s="370"/>
      <c r="K6" s="370"/>
      <c r="L6" s="370"/>
      <c r="N6" s="355">
        <f>SUM(E6:I6)</f>
        <v>370</v>
      </c>
    </row>
    <row r="7" spans="2:14" ht="15">
      <c r="B7" s="364" t="s">
        <v>587</v>
      </c>
      <c r="C7" s="363" t="s">
        <v>578</v>
      </c>
      <c r="D7" s="371"/>
      <c r="E7" s="405">
        <f>E5/E6</f>
        <v>243</v>
      </c>
      <c r="F7" s="405">
        <f>F5/F6</f>
        <v>250</v>
      </c>
      <c r="G7" s="405">
        <f>G5/G6</f>
        <v>263</v>
      </c>
      <c r="H7" s="370"/>
      <c r="I7" s="370"/>
      <c r="J7" s="370"/>
      <c r="K7" s="370"/>
      <c r="L7" s="370"/>
      <c r="N7" s="408">
        <f>N5/N6</f>
        <v>254.7864864864865</v>
      </c>
    </row>
    <row r="8" spans="2:14">
      <c r="B8" s="394" t="s">
        <v>586</v>
      </c>
      <c r="C8" s="391" t="s">
        <v>569</v>
      </c>
      <c r="D8" s="394"/>
      <c r="E8" s="369"/>
      <c r="F8" s="369">
        <v>4968</v>
      </c>
      <c r="G8" s="369">
        <v>92</v>
      </c>
      <c r="H8" s="369"/>
      <c r="I8" s="369"/>
      <c r="J8" s="369"/>
      <c r="K8" s="369"/>
      <c r="L8" s="369"/>
      <c r="M8" s="402"/>
      <c r="N8" s="387">
        <f>SUM(E8:I8)</f>
        <v>5060</v>
      </c>
    </row>
    <row r="9" spans="2:14">
      <c r="B9" s="404" t="s">
        <v>585</v>
      </c>
      <c r="C9" s="395" t="s">
        <v>581</v>
      </c>
      <c r="D9" s="371"/>
      <c r="E9" s="370"/>
      <c r="F9" s="370">
        <v>100</v>
      </c>
      <c r="G9" s="370">
        <v>1</v>
      </c>
      <c r="H9" s="370"/>
      <c r="I9" s="370"/>
      <c r="J9" s="370"/>
      <c r="K9" s="370"/>
      <c r="L9" s="370"/>
      <c r="N9" s="355">
        <f>SUM(E9:I9)</f>
        <v>101</v>
      </c>
    </row>
    <row r="10" spans="2:14">
      <c r="B10" s="404" t="s">
        <v>584</v>
      </c>
      <c r="C10" s="395" t="s">
        <v>578</v>
      </c>
      <c r="D10" s="371"/>
      <c r="E10" s="370"/>
      <c r="F10" s="370">
        <f>F8/F9</f>
        <v>49.68</v>
      </c>
      <c r="G10" s="370">
        <f>G8/G9</f>
        <v>92</v>
      </c>
      <c r="H10" s="370"/>
      <c r="I10" s="370"/>
      <c r="J10" s="370"/>
      <c r="K10" s="370"/>
      <c r="L10" s="370"/>
      <c r="N10" s="373">
        <f>N8/N9</f>
        <v>50.099009900990097</v>
      </c>
    </row>
    <row r="11" spans="2:14">
      <c r="B11" s="394" t="s">
        <v>583</v>
      </c>
      <c r="C11" s="391" t="s">
        <v>569</v>
      </c>
      <c r="D11" s="394"/>
      <c r="E11" s="369">
        <v>22677</v>
      </c>
      <c r="F11" s="369">
        <v>15329</v>
      </c>
      <c r="G11" s="369">
        <v>8173</v>
      </c>
      <c r="H11" s="369">
        <v>19186</v>
      </c>
      <c r="I11" s="369">
        <v>20526</v>
      </c>
      <c r="J11" s="369"/>
      <c r="K11" s="369"/>
      <c r="L11" s="369"/>
      <c r="M11" s="402"/>
      <c r="N11" s="387">
        <f>SUM(E11:I11)</f>
        <v>85891</v>
      </c>
    </row>
    <row r="12" spans="2:14">
      <c r="B12" s="404" t="s">
        <v>582</v>
      </c>
      <c r="C12" s="395" t="s">
        <v>581</v>
      </c>
      <c r="D12" s="371"/>
      <c r="E12" s="370">
        <v>188</v>
      </c>
      <c r="F12" s="370">
        <v>192</v>
      </c>
      <c r="G12" s="370">
        <v>64</v>
      </c>
      <c r="H12" s="370"/>
      <c r="I12" s="370">
        <v>142</v>
      </c>
      <c r="J12" s="370"/>
      <c r="K12" s="370"/>
      <c r="L12" s="370"/>
      <c r="N12" s="355">
        <f>SUM(E12:I12)</f>
        <v>586</v>
      </c>
    </row>
    <row r="13" spans="2:14">
      <c r="B13" s="404" t="s">
        <v>624</v>
      </c>
      <c r="C13" s="395" t="s">
        <v>581</v>
      </c>
      <c r="D13" s="371"/>
      <c r="E13" s="370"/>
      <c r="F13" s="370"/>
      <c r="G13" s="370"/>
      <c r="H13" s="370"/>
      <c r="I13" s="370"/>
      <c r="J13" s="370"/>
      <c r="K13" s="370"/>
      <c r="L13" s="370"/>
      <c r="N13" s="355"/>
    </row>
    <row r="14" spans="2:14">
      <c r="B14" s="404" t="s">
        <v>579</v>
      </c>
      <c r="C14" s="407" t="s">
        <v>578</v>
      </c>
      <c r="D14" s="406"/>
      <c r="E14" s="405">
        <f>E11/E12</f>
        <v>120.62234042553192</v>
      </c>
      <c r="F14" s="405">
        <f>F11/F12</f>
        <v>79.838541666666671</v>
      </c>
      <c r="G14" s="405">
        <f>G11/G12</f>
        <v>127.703125</v>
      </c>
      <c r="H14" s="405"/>
      <c r="I14" s="405">
        <f>(H11+I11)/I12</f>
        <v>279.66197183098592</v>
      </c>
      <c r="J14" s="405"/>
      <c r="K14" s="405"/>
      <c r="L14" s="405"/>
      <c r="N14" s="392">
        <f>N11/N12</f>
        <v>146.57167235494882</v>
      </c>
    </row>
    <row r="15" spans="2:14">
      <c r="B15" s="394" t="s">
        <v>577</v>
      </c>
      <c r="C15" s="391"/>
      <c r="D15" s="394"/>
      <c r="E15" s="369">
        <v>56661</v>
      </c>
      <c r="F15" s="369">
        <v>4978</v>
      </c>
      <c r="G15" s="369"/>
      <c r="H15" s="369"/>
      <c r="I15" s="369"/>
      <c r="J15" s="369"/>
      <c r="K15" s="369"/>
      <c r="L15" s="369"/>
      <c r="M15" s="402"/>
      <c r="N15" s="387">
        <f>SUM(E15:I15)</f>
        <v>61639</v>
      </c>
    </row>
    <row r="16" spans="2:14">
      <c r="B16" s="404" t="s">
        <v>576</v>
      </c>
      <c r="C16" s="395"/>
      <c r="D16" s="371"/>
      <c r="E16" s="370">
        <v>1470</v>
      </c>
      <c r="F16" s="370">
        <v>0</v>
      </c>
      <c r="G16" s="370"/>
      <c r="H16" s="370"/>
      <c r="I16" s="370"/>
      <c r="J16" s="370"/>
      <c r="K16" s="370"/>
      <c r="L16" s="370"/>
      <c r="N16" s="355">
        <f>SUM(E16:I16)</f>
        <v>1470</v>
      </c>
    </row>
    <row r="17" spans="2:14">
      <c r="B17" s="404" t="s">
        <v>573</v>
      </c>
      <c r="C17" s="391" t="s">
        <v>572</v>
      </c>
      <c r="D17" s="394"/>
      <c r="E17" s="370">
        <f>(E15+F15)/E16</f>
        <v>41.931292517006803</v>
      </c>
      <c r="F17" s="369"/>
      <c r="G17" s="369"/>
      <c r="H17" s="370"/>
      <c r="I17" s="370"/>
      <c r="J17" s="370"/>
      <c r="K17" s="370"/>
      <c r="L17" s="370"/>
      <c r="N17" s="403">
        <f>N15/N16</f>
        <v>41.931292517006803</v>
      </c>
    </row>
    <row r="18" spans="2:14">
      <c r="B18" s="394" t="s">
        <v>571</v>
      </c>
      <c r="C18" s="391" t="s">
        <v>569</v>
      </c>
      <c r="D18" s="394"/>
      <c r="E18" s="369"/>
      <c r="F18" s="369"/>
      <c r="G18" s="369">
        <v>8506</v>
      </c>
      <c r="H18" s="369"/>
      <c r="I18" s="369"/>
      <c r="J18" s="369"/>
      <c r="K18" s="369"/>
      <c r="L18" s="369"/>
      <c r="M18" s="402"/>
      <c r="N18" s="401">
        <f>SUM(E18:I18)</f>
        <v>8506</v>
      </c>
    </row>
    <row r="19" spans="2:14">
      <c r="B19" s="394" t="s">
        <v>623</v>
      </c>
      <c r="C19" s="391"/>
      <c r="D19" s="394"/>
      <c r="E19" s="369">
        <v>1009</v>
      </c>
      <c r="F19" s="369">
        <v>2753</v>
      </c>
      <c r="G19" s="369">
        <v>4075</v>
      </c>
      <c r="H19" s="369">
        <v>265</v>
      </c>
      <c r="I19" s="369">
        <v>150</v>
      </c>
      <c r="J19" s="369">
        <f>1500+'План по НЗ'!D14</f>
        <v>8900</v>
      </c>
      <c r="K19" s="369">
        <f>1500*(1+5%)+'План по НЗ'!E14</f>
        <v>6468</v>
      </c>
      <c r="L19" s="369">
        <f>1500*(1+5%)^2+'План по НЗ'!F14</f>
        <v>6284.25</v>
      </c>
      <c r="M19" s="402"/>
      <c r="N19" s="401">
        <f>SUM(E19:I19)</f>
        <v>8252</v>
      </c>
    </row>
    <row r="20" spans="2:14">
      <c r="B20" s="371"/>
      <c r="C20" s="395"/>
      <c r="D20" s="371"/>
      <c r="E20" s="370"/>
      <c r="F20" s="370"/>
      <c r="G20" s="370"/>
      <c r="H20" s="370"/>
      <c r="I20" s="370"/>
      <c r="J20" s="370"/>
      <c r="K20" s="370"/>
      <c r="L20" s="370"/>
      <c r="N20" s="355"/>
    </row>
    <row r="21" spans="2:14" ht="15" thickBot="1">
      <c r="B21" s="394" t="s">
        <v>176</v>
      </c>
      <c r="C21" s="391" t="s">
        <v>569</v>
      </c>
      <c r="D21" s="394"/>
      <c r="E21" s="369">
        <f t="shared" ref="E21:L21" si="0">E19+E18+E15+E11+E8+E5+E4</f>
        <v>116045</v>
      </c>
      <c r="F21" s="369">
        <f t="shared" si="0"/>
        <v>37400</v>
      </c>
      <c r="G21" s="369">
        <f t="shared" si="0"/>
        <v>85005</v>
      </c>
      <c r="H21" s="369">
        <f t="shared" si="0"/>
        <v>19757</v>
      </c>
      <c r="I21" s="369">
        <f t="shared" si="0"/>
        <v>20676</v>
      </c>
      <c r="J21" s="369">
        <f t="shared" si="0"/>
        <v>8900</v>
      </c>
      <c r="K21" s="369">
        <f t="shared" si="0"/>
        <v>6468</v>
      </c>
      <c r="L21" s="369">
        <f t="shared" si="0"/>
        <v>6284.25</v>
      </c>
      <c r="N21" s="352">
        <f>SUM(E21:I21)</f>
        <v>278883</v>
      </c>
    </row>
    <row r="22" spans="2:14">
      <c r="B22" s="371"/>
      <c r="C22" s="371"/>
      <c r="D22" s="371"/>
      <c r="E22" s="370"/>
      <c r="F22" s="370"/>
      <c r="G22" s="370"/>
      <c r="H22" s="370"/>
      <c r="I22" s="370"/>
      <c r="J22" s="370"/>
      <c r="K22" s="370"/>
      <c r="L22" s="370"/>
    </row>
    <row r="23" spans="2:14">
      <c r="B23" s="371"/>
      <c r="C23" s="371"/>
      <c r="D23" s="371"/>
      <c r="E23" s="370"/>
      <c r="F23" s="370"/>
      <c r="G23" s="370"/>
      <c r="H23" s="370"/>
      <c r="I23" s="370"/>
      <c r="J23" s="370"/>
      <c r="K23" s="370"/>
      <c r="L23" s="370"/>
    </row>
    <row r="26" spans="2:14" ht="18">
      <c r="B26" s="400" t="s">
        <v>417</v>
      </c>
    </row>
    <row r="29" spans="2:14">
      <c r="B29" s="343" t="s">
        <v>622</v>
      </c>
    </row>
    <row r="30" spans="2:14">
      <c r="B30" s="343" t="s">
        <v>621</v>
      </c>
    </row>
    <row r="31" spans="2:14">
      <c r="B31" s="343" t="s">
        <v>620</v>
      </c>
    </row>
    <row r="32" spans="2:14">
      <c r="B32" s="343" t="s">
        <v>619</v>
      </c>
    </row>
    <row r="33" spans="2:2">
      <c r="B33" s="343"/>
    </row>
    <row r="34" spans="2:2">
      <c r="B34" s="343"/>
    </row>
    <row r="35" spans="2:2">
      <c r="B35" s="343" t="s">
        <v>618</v>
      </c>
    </row>
    <row r="36" spans="2:2">
      <c r="B36" s="343" t="s">
        <v>617</v>
      </c>
    </row>
    <row r="37" spans="2:2">
      <c r="B37" s="343" t="s">
        <v>616</v>
      </c>
    </row>
    <row r="38" spans="2:2">
      <c r="B38" s="343" t="s">
        <v>598</v>
      </c>
    </row>
    <row r="39" spans="2:2">
      <c r="B39" s="343"/>
    </row>
    <row r="40" spans="2:2">
      <c r="B40" s="343" t="s">
        <v>597</v>
      </c>
    </row>
  </sheetData>
  <pageMargins left="0.11811023622047202" right="0" top="1.1417322834645671" bottom="1.1417322834645671" header="0.74803149606299213" footer="0.74803149606299213"/>
  <pageSetup paperSize="9" scale="8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G14"/>
  <sheetViews>
    <sheetView workbookViewId="0">
      <selection activeCell="D14" sqref="D14"/>
    </sheetView>
  </sheetViews>
  <sheetFormatPr baseColWidth="10" defaultColWidth="8.83203125" defaultRowHeight="14"/>
  <cols>
    <col min="1" max="1" width="8.83203125" style="412"/>
    <col min="2" max="2" width="35.33203125" style="412" customWidth="1"/>
    <col min="3" max="16384" width="8.83203125" style="412"/>
  </cols>
  <sheetData>
    <row r="2" spans="2:7" ht="18">
      <c r="B2" s="416" t="s">
        <v>633</v>
      </c>
    </row>
    <row r="5" spans="2:7">
      <c r="B5" s="412" t="s">
        <v>632</v>
      </c>
      <c r="C5" s="412" t="s">
        <v>234</v>
      </c>
      <c r="D5" s="412">
        <v>2020</v>
      </c>
      <c r="E5" s="412">
        <v>2021</v>
      </c>
      <c r="F5" s="412">
        <v>2022</v>
      </c>
      <c r="G5" s="412">
        <v>2023</v>
      </c>
    </row>
    <row r="6" spans="2:7">
      <c r="B6" s="412" t="s">
        <v>631</v>
      </c>
      <c r="C6" s="412">
        <f>Capex_Нз!E6</f>
        <v>137</v>
      </c>
    </row>
    <row r="7" spans="2:7">
      <c r="B7" s="412" t="s">
        <v>630</v>
      </c>
      <c r="C7" s="412">
        <f>Capex_Нз!F6</f>
        <v>23</v>
      </c>
    </row>
    <row r="8" spans="2:7">
      <c r="B8" s="412" t="s">
        <v>629</v>
      </c>
      <c r="C8" s="412">
        <f>Capex_Нз!G6</f>
        <v>210</v>
      </c>
    </row>
    <row r="10" spans="2:7">
      <c r="B10" s="412" t="s">
        <v>628</v>
      </c>
      <c r="D10" s="412">
        <f>SUM($C$6:$C$8)</f>
        <v>370</v>
      </c>
      <c r="E10" s="412">
        <f>SUM($C$6:$C$8)-C6</f>
        <v>233</v>
      </c>
      <c r="F10" s="412">
        <f>SUM($C$6:$C$8)-C6-C7</f>
        <v>210</v>
      </c>
      <c r="G10" s="412">
        <f>F10-C8</f>
        <v>0</v>
      </c>
    </row>
    <row r="12" spans="2:7">
      <c r="B12" s="412" t="s">
        <v>627</v>
      </c>
      <c r="C12" s="412" t="s">
        <v>578</v>
      </c>
      <c r="D12" s="415">
        <v>20</v>
      </c>
      <c r="E12" s="415">
        <f>D12*(1+5%)</f>
        <v>21</v>
      </c>
      <c r="F12" s="415">
        <f>E12*(1+5%)</f>
        <v>22.05</v>
      </c>
      <c r="G12" s="415">
        <f>F12*(1+5%)</f>
        <v>23.152500000000003</v>
      </c>
    </row>
    <row r="14" spans="2:7">
      <c r="B14" s="414" t="s">
        <v>626</v>
      </c>
      <c r="C14" s="414" t="s">
        <v>337</v>
      </c>
      <c r="D14" s="413">
        <f>D12*D10</f>
        <v>7400</v>
      </c>
      <c r="E14" s="413">
        <f>E12*E10</f>
        <v>4893</v>
      </c>
      <c r="F14" s="413">
        <f>F12*F10</f>
        <v>4630.5</v>
      </c>
      <c r="G14" s="413">
        <f>G12*G10</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
  <sheetViews>
    <sheetView workbookViewId="0">
      <selection activeCell="D19" sqref="D19"/>
    </sheetView>
  </sheetViews>
  <sheetFormatPr baseColWidth="10" defaultColWidth="8.83203125" defaultRowHeight="15"/>
  <cols>
    <col min="3" max="3" width="10.5" customWidth="1"/>
    <col min="4" max="5" width="13.5" customWidth="1"/>
    <col min="6" max="6" width="21.5" customWidth="1"/>
    <col min="7" max="7" width="16" customWidth="1"/>
    <col min="8" max="8" width="35.1640625" customWidth="1"/>
    <col min="9" max="9" width="22.5" customWidth="1"/>
    <col min="10" max="10" width="26.5" customWidth="1"/>
    <col min="11" max="11" width="22.5" customWidth="1"/>
    <col min="12" max="12" width="26.5" customWidth="1"/>
    <col min="13" max="13" width="22.5" customWidth="1"/>
    <col min="14" max="14" width="26.5" customWidth="1"/>
  </cols>
  <sheetData>
    <row r="1" spans="1:14">
      <c r="A1" t="s">
        <v>181</v>
      </c>
      <c r="B1" t="s">
        <v>182</v>
      </c>
      <c r="C1" t="s">
        <v>183</v>
      </c>
      <c r="D1" t="s">
        <v>184</v>
      </c>
      <c r="E1" t="s">
        <v>185</v>
      </c>
      <c r="F1" t="s">
        <v>186</v>
      </c>
      <c r="G1" t="s">
        <v>187</v>
      </c>
      <c r="H1" t="s">
        <v>188</v>
      </c>
      <c r="I1" t="s">
        <v>189</v>
      </c>
      <c r="J1" t="s">
        <v>190</v>
      </c>
      <c r="K1" t="s">
        <v>191</v>
      </c>
      <c r="L1" t="s">
        <v>192</v>
      </c>
      <c r="M1" t="s">
        <v>193</v>
      </c>
      <c r="N1" t="s">
        <v>194</v>
      </c>
    </row>
    <row r="2" spans="1:14">
      <c r="B2" t="s">
        <v>199</v>
      </c>
      <c r="C2" t="s">
        <v>177</v>
      </c>
      <c r="D2">
        <v>2009</v>
      </c>
      <c r="E2">
        <v>9.6999999999999993</v>
      </c>
      <c r="F2">
        <v>14734</v>
      </c>
      <c r="G2" t="s">
        <v>195</v>
      </c>
      <c r="H2">
        <v>1515</v>
      </c>
      <c r="I2">
        <v>372.53</v>
      </c>
      <c r="J2">
        <v>38.4</v>
      </c>
      <c r="K2">
        <v>247.36</v>
      </c>
      <c r="L2">
        <v>25.5</v>
      </c>
      <c r="M2">
        <v>549.29999999999995</v>
      </c>
      <c r="N2">
        <v>56.628865979381445</v>
      </c>
    </row>
    <row r="3" spans="1:14">
      <c r="B3" t="s">
        <v>205</v>
      </c>
      <c r="C3" t="s">
        <v>177</v>
      </c>
      <c r="D3">
        <v>2008</v>
      </c>
      <c r="E3">
        <v>1.4</v>
      </c>
      <c r="F3">
        <v>2108</v>
      </c>
      <c r="G3" t="s">
        <v>195</v>
      </c>
      <c r="H3">
        <v>1515</v>
      </c>
      <c r="I3">
        <v>58.08</v>
      </c>
      <c r="J3">
        <v>41.5</v>
      </c>
      <c r="K3">
        <v>23.86</v>
      </c>
      <c r="L3">
        <v>17</v>
      </c>
      <c r="M3">
        <v>89.3</v>
      </c>
      <c r="N3">
        <v>63.785714285714285</v>
      </c>
    </row>
    <row r="4" spans="1:14">
      <c r="E4">
        <f>SUM(Таблица7[Площадь, га])</f>
        <v>11.1</v>
      </c>
      <c r="I4">
        <f>SUM(Таблица7[Валовый сбор 2017 г, т])</f>
        <v>430.60999999999996</v>
      </c>
      <c r="K4">
        <f>SUM(Таблица7[Валовый сбор 2018 г, т])</f>
        <v>271.22000000000003</v>
      </c>
      <c r="M4">
        <f>SUM(Таблица7[Валовый сбор 2019 г, т])</f>
        <v>638.59999999999991</v>
      </c>
    </row>
  </sheetData>
  <pageMargins left="0.7" right="0.7" top="0.75" bottom="0.75" header="0.3" footer="0.3"/>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4:AJ529"/>
  <sheetViews>
    <sheetView showGridLines="0" topLeftCell="A514" zoomScale="87" zoomScaleNormal="87" workbookViewId="0">
      <selection activeCell="AB354" sqref="AB354:AL381"/>
    </sheetView>
  </sheetViews>
  <sheetFormatPr baseColWidth="10" defaultColWidth="8.83203125" defaultRowHeight="15"/>
  <cols>
    <col min="3" max="5" width="9.1640625" customWidth="1"/>
    <col min="6" max="6" width="15.83203125" customWidth="1"/>
    <col min="7" max="7" width="16.83203125" customWidth="1"/>
    <col min="8" max="8" width="14.5" customWidth="1"/>
    <col min="9" max="9" width="11.5" customWidth="1"/>
    <col min="10" max="10" width="13.5" customWidth="1"/>
    <col min="11" max="11" width="14.5" customWidth="1"/>
    <col min="12" max="12" width="13.5" bestFit="1" customWidth="1"/>
    <col min="13" max="13" width="20" customWidth="1"/>
    <col min="14" max="14" width="18.5" customWidth="1"/>
    <col min="15" max="15" width="13.5" bestFit="1" customWidth="1"/>
    <col min="16" max="16" width="15.5" customWidth="1"/>
    <col min="29" max="29" width="34.5" customWidth="1"/>
    <col min="33" max="33" width="10.1640625" bestFit="1" customWidth="1"/>
    <col min="39" max="39" width="12.5" bestFit="1" customWidth="1"/>
  </cols>
  <sheetData>
    <row r="4" spans="3:15" ht="17">
      <c r="C4" s="1"/>
      <c r="D4" s="1"/>
      <c r="E4" s="1"/>
      <c r="F4" s="1"/>
      <c r="G4" s="1"/>
      <c r="H4" s="1"/>
      <c r="I4" s="1"/>
      <c r="J4" s="1"/>
      <c r="K4" s="1"/>
      <c r="L4" s="1"/>
      <c r="M4" s="1"/>
      <c r="N4" s="1"/>
      <c r="O4" s="1"/>
    </row>
    <row r="5" spans="3:15" ht="17">
      <c r="C5" s="2"/>
      <c r="D5" s="2"/>
      <c r="E5" s="2"/>
      <c r="F5" s="2"/>
      <c r="G5" s="2"/>
      <c r="H5" s="2"/>
      <c r="I5" s="2"/>
      <c r="J5" s="2"/>
      <c r="K5" s="2"/>
      <c r="L5" s="2"/>
      <c r="M5" s="2"/>
      <c r="N5" s="2"/>
      <c r="O5" s="2"/>
    </row>
    <row r="6" spans="3:15" ht="17">
      <c r="C6" s="2" t="str">
        <f>[8]Model!A4</f>
        <v xml:space="preserve">Индекс дефлятор растениеводства </v>
      </c>
      <c r="D6" s="2"/>
      <c r="E6" s="2"/>
      <c r="F6" s="3">
        <f>[8]Model!C4</f>
        <v>3.3093329992886167E-2</v>
      </c>
      <c r="G6" s="3">
        <f>[8]Model!D4</f>
        <v>2.9136566989585111E-2</v>
      </c>
      <c r="H6" s="3">
        <f>[8]Model!E4</f>
        <v>3.2336566989584981E-2</v>
      </c>
      <c r="I6" s="3">
        <f>[8]Model!F4</f>
        <v>3.7700000000000067E-2</v>
      </c>
      <c r="J6" s="3">
        <f>[8]Model!G4</f>
        <v>4.1500000000000092E-2</v>
      </c>
      <c r="K6" s="3">
        <f>[8]Model!H4</f>
        <v>0.03</v>
      </c>
      <c r="L6" s="3">
        <f>[8]Model!I4</f>
        <v>0.03</v>
      </c>
      <c r="M6" s="3">
        <f>[8]Model!J4</f>
        <v>0.03</v>
      </c>
      <c r="N6" s="2"/>
      <c r="O6" s="2"/>
    </row>
    <row r="7" spans="3:15" ht="17">
      <c r="C7" s="2" t="str">
        <f>[8]Model!A6</f>
        <v xml:space="preserve">Индекс цен производителя </v>
      </c>
      <c r="D7" s="2"/>
      <c r="E7" s="2"/>
      <c r="F7" s="3">
        <f>[8]Model!C6</f>
        <v>4.1242890628997442E-2</v>
      </c>
      <c r="G7" s="3">
        <f>[8]Model!D6</f>
        <v>4.0249548683655378E-2</v>
      </c>
      <c r="H7" s="3">
        <f>[8]Model!E6</f>
        <v>3.9624970215113464E-2</v>
      </c>
      <c r="I7" s="3">
        <f>[8]Model!F6</f>
        <v>4.1383231557315048E-2</v>
      </c>
      <c r="J7" s="3">
        <f>[8]Model!G6</f>
        <v>4.4748721553178328E-2</v>
      </c>
      <c r="K7" s="3">
        <f>[8]Model!H6</f>
        <v>0.03</v>
      </c>
      <c r="L7" s="3">
        <f>[8]Model!I6</f>
        <v>0.03</v>
      </c>
      <c r="M7" s="3">
        <f>[8]Model!J6</f>
        <v>0.03</v>
      </c>
      <c r="N7" s="2"/>
      <c r="O7" s="2"/>
    </row>
    <row r="8" spans="3:15" ht="17">
      <c r="C8" s="2"/>
      <c r="D8" s="2"/>
      <c r="E8" s="2"/>
      <c r="F8" s="2"/>
      <c r="G8" s="2"/>
      <c r="H8" s="2"/>
      <c r="I8" s="2"/>
      <c r="J8" s="2"/>
      <c r="K8" s="2"/>
      <c r="L8" s="2"/>
      <c r="M8" s="2"/>
      <c r="N8" s="2"/>
      <c r="O8" s="2"/>
    </row>
    <row r="9" spans="3:15" ht="17">
      <c r="C9" s="2"/>
      <c r="D9" s="2"/>
      <c r="E9" s="2"/>
      <c r="F9" s="2"/>
      <c r="G9" s="2"/>
      <c r="H9" s="2"/>
      <c r="I9" s="2"/>
      <c r="J9" s="2"/>
      <c r="K9" s="2"/>
      <c r="L9" s="2"/>
      <c r="M9" s="2"/>
      <c r="N9" s="2"/>
      <c r="O9" s="2"/>
    </row>
    <row r="10" spans="3:15" ht="17">
      <c r="C10" s="2"/>
      <c r="D10" s="2"/>
      <c r="E10" s="2"/>
      <c r="F10" s="2"/>
      <c r="G10" s="2"/>
      <c r="H10" s="2"/>
      <c r="I10" s="2"/>
      <c r="J10" s="2"/>
      <c r="K10" s="2"/>
      <c r="L10" s="2"/>
      <c r="M10" s="2"/>
      <c r="N10" s="2"/>
      <c r="O10" s="2"/>
    </row>
    <row r="11" spans="3:15" ht="17">
      <c r="C11" s="2"/>
      <c r="D11" s="2"/>
      <c r="E11" s="2"/>
      <c r="F11" s="2"/>
      <c r="G11" s="2"/>
      <c r="H11" s="2"/>
      <c r="I11" s="2"/>
      <c r="J11" s="2"/>
      <c r="K11" s="2"/>
      <c r="L11" s="2"/>
      <c r="M11" s="2"/>
      <c r="N11" s="2"/>
      <c r="O11" s="2"/>
    </row>
    <row r="12" spans="3:15" ht="17">
      <c r="C12" s="1"/>
      <c r="D12" s="1"/>
      <c r="E12" s="1"/>
      <c r="F12" s="1"/>
      <c r="G12" s="1"/>
      <c r="H12" s="1"/>
      <c r="I12" s="1"/>
      <c r="J12" s="1"/>
      <c r="K12" s="1"/>
      <c r="L12" s="1"/>
      <c r="M12" s="1"/>
      <c r="N12" s="1"/>
      <c r="O12" s="2"/>
    </row>
    <row r="13" spans="3:15" ht="17">
      <c r="C13" s="2"/>
      <c r="D13" s="2"/>
      <c r="E13" s="2"/>
      <c r="F13" s="2"/>
      <c r="G13" s="2"/>
      <c r="H13" s="2"/>
      <c r="I13" s="2"/>
      <c r="J13" s="2"/>
      <c r="K13" s="2"/>
      <c r="L13" s="2"/>
      <c r="M13" s="2"/>
      <c r="N13" s="2"/>
      <c r="O13" s="2"/>
    </row>
    <row r="14" spans="3:15" ht="17">
      <c r="C14" s="2"/>
      <c r="D14" s="2"/>
      <c r="E14" s="2"/>
    </row>
    <row r="15" spans="3:15" ht="17">
      <c r="C15" s="2"/>
      <c r="D15" s="2"/>
      <c r="E15" s="2"/>
      <c r="F15" s="4" t="s">
        <v>0</v>
      </c>
      <c r="G15" s="5">
        <f>[8]Sales!W8/1000</f>
        <v>8.2763030000000004</v>
      </c>
      <c r="H15" s="5">
        <f>[8]Model!C15/1000</f>
        <v>11.225901479059074</v>
      </c>
      <c r="I15" s="5">
        <f>[8]Model!D15/1000</f>
        <v>13.578352432858917</v>
      </c>
      <c r="J15" s="5">
        <f>[8]Model!E15/1000</f>
        <v>16.127479114583867</v>
      </c>
      <c r="K15" s="5">
        <f>[8]Model!F15/1000</f>
        <v>16.680115201880085</v>
      </c>
      <c r="L15" s="5">
        <f>[8]Model!G15/1000</f>
        <v>17.050671325619867</v>
      </c>
      <c r="M15" s="5">
        <f>[8]Model!H15/1000</f>
        <v>17.420623326831155</v>
      </c>
      <c r="N15" s="5">
        <f>[8]Model!I15/1000</f>
        <v>17.57957072803892</v>
      </c>
      <c r="O15" s="5">
        <f>[8]Model!J15/1000</f>
        <v>17.57957072803892</v>
      </c>
    </row>
    <row r="16" spans="3:15" ht="17">
      <c r="C16" s="2"/>
      <c r="D16" s="2"/>
      <c r="E16" s="2"/>
      <c r="F16" s="4" t="s">
        <v>1</v>
      </c>
      <c r="G16" s="5">
        <f>[8]Sales!W9/1000</f>
        <v>5.6181380000000001</v>
      </c>
      <c r="H16" s="5">
        <f>[8]Model!C16/1000</f>
        <v>6.8203584148330654</v>
      </c>
      <c r="I16" s="5">
        <f>[8]Model!D16/1000</f>
        <v>7.311420540770186</v>
      </c>
      <c r="J16" s="5">
        <f>[8]Model!E16/1000</f>
        <v>6.9117767633930871</v>
      </c>
      <c r="K16" s="5">
        <f>[8]Model!F16/1000</f>
        <v>7.1486208008057517</v>
      </c>
      <c r="L16" s="5">
        <f>[8]Model!G16/1000</f>
        <v>7.3074305681228022</v>
      </c>
      <c r="M16" s="5">
        <f>[8]Model!H16/1000</f>
        <v>7.4659814257847827</v>
      </c>
      <c r="N16" s="5">
        <f>[8]Model!I16/1000</f>
        <v>7.5341017405881106</v>
      </c>
      <c r="O16" s="5">
        <f>[8]Model!J16/1000</f>
        <v>7.5341017405881106</v>
      </c>
    </row>
    <row r="17" spans="3:16" ht="17">
      <c r="C17" s="2"/>
      <c r="D17" s="2"/>
      <c r="E17" s="2"/>
      <c r="F17" s="2" t="s">
        <v>2</v>
      </c>
      <c r="G17" s="6">
        <v>0.62</v>
      </c>
      <c r="H17" s="6">
        <f>[8]Model!C13</f>
        <v>0.62206249633246968</v>
      </c>
      <c r="I17" s="6">
        <f>[8]Model!D13</f>
        <v>0.65</v>
      </c>
      <c r="J17" s="6">
        <f>[8]Model!E13</f>
        <v>0.7</v>
      </c>
      <c r="K17" s="6">
        <f>[8]Model!F13</f>
        <v>0.7</v>
      </c>
      <c r="L17" s="6">
        <f>[8]Model!G13</f>
        <v>0.7</v>
      </c>
      <c r="M17" s="6">
        <f>[8]Model!H13</f>
        <v>0.7</v>
      </c>
      <c r="N17" s="6">
        <f>[8]Model!I13</f>
        <v>0.7</v>
      </c>
      <c r="O17" s="6">
        <f>[8]Model!J13</f>
        <v>0.7</v>
      </c>
      <c r="P17" s="2">
        <v>1000</v>
      </c>
    </row>
    <row r="18" spans="3:16" ht="17">
      <c r="C18" s="2"/>
      <c r="D18" s="2"/>
      <c r="E18" s="2"/>
      <c r="P18" s="2"/>
    </row>
    <row r="19" spans="3:16" ht="17">
      <c r="C19" s="7"/>
      <c r="D19" s="7"/>
      <c r="E19" s="7"/>
      <c r="F19" s="8" t="s">
        <v>3</v>
      </c>
      <c r="G19" s="8">
        <f t="shared" ref="G19:O19" si="0">SUM(G15:G16)</f>
        <v>13.894441</v>
      </c>
      <c r="H19" s="8">
        <f t="shared" si="0"/>
        <v>18.046259893892138</v>
      </c>
      <c r="I19" s="8">
        <f t="shared" si="0"/>
        <v>20.889772973629103</v>
      </c>
      <c r="J19" s="8">
        <f t="shared" si="0"/>
        <v>23.039255877976956</v>
      </c>
      <c r="K19" s="8">
        <f t="shared" si="0"/>
        <v>23.828736002685837</v>
      </c>
      <c r="L19" s="8">
        <f t="shared" si="0"/>
        <v>24.358101893742671</v>
      </c>
      <c r="M19" s="8">
        <f t="shared" si="0"/>
        <v>24.886604752615938</v>
      </c>
      <c r="N19" s="8">
        <f t="shared" si="0"/>
        <v>25.11367246862703</v>
      </c>
      <c r="O19" s="8">
        <f t="shared" si="0"/>
        <v>25.11367246862703</v>
      </c>
    </row>
    <row r="20" spans="3:16" ht="17">
      <c r="C20" s="1"/>
      <c r="D20" s="1"/>
      <c r="E20" s="1"/>
      <c r="F20" s="1"/>
      <c r="G20" s="1"/>
      <c r="H20" s="1"/>
      <c r="I20" s="1"/>
      <c r="J20" s="1"/>
      <c r="K20" s="1"/>
      <c r="L20" s="1"/>
      <c r="M20" s="1"/>
      <c r="N20" s="1"/>
      <c r="O20" s="2"/>
    </row>
    <row r="21" spans="3:16" ht="17">
      <c r="C21" s="2"/>
      <c r="D21" s="2"/>
      <c r="E21" s="2"/>
      <c r="F21" s="2"/>
      <c r="G21" s="2"/>
      <c r="H21" s="2"/>
      <c r="I21" s="2"/>
      <c r="J21" s="2"/>
      <c r="K21" s="2"/>
      <c r="L21" s="2"/>
      <c r="M21" s="2"/>
      <c r="N21" s="2"/>
      <c r="O21" s="2"/>
    </row>
    <row r="22" spans="3:16" ht="17">
      <c r="C22" s="2"/>
      <c r="D22" s="2"/>
      <c r="E22" s="2"/>
      <c r="F22" s="2"/>
      <c r="G22" s="2"/>
      <c r="H22" s="2"/>
      <c r="I22" s="2"/>
      <c r="J22" s="2"/>
      <c r="K22" s="2"/>
      <c r="L22" s="2"/>
      <c r="M22" s="2"/>
      <c r="N22" s="2"/>
      <c r="O22" s="2"/>
    </row>
    <row r="23" spans="3:16" ht="17">
      <c r="C23" s="2"/>
      <c r="D23" s="2"/>
      <c r="E23" s="2"/>
      <c r="F23" s="2"/>
      <c r="G23" s="2"/>
      <c r="H23" s="2"/>
      <c r="I23" s="2"/>
      <c r="J23" s="2"/>
      <c r="K23" s="2"/>
      <c r="L23" s="2"/>
      <c r="M23" s="2"/>
      <c r="N23" s="2"/>
      <c r="O23" s="2"/>
    </row>
    <row r="24" spans="3:16" ht="17">
      <c r="C24" s="2"/>
      <c r="D24" s="2"/>
      <c r="E24" s="2"/>
      <c r="F24" s="2"/>
      <c r="G24" s="2"/>
      <c r="H24" s="2"/>
      <c r="I24" s="2"/>
      <c r="J24" s="2"/>
      <c r="K24" s="2"/>
      <c r="L24" s="2"/>
      <c r="M24" s="2"/>
      <c r="N24" s="2"/>
      <c r="O24" s="2"/>
    </row>
    <row r="25" spans="3:16" ht="17">
      <c r="C25" s="2"/>
      <c r="D25" s="2"/>
      <c r="E25" s="2"/>
      <c r="F25" s="2"/>
      <c r="G25" s="2"/>
      <c r="H25" s="2"/>
      <c r="I25" s="2"/>
      <c r="J25" s="2"/>
      <c r="K25" s="2"/>
      <c r="L25" s="2"/>
      <c r="M25" s="2"/>
      <c r="N25" s="2"/>
      <c r="O25" s="2"/>
    </row>
    <row r="26" spans="3:16" ht="17">
      <c r="C26" s="2"/>
      <c r="D26" s="2"/>
      <c r="E26" s="2"/>
      <c r="F26" s="2"/>
      <c r="G26" s="2"/>
      <c r="H26" s="2"/>
      <c r="I26" s="2"/>
      <c r="J26" s="2"/>
      <c r="K26" s="2"/>
      <c r="L26" s="2"/>
      <c r="M26" s="2"/>
      <c r="N26" s="2"/>
      <c r="O26" s="2"/>
    </row>
    <row r="27" spans="3:16" ht="17">
      <c r="C27" s="2"/>
      <c r="D27" s="2"/>
      <c r="E27" s="2"/>
      <c r="F27" s="2"/>
      <c r="G27" s="2"/>
      <c r="H27" s="2"/>
      <c r="I27" s="2"/>
      <c r="J27" s="2"/>
      <c r="K27" s="2"/>
      <c r="L27" s="2"/>
      <c r="M27" s="2"/>
      <c r="N27" s="2"/>
      <c r="O27" s="2"/>
    </row>
    <row r="28" spans="3:16" ht="17">
      <c r="C28" s="2"/>
      <c r="D28" s="2"/>
      <c r="E28" s="2"/>
      <c r="F28" s="2"/>
      <c r="G28" s="2"/>
      <c r="H28" s="2"/>
      <c r="I28" s="2"/>
      <c r="J28" s="2"/>
      <c r="K28" s="2"/>
      <c r="L28" s="2"/>
      <c r="M28" s="2"/>
      <c r="N28" s="2"/>
      <c r="O28" s="2"/>
    </row>
    <row r="29" spans="3:16" ht="17">
      <c r="C29" s="2"/>
      <c r="D29" s="2"/>
      <c r="E29" s="2"/>
      <c r="F29" s="2"/>
      <c r="G29" s="2"/>
      <c r="H29" s="2"/>
      <c r="I29" s="2"/>
      <c r="J29" s="2"/>
      <c r="K29" s="2"/>
      <c r="L29" s="2"/>
      <c r="M29" s="2"/>
      <c r="N29" s="2"/>
      <c r="O29" s="2"/>
    </row>
    <row r="30" spans="3:16" ht="17">
      <c r="C30" s="2"/>
      <c r="D30" s="2"/>
      <c r="E30" s="2"/>
      <c r="F30" s="2"/>
      <c r="G30" s="2"/>
      <c r="H30" s="2"/>
      <c r="I30" s="2"/>
      <c r="J30" s="2"/>
      <c r="K30" s="2"/>
      <c r="L30" s="2"/>
      <c r="M30" s="2"/>
      <c r="N30" s="2"/>
      <c r="O30" s="1"/>
    </row>
    <row r="31" spans="3:16" ht="17">
      <c r="C31" s="2"/>
      <c r="D31" s="2"/>
      <c r="E31" s="2"/>
      <c r="F31" s="2"/>
      <c r="G31" s="2"/>
      <c r="H31" s="2"/>
      <c r="I31" s="2"/>
      <c r="J31" s="2"/>
      <c r="K31" s="2"/>
      <c r="L31" s="2"/>
      <c r="M31" s="2"/>
      <c r="N31" s="2"/>
      <c r="O31" s="2"/>
    </row>
    <row r="32" spans="3:16" ht="17">
      <c r="C32" s="2"/>
      <c r="D32" s="2"/>
      <c r="E32" s="2"/>
      <c r="F32" s="2"/>
      <c r="G32" s="2"/>
      <c r="H32" s="2"/>
      <c r="I32" s="2"/>
      <c r="J32" s="2"/>
      <c r="K32" s="2"/>
      <c r="L32" s="2"/>
      <c r="M32" s="2"/>
      <c r="N32" s="2"/>
      <c r="O32" s="2"/>
    </row>
    <row r="33" spans="3:15" ht="17">
      <c r="C33" s="2"/>
      <c r="D33" s="2"/>
      <c r="E33" s="2"/>
      <c r="F33" s="2"/>
      <c r="G33" s="2"/>
      <c r="H33" s="2"/>
      <c r="I33" s="2"/>
      <c r="J33" s="2"/>
      <c r="K33" s="2"/>
      <c r="L33" s="2"/>
      <c r="M33" s="2"/>
      <c r="N33" s="2"/>
      <c r="O33" s="2"/>
    </row>
    <row r="34" spans="3:15" ht="17">
      <c r="C34" s="2"/>
      <c r="D34" s="2"/>
      <c r="E34" s="2"/>
      <c r="F34" s="2"/>
      <c r="G34" s="2"/>
      <c r="H34" s="2"/>
      <c r="I34" s="2"/>
      <c r="J34" s="2"/>
      <c r="K34" s="2"/>
      <c r="L34" s="2"/>
      <c r="M34" s="2"/>
      <c r="N34" s="2"/>
      <c r="O34" s="2"/>
    </row>
    <row r="35" spans="3:15" ht="17">
      <c r="C35" s="2"/>
      <c r="D35" s="2"/>
      <c r="E35" s="2"/>
      <c r="F35" s="2"/>
      <c r="G35" s="2"/>
      <c r="H35" s="2"/>
      <c r="I35" s="2"/>
      <c r="J35" s="2"/>
      <c r="K35" s="2"/>
      <c r="L35" s="2"/>
      <c r="M35" s="2"/>
      <c r="N35" s="2"/>
      <c r="O35" s="2"/>
    </row>
    <row r="36" spans="3:15" ht="17">
      <c r="C36" s="2"/>
      <c r="D36" s="2"/>
      <c r="E36" s="2"/>
      <c r="F36" s="2"/>
      <c r="G36" s="2"/>
      <c r="H36" s="2"/>
      <c r="I36" s="2"/>
      <c r="J36" s="2"/>
      <c r="K36" s="2"/>
      <c r="L36" s="2"/>
      <c r="M36" s="2"/>
      <c r="N36" s="2"/>
      <c r="O36" s="2"/>
    </row>
    <row r="37" spans="3:15" ht="17">
      <c r="C37" s="9"/>
      <c r="D37" s="9"/>
      <c r="E37" s="9"/>
      <c r="F37" s="9"/>
      <c r="G37" s="9"/>
      <c r="H37" s="9"/>
      <c r="I37" s="9"/>
      <c r="J37" s="9"/>
      <c r="K37" s="9"/>
      <c r="L37" s="9"/>
      <c r="M37" s="9"/>
      <c r="N37" s="9"/>
      <c r="O37" s="2"/>
    </row>
    <row r="38" spans="3:15" ht="17">
      <c r="C38" s="2"/>
      <c r="D38" s="2"/>
      <c r="E38" s="2"/>
      <c r="F38" s="2"/>
      <c r="G38" s="2"/>
      <c r="H38" s="2"/>
      <c r="I38" s="2"/>
      <c r="J38" s="2"/>
      <c r="K38" s="2"/>
      <c r="L38" s="2"/>
      <c r="M38" s="2"/>
      <c r="N38" s="2"/>
      <c r="O38" s="2"/>
    </row>
    <row r="39" spans="3:15" ht="17">
      <c r="C39" s="2"/>
      <c r="D39" s="2"/>
      <c r="E39" s="2"/>
      <c r="F39" s="2" t="s">
        <v>0</v>
      </c>
      <c r="G39" s="10">
        <v>40</v>
      </c>
      <c r="H39" s="10">
        <f>[8]Model!C21</f>
        <v>44</v>
      </c>
      <c r="I39" s="10">
        <f>[8]Model!D21</f>
        <v>45.282008947541748</v>
      </c>
      <c r="J39" s="10">
        <f>[8]Model!E21</f>
        <v>46.746273663296918</v>
      </c>
      <c r="K39" s="10">
        <f>[8]Model!F21</f>
        <v>48.508608180403215</v>
      </c>
      <c r="L39" s="10">
        <f>[8]Model!G21</f>
        <v>50.521715419889951</v>
      </c>
      <c r="M39" s="10">
        <f>[8]Model!H21</f>
        <v>52.037366882486651</v>
      </c>
      <c r="N39" s="10">
        <f>[8]Model!I21</f>
        <v>53.598487888961252</v>
      </c>
      <c r="O39" s="10">
        <f>[8]Model!J21</f>
        <v>55.206442525630088</v>
      </c>
    </row>
    <row r="40" spans="3:15" ht="17">
      <c r="C40" s="2"/>
      <c r="D40" s="2"/>
      <c r="E40" s="2"/>
      <c r="F40" s="2" t="s">
        <v>4</v>
      </c>
      <c r="G40" s="10">
        <v>5</v>
      </c>
      <c r="H40" s="10">
        <f>[8]Model!C23</f>
        <v>8.1281647389514937</v>
      </c>
      <c r="I40" s="10">
        <f>[8]Model!D23</f>
        <v>8.364991555370338</v>
      </c>
      <c r="J40" s="10">
        <f>[8]Model!E23</f>
        <v>8.6354866651678837</v>
      </c>
      <c r="K40" s="10">
        <f>[8]Model!F23</f>
        <v>8.9610445124447136</v>
      </c>
      <c r="L40" s="10">
        <f>[8]Model!G23</f>
        <v>9.3329278597111696</v>
      </c>
      <c r="M40" s="10">
        <f>[8]Model!H23</f>
        <v>9.6129156955025046</v>
      </c>
      <c r="N40" s="10">
        <f>[8]Model!I23</f>
        <v>9.9013031663675797</v>
      </c>
      <c r="O40" s="10">
        <f>[8]Model!J23</f>
        <v>10.198342261358608</v>
      </c>
    </row>
    <row r="41" spans="3:15" ht="17">
      <c r="C41" s="2"/>
      <c r="D41" s="2"/>
      <c r="E41" s="2"/>
      <c r="F41" s="2"/>
      <c r="G41" s="2"/>
      <c r="H41" s="2"/>
      <c r="I41" s="2"/>
      <c r="J41" s="2"/>
      <c r="K41" s="2"/>
      <c r="L41" s="2"/>
      <c r="M41" s="2"/>
      <c r="N41" s="2"/>
      <c r="O41" s="2"/>
    </row>
    <row r="42" spans="3:15" ht="17">
      <c r="C42" s="2"/>
      <c r="D42" s="2"/>
      <c r="E42" s="2"/>
      <c r="F42" s="2" t="s">
        <v>5</v>
      </c>
      <c r="G42" s="11">
        <f>'[8]Hist Financials'!C36/1000</f>
        <v>236.286</v>
      </c>
      <c r="H42" s="11">
        <f>[8]Model!C39/1000</f>
        <v>322.88817308290874</v>
      </c>
      <c r="I42" s="11">
        <f>[8]Model!D39/1000</f>
        <v>384.6552462021146</v>
      </c>
      <c r="J42" s="11">
        <f>[8]Model!E39/1000</f>
        <v>437.95319500340958</v>
      </c>
      <c r="K42" s="11">
        <f>[8]Model!F39/1000</f>
        <v>470.03702991906647</v>
      </c>
      <c r="L42" s="11">
        <f>[8]Model!G39/1000</f>
        <v>500.41899313516603</v>
      </c>
      <c r="M42" s="11">
        <f>[8]Model!H39/1000</f>
        <v>526.61498993637997</v>
      </c>
      <c r="N42" s="11">
        <f>[8]Model!I39/1000</f>
        <v>547.3624707335639</v>
      </c>
      <c r="O42" s="11">
        <f>[8]Model!J39/1000</f>
        <v>563.7833448555707</v>
      </c>
    </row>
    <row r="43" spans="3:15" ht="17">
      <c r="C43" s="2"/>
      <c r="D43" s="2"/>
      <c r="E43" s="2"/>
      <c r="F43" s="2" t="s">
        <v>6</v>
      </c>
      <c r="G43" s="12">
        <f>'[8]Hist Financials'!C37</f>
        <v>17.005793899876938</v>
      </c>
      <c r="H43" s="12">
        <f>[8]Model!C40</f>
        <v>17.892248863832005</v>
      </c>
      <c r="I43" s="12">
        <f>[8]Model!D40</f>
        <v>18.413567571447373</v>
      </c>
      <c r="J43" s="12">
        <f>[8]Model!E40</f>
        <v>19.00899913273873</v>
      </c>
      <c r="K43" s="12">
        <f>[8]Model!F40</f>
        <v>19.725638400042982</v>
      </c>
      <c r="L43" s="12">
        <f>[8]Model!G40</f>
        <v>20.544252393644769</v>
      </c>
      <c r="M43" s="12">
        <f>[8]Model!H40</f>
        <v>21.160579965454112</v>
      </c>
      <c r="N43" s="12">
        <f>[8]Model!I40</f>
        <v>21.795397364417735</v>
      </c>
      <c r="O43" s="12">
        <f>[8]Model!J40</f>
        <v>22.449259285350266</v>
      </c>
    </row>
    <row r="44" spans="3:15" ht="17">
      <c r="C44" s="2"/>
      <c r="D44" s="2"/>
      <c r="E44" s="2"/>
      <c r="F44" s="2"/>
      <c r="G44" s="2"/>
      <c r="H44" s="2"/>
      <c r="I44" s="2"/>
      <c r="J44" s="2"/>
      <c r="K44" s="2"/>
      <c r="L44" s="2"/>
      <c r="M44" s="2"/>
      <c r="N44" s="2"/>
      <c r="O44" s="2"/>
    </row>
    <row r="45" spans="3:15" ht="17">
      <c r="C45" s="2"/>
      <c r="D45" s="2"/>
      <c r="E45" s="2"/>
      <c r="F45" s="2"/>
      <c r="G45" s="2"/>
      <c r="H45" s="2"/>
      <c r="I45" s="2"/>
      <c r="J45" s="2"/>
      <c r="K45" s="2"/>
      <c r="L45" s="2"/>
      <c r="M45" s="2"/>
      <c r="N45" s="2"/>
      <c r="O45" s="2"/>
    </row>
    <row r="46" spans="3:15" ht="17">
      <c r="C46" s="2"/>
      <c r="D46" s="2"/>
      <c r="E46" s="2"/>
      <c r="F46" s="2"/>
      <c r="G46" s="2"/>
      <c r="H46" s="2"/>
      <c r="I46" s="2"/>
      <c r="J46" s="2"/>
      <c r="K46" s="2"/>
      <c r="L46" s="2"/>
      <c r="M46" s="2"/>
      <c r="N46" s="2"/>
      <c r="O46" s="2"/>
    </row>
    <row r="47" spans="3:15" ht="17">
      <c r="C47" s="2"/>
      <c r="D47" s="2"/>
      <c r="E47" s="2"/>
      <c r="F47" s="2"/>
      <c r="G47" s="2"/>
      <c r="H47" s="2"/>
      <c r="I47" s="2"/>
      <c r="J47" s="2"/>
      <c r="K47" s="2"/>
      <c r="L47" s="2"/>
      <c r="M47" s="2"/>
      <c r="N47" s="2"/>
      <c r="O47" s="2"/>
    </row>
    <row r="48" spans="3:15" ht="17">
      <c r="C48" s="2"/>
      <c r="D48" s="2"/>
      <c r="E48" s="2"/>
      <c r="F48" s="2"/>
      <c r="G48" s="2"/>
      <c r="H48" s="2"/>
      <c r="I48" s="2"/>
      <c r="J48" s="2"/>
      <c r="K48" s="2"/>
      <c r="L48" s="2"/>
      <c r="M48" s="2"/>
      <c r="N48" s="2"/>
      <c r="O48" s="2"/>
    </row>
    <row r="49" spans="3:15" ht="17">
      <c r="C49" s="2"/>
      <c r="D49" s="2"/>
      <c r="E49" s="2"/>
      <c r="F49" s="2"/>
      <c r="G49" s="2"/>
      <c r="H49" s="2"/>
      <c r="I49" s="2"/>
      <c r="J49" s="2"/>
      <c r="K49" s="2"/>
      <c r="L49" s="2"/>
      <c r="M49" s="2"/>
      <c r="N49" s="2"/>
      <c r="O49" s="2"/>
    </row>
    <row r="50" spans="3:15" ht="17">
      <c r="C50" s="2"/>
      <c r="D50" s="2"/>
      <c r="E50" s="2"/>
      <c r="F50" s="2"/>
      <c r="G50" s="2"/>
      <c r="H50" s="2"/>
      <c r="I50" s="2"/>
      <c r="J50" s="2"/>
      <c r="K50" s="2"/>
      <c r="L50" s="2"/>
      <c r="M50" s="2"/>
      <c r="N50" s="2"/>
      <c r="O50" s="2"/>
    </row>
    <row r="51" spans="3:15" ht="17">
      <c r="C51" s="2"/>
      <c r="D51" s="2"/>
      <c r="E51" s="2"/>
      <c r="F51" s="2"/>
      <c r="G51" s="2"/>
      <c r="H51" s="2"/>
      <c r="I51" s="2"/>
      <c r="J51" s="2"/>
      <c r="K51" s="2"/>
      <c r="L51" s="2"/>
      <c r="M51" s="2"/>
      <c r="N51" s="2"/>
      <c r="O51" s="2"/>
    </row>
    <row r="52" spans="3:15" ht="17">
      <c r="C52" s="2"/>
      <c r="D52" s="2"/>
      <c r="E52" s="2"/>
      <c r="F52" s="2"/>
      <c r="G52" s="2"/>
      <c r="H52" s="2"/>
      <c r="I52" s="2"/>
      <c r="J52" s="2"/>
      <c r="K52" s="2"/>
      <c r="L52" s="2"/>
      <c r="M52" s="2"/>
      <c r="N52" s="2"/>
      <c r="O52" s="2"/>
    </row>
    <row r="53" spans="3:15" ht="17">
      <c r="C53" s="2"/>
      <c r="D53" s="2"/>
      <c r="E53" s="2"/>
      <c r="F53" s="2"/>
      <c r="G53" s="2"/>
      <c r="H53" s="2"/>
      <c r="I53" s="2"/>
      <c r="J53" s="2"/>
      <c r="K53" s="2"/>
      <c r="L53" s="2"/>
      <c r="M53" s="2"/>
      <c r="N53" s="2"/>
      <c r="O53" s="2"/>
    </row>
    <row r="54" spans="3:15" ht="17">
      <c r="C54" s="2"/>
      <c r="D54" s="2"/>
      <c r="E54" s="2"/>
      <c r="F54" s="2"/>
      <c r="G54" s="2"/>
      <c r="H54" s="2"/>
      <c r="I54" s="2"/>
      <c r="J54" s="2"/>
      <c r="K54" s="2"/>
      <c r="L54" s="2"/>
      <c r="M54" s="2"/>
      <c r="N54" s="2"/>
      <c r="O54" s="2"/>
    </row>
    <row r="55" spans="3:15" ht="17">
      <c r="C55" s="2"/>
      <c r="D55" s="2"/>
      <c r="E55" s="2"/>
      <c r="F55" s="2"/>
      <c r="G55" s="2"/>
      <c r="H55" s="2"/>
      <c r="I55" s="2"/>
      <c r="J55" s="2"/>
      <c r="K55" s="2"/>
      <c r="L55" s="2"/>
      <c r="M55" s="2"/>
      <c r="N55" s="2"/>
      <c r="O55" s="2"/>
    </row>
    <row r="56" spans="3:15" ht="17">
      <c r="C56" s="2"/>
      <c r="D56" s="2"/>
      <c r="E56" s="2"/>
      <c r="F56" s="2"/>
      <c r="G56" s="2"/>
      <c r="H56" s="2"/>
      <c r="I56" s="2"/>
      <c r="J56" s="2"/>
      <c r="K56" s="2"/>
      <c r="L56" s="2"/>
      <c r="M56" s="2"/>
      <c r="N56" s="2"/>
      <c r="O56" s="2"/>
    </row>
    <row r="57" spans="3:15" ht="17">
      <c r="C57" s="2"/>
      <c r="D57" s="2"/>
      <c r="E57" s="2"/>
      <c r="F57" s="2"/>
      <c r="G57" s="2"/>
      <c r="H57" s="2"/>
      <c r="I57" s="2"/>
      <c r="J57" s="2"/>
      <c r="K57" s="2"/>
      <c r="L57" s="2"/>
      <c r="M57" s="2"/>
      <c r="N57" s="2"/>
      <c r="O57" s="2"/>
    </row>
    <row r="58" spans="3:15" ht="17">
      <c r="C58" s="2"/>
      <c r="D58" s="2"/>
      <c r="E58" s="2"/>
      <c r="F58" s="2"/>
      <c r="G58" s="2"/>
      <c r="H58" s="2"/>
      <c r="I58" s="2"/>
      <c r="J58" s="2"/>
      <c r="K58" s="2"/>
      <c r="L58" s="2"/>
      <c r="M58" s="2"/>
      <c r="N58" s="2"/>
      <c r="O58" s="2"/>
    </row>
    <row r="59" spans="3:15" ht="17">
      <c r="C59" s="2"/>
      <c r="D59" s="2"/>
      <c r="E59" s="2"/>
      <c r="F59" s="2"/>
      <c r="G59" s="2"/>
      <c r="H59" s="2"/>
      <c r="I59" s="2"/>
      <c r="J59" s="2"/>
      <c r="K59" s="2"/>
      <c r="L59" s="2"/>
      <c r="M59" s="2"/>
      <c r="N59" s="2"/>
      <c r="O59" s="2"/>
    </row>
    <row r="60" spans="3:15" ht="17">
      <c r="C60" s="2"/>
      <c r="D60" s="2"/>
      <c r="E60" s="2"/>
      <c r="F60" s="2"/>
      <c r="G60" s="2"/>
      <c r="H60" s="2"/>
      <c r="I60" s="2"/>
      <c r="J60" s="2"/>
      <c r="K60" s="2"/>
      <c r="L60" s="2"/>
      <c r="M60" s="2"/>
      <c r="N60" s="2"/>
      <c r="O60" s="2"/>
    </row>
    <row r="61" spans="3:15" ht="17">
      <c r="C61" s="2"/>
      <c r="D61" s="2"/>
      <c r="E61" s="2"/>
      <c r="F61" s="2"/>
      <c r="G61" s="2"/>
      <c r="H61" s="2"/>
      <c r="I61" s="2"/>
      <c r="J61" s="2"/>
      <c r="K61" s="2"/>
      <c r="L61" s="2"/>
      <c r="M61" s="2"/>
      <c r="N61" s="2"/>
      <c r="O61" s="2"/>
    </row>
    <row r="62" spans="3:15" ht="17">
      <c r="C62" s="2"/>
      <c r="D62" s="2"/>
      <c r="E62" s="2"/>
      <c r="F62" s="2"/>
      <c r="G62" s="2"/>
      <c r="H62" s="2"/>
      <c r="I62" s="2"/>
      <c r="J62" s="2"/>
      <c r="K62" s="2"/>
      <c r="L62" s="2"/>
      <c r="M62" s="2"/>
      <c r="N62" s="2"/>
      <c r="O62" s="2"/>
    </row>
    <row r="63" spans="3:15" ht="17">
      <c r="C63" s="1"/>
      <c r="D63" s="1"/>
      <c r="E63" s="1"/>
      <c r="F63" s="1"/>
      <c r="G63" s="1"/>
      <c r="H63" s="1"/>
      <c r="I63" s="1"/>
      <c r="J63" s="1"/>
      <c r="K63" s="1"/>
      <c r="L63" s="1"/>
      <c r="M63" s="1"/>
      <c r="N63" s="1"/>
      <c r="O63" s="2"/>
    </row>
    <row r="64" spans="3:15" ht="17">
      <c r="C64" s="2"/>
      <c r="D64" s="2"/>
      <c r="E64" s="2"/>
      <c r="F64" s="2"/>
      <c r="G64" s="2"/>
      <c r="H64" s="2"/>
      <c r="I64" s="2"/>
      <c r="J64" s="2"/>
      <c r="K64" s="2"/>
      <c r="L64" s="2"/>
      <c r="M64" s="2"/>
      <c r="N64" s="2"/>
      <c r="O64" s="2"/>
    </row>
    <row r="65" spans="3:16" ht="17">
      <c r="C65" s="2"/>
      <c r="D65" s="2"/>
      <c r="E65" s="2"/>
      <c r="F65" s="2"/>
      <c r="G65" s="2"/>
      <c r="H65" s="2"/>
      <c r="I65" s="2"/>
      <c r="J65" s="2"/>
      <c r="K65" s="2"/>
      <c r="L65" s="2"/>
      <c r="M65" s="2"/>
      <c r="N65" s="2"/>
      <c r="O65" s="2"/>
    </row>
    <row r="66" spans="3:16" ht="17">
      <c r="C66" s="2"/>
      <c r="D66" s="2"/>
      <c r="E66" s="2"/>
      <c r="F66" s="2"/>
      <c r="G66" s="2"/>
      <c r="H66" s="2"/>
      <c r="I66" s="2"/>
      <c r="J66" s="2"/>
      <c r="K66" s="2"/>
      <c r="L66" s="2"/>
      <c r="M66" s="2"/>
      <c r="N66" s="2"/>
      <c r="O66" s="2"/>
    </row>
    <row r="67" spans="3:16" ht="17">
      <c r="C67" s="2"/>
      <c r="D67" s="2"/>
      <c r="E67" s="2"/>
      <c r="F67" s="2"/>
      <c r="G67" s="2"/>
      <c r="H67" s="2"/>
      <c r="I67" s="2"/>
      <c r="J67" s="2"/>
      <c r="K67" s="2"/>
      <c r="L67" s="2"/>
      <c r="M67" s="2"/>
      <c r="N67" s="2"/>
      <c r="O67" s="2"/>
    </row>
    <row r="68" spans="3:16" ht="17">
      <c r="C68" s="2"/>
      <c r="D68" s="2"/>
      <c r="E68" s="2"/>
      <c r="F68" s="2"/>
      <c r="G68" s="2"/>
      <c r="H68" s="2"/>
      <c r="I68" s="2"/>
      <c r="J68" s="2"/>
      <c r="K68" s="2"/>
      <c r="L68" s="2"/>
      <c r="M68" s="2"/>
      <c r="N68" s="2"/>
      <c r="O68" s="2"/>
    </row>
    <row r="69" spans="3:16" ht="17">
      <c r="C69" s="2" t="s">
        <v>0</v>
      </c>
      <c r="D69" s="2"/>
      <c r="E69" s="2"/>
      <c r="F69" s="10">
        <f>[8]Sales!W25/1000</f>
        <v>333.70003800000001</v>
      </c>
      <c r="G69" s="10">
        <f>[8]Model!C28/1000</f>
        <v>493.93966507859926</v>
      </c>
      <c r="H69" s="10">
        <f>[8]Model!D28/1000</f>
        <v>614.85507635759268</v>
      </c>
      <c r="I69" s="10">
        <f>[8]Model!E28/1000</f>
        <v>753.89955218944294</v>
      </c>
      <c r="J69" s="10">
        <f>[8]Model!F28/1000</f>
        <v>809.12917273198832</v>
      </c>
      <c r="K69" s="10">
        <f>[8]Model!G28/1000</f>
        <v>861.42916443104468</v>
      </c>
      <c r="L69" s="10">
        <f>[8]Model!H28/1000</f>
        <v>906.523367379918</v>
      </c>
      <c r="M69" s="10">
        <f>[8]Model!I28/1000</f>
        <v>942.23840875993187</v>
      </c>
      <c r="N69" s="10">
        <f>[8]Model!J28/1000</f>
        <v>970.50556102272981</v>
      </c>
      <c r="O69" s="2">
        <v>1000</v>
      </c>
      <c r="P69" s="2"/>
    </row>
    <row r="70" spans="3:16" ht="17">
      <c r="C70" s="2" t="s">
        <v>1</v>
      </c>
      <c r="D70" s="2"/>
      <c r="E70" s="2"/>
      <c r="F70" s="10">
        <f>[8]Sales!W26/1000</f>
        <v>25.479607000000001</v>
      </c>
      <c r="G70" s="10">
        <f>[8]Model!C29/1000</f>
        <v>55.436996774457228</v>
      </c>
      <c r="H70" s="10">
        <f>[8]Model!D29/1000</f>
        <v>61.15997108130383</v>
      </c>
      <c r="I70" s="10">
        <f>[8]Model!E29/1000</f>
        <v>59.686556072898242</v>
      </c>
      <c r="J70" s="10">
        <f>[8]Model!F29/1000</f>
        <v>64.05910919860851</v>
      </c>
      <c r="K70" s="10">
        <f>[8]Model!G29/1000</f>
        <v>68.199722332138322</v>
      </c>
      <c r="L70" s="10">
        <f>[8]Model!H29/1000</f>
        <v>71.769850030256706</v>
      </c>
      <c r="M70" s="10">
        <f>[8]Model!I29/1000</f>
        <v>74.597425419820539</v>
      </c>
      <c r="N70" s="10">
        <f>[8]Model!J29/1000</f>
        <v>76.835348182415174</v>
      </c>
      <c r="O70" s="2"/>
    </row>
    <row r="71" spans="3:16" ht="17">
      <c r="C71" s="2" t="s">
        <v>7</v>
      </c>
      <c r="D71" s="2"/>
      <c r="E71" s="2"/>
      <c r="F71" s="10">
        <f>[8]Sales!W35/1000</f>
        <v>14.169227999999999</v>
      </c>
      <c r="G71" s="10">
        <f>[8]Model!C31/1000</f>
        <v>22.781614000000001</v>
      </c>
      <c r="H71" s="10">
        <f>[8]Model!D31/1000</f>
        <v>28.033069000415431</v>
      </c>
      <c r="I71" s="10">
        <f>[8]Model!E31/1000</f>
        <v>33.737881423059854</v>
      </c>
      <c r="J71" s="10">
        <f>[8]Model!F31/1000</f>
        <v>36.209471150754453</v>
      </c>
      <c r="K71" s="10">
        <f>[8]Model!G31/1000</f>
        <v>38.549956581798178</v>
      </c>
      <c r="L71" s="10">
        <f>[8]Model!H31/1000</f>
        <v>40.567974589022278</v>
      </c>
      <c r="M71" s="10">
        <f>[8]Model!I31/1000</f>
        <v>42.166264212088414</v>
      </c>
      <c r="N71" s="10">
        <f>[8]Model!J31/1000</f>
        <v>43.431252138451057</v>
      </c>
      <c r="O71" s="2"/>
    </row>
    <row r="72" spans="3:16" ht="17">
      <c r="C72" s="2" t="s">
        <v>3</v>
      </c>
      <c r="D72" s="2"/>
      <c r="E72" s="2"/>
      <c r="F72" s="13">
        <f t="shared" ref="F72:N72" si="1">SUM(F69:F71)</f>
        <v>373.34887299999997</v>
      </c>
      <c r="G72" s="13">
        <f t="shared" si="1"/>
        <v>572.15827585305647</v>
      </c>
      <c r="H72" s="13">
        <f t="shared" si="1"/>
        <v>704.04811643931203</v>
      </c>
      <c r="I72" s="13">
        <f t="shared" si="1"/>
        <v>847.3239896854011</v>
      </c>
      <c r="J72" s="13">
        <f t="shared" si="1"/>
        <v>909.39775308135131</v>
      </c>
      <c r="K72" s="13">
        <f t="shared" si="1"/>
        <v>968.17884334498115</v>
      </c>
      <c r="L72" s="13">
        <f t="shared" si="1"/>
        <v>1018.861191999197</v>
      </c>
      <c r="M72" s="13">
        <f t="shared" si="1"/>
        <v>1059.0020983918407</v>
      </c>
      <c r="N72" s="13">
        <f t="shared" si="1"/>
        <v>1090.7721613435961</v>
      </c>
      <c r="O72" s="2"/>
    </row>
    <row r="73" spans="3:16" ht="17">
      <c r="C73" s="2"/>
      <c r="D73" s="2"/>
      <c r="E73" s="2"/>
      <c r="F73" s="2"/>
      <c r="G73" s="2"/>
      <c r="H73" s="2"/>
      <c r="I73" s="2"/>
      <c r="J73" s="2"/>
      <c r="K73" s="2"/>
      <c r="L73" s="2"/>
      <c r="M73" s="2"/>
      <c r="N73" s="2"/>
      <c r="O73" s="2"/>
    </row>
    <row r="74" spans="3:16" ht="17">
      <c r="C74" s="2"/>
      <c r="D74" s="2"/>
      <c r="E74" s="2"/>
      <c r="F74" s="2"/>
      <c r="G74" s="2"/>
      <c r="H74" s="2"/>
      <c r="I74" s="2"/>
      <c r="J74" s="2"/>
      <c r="K74" s="2"/>
      <c r="L74" s="2"/>
      <c r="M74" s="2"/>
      <c r="N74" s="2"/>
      <c r="O74" s="2"/>
    </row>
    <row r="75" spans="3:16" ht="17">
      <c r="C75" s="9"/>
      <c r="D75" s="9"/>
      <c r="E75" s="9"/>
      <c r="F75" s="9"/>
      <c r="G75" s="9"/>
      <c r="H75" s="9"/>
      <c r="I75" s="9"/>
      <c r="J75" s="9"/>
      <c r="K75" s="9"/>
      <c r="L75" s="9"/>
      <c r="M75" s="9"/>
      <c r="N75" s="9"/>
      <c r="O75" s="2"/>
    </row>
    <row r="76" spans="3:16" ht="17">
      <c r="C76" s="2"/>
      <c r="D76" s="2"/>
      <c r="E76" s="2"/>
      <c r="F76" s="2"/>
      <c r="G76" s="2"/>
      <c r="H76" s="2"/>
      <c r="I76" s="2"/>
      <c r="J76" s="2"/>
      <c r="K76" s="2"/>
      <c r="L76" s="2"/>
      <c r="M76" s="2"/>
      <c r="N76" s="2"/>
      <c r="O76" s="2"/>
    </row>
    <row r="77" spans="3:16" ht="17">
      <c r="C77" s="2"/>
      <c r="D77" s="2"/>
      <c r="E77" s="2"/>
      <c r="F77" s="2"/>
      <c r="G77" s="2"/>
      <c r="H77" s="2"/>
      <c r="I77" s="2"/>
      <c r="J77" s="2"/>
      <c r="K77" s="2"/>
      <c r="L77" s="2"/>
      <c r="M77" s="2"/>
      <c r="N77" s="2"/>
      <c r="O77" s="14"/>
    </row>
    <row r="78" spans="3:16" ht="17">
      <c r="C78" s="2"/>
      <c r="D78" s="2"/>
      <c r="E78" s="2"/>
      <c r="F78" s="2"/>
      <c r="G78" s="2"/>
      <c r="H78" s="2"/>
      <c r="I78" s="2"/>
      <c r="J78" s="2"/>
      <c r="K78" s="2"/>
      <c r="L78" s="2"/>
      <c r="M78" s="2"/>
      <c r="N78" s="2"/>
      <c r="O78" s="14"/>
    </row>
    <row r="79" spans="3:16" ht="17">
      <c r="C79" s="2"/>
      <c r="D79" s="2"/>
      <c r="E79" s="2"/>
      <c r="F79" s="2"/>
      <c r="G79" s="2"/>
      <c r="H79" s="2"/>
      <c r="I79" s="2"/>
      <c r="J79" s="2"/>
      <c r="K79" s="2"/>
      <c r="L79" s="2"/>
      <c r="M79" s="2"/>
      <c r="N79" s="2"/>
      <c r="O79" s="2"/>
    </row>
    <row r="80" spans="3:16" ht="17">
      <c r="C80" s="1"/>
      <c r="D80" s="1"/>
      <c r="E80" s="1"/>
      <c r="F80" s="1"/>
      <c r="G80" s="1"/>
      <c r="H80" s="1"/>
      <c r="I80" s="1"/>
      <c r="J80" s="1"/>
      <c r="K80" s="1"/>
      <c r="L80" s="1"/>
      <c r="M80" s="1"/>
      <c r="N80" s="1"/>
      <c r="O80" s="2"/>
    </row>
    <row r="81" spans="3:15" ht="17">
      <c r="C81" s="2"/>
      <c r="D81" s="2"/>
      <c r="E81" s="2"/>
      <c r="F81" s="2"/>
      <c r="G81" s="2"/>
      <c r="H81" s="2"/>
      <c r="I81" s="2"/>
      <c r="J81" s="2"/>
      <c r="K81" s="2"/>
      <c r="L81" s="2"/>
      <c r="M81" s="2"/>
      <c r="N81" s="2"/>
      <c r="O81" s="14"/>
    </row>
    <row r="82" spans="3:15" ht="17">
      <c r="C82" s="9"/>
      <c r="D82" s="9"/>
      <c r="E82" s="9"/>
      <c r="F82" s="9"/>
      <c r="G82" s="9"/>
      <c r="H82" s="9"/>
      <c r="I82" s="9"/>
      <c r="J82" s="9"/>
      <c r="K82" s="9"/>
      <c r="L82" s="9"/>
      <c r="M82" s="9"/>
      <c r="N82" s="9"/>
      <c r="O82" s="2"/>
    </row>
    <row r="83" spans="3:15" ht="17">
      <c r="C83" s="2"/>
      <c r="D83" s="2"/>
      <c r="E83" s="2"/>
      <c r="F83" s="2"/>
      <c r="G83" s="2"/>
      <c r="H83" s="2"/>
      <c r="I83" s="2"/>
      <c r="J83" s="2"/>
      <c r="K83" s="2"/>
      <c r="L83" s="2"/>
      <c r="M83" s="2"/>
      <c r="N83" s="2"/>
      <c r="O83" s="9"/>
    </row>
    <row r="84" spans="3:15" ht="17">
      <c r="C84" s="2"/>
      <c r="D84" s="2"/>
      <c r="E84" s="2"/>
      <c r="F84" s="2"/>
      <c r="G84" s="2"/>
      <c r="H84" s="2"/>
      <c r="I84" s="2"/>
      <c r="J84" s="2"/>
      <c r="K84" s="2"/>
      <c r="L84" s="2"/>
      <c r="M84" s="2"/>
      <c r="N84" s="2"/>
      <c r="O84" s="9"/>
    </row>
    <row r="85" spans="3:15" ht="17">
      <c r="C85" s="1"/>
      <c r="D85" s="1"/>
      <c r="E85" s="1"/>
      <c r="F85" s="1"/>
      <c r="G85" s="1"/>
      <c r="H85" s="1"/>
      <c r="I85" s="1"/>
      <c r="J85" s="1"/>
      <c r="K85" s="1"/>
      <c r="L85" s="1"/>
      <c r="M85" s="1"/>
      <c r="N85" s="1"/>
      <c r="O85" s="2"/>
    </row>
    <row r="86" spans="3:15" ht="17">
      <c r="C86" s="2" t="s">
        <v>8</v>
      </c>
      <c r="D86" s="2"/>
      <c r="E86" s="2"/>
      <c r="F86" s="11">
        <f>'[8]Hist Financials'!C42/1000</f>
        <v>5.0910000000000002</v>
      </c>
      <c r="G86" s="12">
        <f>[8]Model!C46/1000</f>
        <v>7.732915428537817</v>
      </c>
      <c r="H86" s="12">
        <f>[8]Model!D46/1000</f>
        <v>9.5154518807393398</v>
      </c>
      <c r="I86" s="12">
        <f>[8]Model!E46/1000</f>
        <v>11.451874471341624</v>
      </c>
      <c r="J86" s="12">
        <f>[8]Model!F46/1000</f>
        <v>12.290822683628303</v>
      </c>
      <c r="K86" s="12">
        <f>[8]Model!G46/1000</f>
        <v>13.085269288683852</v>
      </c>
      <c r="L86" s="12">
        <f>[8]Model!H46/1000</f>
        <v>13.770258621886072</v>
      </c>
      <c r="M86" s="12">
        <f>[8]Model!I46/1000</f>
        <v>14.312776745732785</v>
      </c>
      <c r="N86" s="12">
        <f>[8]Model!J46/1000</f>
        <v>14.742160048104765</v>
      </c>
      <c r="O86" s="2"/>
    </row>
    <row r="87" spans="3:15" ht="17">
      <c r="C87" s="2" t="s">
        <v>9</v>
      </c>
      <c r="D87" s="2"/>
      <c r="E87" s="2"/>
      <c r="F87" s="3">
        <f>'[8]Hist Financials'!C43</f>
        <v>1.3515343139987736E-2</v>
      </c>
      <c r="G87" s="3">
        <f>[8]Model!C47</f>
        <v>1.3515343139987736E-2</v>
      </c>
      <c r="H87" s="3">
        <f>[8]Model!D47</f>
        <v>1.3515343139987736E-2</v>
      </c>
      <c r="I87" s="3">
        <f>[8]Model!E47</f>
        <v>1.3515343139987736E-2</v>
      </c>
      <c r="J87" s="3">
        <f>[8]Model!F47</f>
        <v>1.3515343139987736E-2</v>
      </c>
      <c r="K87" s="3">
        <f>[8]Model!G47</f>
        <v>1.3515343139987736E-2</v>
      </c>
      <c r="L87" s="3">
        <f>[8]Model!H47</f>
        <v>1.3515343139987736E-2</v>
      </c>
      <c r="M87" s="3">
        <f>[8]Model!I47</f>
        <v>1.3515343139987736E-2</v>
      </c>
      <c r="N87" s="3">
        <f>[8]Model!J47</f>
        <v>1.3515343139987736E-2</v>
      </c>
      <c r="O87" s="15"/>
    </row>
    <row r="88" spans="3:15" ht="17">
      <c r="C88" s="2"/>
      <c r="D88" s="2"/>
      <c r="E88" s="2"/>
      <c r="F88" s="2"/>
      <c r="G88" s="2"/>
      <c r="H88" s="2"/>
      <c r="I88" s="2"/>
      <c r="J88" s="2"/>
      <c r="K88" s="2"/>
      <c r="L88" s="2"/>
      <c r="M88" s="2"/>
      <c r="N88" s="2"/>
      <c r="O88" s="2"/>
    </row>
    <row r="89" spans="3:15" ht="17">
      <c r="C89" s="2"/>
      <c r="D89" s="2"/>
      <c r="E89" s="2"/>
      <c r="F89" s="2"/>
      <c r="G89" s="2"/>
      <c r="H89" s="2"/>
      <c r="I89" s="2"/>
      <c r="J89" s="2"/>
      <c r="K89" s="2"/>
      <c r="L89" s="2"/>
      <c r="M89" s="2"/>
      <c r="N89" s="2"/>
      <c r="O89" s="1"/>
    </row>
    <row r="90" spans="3:15" ht="17">
      <c r="C90" s="2"/>
      <c r="D90" s="2"/>
      <c r="E90" s="2"/>
      <c r="F90" s="2"/>
      <c r="G90" s="2"/>
      <c r="H90" s="2"/>
      <c r="I90" s="2"/>
      <c r="J90" s="2"/>
      <c r="K90" s="2"/>
      <c r="L90" s="2"/>
      <c r="M90" s="2"/>
      <c r="N90" s="2"/>
      <c r="O90" s="2"/>
    </row>
    <row r="91" spans="3:15" ht="17">
      <c r="C91" s="2"/>
      <c r="D91" s="2"/>
      <c r="E91" s="2"/>
      <c r="F91" s="2"/>
      <c r="G91" s="2"/>
      <c r="H91" s="2"/>
      <c r="I91" s="2"/>
      <c r="J91" s="2"/>
      <c r="K91" s="2"/>
      <c r="L91" s="2"/>
      <c r="M91" s="2"/>
      <c r="N91" s="2"/>
      <c r="O91" s="2"/>
    </row>
    <row r="92" spans="3:15" ht="17">
      <c r="C92" s="2"/>
      <c r="D92" s="2"/>
      <c r="E92" s="2"/>
      <c r="F92" s="2"/>
      <c r="G92" s="2"/>
      <c r="H92" s="2"/>
      <c r="I92" s="2"/>
      <c r="J92" s="2"/>
      <c r="K92" s="2"/>
      <c r="L92" s="2"/>
      <c r="M92" s="2"/>
      <c r="N92" s="2"/>
      <c r="O92" s="2"/>
    </row>
    <row r="93" spans="3:15" ht="17">
      <c r="C93" s="2"/>
      <c r="D93" s="2"/>
      <c r="E93" s="2"/>
      <c r="F93" s="2"/>
      <c r="G93" s="2"/>
      <c r="H93" s="2"/>
      <c r="I93" s="2"/>
      <c r="J93" s="2"/>
      <c r="K93" s="2"/>
      <c r="L93" s="2"/>
      <c r="M93" s="2"/>
      <c r="N93" s="2"/>
      <c r="O93" s="2"/>
    </row>
    <row r="94" spans="3:15" ht="17">
      <c r="C94" s="2"/>
      <c r="D94" s="2"/>
      <c r="E94" s="2"/>
      <c r="F94" s="2"/>
      <c r="G94" s="2"/>
      <c r="H94" s="2"/>
      <c r="I94" s="2"/>
      <c r="J94" s="2"/>
      <c r="K94" s="2"/>
      <c r="L94" s="2"/>
      <c r="M94" s="2"/>
      <c r="N94" s="2"/>
      <c r="O94" s="2"/>
    </row>
    <row r="95" spans="3:15" ht="17">
      <c r="C95" s="9"/>
      <c r="D95" s="9"/>
      <c r="E95" s="9"/>
      <c r="F95" s="9"/>
      <c r="G95" s="9"/>
      <c r="H95" s="9"/>
      <c r="I95" s="9"/>
      <c r="J95" s="9"/>
      <c r="K95" s="9"/>
      <c r="L95" s="9"/>
      <c r="M95" s="9"/>
      <c r="N95" s="9"/>
      <c r="O95" s="2"/>
    </row>
    <row r="96" spans="3:15" ht="17">
      <c r="C96" s="2"/>
      <c r="D96" s="2"/>
      <c r="E96" s="2"/>
      <c r="F96" s="2"/>
      <c r="G96" s="2"/>
      <c r="H96" s="2"/>
      <c r="I96" s="2"/>
      <c r="J96" s="2"/>
      <c r="K96" s="2"/>
      <c r="L96" s="2"/>
      <c r="M96" s="2"/>
      <c r="N96" s="2"/>
      <c r="O96" s="2"/>
    </row>
    <row r="97" spans="3:15" ht="17">
      <c r="C97" s="2"/>
      <c r="D97" s="2"/>
      <c r="E97" s="2"/>
      <c r="F97" s="2"/>
      <c r="G97" s="2"/>
      <c r="H97" s="2"/>
      <c r="I97" s="2"/>
      <c r="J97" s="2"/>
      <c r="K97" s="2"/>
      <c r="L97" s="2"/>
      <c r="M97" s="2"/>
      <c r="N97" s="2"/>
      <c r="O97" s="2"/>
    </row>
    <row r="98" spans="3:15" ht="17">
      <c r="C98" s="9"/>
      <c r="D98" s="9"/>
      <c r="E98" s="9"/>
      <c r="F98" s="9"/>
      <c r="G98" s="9"/>
      <c r="H98" s="9"/>
      <c r="I98" s="9"/>
      <c r="J98" s="9"/>
      <c r="K98" s="9"/>
      <c r="L98" s="9"/>
      <c r="M98" s="9"/>
      <c r="N98" s="9"/>
      <c r="O98" s="2"/>
    </row>
    <row r="99" spans="3:15" ht="17">
      <c r="C99" s="2"/>
      <c r="D99" s="2"/>
      <c r="E99" s="2"/>
      <c r="F99" s="2"/>
      <c r="G99" s="2"/>
      <c r="H99" s="2"/>
      <c r="I99" s="2"/>
      <c r="J99" s="2"/>
      <c r="K99" s="2"/>
      <c r="L99" s="2"/>
      <c r="M99" s="2"/>
      <c r="N99" s="2"/>
      <c r="O99" s="1"/>
    </row>
    <row r="100" spans="3:15" ht="17">
      <c r="C100" s="2"/>
      <c r="D100" s="2"/>
      <c r="E100" s="2"/>
      <c r="F100" s="2"/>
      <c r="G100" s="2"/>
      <c r="H100" s="2"/>
      <c r="I100" s="2"/>
      <c r="J100" s="2"/>
      <c r="K100" s="2"/>
      <c r="L100" s="2"/>
      <c r="M100" s="2"/>
      <c r="N100" s="2"/>
      <c r="O100" s="1"/>
    </row>
    <row r="101" spans="3:15" ht="17">
      <c r="C101" s="2"/>
      <c r="D101" s="2"/>
      <c r="E101" s="2"/>
      <c r="F101" s="2"/>
      <c r="G101" s="2"/>
      <c r="H101" s="2"/>
      <c r="I101" s="2"/>
      <c r="J101" s="2"/>
      <c r="K101" s="2"/>
      <c r="L101" s="2"/>
      <c r="M101" s="2"/>
      <c r="N101" s="2"/>
      <c r="O101" s="1"/>
    </row>
    <row r="102" spans="3:15" ht="17">
      <c r="C102" s="2"/>
      <c r="D102" s="2"/>
      <c r="E102" s="2"/>
      <c r="F102" s="2"/>
      <c r="G102" s="2"/>
      <c r="H102" s="2"/>
      <c r="I102" s="2"/>
      <c r="J102" s="2"/>
      <c r="K102" s="2"/>
      <c r="L102" s="2"/>
      <c r="M102" s="2"/>
      <c r="N102" s="2"/>
      <c r="O102" s="1"/>
    </row>
    <row r="103" spans="3:15" ht="17">
      <c r="C103" s="2"/>
      <c r="D103" s="2"/>
      <c r="E103" s="2"/>
      <c r="F103" s="2"/>
      <c r="G103" s="2"/>
      <c r="H103" s="2"/>
      <c r="I103" s="2"/>
      <c r="J103" s="2"/>
      <c r="K103" s="2"/>
      <c r="L103" s="2"/>
      <c r="M103" s="2"/>
      <c r="N103" s="2"/>
      <c r="O103" s="1"/>
    </row>
    <row r="104" spans="3:15" ht="17">
      <c r="C104" s="2" t="s">
        <v>10</v>
      </c>
      <c r="D104" s="2"/>
      <c r="E104" s="2"/>
      <c r="F104" s="11">
        <f>'[8]Hist Financials'!C45/1000</f>
        <v>4.01</v>
      </c>
      <c r="G104" s="12">
        <f>[8]Model!C49/1000</f>
        <v>4.1427042532714733</v>
      </c>
      <c r="H104" s="12">
        <f>[8]Model!D49/1000</f>
        <v>4.2634084332649564</v>
      </c>
      <c r="I104" s="12">
        <f>[8]Model!E49/1000</f>
        <v>4.4012724256711895</v>
      </c>
      <c r="J104" s="12">
        <f>[8]Model!F49/1000</f>
        <v>4.5672003961189942</v>
      </c>
      <c r="K104" s="12">
        <f>[8]Model!G49/1000</f>
        <v>4.7567392125579326</v>
      </c>
      <c r="L104" s="12">
        <f>[8]Model!H49/1000</f>
        <v>4.8994413889346706</v>
      </c>
      <c r="M104" s="12">
        <f>[8]Model!I49/1000</f>
        <v>5.0464246306027105</v>
      </c>
      <c r="N104" s="12">
        <f>[8]Model!J49/1000</f>
        <v>5.1978173695207923</v>
      </c>
      <c r="O104" s="1"/>
    </row>
    <row r="105" spans="3:15" ht="17">
      <c r="C105" s="2" t="s">
        <v>11</v>
      </c>
      <c r="D105" s="2"/>
      <c r="E105" s="2"/>
      <c r="F105" s="3">
        <f>H105</f>
        <v>2.9136566989585111E-2</v>
      </c>
      <c r="G105" s="3">
        <f t="shared" ref="G105:N105" si="2">G104/F104-1</f>
        <v>3.3093329992886167E-2</v>
      </c>
      <c r="H105" s="3">
        <f t="shared" si="2"/>
        <v>2.9136566989585111E-2</v>
      </c>
      <c r="I105" s="3">
        <f t="shared" si="2"/>
        <v>3.2336566989584759E-2</v>
      </c>
      <c r="J105" s="3">
        <f t="shared" si="2"/>
        <v>3.7700000000000289E-2</v>
      </c>
      <c r="K105" s="3">
        <f t="shared" si="2"/>
        <v>4.1500000000000092E-2</v>
      </c>
      <c r="L105" s="3">
        <f t="shared" si="2"/>
        <v>3.0000000000000027E-2</v>
      </c>
      <c r="M105" s="3">
        <f t="shared" si="2"/>
        <v>3.0000000000000027E-2</v>
      </c>
      <c r="N105" s="3">
        <f t="shared" si="2"/>
        <v>3.0000000000000027E-2</v>
      </c>
      <c r="O105" s="1"/>
    </row>
    <row r="106" spans="3:15" ht="17">
      <c r="C106" s="2"/>
      <c r="D106" s="2"/>
      <c r="E106" s="2"/>
      <c r="F106" s="2"/>
      <c r="G106" s="2"/>
      <c r="H106" s="2"/>
      <c r="I106" s="2"/>
      <c r="J106" s="2"/>
      <c r="K106" s="2"/>
      <c r="L106" s="2"/>
      <c r="M106" s="2"/>
      <c r="N106" s="2"/>
      <c r="O106" s="1"/>
    </row>
    <row r="107" spans="3:15" ht="17">
      <c r="C107" s="2"/>
      <c r="D107" s="2"/>
      <c r="E107" s="2"/>
      <c r="F107" s="2"/>
      <c r="G107" s="2"/>
      <c r="H107" s="2"/>
      <c r="I107" s="2"/>
      <c r="J107" s="2"/>
      <c r="K107" s="2"/>
      <c r="L107" s="2"/>
      <c r="M107" s="2"/>
      <c r="N107" s="2"/>
      <c r="O107" s="1"/>
    </row>
    <row r="108" spans="3:15" ht="17">
      <c r="C108" s="2"/>
      <c r="D108" s="2"/>
      <c r="E108" s="2"/>
      <c r="F108" s="2"/>
      <c r="G108" s="2"/>
      <c r="H108" s="2"/>
      <c r="I108" s="2"/>
      <c r="J108" s="2"/>
      <c r="K108" s="2"/>
      <c r="L108" s="2"/>
      <c r="M108" s="2"/>
      <c r="N108" s="2"/>
      <c r="O108" s="1"/>
    </row>
    <row r="109" spans="3:15" ht="17">
      <c r="C109" s="2"/>
      <c r="D109" s="2"/>
      <c r="E109" s="2"/>
      <c r="F109" s="2"/>
      <c r="G109" s="2"/>
      <c r="H109" s="2"/>
      <c r="I109" s="2"/>
      <c r="J109" s="2"/>
      <c r="K109" s="7">
        <f>G104/F104-1</f>
        <v>3.3093329992886167E-2</v>
      </c>
      <c r="L109" s="7">
        <f>H104/G104-1</f>
        <v>2.9136566989585111E-2</v>
      </c>
      <c r="M109" s="7">
        <f>I104/H104-1</f>
        <v>3.2336566989584759E-2</v>
      </c>
      <c r="N109" s="7">
        <f>J104/I104-1</f>
        <v>3.7700000000000289E-2</v>
      </c>
      <c r="O109" s="7">
        <f>K104/J104-1</f>
        <v>4.1500000000000092E-2</v>
      </c>
    </row>
    <row r="110" spans="3:15" ht="17">
      <c r="C110" s="9"/>
      <c r="D110" s="9"/>
      <c r="E110" s="9"/>
      <c r="F110" s="9"/>
      <c r="G110" s="9"/>
      <c r="H110" s="9"/>
      <c r="I110" s="9"/>
      <c r="J110" s="9"/>
      <c r="K110" s="9"/>
      <c r="L110" s="9"/>
      <c r="M110" s="9"/>
      <c r="N110" s="9"/>
      <c r="O110" s="2"/>
    </row>
    <row r="111" spans="3:15" ht="17">
      <c r="C111" s="2"/>
      <c r="D111" s="2"/>
      <c r="E111" s="2"/>
      <c r="F111" s="2"/>
      <c r="G111" s="2"/>
      <c r="H111" s="2"/>
      <c r="I111" s="2"/>
      <c r="J111" s="2"/>
      <c r="K111" s="2"/>
      <c r="L111" s="2"/>
      <c r="M111" s="2"/>
      <c r="N111" s="2"/>
      <c r="O111" s="2"/>
    </row>
    <row r="112" spans="3:15" ht="17">
      <c r="C112" s="2"/>
      <c r="D112" s="2"/>
      <c r="E112" s="2"/>
      <c r="F112" s="2"/>
      <c r="G112" s="2"/>
      <c r="H112" s="2"/>
      <c r="I112" s="2"/>
      <c r="J112" s="2"/>
      <c r="K112" s="2"/>
      <c r="L112" s="2"/>
      <c r="M112" s="2"/>
      <c r="N112" s="2"/>
      <c r="O112" s="2"/>
    </row>
    <row r="113" spans="3:15" ht="17">
      <c r="C113" s="2"/>
      <c r="D113" s="2"/>
      <c r="E113" s="2"/>
      <c r="F113" s="2"/>
      <c r="G113" s="2"/>
      <c r="H113" s="2"/>
      <c r="I113" s="2"/>
      <c r="J113" s="2"/>
      <c r="K113" s="2"/>
      <c r="L113" s="2"/>
      <c r="M113" s="2"/>
      <c r="N113" s="2"/>
      <c r="O113" s="2"/>
    </row>
    <row r="114" spans="3:15" ht="17">
      <c r="C114" s="2"/>
      <c r="D114" s="2"/>
      <c r="E114" s="2"/>
      <c r="F114" s="2"/>
      <c r="G114" s="2"/>
      <c r="H114" s="2"/>
      <c r="I114" s="2"/>
      <c r="J114" s="2"/>
      <c r="K114" s="2"/>
      <c r="L114" s="2"/>
      <c r="M114" s="2"/>
      <c r="N114" s="2"/>
      <c r="O114" s="2"/>
    </row>
    <row r="115" spans="3:15" ht="17">
      <c r="C115" s="2"/>
      <c r="D115" s="2"/>
      <c r="E115" s="2"/>
      <c r="F115" s="2"/>
      <c r="G115" s="2"/>
      <c r="H115" s="2"/>
      <c r="I115" s="2"/>
      <c r="J115" s="2"/>
      <c r="K115" s="2"/>
      <c r="L115" s="2"/>
      <c r="M115" s="2"/>
      <c r="N115" s="2"/>
      <c r="O115" s="2"/>
    </row>
    <row r="116" spans="3:15" ht="17">
      <c r="C116" s="2"/>
      <c r="D116" s="2"/>
      <c r="E116" s="2"/>
      <c r="F116" s="2"/>
      <c r="G116" s="2"/>
      <c r="H116" s="2"/>
      <c r="I116" s="2"/>
      <c r="J116" s="2"/>
      <c r="K116" s="2"/>
      <c r="L116" s="2"/>
      <c r="M116" s="2"/>
      <c r="N116" s="2"/>
      <c r="O116" s="2"/>
    </row>
    <row r="117" spans="3:15" ht="17">
      <c r="C117" s="2"/>
      <c r="D117" s="2"/>
      <c r="E117" s="2"/>
      <c r="F117" s="2"/>
      <c r="G117" s="2"/>
      <c r="H117" s="2"/>
      <c r="I117" s="2"/>
      <c r="J117" s="2"/>
      <c r="K117" s="2"/>
      <c r="L117" s="2"/>
      <c r="M117" s="2"/>
      <c r="N117" s="2"/>
      <c r="O117" s="2"/>
    </row>
    <row r="118" spans="3:15" ht="17">
      <c r="C118" s="2"/>
      <c r="D118" s="2"/>
      <c r="E118" s="2"/>
      <c r="F118" s="2"/>
      <c r="G118" s="2"/>
      <c r="H118" s="2"/>
      <c r="I118" s="2"/>
      <c r="J118" s="2"/>
      <c r="K118" s="2"/>
      <c r="L118" s="2"/>
      <c r="M118" s="2"/>
      <c r="N118" s="2"/>
      <c r="O118" s="2"/>
    </row>
    <row r="119" spans="3:15" ht="17">
      <c r="C119" s="2"/>
      <c r="D119" s="2"/>
      <c r="E119" s="2"/>
      <c r="F119" s="2"/>
      <c r="G119" s="2"/>
      <c r="H119" s="2"/>
      <c r="I119" s="2"/>
      <c r="J119" s="2"/>
      <c r="K119" s="2"/>
      <c r="L119" s="2"/>
      <c r="M119" s="2"/>
      <c r="N119" s="2"/>
      <c r="O119" s="2"/>
    </row>
    <row r="120" spans="3:15" ht="17">
      <c r="C120" s="2"/>
      <c r="D120" s="2"/>
      <c r="E120" s="2"/>
      <c r="F120" s="2"/>
      <c r="G120" s="2"/>
      <c r="H120" s="2"/>
      <c r="I120" s="2"/>
      <c r="J120" s="2"/>
      <c r="K120" s="2"/>
      <c r="L120" s="2"/>
      <c r="M120" s="2"/>
      <c r="N120" s="2"/>
      <c r="O120" s="2"/>
    </row>
    <row r="121" spans="3:15" ht="17">
      <c r="C121" s="2"/>
      <c r="D121" s="2"/>
      <c r="E121" s="2"/>
      <c r="F121" s="2"/>
      <c r="G121" s="2"/>
      <c r="H121" s="2"/>
      <c r="I121" s="2"/>
      <c r="J121" s="2"/>
      <c r="K121" s="2"/>
      <c r="L121" s="2"/>
      <c r="M121" s="2"/>
      <c r="N121" s="2"/>
      <c r="O121" s="2"/>
    </row>
    <row r="122" spans="3:15" ht="17">
      <c r="C122" s="2"/>
      <c r="D122" s="2"/>
      <c r="E122" s="2"/>
      <c r="F122" s="2"/>
      <c r="G122" s="2"/>
      <c r="H122" s="2"/>
      <c r="I122" s="2"/>
      <c r="J122" s="2"/>
      <c r="K122" s="2"/>
      <c r="L122" s="2"/>
      <c r="M122" s="2"/>
      <c r="N122" s="2"/>
      <c r="O122" s="2"/>
    </row>
    <row r="123" spans="3:15" ht="17">
      <c r="C123" s="2"/>
      <c r="D123" s="2"/>
      <c r="E123" s="2"/>
      <c r="F123" s="2"/>
      <c r="G123" s="2"/>
      <c r="H123" s="2"/>
      <c r="I123" s="2"/>
      <c r="J123" s="2"/>
      <c r="K123" s="2"/>
      <c r="L123" s="2"/>
      <c r="M123" s="2"/>
      <c r="N123" s="2"/>
      <c r="O123" s="2"/>
    </row>
    <row r="124" spans="3:15" ht="17">
      <c r="C124" s="2"/>
      <c r="D124" s="2"/>
      <c r="E124" s="2"/>
      <c r="F124" s="2"/>
      <c r="G124" s="2"/>
      <c r="H124" s="2"/>
      <c r="I124" s="2"/>
      <c r="J124" s="2"/>
      <c r="K124" s="2"/>
      <c r="L124" s="2"/>
      <c r="M124" s="2"/>
      <c r="N124" s="2"/>
      <c r="O124" s="2"/>
    </row>
    <row r="125" spans="3:15" ht="17">
      <c r="C125" s="2" t="s">
        <v>12</v>
      </c>
      <c r="D125" s="2"/>
      <c r="E125" s="2"/>
      <c r="F125" s="5">
        <f>[8]Model!C113*(-1)/1000</f>
        <v>62.834097020430697</v>
      </c>
      <c r="G125" s="5">
        <f>[8]Model!D113*(-1)/1000</f>
        <v>31.40194719556786</v>
      </c>
      <c r="H125" s="5">
        <f>[8]Model!E113*(-1)/1000</f>
        <v>29.799940076935222</v>
      </c>
      <c r="I125" s="5">
        <f>[8]Model!F113*(-1)/1000</f>
        <v>15.854384932906163</v>
      </c>
      <c r="J125" s="5">
        <f>[8]Model!G113*(-1)/1000</f>
        <v>15.052514368134144</v>
      </c>
      <c r="K125" s="5">
        <f>[8]Model!H113*(-1)/1000</f>
        <v>12.953599618602631</v>
      </c>
      <c r="L125" s="5">
        <f>[8]Model!I113*(-1)/1000</f>
        <v>10.300362739726145</v>
      </c>
      <c r="M125" s="5">
        <f>[8]Model!J113*(-1)/1000</f>
        <v>8.1946753785691104</v>
      </c>
      <c r="N125" s="2"/>
      <c r="O125" s="2">
        <v>1000</v>
      </c>
    </row>
    <row r="126" spans="3:15" ht="17">
      <c r="C126" s="2"/>
      <c r="D126" s="2"/>
      <c r="E126" s="2"/>
      <c r="F126" s="2"/>
      <c r="G126" s="2"/>
      <c r="H126" s="2"/>
      <c r="I126" s="2"/>
      <c r="J126" s="2"/>
      <c r="K126" s="2"/>
      <c r="L126" s="2"/>
      <c r="M126" s="2"/>
      <c r="N126" s="2"/>
      <c r="O126" s="2"/>
    </row>
    <row r="127" spans="3:15" ht="17">
      <c r="C127" s="2"/>
      <c r="D127" s="2"/>
      <c r="E127" s="2"/>
      <c r="F127" s="2"/>
      <c r="G127" s="2"/>
      <c r="H127" s="2"/>
      <c r="I127" s="2"/>
      <c r="J127" s="2"/>
      <c r="K127" s="2"/>
      <c r="L127" s="2"/>
      <c r="M127" s="2"/>
      <c r="N127" s="2"/>
      <c r="O127" s="2"/>
    </row>
    <row r="128" spans="3:15" ht="17">
      <c r="C128" s="2"/>
      <c r="D128" s="2"/>
      <c r="E128" s="2"/>
      <c r="F128" s="2"/>
      <c r="G128" s="2"/>
      <c r="H128" s="2"/>
      <c r="I128" s="2"/>
      <c r="J128" s="2"/>
      <c r="K128" s="2"/>
      <c r="L128" s="2"/>
      <c r="M128" s="2"/>
      <c r="N128" s="2"/>
      <c r="O128" s="2"/>
    </row>
    <row r="129" spans="3:15" ht="17">
      <c r="C129" s="2"/>
      <c r="D129" s="2"/>
      <c r="E129" s="2"/>
      <c r="F129" s="2"/>
      <c r="G129" s="2"/>
      <c r="H129" s="2"/>
      <c r="I129" s="2"/>
      <c r="J129" s="2"/>
      <c r="K129" s="2"/>
      <c r="L129" s="2"/>
      <c r="M129" s="2"/>
      <c r="N129" s="2"/>
      <c r="O129" s="2"/>
    </row>
    <row r="130" spans="3:15" ht="17">
      <c r="C130" s="2"/>
      <c r="D130" s="2"/>
      <c r="E130" s="2"/>
      <c r="F130" s="2"/>
      <c r="G130" s="2"/>
      <c r="H130" s="2"/>
      <c r="I130" s="2"/>
      <c r="J130" s="2"/>
      <c r="K130" s="2"/>
      <c r="L130" s="2"/>
      <c r="M130" s="2"/>
      <c r="N130" s="2"/>
      <c r="O130" s="2"/>
    </row>
    <row r="131" spans="3:15" ht="17">
      <c r="C131" s="2"/>
      <c r="D131" s="2"/>
      <c r="E131" s="2"/>
      <c r="F131" s="2"/>
      <c r="G131" s="2"/>
      <c r="H131" s="2"/>
      <c r="I131" s="2"/>
      <c r="J131" s="2"/>
      <c r="K131" s="2"/>
      <c r="L131" s="2"/>
      <c r="M131" s="2"/>
      <c r="N131" s="2"/>
      <c r="O131" s="2"/>
    </row>
    <row r="132" spans="3:15" ht="17">
      <c r="C132" s="2"/>
      <c r="D132" s="2"/>
      <c r="E132" s="2"/>
      <c r="F132" s="2"/>
      <c r="G132" s="2"/>
      <c r="H132" s="2"/>
      <c r="I132" s="2"/>
      <c r="J132" s="2"/>
      <c r="K132" s="2"/>
      <c r="L132" s="2"/>
      <c r="M132" s="2"/>
      <c r="N132" s="2"/>
      <c r="O132" s="2"/>
    </row>
    <row r="133" spans="3:15" ht="17">
      <c r="C133" s="2"/>
      <c r="D133" s="2"/>
      <c r="E133" s="2"/>
      <c r="F133" s="2"/>
      <c r="G133" s="2"/>
      <c r="H133" s="2"/>
      <c r="I133" s="2"/>
      <c r="J133" s="2"/>
      <c r="K133" s="2"/>
      <c r="L133" s="2"/>
      <c r="M133" s="2"/>
      <c r="N133" s="2"/>
      <c r="O133" s="2"/>
    </row>
    <row r="134" spans="3:15" ht="17">
      <c r="C134" s="1"/>
      <c r="D134" s="1"/>
      <c r="E134" s="1"/>
      <c r="F134" s="1"/>
      <c r="G134" s="1"/>
      <c r="H134" s="1"/>
      <c r="I134" s="1"/>
      <c r="J134" s="1"/>
      <c r="K134" s="1"/>
      <c r="L134" s="1"/>
      <c r="M134" s="1"/>
      <c r="N134" s="1"/>
      <c r="O134" s="9"/>
    </row>
    <row r="135" spans="3:15" ht="17">
      <c r="C135" s="2"/>
      <c r="D135" s="2"/>
      <c r="E135" s="2"/>
      <c r="F135" s="2"/>
      <c r="G135" s="2"/>
      <c r="H135" s="2"/>
      <c r="I135" s="2"/>
      <c r="J135" s="2"/>
      <c r="K135" s="2"/>
      <c r="L135" s="2"/>
      <c r="M135" s="2"/>
      <c r="N135" s="2"/>
      <c r="O135" s="2"/>
    </row>
    <row r="136" spans="3:15" ht="17">
      <c r="C136" s="2"/>
      <c r="D136" s="2"/>
      <c r="E136" s="2"/>
      <c r="F136" s="2"/>
      <c r="G136" s="2"/>
      <c r="H136" s="2"/>
      <c r="I136" s="2"/>
      <c r="J136" s="2"/>
      <c r="K136" s="2"/>
      <c r="L136" s="2"/>
      <c r="M136" s="2"/>
      <c r="N136" s="2"/>
      <c r="O136" s="9"/>
    </row>
    <row r="137" spans="3:15" ht="17">
      <c r="C137" s="2"/>
      <c r="D137" s="2"/>
      <c r="E137" s="2"/>
      <c r="F137" s="2"/>
      <c r="G137" s="2"/>
      <c r="H137" s="2"/>
      <c r="I137" s="2"/>
      <c r="J137" s="2"/>
      <c r="K137" s="2"/>
      <c r="L137" s="2"/>
      <c r="M137" s="2"/>
      <c r="N137" s="2"/>
      <c r="O137" s="2"/>
    </row>
    <row r="138" spans="3:15" ht="17">
      <c r="C138" s="2"/>
      <c r="D138" s="2"/>
      <c r="E138" s="2"/>
      <c r="F138" s="2"/>
      <c r="G138" s="2"/>
      <c r="H138" s="2"/>
      <c r="I138" s="2"/>
      <c r="J138" s="2"/>
      <c r="K138" s="2"/>
      <c r="L138" s="2"/>
      <c r="M138" s="2"/>
      <c r="N138" s="2"/>
      <c r="O138" s="1"/>
    </row>
    <row r="139" spans="3:15" ht="17">
      <c r="C139" s="2"/>
      <c r="D139" s="2"/>
      <c r="E139" s="2"/>
      <c r="F139" s="2"/>
      <c r="G139" s="2"/>
      <c r="H139" s="2"/>
      <c r="I139" s="2"/>
      <c r="J139" s="2"/>
      <c r="K139" s="2"/>
      <c r="L139" s="2"/>
      <c r="M139" s="2"/>
      <c r="N139" s="2"/>
      <c r="O139" s="2"/>
    </row>
    <row r="140" spans="3:15" ht="17">
      <c r="C140" s="2"/>
      <c r="D140" s="2"/>
      <c r="E140" s="2"/>
      <c r="F140" s="2"/>
      <c r="G140" s="2"/>
      <c r="H140" s="2"/>
      <c r="I140" s="2"/>
      <c r="J140" s="2"/>
      <c r="K140" s="2"/>
      <c r="L140" s="2"/>
      <c r="M140" s="2"/>
      <c r="N140" s="2"/>
      <c r="O140" s="9"/>
    </row>
    <row r="141" spans="3:15" ht="17">
      <c r="C141" s="2"/>
      <c r="D141" s="2"/>
      <c r="E141" s="2"/>
      <c r="F141" s="2"/>
      <c r="G141" s="2"/>
      <c r="H141" s="2"/>
      <c r="I141" s="2"/>
      <c r="J141" s="2"/>
      <c r="K141" s="2"/>
      <c r="L141" s="2"/>
      <c r="M141" s="2"/>
      <c r="N141" s="2"/>
      <c r="O141" s="2"/>
    </row>
    <row r="142" spans="3:15" ht="17">
      <c r="C142" s="2" t="s">
        <v>13</v>
      </c>
      <c r="D142" s="2"/>
      <c r="E142" s="2"/>
      <c r="F142" s="5">
        <f>[8]Model!C78*(-1)/1000</f>
        <v>7.4923719924618526</v>
      </c>
      <c r="G142" s="5">
        <f>[8]Model!D78*(-1)/1000</f>
        <v>8.9934531537075824</v>
      </c>
      <c r="H142" s="5">
        <f>[8]Model!E78*(-1)/1000</f>
        <v>18.568053538346689</v>
      </c>
      <c r="I142" s="5">
        <f>[8]Model!F78*(-1)/1000</f>
        <v>20.667162354454117</v>
      </c>
      <c r="J142" s="5">
        <f>[8]Model!G78*(-1)/1000</f>
        <v>22.536848442622052</v>
      </c>
      <c r="K142" s="5">
        <f>[8]Model!H78*(-1)/1000</f>
        <v>24.162112946434821</v>
      </c>
      <c r="L142" s="5">
        <f>[8]Model!I78*(-1)/1000</f>
        <v>25.455653932101871</v>
      </c>
      <c r="M142" s="5">
        <f>[8]Model!J78*(-1)/1000</f>
        <v>26.480092565427519</v>
      </c>
      <c r="N142" s="9">
        <v>1000</v>
      </c>
      <c r="O142" s="9"/>
    </row>
    <row r="143" spans="3:15" ht="17">
      <c r="C143" s="2" t="s">
        <v>14</v>
      </c>
      <c r="D143" s="2"/>
      <c r="E143" s="2"/>
      <c r="F143" s="5">
        <f>[8]Model!C63/1000</f>
        <v>8.5</v>
      </c>
      <c r="G143" s="5">
        <f>[8]Model!D63/1000</f>
        <v>8.7476608194114736</v>
      </c>
      <c r="H143" s="5">
        <f>[8]Model!E63/1000</f>
        <v>9.0305301395005415</v>
      </c>
      <c r="I143" s="5">
        <f>[8]Model!F63/1000</f>
        <v>9.3709811257597124</v>
      </c>
      <c r="J143" s="5">
        <f>[8]Model!G63/1000</f>
        <v>9.7598768424787412</v>
      </c>
      <c r="K143" s="5">
        <f>[8]Model!H63/1000</f>
        <v>10.052673147753103</v>
      </c>
      <c r="L143" s="5">
        <f>[8]Model!I63/1000</f>
        <v>10.354253342185697</v>
      </c>
      <c r="M143" s="5">
        <f>[8]Model!J63/1000</f>
        <v>10.664880942451267</v>
      </c>
      <c r="N143" s="16"/>
      <c r="O143" s="16"/>
    </row>
    <row r="144" spans="3:15" ht="17">
      <c r="C144" s="2" t="str">
        <f>[8]Model!A64</f>
        <v>Компенсация процентов</v>
      </c>
      <c r="D144" s="2"/>
      <c r="E144" s="2"/>
      <c r="F144" s="5">
        <f>[8]Model!C64/1000</f>
        <v>1.1801150699999998</v>
      </c>
      <c r="G144" s="5">
        <f>[8]Model!D64/1000</f>
        <v>0.76426499771428558</v>
      </c>
      <c r="H144" s="5">
        <f>[8]Model!E64/1000</f>
        <v>0.28659937414285708</v>
      </c>
      <c r="I144" s="2">
        <f>[8]Model!F64/1000</f>
        <v>0</v>
      </c>
      <c r="J144" s="2">
        <f>[8]Model!G64/1000</f>
        <v>0</v>
      </c>
      <c r="K144" s="2">
        <f>[8]Model!H64/1000</f>
        <v>0</v>
      </c>
      <c r="L144" s="2">
        <f>[8]Model!I64/1000</f>
        <v>0</v>
      </c>
      <c r="M144" s="2">
        <f>[8]Model!J64/1000</f>
        <v>0</v>
      </c>
      <c r="N144" s="2"/>
      <c r="O144" s="2"/>
    </row>
    <row r="145" spans="3:15" ht="17">
      <c r="C145" s="2" t="str">
        <f>[8]Model!A65</f>
        <v>Компенсация по CapEx</v>
      </c>
      <c r="D145" s="2"/>
      <c r="E145" s="2"/>
      <c r="F145" s="5">
        <f>[8]Model!C65/1000</f>
        <v>30</v>
      </c>
      <c r="G145" s="5">
        <f>[8]Model!D65/1000</f>
        <v>44.808</v>
      </c>
      <c r="H145" s="2">
        <f>[8]Model!E65/1000</f>
        <v>0</v>
      </c>
      <c r="I145" s="2">
        <f>[8]Model!F65/1000</f>
        <v>0</v>
      </c>
      <c r="J145" s="2">
        <f>[8]Model!G65/1000</f>
        <v>0</v>
      </c>
      <c r="K145" s="2">
        <f>[8]Model!H65/1000</f>
        <v>0</v>
      </c>
      <c r="L145" s="2">
        <f>[8]Model!I65/1000</f>
        <v>0</v>
      </c>
      <c r="M145" s="2">
        <f>[8]Model!J65/1000</f>
        <v>0</v>
      </c>
      <c r="N145" s="2"/>
      <c r="O145" s="2"/>
    </row>
    <row r="146" spans="3:15" ht="17">
      <c r="C146" s="14" t="s">
        <v>3</v>
      </c>
      <c r="D146" s="14"/>
      <c r="E146" s="14"/>
      <c r="F146" s="17">
        <f>SUM(F143:F145)</f>
        <v>39.680115069999999</v>
      </c>
      <c r="G146" s="17">
        <f t="shared" ref="G146:M146" si="3">SUM(G143:G145)</f>
        <v>54.319925817125757</v>
      </c>
      <c r="H146" s="17">
        <f t="shared" si="3"/>
        <v>9.3171295136433994</v>
      </c>
      <c r="I146" s="17">
        <f t="shared" si="3"/>
        <v>9.3709811257597124</v>
      </c>
      <c r="J146" s="17">
        <f t="shared" si="3"/>
        <v>9.7598768424787412</v>
      </c>
      <c r="K146" s="17">
        <f t="shared" si="3"/>
        <v>10.052673147753103</v>
      </c>
      <c r="L146" s="17">
        <f t="shared" si="3"/>
        <v>10.354253342185697</v>
      </c>
      <c r="M146" s="17">
        <f t="shared" si="3"/>
        <v>10.664880942451267</v>
      </c>
      <c r="N146" s="2"/>
      <c r="O146" s="1"/>
    </row>
    <row r="147" spans="3:15" ht="17">
      <c r="C147" s="2"/>
      <c r="D147" s="2"/>
      <c r="E147" s="2"/>
      <c r="F147" s="2"/>
      <c r="G147" s="2"/>
      <c r="H147" s="2"/>
      <c r="I147" s="2"/>
      <c r="J147" s="2"/>
      <c r="K147" s="2"/>
      <c r="L147" s="2"/>
      <c r="M147" s="2"/>
      <c r="N147" s="2"/>
      <c r="O147" s="2"/>
    </row>
    <row r="148" spans="3:15" ht="17">
      <c r="C148" s="2"/>
      <c r="D148" s="2"/>
      <c r="E148" s="2"/>
      <c r="F148" s="2"/>
      <c r="G148" s="2"/>
      <c r="H148" s="2"/>
      <c r="I148" s="2"/>
      <c r="J148" s="2"/>
      <c r="K148" s="2"/>
      <c r="L148" s="2"/>
      <c r="M148" s="2"/>
      <c r="N148" s="2"/>
      <c r="O148" s="2"/>
    </row>
    <row r="149" spans="3:15" ht="17">
      <c r="C149" s="2"/>
      <c r="D149" s="2"/>
      <c r="E149" s="2"/>
      <c r="F149" s="2"/>
      <c r="G149" s="2"/>
      <c r="H149" s="2"/>
      <c r="I149" s="2"/>
      <c r="J149" s="2"/>
      <c r="K149" s="2"/>
      <c r="L149" s="2"/>
      <c r="M149" s="2"/>
      <c r="N149" s="2"/>
      <c r="O149" s="2"/>
    </row>
    <row r="150" spans="3:15" ht="17">
      <c r="C150" s="1"/>
      <c r="D150" s="1"/>
      <c r="E150" s="1"/>
      <c r="F150" s="1"/>
      <c r="G150" s="1"/>
      <c r="H150" s="1"/>
      <c r="I150" s="1"/>
      <c r="J150" s="1"/>
      <c r="K150" s="1"/>
      <c r="L150" s="1"/>
      <c r="M150" s="1"/>
      <c r="N150" s="1"/>
      <c r="O150" s="2"/>
    </row>
    <row r="151" spans="3:15" ht="17">
      <c r="C151" s="2"/>
      <c r="D151" s="2"/>
      <c r="E151" s="2"/>
      <c r="F151" s="2"/>
      <c r="G151" s="2"/>
      <c r="H151" s="2"/>
      <c r="I151" s="2"/>
      <c r="J151" s="2"/>
      <c r="K151" s="2"/>
      <c r="L151" s="2"/>
      <c r="M151" s="2"/>
      <c r="N151" s="2"/>
      <c r="O151" s="2"/>
    </row>
    <row r="152" spans="3:15" ht="17">
      <c r="C152" s="2"/>
      <c r="D152" s="2"/>
      <c r="E152" s="2"/>
      <c r="F152" s="2"/>
      <c r="G152" s="2"/>
      <c r="H152" s="2"/>
      <c r="I152" s="2"/>
      <c r="J152" s="2"/>
      <c r="K152" s="2"/>
      <c r="L152" s="2"/>
      <c r="M152" s="2"/>
      <c r="N152" s="2"/>
      <c r="O152" s="2"/>
    </row>
    <row r="153" spans="3:15" ht="17">
      <c r="C153" s="2"/>
      <c r="D153" s="2"/>
      <c r="E153" s="2"/>
      <c r="F153" s="2"/>
      <c r="G153" s="2"/>
      <c r="H153" s="2"/>
      <c r="I153" s="2"/>
      <c r="J153" s="2"/>
      <c r="K153" s="2"/>
      <c r="L153" s="2"/>
      <c r="M153" s="2"/>
      <c r="N153" s="2"/>
      <c r="O153" s="2"/>
    </row>
    <row r="154" spans="3:15" ht="17">
      <c r="C154" s="2"/>
      <c r="D154" s="2"/>
      <c r="E154" s="2"/>
      <c r="F154" s="2"/>
      <c r="G154" s="2"/>
      <c r="H154" s="2"/>
      <c r="I154" s="2"/>
      <c r="J154" s="2"/>
      <c r="K154" s="2"/>
      <c r="L154" s="2"/>
      <c r="M154" s="2"/>
      <c r="N154" s="2"/>
      <c r="O154" s="2"/>
    </row>
    <row r="155" spans="3:15" ht="17">
      <c r="C155" s="2"/>
      <c r="D155" s="2"/>
      <c r="E155" s="2"/>
      <c r="F155" s="2"/>
      <c r="G155" s="2"/>
      <c r="H155" s="2"/>
      <c r="I155" s="2"/>
      <c r="J155" s="2"/>
      <c r="K155" s="2"/>
      <c r="L155" s="2"/>
      <c r="M155" s="2"/>
      <c r="N155" s="2"/>
      <c r="O155" s="9"/>
    </row>
    <row r="156" spans="3:15" ht="17">
      <c r="C156" s="2"/>
      <c r="D156" s="2"/>
      <c r="E156" s="2"/>
      <c r="F156" s="2"/>
      <c r="G156" s="2"/>
      <c r="H156" s="2"/>
      <c r="I156" s="2"/>
      <c r="J156" s="2"/>
      <c r="K156" s="2"/>
      <c r="L156" s="2"/>
      <c r="M156" s="2"/>
      <c r="N156" s="2"/>
      <c r="O156" s="2"/>
    </row>
    <row r="157" spans="3:15" ht="17">
      <c r="C157" s="2"/>
      <c r="D157" s="2"/>
      <c r="E157" s="2"/>
      <c r="F157" s="2"/>
      <c r="G157" s="2"/>
      <c r="H157" s="2"/>
      <c r="I157" s="2"/>
      <c r="J157" s="2"/>
      <c r="K157" s="2"/>
      <c r="L157" s="2"/>
      <c r="M157" s="2"/>
      <c r="N157" s="2"/>
      <c r="O157" s="9"/>
    </row>
    <row r="158" spans="3:15" ht="17">
      <c r="C158" s="2"/>
      <c r="D158" s="2"/>
      <c r="E158" s="2"/>
      <c r="F158" s="2"/>
      <c r="G158" s="2"/>
      <c r="H158" s="2"/>
      <c r="I158" s="2"/>
      <c r="J158" s="2"/>
      <c r="K158" s="2"/>
      <c r="L158" s="2"/>
      <c r="M158" s="2"/>
      <c r="N158" s="2"/>
      <c r="O158" s="2"/>
    </row>
    <row r="159" spans="3:15" ht="17">
      <c r="C159" s="2"/>
      <c r="D159" s="2"/>
      <c r="E159" s="2"/>
      <c r="F159" s="2"/>
      <c r="G159" s="2"/>
      <c r="H159" s="2"/>
      <c r="I159" s="2"/>
      <c r="J159" s="2"/>
      <c r="K159" s="2"/>
      <c r="L159" s="2"/>
      <c r="M159" s="2"/>
      <c r="N159" s="2"/>
      <c r="O159" s="2"/>
    </row>
    <row r="160" spans="3:15" ht="17">
      <c r="C160" s="2"/>
      <c r="D160" s="2"/>
      <c r="E160" s="2"/>
      <c r="F160" s="2"/>
      <c r="G160" s="2"/>
      <c r="H160" s="2"/>
      <c r="I160" s="2"/>
      <c r="J160" s="2"/>
      <c r="K160" s="2"/>
      <c r="L160" s="2"/>
      <c r="M160" s="2"/>
      <c r="N160" s="2"/>
      <c r="O160" s="2"/>
    </row>
    <row r="161" spans="3:15" ht="17">
      <c r="C161" s="2"/>
      <c r="D161" s="2"/>
      <c r="E161" s="2"/>
      <c r="F161" s="2"/>
      <c r="G161" s="2"/>
      <c r="H161" s="2"/>
      <c r="I161" s="2"/>
      <c r="J161" s="2"/>
      <c r="K161" s="2"/>
      <c r="L161" s="2"/>
      <c r="M161" s="2"/>
      <c r="N161" s="2"/>
      <c r="O161" s="9"/>
    </row>
    <row r="162" spans="3:15" ht="17">
      <c r="C162" s="2"/>
      <c r="D162" s="2"/>
      <c r="E162" s="2"/>
      <c r="F162" s="2"/>
      <c r="G162" s="2"/>
      <c r="H162" s="2"/>
      <c r="I162" s="2"/>
      <c r="J162" s="2"/>
      <c r="K162" s="2"/>
      <c r="L162" s="2"/>
      <c r="M162" s="2"/>
      <c r="N162" s="2"/>
      <c r="O162" s="9"/>
    </row>
    <row r="163" spans="3:15" ht="17">
      <c r="C163" s="2"/>
      <c r="D163" s="2"/>
      <c r="E163" s="2"/>
      <c r="F163" s="2"/>
      <c r="G163" s="2"/>
      <c r="H163" s="2"/>
      <c r="I163" s="2"/>
      <c r="J163" s="2"/>
      <c r="K163" s="2"/>
      <c r="L163" s="2"/>
      <c r="M163" s="2"/>
      <c r="N163" s="2"/>
      <c r="O163" s="9"/>
    </row>
    <row r="164" spans="3:15" ht="17">
      <c r="C164" s="2"/>
      <c r="D164" s="2"/>
      <c r="E164" s="2"/>
      <c r="F164" s="2"/>
      <c r="G164" s="2"/>
      <c r="H164" s="2"/>
      <c r="I164" s="2"/>
      <c r="J164" s="2"/>
      <c r="K164" s="2"/>
      <c r="L164" s="2"/>
      <c r="M164" s="2"/>
      <c r="N164" s="2"/>
      <c r="O164" s="9"/>
    </row>
    <row r="165" spans="3:15" ht="17">
      <c r="C165" s="2"/>
      <c r="D165" s="2"/>
      <c r="E165" s="2"/>
      <c r="F165" s="2"/>
      <c r="G165" s="2"/>
      <c r="H165" s="2"/>
      <c r="I165" s="2"/>
      <c r="J165" s="2"/>
      <c r="K165" s="2"/>
      <c r="L165" s="2"/>
      <c r="M165" s="2"/>
      <c r="N165" s="2"/>
      <c r="O165" s="9"/>
    </row>
    <row r="166" spans="3:15" ht="17">
      <c r="C166" s="2"/>
      <c r="D166" s="2"/>
      <c r="E166" s="2"/>
      <c r="F166" s="2"/>
      <c r="G166" s="2"/>
      <c r="H166" s="2"/>
      <c r="I166" s="2"/>
      <c r="J166" s="2"/>
      <c r="K166" s="2"/>
      <c r="L166" s="2"/>
      <c r="M166" s="2"/>
      <c r="N166" s="2"/>
      <c r="O166" s="2"/>
    </row>
    <row r="167" spans="3:15" ht="17">
      <c r="C167" s="2"/>
      <c r="D167" s="2"/>
      <c r="E167" s="2"/>
      <c r="F167" s="2"/>
      <c r="G167" s="2"/>
      <c r="H167" s="2"/>
      <c r="I167" s="2"/>
      <c r="J167" s="2"/>
      <c r="K167" s="2"/>
      <c r="L167" s="2"/>
      <c r="M167" s="2"/>
      <c r="N167" s="2"/>
      <c r="O167" s="1"/>
    </row>
    <row r="168" spans="3:15" ht="17">
      <c r="C168" s="2"/>
      <c r="D168" s="2"/>
      <c r="E168" s="2"/>
      <c r="F168" s="2"/>
      <c r="G168" s="2"/>
      <c r="H168" s="2"/>
      <c r="I168" s="2"/>
      <c r="J168" s="2"/>
      <c r="K168" s="2"/>
      <c r="L168" s="2"/>
      <c r="M168" s="2"/>
      <c r="N168" s="2"/>
      <c r="O168" s="2"/>
    </row>
    <row r="169" spans="3:15" ht="17">
      <c r="C169" s="2"/>
      <c r="D169" s="2"/>
      <c r="E169" s="2"/>
      <c r="F169" s="2"/>
      <c r="G169" s="2"/>
      <c r="H169" s="2"/>
      <c r="I169" s="2"/>
      <c r="J169" s="2"/>
      <c r="K169" s="2"/>
      <c r="L169" s="2"/>
      <c r="M169" s="2"/>
      <c r="N169" s="2"/>
      <c r="O169" s="2"/>
    </row>
    <row r="170" spans="3:15" ht="17">
      <c r="C170" s="2"/>
      <c r="D170" s="2"/>
      <c r="E170" s="2"/>
      <c r="F170" s="2"/>
      <c r="G170" s="2"/>
      <c r="H170" s="2"/>
      <c r="I170" s="2"/>
      <c r="J170" s="2"/>
      <c r="K170" s="2"/>
      <c r="L170" s="2"/>
      <c r="M170" s="2"/>
      <c r="N170" s="2"/>
      <c r="O170" s="2"/>
    </row>
    <row r="171" spans="3:15" ht="17">
      <c r="C171" s="2"/>
      <c r="D171" s="2"/>
      <c r="E171" s="2"/>
      <c r="F171" s="2"/>
      <c r="G171" s="2"/>
      <c r="H171" s="2"/>
      <c r="I171" s="2"/>
      <c r="J171" s="2"/>
      <c r="K171" s="2"/>
      <c r="L171" s="2"/>
      <c r="M171" s="2"/>
      <c r="N171" s="2"/>
      <c r="O171" s="2"/>
    </row>
    <row r="172" spans="3:15" ht="17">
      <c r="C172" s="2"/>
      <c r="D172" s="2"/>
      <c r="E172" s="2"/>
      <c r="F172" s="2"/>
      <c r="G172" s="2"/>
      <c r="H172" s="2"/>
      <c r="I172" s="2"/>
      <c r="J172" s="2"/>
      <c r="K172" s="2"/>
      <c r="L172" s="2"/>
      <c r="M172" s="2"/>
      <c r="N172" s="2"/>
      <c r="O172" s="2"/>
    </row>
    <row r="173" spans="3:15" ht="17">
      <c r="C173" s="2"/>
      <c r="D173" s="2"/>
      <c r="E173" s="2"/>
      <c r="F173" s="2"/>
      <c r="G173" s="2"/>
      <c r="H173" s="2"/>
      <c r="I173" s="2"/>
      <c r="J173" s="2"/>
      <c r="K173" s="2"/>
      <c r="L173" s="2"/>
      <c r="M173" s="2"/>
      <c r="N173" s="2"/>
      <c r="O173" s="2"/>
    </row>
    <row r="174" spans="3:15" ht="17">
      <c r="C174" s="2"/>
      <c r="D174" s="2"/>
      <c r="E174" s="2"/>
      <c r="F174" s="2"/>
      <c r="G174" s="2"/>
      <c r="H174" s="2"/>
      <c r="I174" s="2"/>
      <c r="J174" s="2"/>
      <c r="K174" s="2"/>
      <c r="L174" s="2"/>
      <c r="M174" s="2"/>
      <c r="N174" s="2"/>
      <c r="O174" s="2"/>
    </row>
    <row r="175" spans="3:15" ht="17">
      <c r="C175" s="18"/>
      <c r="D175" s="18"/>
      <c r="E175" s="18"/>
      <c r="F175" s="18"/>
      <c r="G175" s="18"/>
      <c r="H175" s="18"/>
      <c r="I175" s="18"/>
      <c r="J175" s="18"/>
      <c r="K175" s="18"/>
      <c r="L175" s="18"/>
      <c r="M175" s="18"/>
      <c r="N175" s="18"/>
      <c r="O175" s="2"/>
    </row>
    <row r="176" spans="3:15" ht="17">
      <c r="C176" s="2"/>
      <c r="D176" s="2"/>
      <c r="E176" s="2"/>
      <c r="F176" s="2"/>
      <c r="G176" s="2"/>
      <c r="H176" s="2"/>
      <c r="I176" s="2"/>
      <c r="J176" s="2"/>
      <c r="K176" s="2"/>
      <c r="L176" s="2"/>
      <c r="M176" s="2"/>
      <c r="N176" s="2"/>
      <c r="O176" s="2"/>
    </row>
    <row r="177" spans="3:16" ht="17">
      <c r="C177" s="2"/>
      <c r="D177" s="2"/>
      <c r="E177" s="2"/>
      <c r="F177" s="2"/>
      <c r="G177" s="2"/>
      <c r="H177" s="2"/>
      <c r="I177" s="2"/>
      <c r="J177" s="2"/>
      <c r="K177" s="2"/>
      <c r="L177" s="2"/>
      <c r="M177" s="2"/>
      <c r="N177" s="2"/>
      <c r="O177" s="2"/>
    </row>
    <row r="178" spans="3:16" ht="17">
      <c r="C178" s="2"/>
      <c r="D178" s="2"/>
      <c r="E178" s="2"/>
      <c r="F178" s="2"/>
      <c r="G178" s="2"/>
      <c r="H178" s="2"/>
      <c r="I178" s="2"/>
      <c r="J178" s="2"/>
      <c r="K178" s="2"/>
      <c r="L178" s="2"/>
      <c r="M178" s="2"/>
      <c r="N178" s="2"/>
      <c r="O178" s="2"/>
    </row>
    <row r="179" spans="3:16" ht="17">
      <c r="C179" s="2"/>
      <c r="D179" s="2"/>
      <c r="E179" s="2"/>
      <c r="F179" s="2" t="s">
        <v>15</v>
      </c>
      <c r="G179" s="10">
        <f>-[8]Model!B169/1000</f>
        <v>-130.28899999999999</v>
      </c>
      <c r="H179" s="10">
        <f>-[8]Model!C169/1000</f>
        <v>-143.03189255746531</v>
      </c>
      <c r="I179" s="10">
        <f>-[8]Model!D169/1000</f>
        <v>-170.39325820187025</v>
      </c>
      <c r="J179" s="10">
        <f>-[8]Model!E169/1000</f>
        <v>-194.00300027973404</v>
      </c>
      <c r="K179" s="10">
        <f>-[8]Model!F169/1000</f>
        <v>-208.21538714008938</v>
      </c>
      <c r="L179" s="10">
        <f>-[8]Model!G169/1000</f>
        <v>-221.67388472740791</v>
      </c>
      <c r="M179" s="10">
        <f>-[8]Model!H169/1000</f>
        <v>-233.27809730705187</v>
      </c>
      <c r="N179" s="10">
        <f>-[8]Model!I169/1000</f>
        <v>-242.46874500370473</v>
      </c>
      <c r="O179" s="10">
        <f>-[8]Model!J169/1000</f>
        <v>-249.74280735381586</v>
      </c>
    </row>
    <row r="180" spans="3:16" ht="17">
      <c r="C180" s="2"/>
      <c r="D180" s="2"/>
      <c r="E180" s="2"/>
      <c r="F180" s="2" t="s">
        <v>16</v>
      </c>
      <c r="G180" s="10">
        <f>[8]Model!B153/1000</f>
        <v>197.56700000000001</v>
      </c>
      <c r="H180" s="10">
        <f>[8]Model!C153/1000</f>
        <v>254.97044035066327</v>
      </c>
      <c r="I180" s="10">
        <f>[8]Model!D153/1000</f>
        <v>303.16368990051325</v>
      </c>
      <c r="J180" s="10">
        <f>[8]Model!E153/1000</f>
        <v>345.09079658606419</v>
      </c>
      <c r="K180" s="10">
        <f>[8]Model!F153/1000</f>
        <v>370.18278332511073</v>
      </c>
      <c r="L180" s="10">
        <f>[8]Model!G153/1000</f>
        <v>393.98289532354477</v>
      </c>
      <c r="M180" s="10">
        <f>[8]Model!H153/1000</f>
        <v>414.47886598353602</v>
      </c>
      <c r="N180" s="10">
        <f>[8]Model!I153/1000</f>
        <v>430.75285895134317</v>
      </c>
      <c r="O180" s="10">
        <f>[8]Model!J153/1000</f>
        <v>443.6754447198835</v>
      </c>
    </row>
    <row r="181" spans="3:16" ht="17">
      <c r="C181" s="2"/>
      <c r="D181" s="2"/>
      <c r="E181" s="2"/>
      <c r="F181" s="2" t="s">
        <v>17</v>
      </c>
      <c r="G181" s="10">
        <f>[8]Model!B155/1000</f>
        <v>27.681000000000001</v>
      </c>
      <c r="H181" s="10">
        <f>[8]Model!C155/1000</f>
        <v>45.854549227232773</v>
      </c>
      <c r="I181" s="10">
        <f>[8]Model!D155/1000</f>
        <v>56.424612517355555</v>
      </c>
      <c r="J181" s="10">
        <f>[8]Model!E155/1000</f>
        <v>67.907187986603589</v>
      </c>
      <c r="K181" s="10">
        <f>[8]Model!F155/1000</f>
        <v>72.881973040818579</v>
      </c>
      <c r="L181" s="10">
        <f>[8]Model!G155/1000</f>
        <v>77.592872997837247</v>
      </c>
      <c r="M181" s="10">
        <f>[8]Model!H155/1000</f>
        <v>81.654714536092584</v>
      </c>
      <c r="N181" s="10">
        <f>[8]Model!I155/1000</f>
        <v>84.871732004664452</v>
      </c>
      <c r="O181" s="10">
        <f>[8]Model!J155/1000</f>
        <v>87.417883964804346</v>
      </c>
    </row>
    <row r="182" spans="3:16" ht="17">
      <c r="C182" s="2"/>
      <c r="D182" s="2"/>
      <c r="E182" s="2"/>
      <c r="F182" s="14" t="s">
        <v>3</v>
      </c>
      <c r="G182" s="19">
        <f>SUM(G179:G181)</f>
        <v>94.959000000000017</v>
      </c>
      <c r="H182" s="19">
        <f t="shared" ref="H182:O182" si="4">SUM(H179:H181)</f>
        <v>157.79309702043074</v>
      </c>
      <c r="I182" s="19">
        <f t="shared" si="4"/>
        <v>189.19504421599856</v>
      </c>
      <c r="J182" s="19">
        <f t="shared" si="4"/>
        <v>218.99498429293374</v>
      </c>
      <c r="K182" s="19">
        <f t="shared" si="4"/>
        <v>234.84936922583995</v>
      </c>
      <c r="L182" s="19">
        <f t="shared" si="4"/>
        <v>249.90188359397411</v>
      </c>
      <c r="M182" s="19">
        <f t="shared" si="4"/>
        <v>262.85548321257676</v>
      </c>
      <c r="N182" s="19">
        <f t="shared" si="4"/>
        <v>273.15584595230291</v>
      </c>
      <c r="O182" s="19">
        <f t="shared" si="4"/>
        <v>281.35052133087197</v>
      </c>
    </row>
    <row r="183" spans="3:16" ht="17">
      <c r="C183" s="1"/>
      <c r="D183" s="1"/>
      <c r="E183" s="1"/>
      <c r="F183" s="1"/>
      <c r="G183" s="1"/>
      <c r="H183" s="1"/>
      <c r="I183" s="1"/>
      <c r="J183" s="1"/>
      <c r="K183" s="1"/>
      <c r="L183" s="1"/>
      <c r="M183" s="1"/>
      <c r="N183" s="1"/>
      <c r="O183" s="1"/>
    </row>
    <row r="184" spans="3:16" ht="17">
      <c r="C184" s="2"/>
      <c r="D184" s="2"/>
      <c r="E184" s="2"/>
      <c r="F184" s="2"/>
      <c r="G184" s="20">
        <v>43617</v>
      </c>
      <c r="H184" s="20">
        <v>43983</v>
      </c>
      <c r="I184" s="20">
        <v>44348</v>
      </c>
      <c r="J184" s="20">
        <v>44713</v>
      </c>
      <c r="K184" s="20">
        <v>45078</v>
      </c>
      <c r="L184" s="20">
        <v>45444</v>
      </c>
      <c r="M184" s="20">
        <v>45809</v>
      </c>
      <c r="N184" s="20">
        <v>46174</v>
      </c>
      <c r="O184" s="20">
        <v>46539</v>
      </c>
    </row>
    <row r="185" spans="3:16" ht="17">
      <c r="C185" s="2"/>
      <c r="D185" s="2"/>
      <c r="E185" s="2"/>
      <c r="F185" s="2"/>
      <c r="G185" s="2"/>
      <c r="H185" s="2"/>
      <c r="I185" s="2"/>
      <c r="J185" s="2"/>
      <c r="K185" s="2"/>
      <c r="L185" s="2"/>
      <c r="M185" s="2"/>
      <c r="N185" s="2"/>
      <c r="O185" s="2"/>
    </row>
    <row r="186" spans="3:16" ht="17">
      <c r="C186" s="2"/>
      <c r="D186" s="2"/>
      <c r="E186" s="2"/>
      <c r="F186" s="2"/>
      <c r="G186" s="2"/>
      <c r="H186" s="2"/>
      <c r="I186" s="2"/>
      <c r="J186" s="2"/>
      <c r="K186" s="2"/>
      <c r="L186" s="2"/>
      <c r="M186" s="2"/>
      <c r="N186" s="2"/>
      <c r="O186" s="2"/>
    </row>
    <row r="187" spans="3:16">
      <c r="F187" t="s">
        <v>18</v>
      </c>
      <c r="G187" s="21">
        <f>[8]Model!C35/1000</f>
        <v>572.15827585305647</v>
      </c>
      <c r="H187" s="21">
        <f>[8]Model!D35/1000</f>
        <v>704.04811643931191</v>
      </c>
      <c r="I187" s="21">
        <f>[8]Model!E35/1000</f>
        <v>847.32398968540099</v>
      </c>
      <c r="J187" s="21">
        <f>[8]Model!F35/1000</f>
        <v>909.39775308135142</v>
      </c>
      <c r="K187" s="21">
        <f>[8]Model!G35/1000</f>
        <v>968.17884334498115</v>
      </c>
      <c r="L187" s="21">
        <f>[8]Model!H35/1000</f>
        <v>1018.8611919991969</v>
      </c>
      <c r="M187" s="21">
        <f>[8]Model!I35/1000</f>
        <v>1059.0020983918409</v>
      </c>
      <c r="N187" s="21">
        <f>[8]Model!J35/1000</f>
        <v>1090.7721613435961</v>
      </c>
      <c r="O187" s="21"/>
    </row>
    <row r="188" spans="3:16">
      <c r="F188" t="s">
        <v>19</v>
      </c>
      <c r="G188" s="21">
        <f>[8]Model!C110/1000</f>
        <v>234.92435693632544</v>
      </c>
      <c r="H188" s="21">
        <f>[8]Model!D110/1000</f>
        <v>303.07191277507911</v>
      </c>
      <c r="I188" s="21">
        <f>[8]Model!E110/1000</f>
        <v>390.89334794214079</v>
      </c>
      <c r="J188" s="21">
        <f>[8]Model!F110/1000</f>
        <v>419.77946413562483</v>
      </c>
      <c r="K188" s="21">
        <f>[8]Model!G110/1000</f>
        <v>447.08159146986372</v>
      </c>
      <c r="L188" s="21">
        <f>[8]Model!H110/1000</f>
        <v>470.65516430612513</v>
      </c>
      <c r="M188" s="21">
        <f>[8]Model!I110/1000</f>
        <v>489.27144840369442</v>
      </c>
      <c r="N188" s="21">
        <f>[8]Model!J110/1000</f>
        <v>503.94959185580512</v>
      </c>
      <c r="O188" s="21"/>
      <c r="P188" s="21">
        <f>[8]Model!L110/1000</f>
        <v>0</v>
      </c>
    </row>
    <row r="189" spans="3:16">
      <c r="F189" t="str">
        <f>[8]Model!A56</f>
        <v>EBITDA маржа, %</v>
      </c>
      <c r="G189" s="22">
        <f>[8]Model!C56</f>
        <v>0.41059330407493655</v>
      </c>
      <c r="H189" s="22">
        <f>[8]Model!D56</f>
        <v>0.43047045464427941</v>
      </c>
      <c r="I189" s="22">
        <f>[8]Model!E56</f>
        <v>0.4613268982119505</v>
      </c>
      <c r="J189" s="22">
        <f>[8]Model!F56</f>
        <v>0.46160160690222518</v>
      </c>
      <c r="K189" s="22">
        <f>[8]Model!G56</f>
        <v>0.4617758325778244</v>
      </c>
      <c r="L189" s="22">
        <f>[8]Model!H56</f>
        <v>0.46194238037726354</v>
      </c>
      <c r="M189" s="22">
        <f>[8]Model!I56</f>
        <v>0.46201178368454876</v>
      </c>
      <c r="N189" s="22">
        <f>[8]Model!J56</f>
        <v>0.4620117836845487</v>
      </c>
    </row>
    <row r="191" spans="3:16">
      <c r="F191" s="23" t="s">
        <v>20</v>
      </c>
    </row>
    <row r="192" spans="3:16">
      <c r="F192" t="s">
        <v>18</v>
      </c>
      <c r="G192" s="21">
        <f>[11]Model!$C$35/1000</f>
        <v>156.62914463689398</v>
      </c>
      <c r="H192" s="21">
        <f>[11]Model!$D$35/1000</f>
        <v>268.80344327251055</v>
      </c>
      <c r="I192" s="21">
        <f>[11]Model!$E$35/1000</f>
        <v>303.12676119701484</v>
      </c>
      <c r="J192" s="21">
        <f>[11]Model!$F$35/1000</f>
        <v>375.48671417442125</v>
      </c>
      <c r="K192" s="21">
        <f>[11]Model!$G$35/1000</f>
        <v>436.13965611767185</v>
      </c>
      <c r="L192" s="21"/>
      <c r="M192" s="21"/>
      <c r="N192" s="21"/>
    </row>
    <row r="193" spans="6:14">
      <c r="F193" t="s">
        <v>19</v>
      </c>
      <c r="G193" s="24">
        <f>[11]Model!$C$50/1000</f>
        <v>80.161433459528723</v>
      </c>
      <c r="H193" s="24">
        <f>[11]Model!$D$50/1000</f>
        <v>134.20400040395373</v>
      </c>
      <c r="I193" s="24">
        <f>[11]Model!$E$50/1000</f>
        <v>158.03458599246292</v>
      </c>
      <c r="J193" s="24">
        <f>[11]Model!$F$50/1000</f>
        <v>193.31875064274487</v>
      </c>
      <c r="K193" s="24">
        <f>[11]Model!$G$50/1000</f>
        <v>222.86480250299692</v>
      </c>
    </row>
    <row r="194" spans="6:14">
      <c r="F194" t="s">
        <v>21</v>
      </c>
    </row>
    <row r="196" spans="6:14">
      <c r="F196" s="23" t="s">
        <v>22</v>
      </c>
      <c r="G196" t="s">
        <v>23</v>
      </c>
      <c r="H196" t="s">
        <v>24</v>
      </c>
      <c r="I196" t="s">
        <v>25</v>
      </c>
      <c r="J196" t="s">
        <v>26</v>
      </c>
      <c r="K196" t="s">
        <v>27</v>
      </c>
    </row>
    <row r="197" spans="6:14">
      <c r="F197" t="s">
        <v>18</v>
      </c>
      <c r="G197" s="25">
        <f>G187+G192</f>
        <v>728.78742048995048</v>
      </c>
      <c r="H197" s="25">
        <f t="shared" ref="H197:K198" si="5">H187+H192</f>
        <v>972.85155971182246</v>
      </c>
      <c r="I197" s="25">
        <f t="shared" si="5"/>
        <v>1150.4507508824158</v>
      </c>
      <c r="J197" s="25">
        <f t="shared" si="5"/>
        <v>1284.8844672557727</v>
      </c>
      <c r="K197" s="25">
        <f t="shared" si="5"/>
        <v>1404.3184994626531</v>
      </c>
    </row>
    <row r="198" spans="6:14">
      <c r="F198" t="s">
        <v>19</v>
      </c>
      <c r="G198" s="25">
        <f>G188+G193</f>
        <v>315.08579039585413</v>
      </c>
      <c r="H198" s="25">
        <f t="shared" si="5"/>
        <v>437.27591317903284</v>
      </c>
      <c r="I198" s="25">
        <f t="shared" si="5"/>
        <v>548.92793393460374</v>
      </c>
      <c r="J198" s="25">
        <f t="shared" si="5"/>
        <v>613.09821477836977</v>
      </c>
      <c r="K198" s="25">
        <f t="shared" si="5"/>
        <v>669.94639397286062</v>
      </c>
    </row>
    <row r="199" spans="6:14">
      <c r="F199" t="s">
        <v>21</v>
      </c>
      <c r="G199" s="22">
        <f>G198/G197</f>
        <v>0.43234252065441486</v>
      </c>
      <c r="H199" s="22">
        <f>H198/H197</f>
        <v>0.44947855488720445</v>
      </c>
      <c r="I199" s="22">
        <f>I198/I197</f>
        <v>0.47714161906849678</v>
      </c>
      <c r="J199" s="22">
        <f>J198/J197</f>
        <v>0.47716213434178334</v>
      </c>
      <c r="K199" s="22">
        <f>K198/K197</f>
        <v>0.47706157415800488</v>
      </c>
    </row>
    <row r="202" spans="6:14">
      <c r="F202" t="s">
        <v>28</v>
      </c>
      <c r="G202" s="21">
        <f>[8]Model!C80/1000</f>
        <v>188.17609610267567</v>
      </c>
      <c r="H202" s="21">
        <f>[8]Model!D80/1000</f>
        <v>277.17969418373031</v>
      </c>
      <c r="I202" s="21">
        <f>[8]Model!E80/1000</f>
        <v>312.65297776577842</v>
      </c>
      <c r="J202" s="21">
        <f>[8]Model!F80/1000</f>
        <v>346.10752355147611</v>
      </c>
      <c r="K202" s="21">
        <f>[8]Model!G80/1000</f>
        <v>376.36770862521178</v>
      </c>
      <c r="L202" s="21">
        <f>[8]Model!H80/1000</f>
        <v>402.52889834233571</v>
      </c>
      <c r="M202" s="21">
        <f>[8]Model!I80/1000</f>
        <v>423.51404764989854</v>
      </c>
      <c r="N202" s="21">
        <f>[8]Model!J80/1000</f>
        <v>440.30485032007613</v>
      </c>
    </row>
    <row r="203" spans="6:14">
      <c r="F203" t="s">
        <v>29</v>
      </c>
      <c r="G203" s="22">
        <f>[8]Model!C80*100%/[8]Model!C35</f>
        <v>0.32888818364484107</v>
      </c>
      <c r="H203" s="22">
        <f>[8]Model!D80*100%/[8]Model!D35</f>
        <v>0.39369424860555374</v>
      </c>
      <c r="I203" s="22">
        <f>[8]Model!E80*100%/[8]Model!E35</f>
        <v>0.36898870039294168</v>
      </c>
      <c r="J203" s="22">
        <f>[8]Model!F80*100%/[8]Model!F35</f>
        <v>0.38058981603896114</v>
      </c>
      <c r="K203" s="22">
        <f>[8]Model!G80*100%/[8]Model!G35</f>
        <v>0.38873779489426891</v>
      </c>
      <c r="L203" s="22">
        <f>[8]Model!H80*100%/[8]Model!H35</f>
        <v>0.39507727009652654</v>
      </c>
      <c r="M203" s="22">
        <f>[8]Model!I80*100%/[8]Model!I35</f>
        <v>0.39991804387642893</v>
      </c>
      <c r="N203" s="22">
        <f>[8]Model!J80*100%/[8]Model!J35</f>
        <v>0.4036634467987481</v>
      </c>
    </row>
    <row r="206" spans="6:14">
      <c r="F206" t="s">
        <v>30</v>
      </c>
      <c r="G206" s="21">
        <f>[8]Model!C121/1000</f>
        <v>171.98240143932622</v>
      </c>
      <c r="H206" s="21">
        <f>[8]Model!D121/1000</f>
        <v>234.26983762002945</v>
      </c>
      <c r="I206" s="21">
        <f>[8]Model!E121/1000</f>
        <v>339.11954164832252</v>
      </c>
      <c r="J206" s="21">
        <f>[8]Model!F121/1000</f>
        <v>379.67789910142238</v>
      </c>
      <c r="K206" s="21">
        <f>[8]Model!G121/1000</f>
        <v>405.72156598659876</v>
      </c>
      <c r="L206" s="21">
        <f>[8]Model!H121/1000</f>
        <v>429.65566918840375</v>
      </c>
      <c r="M206" s="21">
        <f>[8]Model!I121/1000</f>
        <v>449.51513570260192</v>
      </c>
      <c r="N206" s="21">
        <f>[8]Model!J121/1000</f>
        <v>465.15451900166602</v>
      </c>
    </row>
    <row r="209" spans="6:14">
      <c r="F209" t="s">
        <v>31</v>
      </c>
      <c r="G209" s="21">
        <f>[8]Model!C129/1000</f>
        <v>5.206070429326239</v>
      </c>
      <c r="H209" s="21">
        <f>[8]Model!D129/1000</f>
        <v>178.85705653774374</v>
      </c>
      <c r="I209" s="21">
        <f>[8]Model!E129/1000</f>
        <v>269.89259494246545</v>
      </c>
      <c r="J209" s="21">
        <f>[8]Model!F129/1000</f>
        <v>354.08725302142244</v>
      </c>
      <c r="K209" s="21">
        <f>[8]Model!G129/1000</f>
        <v>384.10756598659879</v>
      </c>
      <c r="L209" s="21">
        <f>[8]Model!H129/1000</f>
        <v>410.79526918840372</v>
      </c>
      <c r="M209" s="21">
        <f>[8]Model!I129/1000</f>
        <v>449.51513570260192</v>
      </c>
      <c r="N209" s="21">
        <f>[8]Model!J129/1000</f>
        <v>465.15451900166602</v>
      </c>
    </row>
    <row r="212" spans="6:14">
      <c r="F212" t="s">
        <v>32</v>
      </c>
      <c r="G212" s="21">
        <f>'[8]график погашения'!D5/1000</f>
        <v>155.30000000000001</v>
      </c>
      <c r="H212" s="21">
        <f>'[8]график погашения'!E5/1000</f>
        <v>48.5</v>
      </c>
      <c r="I212" s="21">
        <f>'[8]график погашения'!F5/1000</f>
        <v>65.5</v>
      </c>
      <c r="J212" s="21">
        <f>'[8]график погашения'!G5/1000</f>
        <v>24.1</v>
      </c>
      <c r="K212" s="21">
        <f>'[8]график погашения'!H5/1000</f>
        <v>20.83</v>
      </c>
      <c r="L212" s="21">
        <f>'[8]график погашения'!I5/1000</f>
        <v>18.600000000000001</v>
      </c>
      <c r="M212" s="21">
        <f>'[8]график погашения'!J5/1000</f>
        <v>0</v>
      </c>
      <c r="N212" s="21">
        <f>'[8]график погашения'!K5/1000</f>
        <v>0</v>
      </c>
    </row>
    <row r="215" spans="6:14">
      <c r="F215" t="s">
        <v>33</v>
      </c>
      <c r="G215" s="21">
        <f>'[8]график погашения'!D61/1000</f>
        <v>15.685055098749999</v>
      </c>
      <c r="H215" s="21">
        <f>'[8]график погашения'!E61/1000</f>
        <v>10.235771080000001</v>
      </c>
      <c r="I215" s="21">
        <f>'[8]график погашения'!F61/1000</f>
        <v>6.5722710800000002</v>
      </c>
      <c r="J215" s="21">
        <f>'[8]график погашения'!G61/1000</f>
        <v>3.8693710800000001</v>
      </c>
      <c r="K215" s="21">
        <f>'[8]график погашения'!H61/1000</f>
        <v>2.9827249999999998</v>
      </c>
      <c r="L215" s="21">
        <f>'[8]график погашения'!I61/1000</f>
        <v>1.3597624999999998</v>
      </c>
      <c r="M215" s="21">
        <f>'[8]график погашения'!J61/1000</f>
        <v>0</v>
      </c>
      <c r="N215" s="21">
        <f>'[8]график погашения'!K61/1000</f>
        <v>0</v>
      </c>
    </row>
    <row r="217" spans="6:14">
      <c r="F217" t="s">
        <v>34</v>
      </c>
      <c r="G217" s="21">
        <f>[8]Model!C167/1000</f>
        <v>177.52980499999998</v>
      </c>
      <c r="H217" s="21">
        <f>[8]Model!D167/1000</f>
        <v>129.02980499999998</v>
      </c>
      <c r="I217" s="21">
        <f>[8]Model!E167/1000</f>
        <v>63.529804999999996</v>
      </c>
      <c r="J217" s="21">
        <f>[8]Model!F167/1000</f>
        <v>39.429804999999995</v>
      </c>
      <c r="K217" s="21">
        <f>[8]Model!G167/1000</f>
        <v>18.599804999999993</v>
      </c>
      <c r="L217" s="26">
        <f>[8]Model!H167/1000</f>
        <v>-1.9500000000698491E-4</v>
      </c>
      <c r="M217" s="26">
        <f>[8]Model!I167/1000</f>
        <v>-1.9500000000698491E-4</v>
      </c>
      <c r="N217" s="26">
        <f>[8]Model!J167/1000</f>
        <v>-1.9500000000698491E-4</v>
      </c>
    </row>
    <row r="218" spans="6:14">
      <c r="F218" t="s">
        <v>35</v>
      </c>
      <c r="G218" s="27">
        <f>G220/G188</f>
        <v>1.5043948810118128</v>
      </c>
      <c r="H218" s="27">
        <f>H220/H188</f>
        <v>0.50091324260503012</v>
      </c>
      <c r="I218" s="27">
        <f>I220/I188</f>
        <v>-0.1932606997913198</v>
      </c>
      <c r="J218">
        <v>0</v>
      </c>
      <c r="K218">
        <v>0</v>
      </c>
      <c r="L218">
        <v>0</v>
      </c>
      <c r="M218">
        <v>0</v>
      </c>
      <c r="N218">
        <v>0</v>
      </c>
    </row>
    <row r="220" spans="6:14">
      <c r="F220" t="s">
        <v>36</v>
      </c>
      <c r="G220" s="27">
        <f>([8]Model!B167-[8]Model!B156)/1000</f>
        <v>353.41899999999998</v>
      </c>
      <c r="H220" s="27">
        <f>([8]Model!C167-[8]Model!C156)/1000</f>
        <v>151.81273457067374</v>
      </c>
      <c r="I220" s="27">
        <f>([8]Model!D167-[8]Model!D156)/1000</f>
        <v>-75.54432196706999</v>
      </c>
      <c r="J220" s="27">
        <v>0</v>
      </c>
      <c r="K220" s="27">
        <v>0</v>
      </c>
      <c r="L220" s="27">
        <v>0</v>
      </c>
      <c r="M220" s="27">
        <v>0</v>
      </c>
      <c r="N220" s="27">
        <v>0</v>
      </c>
    </row>
    <row r="244" spans="13:16">
      <c r="M244" s="28" t="s">
        <v>37</v>
      </c>
      <c r="N244" s="28" t="s">
        <v>38</v>
      </c>
      <c r="O244" s="28" t="s">
        <v>39</v>
      </c>
      <c r="P244" s="28" t="s">
        <v>40</v>
      </c>
    </row>
    <row r="245" spans="13:16">
      <c r="M245" s="29" t="s">
        <v>41</v>
      </c>
      <c r="N245" s="30"/>
      <c r="O245" s="30"/>
      <c r="P245" s="31"/>
    </row>
    <row r="246" spans="13:16">
      <c r="M246" s="32" t="s">
        <v>42</v>
      </c>
      <c r="N246" s="33">
        <v>10000</v>
      </c>
      <c r="O246" s="34">
        <v>0.111</v>
      </c>
      <c r="P246" s="35">
        <f>'[8]Расшифровка кредитов и займов'!H12</f>
        <v>43712</v>
      </c>
    </row>
    <row r="247" spans="13:16">
      <c r="M247" s="32" t="s">
        <v>42</v>
      </c>
      <c r="N247" s="33">
        <v>800</v>
      </c>
      <c r="O247" s="34">
        <v>0.121</v>
      </c>
      <c r="P247" s="35">
        <f>'[8]Расшифровка кредитов и займов'!H13</f>
        <v>43697</v>
      </c>
    </row>
    <row r="248" spans="13:16">
      <c r="M248" s="32" t="s">
        <v>42</v>
      </c>
      <c r="N248" s="33">
        <v>125000</v>
      </c>
      <c r="O248" s="34">
        <v>7.4999999999999997E-2</v>
      </c>
      <c r="P248" s="35">
        <f>'[8]Расшифровка кредитов и займов'!H14</f>
        <v>44701</v>
      </c>
    </row>
    <row r="249" spans="13:16">
      <c r="M249" s="32" t="s">
        <v>42</v>
      </c>
      <c r="N249" s="33">
        <v>65000</v>
      </c>
      <c r="O249" s="34">
        <v>2.8000000000000001E-2</v>
      </c>
      <c r="P249" s="35">
        <f>'[8]Расшифровка кредитов и займов'!H15</f>
        <v>46073</v>
      </c>
    </row>
    <row r="250" spans="13:16">
      <c r="M250" s="32" t="s">
        <v>43</v>
      </c>
      <c r="N250" s="33">
        <v>42029.887999999999</v>
      </c>
      <c r="O250" s="34">
        <v>3.5000000000000003E-2</v>
      </c>
      <c r="P250" s="35">
        <f>'[8]Расшифровка кредитов и займов'!H16</f>
        <v>46052</v>
      </c>
    </row>
    <row r="251" spans="13:16">
      <c r="M251" s="29" t="s">
        <v>44</v>
      </c>
      <c r="N251" s="29"/>
      <c r="O251" s="29"/>
      <c r="P251" s="29"/>
    </row>
    <row r="252" spans="13:16">
      <c r="M252" s="32" t="s">
        <v>42</v>
      </c>
      <c r="N252" s="33">
        <v>90000</v>
      </c>
      <c r="O252" s="34">
        <v>2.5000000000000001E-2</v>
      </c>
      <c r="P252" s="35">
        <f>'[8]Расшифровка кредитов и займов'!$H$23</f>
        <v>43797</v>
      </c>
    </row>
    <row r="253" spans="13:16">
      <c r="M253" s="36" t="s">
        <v>45</v>
      </c>
      <c r="N253" s="37">
        <f>SUM(N246:N252)</f>
        <v>332829.88800000004</v>
      </c>
      <c r="O253" s="34"/>
      <c r="P253" s="38"/>
    </row>
    <row r="254" spans="13:16">
      <c r="M254" s="39" t="s">
        <v>46</v>
      </c>
      <c r="N254" s="40"/>
      <c r="O254" s="40"/>
      <c r="P254" s="41"/>
    </row>
    <row r="255" spans="13:16">
      <c r="M255" s="32" t="s">
        <v>47</v>
      </c>
      <c r="N255" s="33">
        <v>23770.195</v>
      </c>
      <c r="O255" s="34">
        <v>7.4999999999999997E-2</v>
      </c>
      <c r="P255" s="35">
        <f>'[8]Расшифровка кредитов и займов'!H17</f>
        <v>46203</v>
      </c>
    </row>
    <row r="256" spans="13:16">
      <c r="M256" s="32" t="s">
        <v>47</v>
      </c>
      <c r="N256" s="33">
        <v>12530</v>
      </c>
      <c r="O256" s="34">
        <v>7.4999999999999997E-2</v>
      </c>
      <c r="P256" s="35">
        <f>'[8]Расшифровка кредитов и займов'!H18</f>
        <v>43945</v>
      </c>
    </row>
    <row r="257" spans="6:18">
      <c r="M257" s="32" t="s">
        <v>48</v>
      </c>
      <c r="N257" s="33">
        <v>4800</v>
      </c>
      <c r="O257" s="34">
        <v>9.2499999999999999E-2</v>
      </c>
      <c r="P257" s="35">
        <f>'[8]Расшифровка кредитов и займов'!H19</f>
        <v>45138</v>
      </c>
    </row>
    <row r="258" spans="6:18">
      <c r="M258" s="29" t="s">
        <v>3</v>
      </c>
      <c r="N258" s="42">
        <f>N246+N247+N248+N249+N250+N252+N255+N256+N257</f>
        <v>373930.08300000004</v>
      </c>
      <c r="O258" s="30"/>
      <c r="P258" s="43"/>
    </row>
    <row r="259" spans="6:18">
      <c r="F259" s="23" t="s">
        <v>49</v>
      </c>
      <c r="G259" s="44" t="s">
        <v>50</v>
      </c>
      <c r="H259" s="44" t="s">
        <v>51</v>
      </c>
      <c r="I259" s="44" t="s">
        <v>52</v>
      </c>
      <c r="J259" s="44" t="s">
        <v>53</v>
      </c>
      <c r="K259" s="44" t="s">
        <v>54</v>
      </c>
      <c r="L259" s="44" t="s">
        <v>55</v>
      </c>
      <c r="M259" s="45" t="s">
        <v>56</v>
      </c>
    </row>
    <row r="260" spans="6:18">
      <c r="F260" t="s">
        <v>57</v>
      </c>
      <c r="G260" s="27">
        <f>([8]Sales!V8+[8]Sales!V9)/1000</f>
        <v>7.2820149999999995</v>
      </c>
      <c r="H260" s="27">
        <v>13.3</v>
      </c>
      <c r="I260" s="27">
        <f>([8]Model!C12)/1000</f>
        <v>18.046259893892142</v>
      </c>
      <c r="J260" s="27">
        <f>([8]Model!D12)/1000</f>
        <v>20.889772973629103</v>
      </c>
      <c r="K260" s="27">
        <f>([8]Model!E12)/1000</f>
        <v>23.039255877976952</v>
      </c>
      <c r="L260" s="27">
        <f>([8]Model!F12)/1000</f>
        <v>23.828736002685837</v>
      </c>
      <c r="M260" s="27">
        <f>([8]Model!G12)/1000</f>
        <v>24.358101893742671</v>
      </c>
      <c r="N260" s="27">
        <f>([8]Model!H12)/1000</f>
        <v>24.886604752615938</v>
      </c>
      <c r="O260" s="27">
        <f>([8]Model!I12)/1000</f>
        <v>25.113672468627033</v>
      </c>
      <c r="P260" s="27">
        <f>([8]Model!J12)/1000</f>
        <v>25.113672468627033</v>
      </c>
      <c r="R260">
        <v>1000</v>
      </c>
    </row>
    <row r="261" spans="6:18">
      <c r="F261" t="s">
        <v>20</v>
      </c>
      <c r="G261" s="27">
        <f>'[8]Вал Сбор'!F89/1000</f>
        <v>3.1508000000000003</v>
      </c>
      <c r="H261" s="27">
        <f>'[8]Вал Сбор'!H89/1000</f>
        <v>4.0640999999999998</v>
      </c>
      <c r="I261" s="27">
        <f>'[8]Вал Сбор'!J90/1000</f>
        <v>4.3589999999999991</v>
      </c>
      <c r="J261" s="27">
        <f>'[8]Model (2)'!D12/1000</f>
        <v>7.5569690000000005</v>
      </c>
      <c r="K261" s="27">
        <f>'[8]Model (2)'!E12/1000</f>
        <v>7.8972190000000007</v>
      </c>
      <c r="L261" s="27">
        <f>'[8]Model (2)'!F12/1000</f>
        <v>9.5849659999999979</v>
      </c>
      <c r="M261" s="27">
        <f>'[8]Model (2)'!G12/1000</f>
        <v>10.792266</v>
      </c>
      <c r="N261" s="27"/>
      <c r="O261" s="27"/>
      <c r="P261" s="27"/>
    </row>
    <row r="262" spans="6:18">
      <c r="F262" s="23" t="s">
        <v>3</v>
      </c>
      <c r="G262" s="46">
        <f>SUM(G260:G261)</f>
        <v>10.432815</v>
      </c>
      <c r="H262" s="46">
        <f t="shared" ref="H262:M262" si="6">SUM(H260:H261)</f>
        <v>17.364100000000001</v>
      </c>
      <c r="I262" s="46">
        <f t="shared" si="6"/>
        <v>22.40525989389214</v>
      </c>
      <c r="J262" s="46">
        <f t="shared" si="6"/>
        <v>28.446741973629102</v>
      </c>
      <c r="K262" s="46">
        <f t="shared" si="6"/>
        <v>30.936474877976952</v>
      </c>
      <c r="L262" s="46">
        <f t="shared" si="6"/>
        <v>33.413702002685838</v>
      </c>
      <c r="M262" s="46">
        <f t="shared" si="6"/>
        <v>35.150367893742668</v>
      </c>
      <c r="N262" s="27"/>
      <c r="O262" s="27"/>
      <c r="P262" s="27"/>
    </row>
    <row r="263" spans="6:18">
      <c r="N263" s="27"/>
      <c r="O263" s="27"/>
      <c r="P263" s="27"/>
    </row>
    <row r="264" spans="6:18">
      <c r="G264" s="23"/>
      <c r="H264" s="23"/>
      <c r="N264" s="27"/>
      <c r="O264" s="27"/>
      <c r="P264" s="27"/>
    </row>
    <row r="265" spans="6:18">
      <c r="F265" s="23" t="s">
        <v>58</v>
      </c>
      <c r="G265" s="47">
        <v>2017</v>
      </c>
      <c r="H265" s="23">
        <v>2018</v>
      </c>
      <c r="N265" s="27"/>
      <c r="O265" s="27"/>
      <c r="P265" s="27">
        <f>35.2*1.07</f>
        <v>37.664000000000009</v>
      </c>
    </row>
    <row r="266" spans="6:18">
      <c r="F266" t="s">
        <v>59</v>
      </c>
      <c r="G266">
        <v>542</v>
      </c>
      <c r="H266">
        <v>342</v>
      </c>
      <c r="N266" s="22"/>
      <c r="O266" s="27"/>
      <c r="P266" s="27"/>
    </row>
    <row r="267" spans="6:18">
      <c r="F267" t="s">
        <v>60</v>
      </c>
      <c r="G267">
        <v>97</v>
      </c>
      <c r="H267">
        <v>297</v>
      </c>
      <c r="L267" s="22">
        <f>1-I262/J262</f>
        <v>0.21237870000499803</v>
      </c>
      <c r="M267" s="22">
        <f>1-J262/K262</f>
        <v>8.0478881778487277E-2</v>
      </c>
      <c r="N267" s="22">
        <f>1-K262/L262</f>
        <v>7.4138062418518058E-2</v>
      </c>
      <c r="O267" s="22">
        <f>1-L262/M262</f>
        <v>4.9406762862529985E-2</v>
      </c>
      <c r="P267" s="22">
        <f>AVERAGE(M267:O267)</f>
        <v>6.800790235317844E-2</v>
      </c>
    </row>
    <row r="268" spans="6:18">
      <c r="F268" t="s">
        <v>61</v>
      </c>
      <c r="G268">
        <v>57</v>
      </c>
      <c r="H268">
        <v>57</v>
      </c>
      <c r="N268" s="27"/>
      <c r="O268" s="27"/>
      <c r="P268" s="27"/>
    </row>
    <row r="269" spans="6:18">
      <c r="N269" s="27"/>
      <c r="O269" s="27"/>
      <c r="P269" s="27"/>
    </row>
    <row r="270" spans="6:18">
      <c r="F270" s="23" t="s">
        <v>49</v>
      </c>
      <c r="G270" s="47">
        <v>2017</v>
      </c>
      <c r="H270" s="47">
        <v>2017</v>
      </c>
      <c r="N270" s="27"/>
      <c r="O270" s="27"/>
      <c r="P270" s="27"/>
    </row>
    <row r="271" spans="6:18">
      <c r="F271" t="s">
        <v>59</v>
      </c>
      <c r="G271">
        <v>286.2</v>
      </c>
      <c r="H271">
        <v>242.8</v>
      </c>
      <c r="N271" s="27"/>
      <c r="O271" s="27"/>
      <c r="P271" s="27"/>
    </row>
    <row r="272" spans="6:18">
      <c r="F272" t="s">
        <v>60</v>
      </c>
      <c r="G272">
        <v>567.9</v>
      </c>
      <c r="H272">
        <v>403.9</v>
      </c>
      <c r="N272" s="27"/>
      <c r="O272" s="27"/>
      <c r="P272" s="27"/>
    </row>
    <row r="273" spans="6:21">
      <c r="F273" t="s">
        <v>62</v>
      </c>
      <c r="G273">
        <v>112.5</v>
      </c>
      <c r="H273">
        <v>319.89999999999998</v>
      </c>
      <c r="N273" s="27"/>
      <c r="O273" s="27"/>
      <c r="P273" s="27"/>
    </row>
    <row r="274" spans="6:21">
      <c r="N274" s="27"/>
      <c r="O274" s="27"/>
      <c r="P274" s="27"/>
    </row>
    <row r="275" spans="6:21">
      <c r="F275" s="23" t="s">
        <v>22</v>
      </c>
      <c r="N275" s="27"/>
      <c r="O275" s="27"/>
      <c r="P275" s="27"/>
    </row>
    <row r="276" spans="6:21">
      <c r="F276" t="s">
        <v>63</v>
      </c>
      <c r="G276" s="27">
        <f t="shared" ref="G276:M276" si="7">G262*1000/F526</f>
        <v>6.2678371883448483</v>
      </c>
      <c r="H276" s="27">
        <f t="shared" si="7"/>
        <v>10.432021628116551</v>
      </c>
      <c r="I276" s="27">
        <f t="shared" si="7"/>
        <v>13.460654787559111</v>
      </c>
      <c r="J276" s="27">
        <f t="shared" si="7"/>
        <v>17.09026252546056</v>
      </c>
      <c r="K276" s="27">
        <f t="shared" si="7"/>
        <v>18.586046787610062</v>
      </c>
      <c r="L276" s="27">
        <f t="shared" si="7"/>
        <v>20.074317814770705</v>
      </c>
      <c r="M276" s="27">
        <f t="shared" si="7"/>
        <v>21.117673712071294</v>
      </c>
      <c r="N276" s="27"/>
      <c r="O276" s="27"/>
      <c r="P276" s="27"/>
    </row>
    <row r="277" spans="6:21">
      <c r="F277" s="23" t="s">
        <v>64</v>
      </c>
      <c r="G277" s="27">
        <f t="shared" ref="G277:M277" si="8">G262*1000/D528</f>
        <v>12.503373681687441</v>
      </c>
      <c r="H277" s="27">
        <f t="shared" si="8"/>
        <v>16.786639597834494</v>
      </c>
      <c r="I277" s="27">
        <f t="shared" si="8"/>
        <v>21.211076298297964</v>
      </c>
      <c r="J277" s="27">
        <f t="shared" si="8"/>
        <v>21.143705941451685</v>
      </c>
      <c r="K277" s="27">
        <f t="shared" si="8"/>
        <v>21.153145215710737</v>
      </c>
      <c r="L277" s="27">
        <f t="shared" si="8"/>
        <v>20.074317814770705</v>
      </c>
      <c r="M277" s="27">
        <f t="shared" si="8"/>
        <v>21.117673712071294</v>
      </c>
      <c r="N277" s="27"/>
      <c r="O277" s="27">
        <f>P265*1000/M529</f>
        <v>22.621021021021026</v>
      </c>
      <c r="P277" s="27"/>
    </row>
    <row r="278" spans="6:21">
      <c r="F278" t="s">
        <v>65</v>
      </c>
      <c r="G278" s="27">
        <f>G262*1000/D526</f>
        <v>6.2750000000000004</v>
      </c>
      <c r="H278" s="27">
        <f t="shared" ref="H278:M278" si="9">H262*1000/E526</f>
        <v>10.443943221460366</v>
      </c>
      <c r="I278" s="27">
        <f t="shared" si="9"/>
        <v>13.460654787559111</v>
      </c>
      <c r="J278" s="27">
        <f t="shared" si="9"/>
        <v>17.090262525460556</v>
      </c>
      <c r="K278" s="27">
        <f t="shared" si="9"/>
        <v>18.586046787610062</v>
      </c>
      <c r="L278" s="27">
        <f t="shared" si="9"/>
        <v>20.074317814770705</v>
      </c>
      <c r="M278" s="27">
        <f t="shared" si="9"/>
        <v>21.117673712071294</v>
      </c>
      <c r="P278" s="27"/>
    </row>
    <row r="279" spans="6:21">
      <c r="S279" s="21">
        <f>SUM(N246:N250)</f>
        <v>242829.88800000001</v>
      </c>
    </row>
    <row r="280" spans="6:21">
      <c r="F280" t="s">
        <v>63</v>
      </c>
      <c r="G280">
        <v>2017</v>
      </c>
      <c r="H280">
        <v>2018</v>
      </c>
    </row>
    <row r="281" spans="6:21">
      <c r="F281" t="s">
        <v>66</v>
      </c>
      <c r="I281" s="48">
        <v>16.3</v>
      </c>
      <c r="J281" s="48">
        <v>19.100000000000001</v>
      </c>
      <c r="K281" s="48">
        <f>'[8]Модель урожая яблок'!D69</f>
        <v>20.266677029212676</v>
      </c>
      <c r="L281" s="48">
        <f>'[8]Модель урожая яблок'!E69</f>
        <v>23.460056796223327</v>
      </c>
      <c r="M281" s="48">
        <f>'[8]Модель урожая яблок'!F69</f>
        <v>25.874012710544168</v>
      </c>
      <c r="N281" s="48">
        <f>'[8]Модель урожая яблок'!G69</f>
        <v>26.760630702445795</v>
      </c>
      <c r="O281" s="48">
        <f>'[8]Модель урожая яблок'!H69</f>
        <v>27.355129928734858</v>
      </c>
      <c r="P281" s="48">
        <f>'[8]Модель урожая яблок'!I69</f>
        <v>27.948659935106164</v>
      </c>
      <c r="Q281" s="48">
        <f>'[8]Модель урожая яблок'!J69</f>
        <v>28.203666129808887</v>
      </c>
      <c r="R281" s="48"/>
    </row>
    <row r="285" spans="6:21">
      <c r="L285">
        <v>2017</v>
      </c>
      <c r="M285">
        <v>2018</v>
      </c>
      <c r="N285" t="s">
        <v>23</v>
      </c>
      <c r="O285" t="s">
        <v>24</v>
      </c>
      <c r="P285" t="s">
        <v>25</v>
      </c>
      <c r="Q285" t="s">
        <v>26</v>
      </c>
      <c r="R285" t="s">
        <v>27</v>
      </c>
      <c r="S285" t="s">
        <v>67</v>
      </c>
      <c r="T285" t="s">
        <v>68</v>
      </c>
      <c r="U285" t="s">
        <v>69</v>
      </c>
    </row>
    <row r="307" spans="3:34" ht="16" thickBot="1">
      <c r="C307" s="23" t="s">
        <v>20</v>
      </c>
      <c r="D307" s="23"/>
      <c r="E307" s="23"/>
    </row>
    <row r="308" spans="3:34">
      <c r="C308" t="s">
        <v>70</v>
      </c>
      <c r="F308" s="27">
        <v>342</v>
      </c>
      <c r="H308" s="27"/>
      <c r="R308" s="65"/>
      <c r="S308" s="66"/>
      <c r="T308" s="66"/>
      <c r="U308" s="66"/>
      <c r="V308" s="66"/>
      <c r="W308" s="67"/>
      <c r="AC308" s="65"/>
      <c r="AD308" s="66"/>
      <c r="AE308" s="66"/>
      <c r="AF308" s="66"/>
      <c r="AG308" s="66"/>
      <c r="AH308" s="67"/>
    </row>
    <row r="309" spans="3:34">
      <c r="C309" t="s">
        <v>71</v>
      </c>
      <c r="F309" s="27">
        <v>200</v>
      </c>
      <c r="R309" s="68"/>
      <c r="S309" s="69" t="s">
        <v>234</v>
      </c>
      <c r="T309" s="70"/>
      <c r="U309" s="70"/>
      <c r="V309" s="70"/>
      <c r="W309" s="71"/>
      <c r="AC309" s="68"/>
      <c r="AD309" s="69" t="s">
        <v>235</v>
      </c>
      <c r="AE309" s="70"/>
      <c r="AF309" s="70"/>
      <c r="AG309" s="70"/>
      <c r="AH309" s="71"/>
    </row>
    <row r="310" spans="3:34">
      <c r="C310" t="s">
        <v>72</v>
      </c>
      <c r="F310" s="27">
        <v>154</v>
      </c>
      <c r="R310" s="68"/>
      <c r="S310" s="70"/>
      <c r="T310" s="70"/>
      <c r="U310" s="70"/>
      <c r="V310" s="70"/>
      <c r="W310" s="71"/>
      <c r="AC310" s="68"/>
      <c r="AD310" s="70"/>
      <c r="AE310" s="70"/>
      <c r="AF310" s="70"/>
      <c r="AG310" s="70"/>
      <c r="AH310" s="71"/>
    </row>
    <row r="311" spans="3:34">
      <c r="C311" s="23" t="s">
        <v>3</v>
      </c>
      <c r="D311" s="23"/>
      <c r="E311" s="23"/>
      <c r="F311" s="46">
        <f>SUM(F308:F310)</f>
        <v>696</v>
      </c>
      <c r="R311" s="68"/>
      <c r="S311" s="69" t="s">
        <v>49</v>
      </c>
      <c r="T311" s="70"/>
      <c r="U311" s="70"/>
      <c r="V311" s="70"/>
      <c r="W311" s="71"/>
      <c r="AC311" s="68"/>
      <c r="AD311" s="69" t="s">
        <v>49</v>
      </c>
      <c r="AE311" s="70"/>
      <c r="AF311" s="70"/>
      <c r="AG311" s="70"/>
      <c r="AH311" s="71"/>
    </row>
    <row r="312" spans="3:34">
      <c r="R312" s="68"/>
      <c r="S312" s="70" t="s">
        <v>70</v>
      </c>
      <c r="T312" s="70"/>
      <c r="U312" s="70"/>
      <c r="V312" s="75" t="e">
        <f>GETPIVOTDATA("Sum of Площадь, га",#REF!,"Культура","яблоко","Год посадки",2015)+GETPIVOTDATA("Sum of Площадь, га",#REF!,"Культура","яблоко","Год посадки",2016)</f>
        <v>#REF!</v>
      </c>
      <c r="W312" s="71"/>
      <c r="AC312" s="68"/>
      <c r="AD312" s="70" t="s">
        <v>73</v>
      </c>
      <c r="AE312" s="70"/>
      <c r="AF312" s="70"/>
      <c r="AG312" s="75" t="e">
        <f>GETPIVOTDATA("Sum of Валовый сбор 2019 г, т",#REF!,"Год посадки",2008)+GETPIVOTDATA("Sum of Валовый сбор 2019 г, т",#REF!,"Год посадки",2009)+GETPIVOTDATA("Sum of Валовый сбор 2019 г, т",#REF!,"Год посадки",2010)+GETPIVOTDATA("Sum of Валовый сбор 2019 г, т",#REF!,"Год посадки",2011)+GETPIVOTDATA("Sum of Валовый сбор 2019 г, т",#REF!,"Год посадки",2012)+GETPIVOTDATA("Sum of Валовый сбор 2019 г, т",#REF!,"Год посадки",2013)</f>
        <v>#REF!</v>
      </c>
      <c r="AH312" s="71"/>
    </row>
    <row r="313" spans="3:34">
      <c r="C313" t="s">
        <v>70</v>
      </c>
      <c r="F313" s="27">
        <v>266.2</v>
      </c>
      <c r="R313" s="68"/>
      <c r="S313" s="70" t="s">
        <v>73</v>
      </c>
      <c r="T313" s="70"/>
      <c r="U313" s="70"/>
      <c r="V313" s="75" t="e">
        <f>GETPIVOTDATA("Sum of Площадь, га",#REF!,"Культура","яблоко","Год посадки",2008)+GETPIVOTDATA("Sum of Площадь, га",#REF!,"Культура","яблоко","Год посадки",2009)+GETPIVOTDATA("Sum of Площадь, га",#REF!,"Культура","яблоко","Год посадки",2010)+GETPIVOTDATA("Sum of Площадь, га",#REF!,"Культура","яблоко","Год посадки",2011)+GETPIVOTDATA("Sum of Площадь, га",#REF!,"Культура","яблоко","Год посадки",2012)+GETPIVOTDATA("Sum of Площадь, га",#REF!,"Культура","яблоко","Год посадки",2013)</f>
        <v>#REF!</v>
      </c>
      <c r="W313" s="71"/>
      <c r="AC313" s="68"/>
      <c r="AD313" s="70" t="s">
        <v>70</v>
      </c>
      <c r="AE313" s="70"/>
      <c r="AF313" s="70"/>
      <c r="AG313" s="75" t="e">
        <f>GETPIVOTDATA("Sum of Валовый сбор 2019 г, т",#REF!,"Год посадки",2015)+GETPIVOTDATA("Sum of Валовый сбор 2019 г, т",#REF!,"Год посадки",2016)</f>
        <v>#REF!</v>
      </c>
      <c r="AH313" s="71"/>
    </row>
    <row r="314" spans="3:34">
      <c r="C314" t="s">
        <v>71</v>
      </c>
      <c r="F314" s="27">
        <v>380.8</v>
      </c>
      <c r="R314" s="68"/>
      <c r="S314" s="70"/>
      <c r="T314" s="70"/>
      <c r="U314" s="70"/>
      <c r="V314" s="75"/>
      <c r="W314" s="71"/>
      <c r="AC314" s="68"/>
      <c r="AH314" s="71"/>
    </row>
    <row r="315" spans="3:34">
      <c r="C315" t="s">
        <v>72</v>
      </c>
      <c r="F315" s="27">
        <v>321.5</v>
      </c>
      <c r="R315" s="68"/>
      <c r="S315" s="69" t="s">
        <v>3</v>
      </c>
      <c r="T315" s="69"/>
      <c r="U315" s="69"/>
      <c r="V315" s="76" t="e">
        <f>SUM(V312:V314)</f>
        <v>#REF!</v>
      </c>
      <c r="W315" s="71"/>
      <c r="AC315" s="68"/>
      <c r="AD315" s="69" t="s">
        <v>3</v>
      </c>
      <c r="AE315" s="69"/>
      <c r="AF315" s="69"/>
      <c r="AG315" s="76" t="e">
        <f>SUM(AG312:AG313)</f>
        <v>#REF!</v>
      </c>
      <c r="AH315" s="71"/>
    </row>
    <row r="316" spans="3:34">
      <c r="C316" s="23" t="s">
        <v>3</v>
      </c>
      <c r="D316" s="23"/>
      <c r="E316" s="23"/>
      <c r="F316" s="46">
        <f>SUM(F313:F315)</f>
        <v>968.5</v>
      </c>
      <c r="R316" s="68"/>
      <c r="S316" s="70"/>
      <c r="T316" s="70"/>
      <c r="U316" s="70"/>
      <c r="V316" s="75"/>
      <c r="W316" s="71"/>
      <c r="AC316" s="68"/>
      <c r="AD316" s="70"/>
      <c r="AE316" s="70"/>
      <c r="AF316" s="70"/>
      <c r="AG316" s="75"/>
      <c r="AH316" s="71"/>
    </row>
    <row r="317" spans="3:34">
      <c r="C317" t="s">
        <v>74</v>
      </c>
      <c r="R317" s="68"/>
      <c r="S317" s="70"/>
      <c r="T317" s="70"/>
      <c r="U317" s="70"/>
      <c r="V317" s="75"/>
      <c r="W317" s="71"/>
      <c r="AC317" s="68"/>
      <c r="AD317" s="70"/>
      <c r="AE317" s="70"/>
      <c r="AF317" s="70"/>
      <c r="AG317" s="75"/>
      <c r="AH317" s="71"/>
    </row>
    <row r="318" spans="3:34">
      <c r="C318" t="s">
        <v>75</v>
      </c>
      <c r="F318">
        <v>1258.9000000000001</v>
      </c>
      <c r="H318">
        <f>F318+F319</f>
        <v>1797.2</v>
      </c>
      <c r="R318" s="68"/>
      <c r="S318" s="69" t="s">
        <v>58</v>
      </c>
      <c r="T318" s="70"/>
      <c r="U318" s="70"/>
      <c r="V318" s="75"/>
      <c r="W318" s="71"/>
      <c r="AC318" s="68"/>
      <c r="AD318" s="69" t="s">
        <v>58</v>
      </c>
      <c r="AE318" s="70"/>
      <c r="AF318" s="70"/>
      <c r="AG318" s="75"/>
      <c r="AH318" s="71"/>
    </row>
    <row r="319" spans="3:34">
      <c r="C319" t="s">
        <v>76</v>
      </c>
      <c r="F319">
        <v>538.29999999999995</v>
      </c>
      <c r="R319" s="68"/>
      <c r="S319" s="70" t="s">
        <v>70</v>
      </c>
      <c r="T319" s="70"/>
      <c r="U319" s="70"/>
      <c r="V319" s="75" t="e">
        <f>GETPIVOTDATA("Площадь, га",#REF!,"Год посадки",2015)+GETPIVOTDATA("Площадь, га",#REF!,"Год посадки",2016)+GETPIVOTDATA("Площадь, га",#REF!,"Год посадки",2017)</f>
        <v>#REF!</v>
      </c>
      <c r="W319" s="71"/>
      <c r="AC319" s="68"/>
      <c r="AD319" s="70" t="s">
        <v>73</v>
      </c>
      <c r="AE319" s="70"/>
      <c r="AF319" s="70"/>
      <c r="AG319" s="75" t="e">
        <f>GETPIVOTDATA("Sum of Валовый сбор 2019 г, т",#REF!,"Год посадки",2006)+GETPIVOTDATA("Sum of Валовый сбор 2019 г, т",#REF!,"Год посадки",2007)+GETPIVOTDATA("Sum of Валовый сбор 2019 г, т",#REF!,"Год посадки",2008)+GETPIVOTDATA("Sum of Валовый сбор 2019 г, т",#REF!,"Год посадки",2010)+GETPIVOTDATA("Sum of Валовый сбор 2019 г, т",#REF!,"Год посадки",2014)</f>
        <v>#REF!</v>
      </c>
      <c r="AH319" s="71"/>
    </row>
    <row r="320" spans="3:34">
      <c r="R320" s="68"/>
      <c r="S320" s="70" t="s">
        <v>73</v>
      </c>
      <c r="T320" s="70"/>
      <c r="U320" s="70"/>
      <c r="V320" s="75" t="e">
        <f>GETPIVOTDATA("Площадь, га",#REF!,"Год посадки",2006)+GETPIVOTDATA("Площадь, га",#REF!,"Год посадки",2007)+GETPIVOTDATA("Площадь, га",#REF!,"Год посадки",2008)+GETPIVOTDATA("Площадь, га",#REF!,"Год посадки",2010)+GETPIVOTDATA("Площадь, га",#REF!,"Год посадки",2014)</f>
        <v>#REF!</v>
      </c>
      <c r="W320" s="71"/>
      <c r="AC320" s="68"/>
      <c r="AD320" s="70" t="s">
        <v>70</v>
      </c>
      <c r="AE320" s="70"/>
      <c r="AF320" s="70"/>
      <c r="AG320" s="75" t="e">
        <f>GETPIVOTDATA("Sum of Валовый сбор 2019 г, т",#REF!,"Год посадки",2015)+GETPIVOTDATA("Sum of Валовый сбор 2019 г, т",#REF!,"Год посадки",2016)+GETPIVOTDATA("Sum of Валовый сбор 2019 г, т",#REF!,"Год посадки",2017)</f>
        <v>#REF!</v>
      </c>
      <c r="AH320" s="71"/>
    </row>
    <row r="321" spans="3:36">
      <c r="C321" t="s">
        <v>77</v>
      </c>
      <c r="F321" s="27">
        <v>678.54</v>
      </c>
      <c r="H321">
        <f>F321+F322</f>
        <v>1127.81</v>
      </c>
      <c r="R321" s="68"/>
      <c r="S321" s="70"/>
      <c r="T321" s="70"/>
      <c r="U321" s="70"/>
      <c r="V321" s="75"/>
      <c r="W321" s="71"/>
      <c r="AC321" s="68"/>
      <c r="AH321" s="71"/>
    </row>
    <row r="322" spans="3:36">
      <c r="C322" t="s">
        <v>78</v>
      </c>
      <c r="F322" s="27">
        <v>449.27</v>
      </c>
      <c r="R322" s="68"/>
      <c r="S322" s="69" t="s">
        <v>3</v>
      </c>
      <c r="T322" s="69"/>
      <c r="U322" s="69"/>
      <c r="V322" s="76" t="e">
        <f>SUM(V319:V321)</f>
        <v>#REF!</v>
      </c>
      <c r="W322" s="71"/>
      <c r="AC322" s="68"/>
      <c r="AD322" s="69" t="s">
        <v>3</v>
      </c>
      <c r="AE322" s="69"/>
      <c r="AF322" s="69"/>
      <c r="AG322" s="76" t="e">
        <f>SUM(AG319:AG320)</f>
        <v>#REF!</v>
      </c>
      <c r="AH322" s="71"/>
    </row>
    <row r="323" spans="3:36">
      <c r="C323" t="s">
        <v>79</v>
      </c>
      <c r="F323" s="27">
        <f>H318-H321</f>
        <v>669.3900000000001</v>
      </c>
      <c r="R323" s="68"/>
      <c r="S323" s="70"/>
      <c r="T323" s="70"/>
      <c r="U323" s="70"/>
      <c r="V323" s="75"/>
      <c r="W323" s="71"/>
      <c r="AC323" s="68"/>
      <c r="AD323" s="70"/>
      <c r="AE323" s="70"/>
      <c r="AF323" s="70"/>
      <c r="AG323" s="75"/>
      <c r="AH323" s="71"/>
    </row>
    <row r="324" spans="3:36">
      <c r="C324" t="s">
        <v>3</v>
      </c>
      <c r="F324" s="27">
        <f>SUM(F321:F323)</f>
        <v>1797.2</v>
      </c>
      <c r="R324" s="68"/>
      <c r="S324" s="70"/>
      <c r="T324" s="70"/>
      <c r="U324" s="70"/>
      <c r="V324" s="75"/>
      <c r="W324" s="71"/>
      <c r="AC324" s="68"/>
      <c r="AD324" s="70"/>
      <c r="AE324" s="70"/>
      <c r="AF324" s="70"/>
      <c r="AG324" s="75"/>
      <c r="AH324" s="71"/>
    </row>
    <row r="325" spans="3:36">
      <c r="R325" s="68"/>
      <c r="S325" s="69" t="s">
        <v>175</v>
      </c>
      <c r="T325" s="70"/>
      <c r="U325" s="70"/>
      <c r="V325" s="75"/>
      <c r="W325" s="71"/>
      <c r="AC325" s="68"/>
      <c r="AD325" s="69" t="s">
        <v>175</v>
      </c>
      <c r="AE325" s="70"/>
      <c r="AF325" s="70"/>
      <c r="AG325" s="75"/>
      <c r="AH325" s="71"/>
    </row>
    <row r="326" spans="3:36">
      <c r="R326" s="68"/>
      <c r="S326" s="70" t="s">
        <v>70</v>
      </c>
      <c r="T326" s="70"/>
      <c r="U326" s="70"/>
      <c r="V326" s="75" t="e">
        <f>V319+V312</f>
        <v>#REF!</v>
      </c>
      <c r="W326" s="71"/>
      <c r="AC326" s="68"/>
      <c r="AD326" s="70" t="s">
        <v>73</v>
      </c>
      <c r="AE326" s="70"/>
      <c r="AF326" s="70"/>
      <c r="AG326" s="75" t="e">
        <f>AG312+AG319</f>
        <v>#REF!</v>
      </c>
      <c r="AH326" s="71"/>
    </row>
    <row r="327" spans="3:36">
      <c r="C327" t="s">
        <v>80</v>
      </c>
      <c r="F327" s="24">
        <v>15048.927999999998</v>
      </c>
      <c r="R327" s="68"/>
      <c r="S327" s="70" t="s">
        <v>73</v>
      </c>
      <c r="T327" s="70"/>
      <c r="U327" s="70"/>
      <c r="V327" s="75" t="e">
        <f>V313+V320</f>
        <v>#REF!</v>
      </c>
      <c r="W327" s="71"/>
      <c r="AC327" s="68"/>
      <c r="AD327" s="70" t="s">
        <v>70</v>
      </c>
      <c r="AE327" s="70"/>
      <c r="AF327" s="70"/>
      <c r="AG327" s="75" t="e">
        <f>AG320+AG313</f>
        <v>#REF!</v>
      </c>
      <c r="AH327" s="71"/>
    </row>
    <row r="328" spans="3:36">
      <c r="C328" t="s">
        <v>81</v>
      </c>
      <c r="F328" s="24">
        <v>14238.797999999999</v>
      </c>
      <c r="R328" s="68"/>
      <c r="S328" s="70"/>
      <c r="T328" s="70"/>
      <c r="U328" s="70"/>
      <c r="V328" s="75"/>
      <c r="W328" s="71"/>
      <c r="AC328" s="68"/>
      <c r="AH328" s="71"/>
    </row>
    <row r="329" spans="3:36">
      <c r="C329" t="s">
        <v>82</v>
      </c>
      <c r="F329" s="24">
        <v>8276.3029999999999</v>
      </c>
      <c r="R329" s="68"/>
      <c r="S329" s="69" t="s">
        <v>3</v>
      </c>
      <c r="T329" s="69"/>
      <c r="U329" s="69"/>
      <c r="V329" s="76" t="e">
        <f>SUM(V326:V328)</f>
        <v>#REF!</v>
      </c>
      <c r="W329" s="71"/>
      <c r="AC329" s="68"/>
      <c r="AD329" s="69" t="s">
        <v>3</v>
      </c>
      <c r="AE329" s="69"/>
      <c r="AF329" s="69"/>
      <c r="AG329" s="76" t="e">
        <f>SUM(AG326:AG327)</f>
        <v>#REF!</v>
      </c>
      <c r="AH329" s="71"/>
      <c r="AJ329">
        <f>24879*17</f>
        <v>422943</v>
      </c>
    </row>
    <row r="330" spans="3:36">
      <c r="C330" t="s">
        <v>83</v>
      </c>
      <c r="F330" s="24">
        <v>5618.1379999999999</v>
      </c>
      <c r="R330" s="68"/>
      <c r="S330" s="70"/>
      <c r="T330" s="70"/>
      <c r="U330" s="70"/>
      <c r="V330" s="70"/>
      <c r="W330" s="71"/>
      <c r="AC330" s="68"/>
      <c r="AD330" s="70"/>
      <c r="AE330" s="70"/>
      <c r="AF330" s="70"/>
      <c r="AG330" s="70"/>
      <c r="AH330" s="71"/>
    </row>
    <row r="331" spans="3:36">
      <c r="C331" t="s">
        <v>84</v>
      </c>
      <c r="F331" s="24">
        <v>173.93800000000002</v>
      </c>
      <c r="R331" s="68"/>
      <c r="S331" s="70"/>
      <c r="T331" s="70"/>
      <c r="U331" s="70"/>
      <c r="V331" s="70"/>
      <c r="W331" s="71"/>
      <c r="AC331" s="68"/>
      <c r="AD331" s="70"/>
      <c r="AE331" s="70"/>
      <c r="AF331" s="70"/>
      <c r="AG331" s="70"/>
      <c r="AH331" s="71"/>
    </row>
    <row r="332" spans="3:36" ht="16" thickBot="1">
      <c r="C332" t="s">
        <v>85</v>
      </c>
      <c r="F332" s="24">
        <v>146.83500000000001</v>
      </c>
      <c r="R332" s="72"/>
      <c r="S332" s="73"/>
      <c r="T332" s="73"/>
      <c r="U332" s="73"/>
      <c r="V332" s="73"/>
      <c r="W332" s="74"/>
      <c r="AC332" s="72"/>
      <c r="AD332" s="73"/>
      <c r="AE332" s="73"/>
      <c r="AF332" s="73"/>
      <c r="AG332" s="73"/>
      <c r="AH332" s="74"/>
    </row>
    <row r="333" spans="3:36">
      <c r="C333" t="s">
        <v>86</v>
      </c>
      <c r="F333" s="24">
        <v>23.584</v>
      </c>
    </row>
    <row r="334" spans="3:36" ht="16" thickBot="1">
      <c r="C334" t="s">
        <v>87</v>
      </c>
      <c r="F334" s="24">
        <v>544.05999999999995</v>
      </c>
    </row>
    <row r="335" spans="3:36">
      <c r="C335" t="s">
        <v>88</v>
      </c>
      <c r="F335" s="24">
        <v>266.07</v>
      </c>
      <c r="AC335" s="65"/>
      <c r="AD335" s="66"/>
      <c r="AE335" s="66"/>
      <c r="AF335" s="66"/>
      <c r="AG335" s="66"/>
      <c r="AH335" s="67"/>
    </row>
    <row r="336" spans="3:36">
      <c r="C336" t="s">
        <v>89</v>
      </c>
      <c r="F336" s="24">
        <v>810.12999999999988</v>
      </c>
      <c r="AC336" s="68"/>
      <c r="AD336" s="69" t="s">
        <v>63</v>
      </c>
      <c r="AE336" s="70"/>
      <c r="AF336" s="70"/>
      <c r="AG336" s="70"/>
      <c r="AH336" s="71"/>
    </row>
    <row r="337" spans="3:34">
      <c r="AC337" s="68"/>
      <c r="AD337" s="70"/>
      <c r="AE337" s="70"/>
      <c r="AF337" s="70"/>
      <c r="AG337" s="70"/>
      <c r="AH337" s="71"/>
    </row>
    <row r="338" spans="3:34">
      <c r="C338" t="s">
        <v>90</v>
      </c>
      <c r="AC338" s="68"/>
      <c r="AD338" s="69" t="s">
        <v>49</v>
      </c>
      <c r="AE338" s="70"/>
      <c r="AF338" s="70"/>
      <c r="AG338" s="70"/>
      <c r="AH338" s="71"/>
    </row>
    <row r="339" spans="3:34">
      <c r="C339" t="s">
        <v>91</v>
      </c>
      <c r="F339" s="49">
        <v>0.43</v>
      </c>
      <c r="AC339" s="68"/>
      <c r="AD339" s="70" t="s">
        <v>73</v>
      </c>
      <c r="AE339" s="70"/>
      <c r="AF339" s="70"/>
      <c r="AG339" s="75" t="e">
        <f>AG312/V313</f>
        <v>#REF!</v>
      </c>
      <c r="AH339" s="71"/>
    </row>
    <row r="340" spans="3:34">
      <c r="C340" t="s">
        <v>92</v>
      </c>
      <c r="F340" s="49">
        <v>0.15</v>
      </c>
      <c r="AC340" s="68"/>
      <c r="AD340" s="70" t="s">
        <v>70</v>
      </c>
      <c r="AE340" s="70"/>
      <c r="AF340" s="70"/>
      <c r="AG340" s="75" t="e">
        <f>AG313/V312</f>
        <v>#REF!</v>
      </c>
      <c r="AH340" s="71"/>
    </row>
    <row r="341" spans="3:34">
      <c r="C341" t="s">
        <v>93</v>
      </c>
      <c r="F341" s="49">
        <v>7.0000000000000007E-2</v>
      </c>
      <c r="AC341" s="68"/>
      <c r="AH341" s="71"/>
    </row>
    <row r="342" spans="3:34">
      <c r="C342" t="s">
        <v>94</v>
      </c>
      <c r="F342" s="49">
        <v>0.06</v>
      </c>
      <c r="AC342" s="68"/>
      <c r="AD342" s="69" t="s">
        <v>58</v>
      </c>
      <c r="AE342" s="70"/>
      <c r="AF342" s="70"/>
      <c r="AG342" s="75"/>
      <c r="AH342" s="71"/>
    </row>
    <row r="343" spans="3:34">
      <c r="C343" t="s">
        <v>95</v>
      </c>
      <c r="F343" s="49">
        <v>0.04</v>
      </c>
      <c r="AC343" s="68"/>
      <c r="AD343" s="70" t="s">
        <v>73</v>
      </c>
      <c r="AE343" s="70"/>
      <c r="AF343" s="70"/>
      <c r="AG343" s="75" t="e">
        <f>AG319/V320</f>
        <v>#REF!</v>
      </c>
      <c r="AH343" s="71"/>
    </row>
    <row r="344" spans="3:34">
      <c r="C344" t="s">
        <v>96</v>
      </c>
      <c r="F344" s="49">
        <v>0.25</v>
      </c>
      <c r="AC344" s="68"/>
      <c r="AD344" s="70" t="s">
        <v>70</v>
      </c>
      <c r="AE344" s="70"/>
      <c r="AF344" s="70"/>
      <c r="AG344" s="75" t="e">
        <f>AG320/V319</f>
        <v>#REF!</v>
      </c>
      <c r="AH344" s="71"/>
    </row>
    <row r="345" spans="3:34">
      <c r="F345" s="49">
        <f>SUM(F339:F344)</f>
        <v>1</v>
      </c>
      <c r="AC345" s="68"/>
      <c r="AH345" s="71"/>
    </row>
    <row r="346" spans="3:34">
      <c r="AC346" s="68"/>
      <c r="AD346" s="69" t="s">
        <v>175</v>
      </c>
      <c r="AE346" s="70"/>
      <c r="AF346" s="70"/>
      <c r="AG346" s="75"/>
      <c r="AH346" s="71"/>
    </row>
    <row r="347" spans="3:34">
      <c r="C347" t="s">
        <v>97</v>
      </c>
      <c r="AC347" s="68"/>
      <c r="AD347" s="70" t="s">
        <v>73</v>
      </c>
      <c r="AE347" s="70"/>
      <c r="AF347" s="70"/>
      <c r="AG347" s="75" t="e">
        <f>AG326/V327</f>
        <v>#REF!</v>
      </c>
      <c r="AH347" s="71"/>
    </row>
    <row r="348" spans="3:34">
      <c r="C348" t="s">
        <v>98</v>
      </c>
      <c r="F348" s="27">
        <v>769</v>
      </c>
      <c r="AC348" s="68"/>
      <c r="AD348" s="70" t="s">
        <v>70</v>
      </c>
      <c r="AE348" s="70"/>
      <c r="AF348" s="70"/>
      <c r="AG348" s="75" t="e">
        <f>AG327/V326</f>
        <v>#REF!</v>
      </c>
      <c r="AH348" s="71"/>
    </row>
    <row r="349" spans="3:34">
      <c r="C349" s="50">
        <v>2014</v>
      </c>
      <c r="D349" s="50"/>
      <c r="E349" s="50"/>
      <c r="F349" s="27">
        <v>43.6</v>
      </c>
      <c r="AC349" s="68"/>
      <c r="AH349" s="71"/>
    </row>
    <row r="350" spans="3:34" ht="16" thickBot="1">
      <c r="C350" s="50">
        <v>2015</v>
      </c>
      <c r="D350" s="50"/>
      <c r="E350" s="50"/>
      <c r="F350" s="27">
        <v>185.3</v>
      </c>
      <c r="J350">
        <v>2016</v>
      </c>
      <c r="K350">
        <v>2017</v>
      </c>
      <c r="L350">
        <v>2018</v>
      </c>
      <c r="AC350" s="72"/>
      <c r="AD350" s="73"/>
      <c r="AE350" s="73"/>
      <c r="AF350" s="73"/>
      <c r="AG350" s="73"/>
      <c r="AH350" s="74"/>
    </row>
    <row r="351" spans="3:34">
      <c r="C351" s="50">
        <v>2016</v>
      </c>
      <c r="D351" s="50"/>
      <c r="E351" s="50"/>
      <c r="F351" s="27">
        <v>99.1</v>
      </c>
      <c r="J351" s="21">
        <f>'[12]Факт по Опер данным'!S17</f>
        <v>8917.9269999999997</v>
      </c>
      <c r="K351" s="21">
        <f>'[12]Факт по Опер данным'!T17</f>
        <v>8384.9030000000002</v>
      </c>
      <c r="L351" s="21">
        <f>'[12]Факт по Опер данным'!U17</f>
        <v>15048.927999999998</v>
      </c>
      <c r="AC351" s="70"/>
      <c r="AD351" s="70"/>
      <c r="AE351" s="70"/>
      <c r="AF351" s="70"/>
      <c r="AG351" s="70"/>
      <c r="AH351" s="70"/>
    </row>
    <row r="352" spans="3:34" ht="48">
      <c r="C352" s="51" t="s">
        <v>99</v>
      </c>
      <c r="D352" s="51"/>
      <c r="E352" s="51"/>
      <c r="F352" s="27">
        <v>-20</v>
      </c>
      <c r="J352" s="21">
        <f>'[12]Факт по Опер данным'!S20+'[12]Факт по Опер данным'!S21</f>
        <v>7669.17</v>
      </c>
      <c r="K352" s="21">
        <f>'[12]Факт по Опер данным'!T20+'[12]Факт по Опер данным'!T21</f>
        <v>7282.0149999999994</v>
      </c>
      <c r="L352" s="21">
        <f>'[12]Факт по Опер данным'!U20+'[12]Факт по Опер данным'!U21</f>
        <v>13894.440999999999</v>
      </c>
      <c r="AC352" s="70"/>
      <c r="AD352" s="70"/>
      <c r="AE352" s="70"/>
      <c r="AF352" s="70"/>
      <c r="AG352" s="70"/>
      <c r="AH352" s="70"/>
    </row>
    <row r="353" spans="3:34">
      <c r="C353" s="50" t="s">
        <v>100</v>
      </c>
      <c r="D353" s="50"/>
      <c r="E353" s="50"/>
      <c r="F353" s="27">
        <f>SUM(F348:F352)</f>
        <v>1077</v>
      </c>
      <c r="G353" s="27"/>
      <c r="J353" s="21">
        <f>J351-J352</f>
        <v>1248.7569999999996</v>
      </c>
      <c r="K353" s="21">
        <f>K351-K352</f>
        <v>1102.8880000000008</v>
      </c>
      <c r="L353" s="21">
        <f>L351-L352</f>
        <v>1154.4869999999992</v>
      </c>
      <c r="AC353" s="70"/>
      <c r="AD353" s="70"/>
      <c r="AE353" s="70"/>
      <c r="AF353" s="70"/>
      <c r="AG353" s="70"/>
      <c r="AH353" s="70"/>
    </row>
    <row r="354" spans="3:34">
      <c r="C354" s="50"/>
      <c r="D354" s="50"/>
      <c r="E354" s="50"/>
      <c r="F354" s="52"/>
      <c r="I354" t="s">
        <v>101</v>
      </c>
    </row>
    <row r="355" spans="3:34">
      <c r="C355" t="s">
        <v>102</v>
      </c>
      <c r="F355" s="52"/>
    </row>
    <row r="356" spans="3:34">
      <c r="C356">
        <v>2017</v>
      </c>
      <c r="F356">
        <v>376.4</v>
      </c>
      <c r="J356">
        <v>2016</v>
      </c>
      <c r="K356">
        <v>2017</v>
      </c>
      <c r="L356">
        <v>2018</v>
      </c>
    </row>
    <row r="357" spans="3:34">
      <c r="C357">
        <v>2018</v>
      </c>
      <c r="F357">
        <v>407</v>
      </c>
      <c r="I357" s="23" t="s">
        <v>3</v>
      </c>
      <c r="J357" s="23">
        <f>J358+J359+J360</f>
        <v>8.9</v>
      </c>
      <c r="K357" s="23">
        <f>K358+K359+K360</f>
        <v>8.3000000000000007</v>
      </c>
      <c r="L357" s="23">
        <f>L358+L359+L360</f>
        <v>14.999999999999998</v>
      </c>
    </row>
    <row r="358" spans="3:34">
      <c r="I358" t="s">
        <v>103</v>
      </c>
      <c r="J358">
        <v>5.5</v>
      </c>
      <c r="K358">
        <v>3.5</v>
      </c>
      <c r="L358">
        <v>8.1999999999999993</v>
      </c>
    </row>
    <row r="359" spans="3:34">
      <c r="C359" t="s">
        <v>104</v>
      </c>
      <c r="I359" t="s">
        <v>105</v>
      </c>
      <c r="J359">
        <v>2.4</v>
      </c>
      <c r="K359">
        <v>3.7</v>
      </c>
      <c r="L359">
        <v>5.6</v>
      </c>
    </row>
    <row r="360" spans="3:34">
      <c r="C360" s="23"/>
      <c r="D360" s="23"/>
      <c r="E360" s="23"/>
      <c r="F360" s="53"/>
      <c r="G360" s="53"/>
      <c r="I360" t="s">
        <v>106</v>
      </c>
      <c r="J360">
        <v>1</v>
      </c>
      <c r="K360">
        <v>1.1000000000000001</v>
      </c>
      <c r="L360">
        <v>1.2</v>
      </c>
    </row>
    <row r="361" spans="3:34">
      <c r="F361" s="26"/>
      <c r="G361" s="26"/>
      <c r="H361" s="26"/>
      <c r="I361" s="26" t="s">
        <v>3</v>
      </c>
      <c r="J361">
        <v>8.9</v>
      </c>
      <c r="K361">
        <v>8.3000000000000007</v>
      </c>
      <c r="L361">
        <v>15</v>
      </c>
    </row>
    <row r="362" spans="3:34">
      <c r="F362" s="26"/>
      <c r="G362" s="26"/>
      <c r="H362" s="26"/>
      <c r="I362" s="26"/>
    </row>
    <row r="363" spans="3:34">
      <c r="F363" s="26"/>
      <c r="G363" s="26"/>
      <c r="H363" s="26"/>
      <c r="I363" s="26"/>
    </row>
    <row r="364" spans="3:34">
      <c r="F364" s="26"/>
      <c r="G364" s="26"/>
      <c r="H364" s="26"/>
      <c r="I364" s="26"/>
    </row>
    <row r="365" spans="3:34">
      <c r="F365" s="26"/>
      <c r="G365" s="26"/>
      <c r="H365" s="26"/>
      <c r="I365" s="26"/>
    </row>
    <row r="366" spans="3:34">
      <c r="F366" s="26"/>
      <c r="G366" s="26"/>
      <c r="H366" s="26"/>
      <c r="I366" s="26"/>
    </row>
    <row r="367" spans="3:34">
      <c r="F367" s="26"/>
      <c r="G367" s="26"/>
      <c r="H367" s="26"/>
      <c r="I367" s="26"/>
    </row>
    <row r="368" spans="3:34">
      <c r="F368" s="26"/>
      <c r="G368" s="26"/>
      <c r="H368" s="26"/>
      <c r="I368" s="26"/>
      <c r="W368">
        <f>14.2-8.2</f>
        <v>6</v>
      </c>
    </row>
    <row r="369" spans="3:9">
      <c r="F369" s="26"/>
      <c r="G369" s="26"/>
      <c r="H369" s="26"/>
      <c r="I369" s="26"/>
    </row>
    <row r="371" spans="3:9">
      <c r="F371">
        <v>2016</v>
      </c>
      <c r="G371">
        <v>2017</v>
      </c>
      <c r="H371">
        <v>2018</v>
      </c>
      <c r="I371" t="s">
        <v>107</v>
      </c>
    </row>
    <row r="372" spans="3:9">
      <c r="C372" t="s">
        <v>18</v>
      </c>
      <c r="F372" s="21">
        <v>269582</v>
      </c>
      <c r="G372" s="21">
        <v>175032</v>
      </c>
      <c r="H372" s="21">
        <v>376683</v>
      </c>
      <c r="I372" s="21">
        <v>75662</v>
      </c>
    </row>
    <row r="373" spans="3:9">
      <c r="C373" t="s">
        <v>19</v>
      </c>
      <c r="F373" s="21">
        <v>220772.8</v>
      </c>
      <c r="G373" s="21">
        <v>173219.5</v>
      </c>
      <c r="H373" s="21">
        <v>150025.20000000001</v>
      </c>
    </row>
    <row r="374" spans="3:9">
      <c r="C374" t="s">
        <v>108</v>
      </c>
      <c r="F374" s="54">
        <v>0.81894488504425367</v>
      </c>
      <c r="G374" s="54">
        <v>0.98964475067416247</v>
      </c>
      <c r="H374" s="54">
        <v>0.39827972061388489</v>
      </c>
    </row>
    <row r="379" spans="3:9">
      <c r="C379" t="s">
        <v>109</v>
      </c>
    </row>
    <row r="380" spans="3:9">
      <c r="C380" t="s">
        <v>110</v>
      </c>
      <c r="F380" t="s">
        <v>111</v>
      </c>
      <c r="G380" t="s">
        <v>112</v>
      </c>
    </row>
    <row r="381" spans="3:9">
      <c r="C381" t="s">
        <v>113</v>
      </c>
      <c r="F381">
        <v>1.0954000000000002</v>
      </c>
      <c r="G381">
        <v>3.1E-2</v>
      </c>
      <c r="H381" t="s">
        <v>114</v>
      </c>
    </row>
    <row r="382" spans="3:9">
      <c r="C382" t="s">
        <v>115</v>
      </c>
      <c r="F382">
        <v>1.1214999999999999</v>
      </c>
      <c r="G382">
        <v>2.1000000000000001E-2</v>
      </c>
      <c r="H382" t="s">
        <v>116</v>
      </c>
    </row>
    <row r="383" spans="3:9">
      <c r="C383" t="s">
        <v>117</v>
      </c>
      <c r="F383">
        <v>1.1340999999999999</v>
      </c>
      <c r="G383">
        <v>1.4E-2</v>
      </c>
      <c r="H383" t="s">
        <v>116</v>
      </c>
    </row>
    <row r="384" spans="3:9">
      <c r="C384" t="s">
        <v>118</v>
      </c>
      <c r="F384">
        <v>1.1647000000000001</v>
      </c>
      <c r="G384">
        <v>1.2999999999999999E-2</v>
      </c>
      <c r="H384" t="s">
        <v>119</v>
      </c>
    </row>
    <row r="385" spans="3:8">
      <c r="C385" t="s">
        <v>120</v>
      </c>
      <c r="F385">
        <v>1.2</v>
      </c>
      <c r="G385">
        <v>1.0999999999999999E-2</v>
      </c>
      <c r="H385" t="s">
        <v>121</v>
      </c>
    </row>
    <row r="386" spans="3:8">
      <c r="C386" t="s">
        <v>122</v>
      </c>
      <c r="F386">
        <v>1.3257999999999999</v>
      </c>
      <c r="G386">
        <v>0.01</v>
      </c>
      <c r="H386" t="s">
        <v>116</v>
      </c>
    </row>
    <row r="387" spans="3:8">
      <c r="C387" t="s">
        <v>123</v>
      </c>
      <c r="F387">
        <v>1.573</v>
      </c>
      <c r="G387">
        <v>8.9999999999999993E-3</v>
      </c>
      <c r="H387" t="s">
        <v>121</v>
      </c>
    </row>
    <row r="388" spans="3:8">
      <c r="C388" t="s">
        <v>124</v>
      </c>
      <c r="F388">
        <v>1.7645</v>
      </c>
      <c r="G388">
        <v>8.9999999999999993E-3</v>
      </c>
      <c r="H388" t="s">
        <v>125</v>
      </c>
    </row>
    <row r="389" spans="3:8">
      <c r="C389" t="s">
        <v>126</v>
      </c>
      <c r="F389">
        <v>2.6163000000000003</v>
      </c>
      <c r="G389">
        <v>8.9999999999999993E-3</v>
      </c>
      <c r="H389" t="s">
        <v>121</v>
      </c>
    </row>
    <row r="390" spans="3:8" ht="144">
      <c r="C390" s="55" t="s">
        <v>127</v>
      </c>
      <c r="D390" s="55"/>
      <c r="E390" s="55"/>
      <c r="F390">
        <v>3.8851</v>
      </c>
      <c r="G390">
        <v>8.9999999999999993E-3</v>
      </c>
      <c r="H390" t="s">
        <v>128</v>
      </c>
    </row>
    <row r="393" spans="3:8">
      <c r="C393" t="s">
        <v>110</v>
      </c>
      <c r="F393" t="s">
        <v>112</v>
      </c>
      <c r="G393" t="s">
        <v>129</v>
      </c>
    </row>
    <row r="394" spans="3:8">
      <c r="C394" t="s">
        <v>130</v>
      </c>
      <c r="F394" s="54">
        <v>5.3333333333333337E-2</v>
      </c>
      <c r="G394">
        <v>1.6</v>
      </c>
    </row>
    <row r="395" spans="3:8">
      <c r="C395" t="s">
        <v>131</v>
      </c>
      <c r="F395" s="54">
        <v>8.3333333333333329E-2</v>
      </c>
      <c r="G395">
        <v>2.5</v>
      </c>
    </row>
    <row r="396" spans="3:8">
      <c r="C396" t="s">
        <v>132</v>
      </c>
      <c r="F396" s="54">
        <v>0.10333333333333333</v>
      </c>
      <c r="G396">
        <v>3.1</v>
      </c>
    </row>
    <row r="397" spans="3:8">
      <c r="C397" t="s">
        <v>133</v>
      </c>
      <c r="F397" s="54">
        <v>0.15333333333333332</v>
      </c>
      <c r="G397">
        <v>4.5999999999999996</v>
      </c>
    </row>
    <row r="398" spans="3:8">
      <c r="C398" t="s">
        <v>134</v>
      </c>
      <c r="F398" s="54">
        <v>0.41666666666666669</v>
      </c>
      <c r="G398">
        <v>12.5</v>
      </c>
    </row>
    <row r="399" spans="3:8">
      <c r="C399" t="s">
        <v>3</v>
      </c>
      <c r="F399" s="49">
        <f>SUM(F394:F398)</f>
        <v>0.81</v>
      </c>
      <c r="G399">
        <v>30</v>
      </c>
    </row>
    <row r="409" spans="12:22">
      <c r="L409" t="s">
        <v>135</v>
      </c>
    </row>
    <row r="410" spans="12:22">
      <c r="L410" t="s">
        <v>136</v>
      </c>
    </row>
    <row r="411" spans="12:22">
      <c r="L411">
        <v>2014</v>
      </c>
      <c r="M411">
        <v>2015</v>
      </c>
      <c r="N411">
        <v>2016</v>
      </c>
      <c r="O411">
        <v>2017</v>
      </c>
      <c r="P411">
        <v>2018</v>
      </c>
      <c r="Q411" t="s">
        <v>137</v>
      </c>
      <c r="R411" t="s">
        <v>138</v>
      </c>
      <c r="S411" t="s">
        <v>139</v>
      </c>
      <c r="T411" t="s">
        <v>140</v>
      </c>
      <c r="U411" t="s">
        <v>141</v>
      </c>
      <c r="V411" t="s">
        <v>142</v>
      </c>
    </row>
    <row r="412" spans="12:22">
      <c r="L412">
        <v>2671</v>
      </c>
      <c r="M412">
        <v>2398</v>
      </c>
      <c r="N412">
        <v>2422</v>
      </c>
      <c r="O412">
        <v>2255</v>
      </c>
      <c r="P412">
        <v>2324</v>
      </c>
      <c r="Q412">
        <v>2380</v>
      </c>
      <c r="R412">
        <v>2447</v>
      </c>
      <c r="S412">
        <v>2637</v>
      </c>
      <c r="T412">
        <v>2585</v>
      </c>
      <c r="U412">
        <v>2637</v>
      </c>
      <c r="V412">
        <v>2690</v>
      </c>
    </row>
    <row r="413" spans="12:22">
      <c r="L413" s="49">
        <v>0.91600000000000004</v>
      </c>
      <c r="M413" s="49">
        <v>0.89800000000000002</v>
      </c>
      <c r="N413" s="49">
        <v>1.01</v>
      </c>
      <c r="O413" s="49">
        <v>0.93100000000000005</v>
      </c>
      <c r="P413" s="49">
        <v>1.0309999999999999</v>
      </c>
      <c r="Q413" s="49">
        <v>1.024</v>
      </c>
      <c r="R413" s="49">
        <v>1.028</v>
      </c>
      <c r="S413" s="49">
        <v>1.02</v>
      </c>
      <c r="T413" s="49">
        <v>1.02</v>
      </c>
      <c r="U413" s="49">
        <v>1.02</v>
      </c>
      <c r="V413" s="49">
        <v>1.02</v>
      </c>
    </row>
    <row r="430" spans="13:23">
      <c r="U430">
        <v>2014</v>
      </c>
      <c r="V430">
        <v>2015</v>
      </c>
      <c r="W430">
        <v>2016</v>
      </c>
    </row>
    <row r="431" spans="13:23">
      <c r="M431" t="s">
        <v>143</v>
      </c>
      <c r="T431" t="s">
        <v>144</v>
      </c>
      <c r="U431">
        <v>1050</v>
      </c>
      <c r="V431">
        <v>880</v>
      </c>
      <c r="W431">
        <v>677</v>
      </c>
    </row>
    <row r="432" spans="13:23">
      <c r="T432" t="s">
        <v>145</v>
      </c>
      <c r="U432" s="49">
        <v>0.4</v>
      </c>
      <c r="V432" s="49">
        <v>0.37</v>
      </c>
      <c r="W432" s="49">
        <v>0.28000000000000003</v>
      </c>
    </row>
    <row r="454" spans="3:9">
      <c r="C454" t="s">
        <v>91</v>
      </c>
      <c r="F454" s="21">
        <f>F460*H454</f>
        <v>5974.609629999999</v>
      </c>
      <c r="H454" s="49">
        <v>0.43</v>
      </c>
      <c r="I454">
        <f>SUM(F454:F459)</f>
        <v>13894.440999999999</v>
      </c>
    </row>
    <row r="455" spans="3:9">
      <c r="C455" t="s">
        <v>92</v>
      </c>
      <c r="F455" s="21">
        <f>F460*H455</f>
        <v>2084.1661499999996</v>
      </c>
      <c r="H455" s="49">
        <v>0.15</v>
      </c>
    </row>
    <row r="456" spans="3:9">
      <c r="C456" t="s">
        <v>93</v>
      </c>
      <c r="F456" s="21">
        <f>F460*H456</f>
        <v>972.61086999999998</v>
      </c>
      <c r="H456" s="49">
        <v>7.0000000000000007E-2</v>
      </c>
    </row>
    <row r="457" spans="3:9">
      <c r="C457" t="s">
        <v>94</v>
      </c>
      <c r="F457" s="21">
        <f>F460*H457</f>
        <v>833.66645999999992</v>
      </c>
      <c r="H457" s="49">
        <v>0.06</v>
      </c>
    </row>
    <row r="458" spans="3:9">
      <c r="C458" t="s">
        <v>95</v>
      </c>
      <c r="F458" s="21">
        <f>F460*H458</f>
        <v>555.77764000000002</v>
      </c>
      <c r="H458" s="49">
        <v>0.04</v>
      </c>
    </row>
    <row r="459" spans="3:9">
      <c r="C459" t="s">
        <v>96</v>
      </c>
      <c r="F459" s="21">
        <f>F460*H459</f>
        <v>3473.6102499999997</v>
      </c>
      <c r="H459" s="49">
        <v>0.25</v>
      </c>
    </row>
    <row r="460" spans="3:9">
      <c r="C460" t="s">
        <v>3</v>
      </c>
      <c r="F460">
        <f>'[12]Факт по Опер данным'!U20+'[12]Факт по Опер данным'!U21</f>
        <v>13894.440999999999</v>
      </c>
      <c r="H460" s="49">
        <f>SUM(H454:H459)</f>
        <v>1</v>
      </c>
    </row>
    <row r="462" spans="3:9">
      <c r="C462" t="s">
        <v>146</v>
      </c>
      <c r="F462" s="56">
        <f>'[8]Статистика по саду'!U17</f>
        <v>18005.782000000003</v>
      </c>
    </row>
    <row r="463" spans="3:9">
      <c r="C463" t="s">
        <v>84</v>
      </c>
      <c r="F463" s="56">
        <f>'[8]Статистика по саду'!S37</f>
        <v>142</v>
      </c>
    </row>
    <row r="464" spans="3:9">
      <c r="C464" t="s">
        <v>85</v>
      </c>
      <c r="F464" s="56">
        <f>'[8]Статистика по саду'!S38</f>
        <v>315.70699999999999</v>
      </c>
    </row>
    <row r="465" spans="3:20">
      <c r="C465" t="s">
        <v>86</v>
      </c>
      <c r="F465" s="56">
        <f>'[8]Статистика по саду'!S39</f>
        <v>25.052999999999997</v>
      </c>
    </row>
    <row r="466" spans="3:20">
      <c r="C466" t="s">
        <v>147</v>
      </c>
      <c r="F466" s="56">
        <f>'[8]Статистика по саду'!S40</f>
        <v>29.805</v>
      </c>
      <c r="G466" s="57"/>
    </row>
    <row r="467" spans="3:20">
      <c r="C467" s="23" t="s">
        <v>3</v>
      </c>
      <c r="D467" s="23"/>
      <c r="E467" s="23"/>
      <c r="F467" s="53">
        <f>SUM(F462:F466)</f>
        <v>18518.347000000002</v>
      </c>
      <c r="G467" s="56" t="str">
        <f>'[8]Статистика по саду'!U24</f>
        <v>Валовый сбор</v>
      </c>
      <c r="N467" s="57" t="s">
        <v>148</v>
      </c>
    </row>
    <row r="468" spans="3:20">
      <c r="N468" s="57" t="s">
        <v>149</v>
      </c>
    </row>
    <row r="469" spans="3:20">
      <c r="C469" t="s">
        <v>146</v>
      </c>
      <c r="F469">
        <f>'[8]Вал Сбор'!J90</f>
        <v>4358.9999999999991</v>
      </c>
      <c r="N469" s="57" t="s">
        <v>150</v>
      </c>
      <c r="T469" s="58">
        <f>[8]Sales!X8+[8]Sales!X9</f>
        <v>17013.228000000003</v>
      </c>
    </row>
    <row r="470" spans="3:20">
      <c r="C470" t="s">
        <v>151</v>
      </c>
      <c r="F470" s="56">
        <v>73</v>
      </c>
      <c r="N470" s="57" t="s">
        <v>152</v>
      </c>
      <c r="T470" s="58">
        <f>[8]Sales!X10</f>
        <v>114.65900000000001</v>
      </c>
    </row>
    <row r="471" spans="3:20">
      <c r="C471" t="s">
        <v>85</v>
      </c>
      <c r="F471" s="56">
        <v>291</v>
      </c>
      <c r="T471" s="58">
        <f>[8]Sales!X11</f>
        <v>311.87700000000001</v>
      </c>
    </row>
    <row r="472" spans="3:20">
      <c r="C472" t="s">
        <v>86</v>
      </c>
      <c r="F472" s="56">
        <f>'[8]Статистика по саду'!S46</f>
        <v>0</v>
      </c>
      <c r="T472" s="58">
        <f>F464</f>
        <v>315.70699999999999</v>
      </c>
    </row>
    <row r="473" spans="3:20">
      <c r="C473" t="s">
        <v>147</v>
      </c>
      <c r="F473" s="56">
        <f>'[8]Статистика по саду'!S47</f>
        <v>0</v>
      </c>
      <c r="T473" s="58">
        <f>[8]Sales!X12</f>
        <v>24.960999999999999</v>
      </c>
    </row>
    <row r="474" spans="3:20">
      <c r="C474" s="23" t="s">
        <v>3</v>
      </c>
      <c r="D474" s="23"/>
      <c r="E474" s="23"/>
      <c r="F474" s="53">
        <f>SUM(F469:F473)</f>
        <v>4722.9999999999991</v>
      </c>
    </row>
    <row r="477" spans="3:20">
      <c r="C477" t="s">
        <v>153</v>
      </c>
    </row>
    <row r="478" spans="3:20">
      <c r="C478" t="s">
        <v>154</v>
      </c>
      <c r="G478" t="s">
        <v>155</v>
      </c>
    </row>
    <row r="479" spans="3:20">
      <c r="F479">
        <v>2018</v>
      </c>
      <c r="G479">
        <v>2021</v>
      </c>
      <c r="H479">
        <v>2023</v>
      </c>
    </row>
    <row r="480" spans="3:20">
      <c r="C480" t="s">
        <v>156</v>
      </c>
      <c r="F480" s="27">
        <v>654.56000000000006</v>
      </c>
      <c r="G480" s="27">
        <v>654.56000000000006</v>
      </c>
      <c r="H480" s="27">
        <v>654.56000000000006</v>
      </c>
    </row>
    <row r="481" spans="3:9">
      <c r="C481" t="s">
        <v>157</v>
      </c>
      <c r="F481" s="27">
        <v>14.3</v>
      </c>
      <c r="G481" s="27">
        <v>21.2</v>
      </c>
      <c r="H481" s="27">
        <v>22.5</v>
      </c>
    </row>
    <row r="482" spans="3:9">
      <c r="C482" t="s">
        <v>158</v>
      </c>
      <c r="F482" s="27">
        <v>12343.762999999997</v>
      </c>
      <c r="G482" s="27">
        <v>14762.037999999999</v>
      </c>
      <c r="H482" s="27">
        <v>19655.613699600002</v>
      </c>
    </row>
    <row r="486" spans="3:9">
      <c r="G486">
        <v>2020</v>
      </c>
      <c r="H486">
        <v>2021</v>
      </c>
      <c r="I486">
        <v>2022</v>
      </c>
    </row>
    <row r="487" spans="3:9">
      <c r="G487" s="27">
        <v>654.56000000000006</v>
      </c>
      <c r="H487" s="27">
        <v>654.56000000000006</v>
      </c>
      <c r="I487" s="27">
        <v>654.56000000000006</v>
      </c>
    </row>
    <row r="488" spans="3:9">
      <c r="G488" s="27">
        <v>24.263792471278418</v>
      </c>
      <c r="H488" s="27">
        <v>24.722421168418482</v>
      </c>
      <c r="I488" s="27">
        <v>25.699950195551207</v>
      </c>
    </row>
    <row r="489" spans="3:9">
      <c r="G489" s="27">
        <v>15882.108000000002</v>
      </c>
      <c r="H489" s="27">
        <v>17139.902400000003</v>
      </c>
      <c r="I489" s="27">
        <v>18633.383335999999</v>
      </c>
    </row>
    <row r="492" spans="3:9">
      <c r="C492" t="s">
        <v>57</v>
      </c>
    </row>
    <row r="494" spans="3:9">
      <c r="C494" t="s">
        <v>159</v>
      </c>
      <c r="F494" s="56">
        <v>959</v>
      </c>
      <c r="G494" s="59">
        <v>13280.4</v>
      </c>
    </row>
    <row r="495" spans="3:9">
      <c r="C495" t="s">
        <v>160</v>
      </c>
      <c r="F495" s="56">
        <v>109</v>
      </c>
      <c r="G495" s="59">
        <v>186.6</v>
      </c>
    </row>
    <row r="496" spans="3:9">
      <c r="C496" t="s">
        <v>161</v>
      </c>
      <c r="F496" s="56">
        <v>398</v>
      </c>
      <c r="G496" s="59">
        <v>98.8</v>
      </c>
    </row>
    <row r="497" spans="1:12">
      <c r="C497" t="s">
        <v>162</v>
      </c>
      <c r="F497" s="56">
        <v>242</v>
      </c>
      <c r="G497" s="59">
        <v>48.9</v>
      </c>
    </row>
    <row r="498" spans="1:12">
      <c r="C498" s="23" t="s">
        <v>3</v>
      </c>
      <c r="D498" s="23"/>
      <c r="E498" s="23"/>
      <c r="F498" s="53">
        <f>SUM(F494:F497)</f>
        <v>1708</v>
      </c>
    </row>
    <row r="500" spans="1:12">
      <c r="C500" t="s">
        <v>20</v>
      </c>
      <c r="H500" s="928" t="s">
        <v>163</v>
      </c>
      <c r="I500" s="929"/>
    </row>
    <row r="501" spans="1:12">
      <c r="C501" t="s">
        <v>159</v>
      </c>
      <c r="F501" s="56">
        <v>714</v>
      </c>
      <c r="H501" s="60"/>
      <c r="I501" s="60" t="s">
        <v>164</v>
      </c>
    </row>
    <row r="502" spans="1:12">
      <c r="C502" t="s">
        <v>160</v>
      </c>
      <c r="F502" s="56">
        <v>20</v>
      </c>
      <c r="H502" s="61" t="s">
        <v>165</v>
      </c>
      <c r="I502" s="62">
        <v>422</v>
      </c>
    </row>
    <row r="503" spans="1:12">
      <c r="C503" t="s">
        <v>161</v>
      </c>
      <c r="F503" s="56">
        <v>563</v>
      </c>
      <c r="H503" s="61" t="s">
        <v>166</v>
      </c>
      <c r="I503" s="62">
        <v>84</v>
      </c>
    </row>
    <row r="504" spans="1:12">
      <c r="F504" s="56"/>
      <c r="H504" s="61" t="s">
        <v>151</v>
      </c>
      <c r="I504" s="62">
        <v>10</v>
      </c>
    </row>
    <row r="505" spans="1:12">
      <c r="C505" s="23" t="s">
        <v>3</v>
      </c>
      <c r="D505" s="23"/>
      <c r="E505" s="23"/>
      <c r="F505" s="53">
        <f>SUM(F501:F503)</f>
        <v>1297</v>
      </c>
      <c r="H505" s="61" t="s">
        <v>167</v>
      </c>
      <c r="I505" s="62">
        <v>724</v>
      </c>
    </row>
    <row r="506" spans="1:12">
      <c r="H506" s="61" t="s">
        <v>168</v>
      </c>
      <c r="I506" s="62">
        <f>SUM(I502:I505)</f>
        <v>1240</v>
      </c>
      <c r="J506" s="63">
        <f>I502+I503+I504+I505</f>
        <v>1240</v>
      </c>
    </row>
    <row r="510" spans="1:12">
      <c r="A510" s="23" t="s">
        <v>57</v>
      </c>
      <c r="D510" s="23">
        <v>2017</v>
      </c>
      <c r="E510" s="23">
        <v>2018</v>
      </c>
      <c r="F510" s="47" t="s">
        <v>23</v>
      </c>
      <c r="G510" s="47" t="s">
        <v>24</v>
      </c>
      <c r="H510" s="47" t="s">
        <v>25</v>
      </c>
      <c r="I510" s="47" t="s">
        <v>26</v>
      </c>
      <c r="J510" s="47" t="s">
        <v>27</v>
      </c>
      <c r="K510" s="47" t="s">
        <v>67</v>
      </c>
      <c r="L510" s="47" t="s">
        <v>68</v>
      </c>
    </row>
    <row r="511" spans="1:12">
      <c r="A511" t="s">
        <v>169</v>
      </c>
      <c r="D511">
        <f>G271</f>
        <v>286.2</v>
      </c>
      <c r="E511">
        <v>286.2</v>
      </c>
      <c r="F511">
        <v>266.2</v>
      </c>
      <c r="G511">
        <v>99.1</v>
      </c>
    </row>
    <row r="512" spans="1:12">
      <c r="A512" t="s">
        <v>170</v>
      </c>
      <c r="D512">
        <f>G272</f>
        <v>567.9</v>
      </c>
      <c r="E512">
        <v>360.5</v>
      </c>
      <c r="F512">
        <v>380.8</v>
      </c>
      <c r="G512">
        <v>484.2</v>
      </c>
      <c r="H512">
        <v>341.1</v>
      </c>
      <c r="I512">
        <v>266.2</v>
      </c>
      <c r="J512">
        <v>266.2</v>
      </c>
      <c r="K512">
        <v>99.1</v>
      </c>
    </row>
    <row r="513" spans="1:12">
      <c r="A513" t="s">
        <v>171</v>
      </c>
      <c r="D513">
        <f>G273</f>
        <v>112.5</v>
      </c>
      <c r="E513">
        <v>319.89999999999998</v>
      </c>
      <c r="F513">
        <v>321.5</v>
      </c>
      <c r="G513">
        <v>385.2</v>
      </c>
      <c r="H513">
        <f>587.4+40</f>
        <v>627.4</v>
      </c>
      <c r="I513">
        <f>662.3+40</f>
        <v>702.3</v>
      </c>
      <c r="J513">
        <f>662.3+40</f>
        <v>702.3</v>
      </c>
      <c r="K513">
        <f>829.4+40</f>
        <v>869.4</v>
      </c>
      <c r="L513">
        <v>968.5</v>
      </c>
    </row>
    <row r="514" spans="1:12">
      <c r="A514" t="s">
        <v>3</v>
      </c>
      <c r="D514">
        <f t="shared" ref="D514:I514" si="10">SUM(D511:D513)</f>
        <v>966.59999999999991</v>
      </c>
      <c r="E514">
        <f t="shared" si="10"/>
        <v>966.6</v>
      </c>
      <c r="F514">
        <f t="shared" si="10"/>
        <v>968.5</v>
      </c>
      <c r="G514">
        <f t="shared" si="10"/>
        <v>968.5</v>
      </c>
      <c r="H514">
        <f t="shared" si="10"/>
        <v>968.5</v>
      </c>
      <c r="I514">
        <f t="shared" si="10"/>
        <v>968.5</v>
      </c>
      <c r="K514">
        <f>SUM(J511:J513)</f>
        <v>968.5</v>
      </c>
      <c r="L514">
        <f>SUM(K511:K513)</f>
        <v>968.5</v>
      </c>
    </row>
    <row r="516" spans="1:12">
      <c r="A516" s="23" t="s">
        <v>20</v>
      </c>
    </row>
    <row r="517" spans="1:12">
      <c r="A517" t="s">
        <v>169</v>
      </c>
      <c r="D517">
        <f t="shared" ref="D517:E519" si="11">G266</f>
        <v>542</v>
      </c>
      <c r="E517">
        <f t="shared" si="11"/>
        <v>342</v>
      </c>
      <c r="F517" s="27">
        <f>F308</f>
        <v>342</v>
      </c>
      <c r="G517" s="27">
        <f>F517-122</f>
        <v>220</v>
      </c>
      <c r="H517">
        <v>202</v>
      </c>
    </row>
    <row r="518" spans="1:12">
      <c r="A518" t="s">
        <v>170</v>
      </c>
      <c r="D518">
        <f t="shared" si="11"/>
        <v>97</v>
      </c>
      <c r="E518">
        <f t="shared" si="11"/>
        <v>297</v>
      </c>
      <c r="F518" s="52">
        <f>F309</f>
        <v>200</v>
      </c>
      <c r="G518">
        <f>322</f>
        <v>322</v>
      </c>
      <c r="H518">
        <f>322+18</f>
        <v>340</v>
      </c>
      <c r="I518">
        <v>542</v>
      </c>
      <c r="J518">
        <f>542-200</f>
        <v>342</v>
      </c>
      <c r="K518">
        <f>J518-122</f>
        <v>220</v>
      </c>
      <c r="L518">
        <f>K518-18</f>
        <v>202</v>
      </c>
    </row>
    <row r="519" spans="1:12">
      <c r="A519" t="s">
        <v>171</v>
      </c>
      <c r="D519">
        <f t="shared" si="11"/>
        <v>57</v>
      </c>
      <c r="E519">
        <f t="shared" si="11"/>
        <v>57</v>
      </c>
      <c r="F519" s="27">
        <f>F310</f>
        <v>154</v>
      </c>
      <c r="G519" s="27">
        <f>F519</f>
        <v>154</v>
      </c>
      <c r="H519" s="27">
        <f>G519</f>
        <v>154</v>
      </c>
      <c r="I519" s="27">
        <f>H519</f>
        <v>154</v>
      </c>
      <c r="J519" s="27">
        <f>I519+200</f>
        <v>354</v>
      </c>
      <c r="K519" s="27">
        <f>J519+122</f>
        <v>476</v>
      </c>
      <c r="L519" s="27">
        <f>K519+18</f>
        <v>494</v>
      </c>
    </row>
    <row r="520" spans="1:12">
      <c r="A520" t="s">
        <v>3</v>
      </c>
      <c r="D520">
        <f t="shared" ref="D520:L520" si="12">SUM(D517:D519)</f>
        <v>696</v>
      </c>
      <c r="E520">
        <f t="shared" si="12"/>
        <v>696</v>
      </c>
      <c r="F520">
        <f t="shared" si="12"/>
        <v>696</v>
      </c>
      <c r="G520" s="27">
        <f t="shared" si="12"/>
        <v>696</v>
      </c>
      <c r="H520">
        <f t="shared" si="12"/>
        <v>696</v>
      </c>
      <c r="I520">
        <f t="shared" si="12"/>
        <v>696</v>
      </c>
      <c r="J520">
        <f t="shared" si="12"/>
        <v>696</v>
      </c>
      <c r="K520">
        <f t="shared" si="12"/>
        <v>696</v>
      </c>
      <c r="L520">
        <f t="shared" si="12"/>
        <v>696</v>
      </c>
    </row>
    <row r="522" spans="1:12">
      <c r="A522" s="23" t="s">
        <v>172</v>
      </c>
    </row>
    <row r="523" spans="1:12">
      <c r="A523" t="s">
        <v>169</v>
      </c>
      <c r="D523" s="24">
        <f t="shared" ref="D523:L525" si="13">D511+D517</f>
        <v>828.2</v>
      </c>
      <c r="E523" s="24">
        <f t="shared" si="13"/>
        <v>628.20000000000005</v>
      </c>
      <c r="F523" s="24">
        <f>F511+F517</f>
        <v>608.20000000000005</v>
      </c>
      <c r="G523" s="24">
        <f>G511+G517</f>
        <v>319.10000000000002</v>
      </c>
      <c r="H523" s="24">
        <f>H517</f>
        <v>202</v>
      </c>
      <c r="I523" s="24"/>
      <c r="J523" s="24"/>
      <c r="K523" s="24"/>
      <c r="L523" s="24"/>
    </row>
    <row r="524" spans="1:12">
      <c r="A524" t="s">
        <v>170</v>
      </c>
      <c r="D524" s="24">
        <f t="shared" si="13"/>
        <v>664.9</v>
      </c>
      <c r="E524" s="24">
        <f t="shared" si="13"/>
        <v>657.5</v>
      </c>
      <c r="F524" s="24">
        <f t="shared" si="13"/>
        <v>580.79999999999995</v>
      </c>
      <c r="G524" s="24">
        <f t="shared" si="13"/>
        <v>806.2</v>
      </c>
      <c r="H524" s="24">
        <f t="shared" si="13"/>
        <v>681.1</v>
      </c>
      <c r="I524" s="24">
        <f t="shared" si="13"/>
        <v>808.2</v>
      </c>
      <c r="J524" s="24">
        <f t="shared" si="13"/>
        <v>608.20000000000005</v>
      </c>
      <c r="K524" s="24">
        <f t="shared" si="13"/>
        <v>319.10000000000002</v>
      </c>
      <c r="L524" s="24">
        <f t="shared" si="13"/>
        <v>202</v>
      </c>
    </row>
    <row r="525" spans="1:12">
      <c r="A525" t="s">
        <v>171</v>
      </c>
      <c r="D525" s="24">
        <f t="shared" si="13"/>
        <v>169.5</v>
      </c>
      <c r="E525" s="24">
        <f t="shared" si="13"/>
        <v>376.9</v>
      </c>
      <c r="F525" s="24">
        <f t="shared" si="13"/>
        <v>475.5</v>
      </c>
      <c r="G525" s="24">
        <f t="shared" si="13"/>
        <v>539.20000000000005</v>
      </c>
      <c r="H525" s="24">
        <f t="shared" si="13"/>
        <v>781.4</v>
      </c>
      <c r="I525" s="24">
        <f t="shared" si="13"/>
        <v>856.3</v>
      </c>
      <c r="J525" s="24">
        <f t="shared" si="13"/>
        <v>1056.3</v>
      </c>
      <c r="K525" s="24">
        <f t="shared" si="13"/>
        <v>1345.4</v>
      </c>
      <c r="L525" s="24">
        <f t="shared" si="13"/>
        <v>1462.5</v>
      </c>
    </row>
    <row r="526" spans="1:12">
      <c r="A526" s="23" t="s">
        <v>3</v>
      </c>
      <c r="D526" s="64">
        <f>SUM(D523:D525)</f>
        <v>1662.6</v>
      </c>
      <c r="E526" s="64">
        <f>SUM(E523:E525)</f>
        <v>1662.6</v>
      </c>
      <c r="F526" s="64">
        <f>SUM(F523:F525)</f>
        <v>1664.5</v>
      </c>
      <c r="G526" s="64">
        <f t="shared" ref="G526:L526" si="14">SUM(G523:G525)</f>
        <v>1664.5000000000002</v>
      </c>
      <c r="H526" s="64">
        <f t="shared" si="14"/>
        <v>1664.5</v>
      </c>
      <c r="I526" s="64">
        <f t="shared" si="14"/>
        <v>1664.5</v>
      </c>
      <c r="J526" s="64">
        <f t="shared" si="14"/>
        <v>1664.5</v>
      </c>
      <c r="K526" s="64">
        <f t="shared" si="14"/>
        <v>1664.5</v>
      </c>
      <c r="L526" s="64">
        <f t="shared" si="14"/>
        <v>1664.5</v>
      </c>
    </row>
    <row r="528" spans="1:12">
      <c r="A528" t="s">
        <v>173</v>
      </c>
      <c r="D528" s="24">
        <f>D524+D525</f>
        <v>834.4</v>
      </c>
      <c r="E528" s="24">
        <f>E524+E525</f>
        <v>1034.4000000000001</v>
      </c>
      <c r="F528" s="24">
        <f>F524+F525</f>
        <v>1056.3</v>
      </c>
      <c r="G528" s="24">
        <f t="shared" ref="G528:L528" si="15">G524+G525</f>
        <v>1345.4</v>
      </c>
      <c r="H528" s="24">
        <f t="shared" si="15"/>
        <v>1462.5</v>
      </c>
      <c r="I528" s="24">
        <f t="shared" si="15"/>
        <v>1664.5</v>
      </c>
      <c r="J528" s="24">
        <f t="shared" si="15"/>
        <v>1664.5</v>
      </c>
      <c r="K528" s="24">
        <f t="shared" si="15"/>
        <v>1664.5</v>
      </c>
      <c r="L528" s="24">
        <f t="shared" si="15"/>
        <v>1664.5</v>
      </c>
    </row>
    <row r="529" spans="1:13">
      <c r="A529" t="s">
        <v>174</v>
      </c>
      <c r="D529" s="24">
        <f>D525</f>
        <v>169.5</v>
      </c>
      <c r="E529" s="24">
        <f t="shared" ref="E529:L529" si="16">E525</f>
        <v>376.9</v>
      </c>
      <c r="F529" s="24">
        <f t="shared" si="16"/>
        <v>475.5</v>
      </c>
      <c r="G529" s="24">
        <f t="shared" si="16"/>
        <v>539.20000000000005</v>
      </c>
      <c r="H529" s="24">
        <f t="shared" si="16"/>
        <v>781.4</v>
      </c>
      <c r="I529" s="24">
        <f t="shared" si="16"/>
        <v>856.3</v>
      </c>
      <c r="J529" s="24">
        <f t="shared" si="16"/>
        <v>1056.3</v>
      </c>
      <c r="K529" s="24">
        <f t="shared" si="16"/>
        <v>1345.4</v>
      </c>
      <c r="L529" s="24">
        <f t="shared" si="16"/>
        <v>1462.5</v>
      </c>
      <c r="M529">
        <v>1665</v>
      </c>
    </row>
  </sheetData>
  <mergeCells count="1">
    <mergeCell ref="H500:I50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
  <sheetViews>
    <sheetView topLeftCell="D1" workbookViewId="0">
      <selection activeCell="D19" sqref="D19"/>
    </sheetView>
  </sheetViews>
  <sheetFormatPr baseColWidth="10" defaultColWidth="8.83203125" defaultRowHeight="15"/>
  <cols>
    <col min="3" max="3" width="10.5" customWidth="1"/>
    <col min="4" max="5" width="13.5" customWidth="1"/>
    <col min="6" max="6" width="21.5" customWidth="1"/>
    <col min="7" max="7" width="16" customWidth="1"/>
    <col min="8" max="8" width="35.1640625" customWidth="1"/>
    <col min="9" max="11" width="22.5" customWidth="1"/>
  </cols>
  <sheetData>
    <row r="1" spans="1:11">
      <c r="A1" t="s">
        <v>254</v>
      </c>
      <c r="B1" t="s">
        <v>182</v>
      </c>
      <c r="C1" t="s">
        <v>183</v>
      </c>
      <c r="D1" t="s">
        <v>184</v>
      </c>
      <c r="E1" t="s">
        <v>185</v>
      </c>
      <c r="F1" t="s">
        <v>186</v>
      </c>
      <c r="G1" t="s">
        <v>187</v>
      </c>
      <c r="H1" t="s">
        <v>188</v>
      </c>
      <c r="I1" t="s">
        <v>189</v>
      </c>
      <c r="J1" t="s">
        <v>191</v>
      </c>
      <c r="K1" t="s">
        <v>193</v>
      </c>
    </row>
    <row r="2" spans="1:11">
      <c r="B2" t="s">
        <v>203</v>
      </c>
      <c r="C2" t="s">
        <v>177</v>
      </c>
      <c r="D2">
        <v>2008</v>
      </c>
      <c r="E2">
        <v>4.18</v>
      </c>
      <c r="F2">
        <v>6332</v>
      </c>
      <c r="G2" t="s">
        <v>195</v>
      </c>
      <c r="H2">
        <v>1515</v>
      </c>
      <c r="I2">
        <v>97.03</v>
      </c>
      <c r="J2">
        <v>46.76</v>
      </c>
      <c r="K2">
        <v>215.1</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7"/>
  <sheetViews>
    <sheetView workbookViewId="0">
      <selection activeCell="D19" sqref="D19"/>
    </sheetView>
  </sheetViews>
  <sheetFormatPr baseColWidth="10" defaultColWidth="8.83203125" defaultRowHeight="15"/>
  <cols>
    <col min="3" max="3" width="10.5" customWidth="1"/>
    <col min="4" max="5" width="13.5" customWidth="1"/>
    <col min="6" max="6" width="21.5" customWidth="1"/>
    <col min="7" max="7" width="16" customWidth="1"/>
    <col min="8" max="10" width="22.5" customWidth="1"/>
  </cols>
  <sheetData>
    <row r="1" spans="1:10">
      <c r="A1" t="s">
        <v>181</v>
      </c>
      <c r="B1" t="s">
        <v>182</v>
      </c>
      <c r="C1" t="s">
        <v>183</v>
      </c>
      <c r="D1" t="s">
        <v>184</v>
      </c>
      <c r="E1" t="s">
        <v>185</v>
      </c>
      <c r="F1" t="s">
        <v>186</v>
      </c>
      <c r="G1" t="s">
        <v>187</v>
      </c>
      <c r="H1" t="s">
        <v>189</v>
      </c>
      <c r="I1" t="s">
        <v>191</v>
      </c>
      <c r="J1" t="s">
        <v>193</v>
      </c>
    </row>
    <row r="2" spans="1:10">
      <c r="B2" t="s">
        <v>216</v>
      </c>
      <c r="C2" t="s">
        <v>177</v>
      </c>
      <c r="D2">
        <v>2012</v>
      </c>
      <c r="E2">
        <v>6.4</v>
      </c>
      <c r="F2">
        <v>5249</v>
      </c>
      <c r="G2" t="s">
        <v>212</v>
      </c>
      <c r="H2">
        <v>12.385</v>
      </c>
      <c r="I2">
        <v>85.533000000000001</v>
      </c>
      <c r="J2">
        <v>157.9</v>
      </c>
    </row>
    <row r="3" spans="1:10">
      <c r="B3" t="s">
        <v>216</v>
      </c>
      <c r="C3" t="s">
        <v>177</v>
      </c>
      <c r="D3">
        <v>2013</v>
      </c>
      <c r="E3">
        <v>5.5</v>
      </c>
      <c r="F3">
        <v>4488</v>
      </c>
      <c r="G3" t="s">
        <v>212</v>
      </c>
      <c r="I3">
        <v>55.1</v>
      </c>
      <c r="J3">
        <v>32</v>
      </c>
    </row>
    <row r="4" spans="1:10">
      <c r="B4" t="s">
        <v>216</v>
      </c>
      <c r="C4" t="s">
        <v>177</v>
      </c>
      <c r="D4">
        <v>2015</v>
      </c>
      <c r="E4">
        <v>2</v>
      </c>
      <c r="F4">
        <v>1632</v>
      </c>
      <c r="G4" t="s">
        <v>212</v>
      </c>
      <c r="J4">
        <v>9</v>
      </c>
    </row>
    <row r="5" spans="1:10">
      <c r="B5" t="s">
        <v>216</v>
      </c>
      <c r="C5" t="s">
        <v>177</v>
      </c>
      <c r="D5">
        <v>2015</v>
      </c>
      <c r="E5">
        <v>4.7</v>
      </c>
      <c r="F5">
        <v>3835</v>
      </c>
      <c r="G5" t="s">
        <v>212</v>
      </c>
      <c r="I5">
        <v>33.200000000000003</v>
      </c>
      <c r="J5">
        <v>31</v>
      </c>
    </row>
    <row r="6" spans="1:10">
      <c r="B6" t="s">
        <v>216</v>
      </c>
      <c r="C6" t="s">
        <v>177</v>
      </c>
      <c r="D6">
        <v>2016</v>
      </c>
      <c r="E6">
        <v>5.9</v>
      </c>
      <c r="F6">
        <v>6384</v>
      </c>
      <c r="G6" t="s">
        <v>215</v>
      </c>
    </row>
    <row r="7" spans="1:10">
      <c r="E7">
        <f>SUM(Таблица9[Площадь, га])</f>
        <v>24.5</v>
      </c>
      <c r="H7">
        <f>SUM(Таблица9[Валовый сбор 2017 г, т])</f>
        <v>12.385</v>
      </c>
      <c r="I7">
        <f>SUM(Таблица9[Валовый сбор 2018 г, т])</f>
        <v>173.83300000000003</v>
      </c>
      <c r="J7">
        <f>SUM(Таблица9[Валовый сбор 2019 г, т])</f>
        <v>229.9</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6"/>
  <sheetViews>
    <sheetView workbookViewId="0">
      <selection activeCell="D19" sqref="D19"/>
    </sheetView>
  </sheetViews>
  <sheetFormatPr baseColWidth="10" defaultColWidth="8.83203125" defaultRowHeight="15"/>
  <cols>
    <col min="3" max="3" width="10.5" customWidth="1"/>
    <col min="4" max="5" width="13.5" customWidth="1"/>
    <col min="6" max="6" width="21.5" customWidth="1"/>
    <col min="7" max="7" width="16" customWidth="1"/>
    <col min="8" max="10" width="22.5" customWidth="1"/>
  </cols>
  <sheetData>
    <row r="1" spans="1:10">
      <c r="A1" t="s">
        <v>181</v>
      </c>
      <c r="B1" t="s">
        <v>182</v>
      </c>
      <c r="C1" t="s">
        <v>183</v>
      </c>
      <c r="D1" t="s">
        <v>184</v>
      </c>
      <c r="E1" t="s">
        <v>185</v>
      </c>
      <c r="F1" t="s">
        <v>186</v>
      </c>
      <c r="G1" t="s">
        <v>187</v>
      </c>
      <c r="H1" t="s">
        <v>189</v>
      </c>
      <c r="I1" t="s">
        <v>191</v>
      </c>
      <c r="J1" t="s">
        <v>193</v>
      </c>
    </row>
    <row r="2" spans="1:10">
      <c r="A2">
        <v>18</v>
      </c>
      <c r="B2" t="s">
        <v>214</v>
      </c>
      <c r="C2" t="s">
        <v>177</v>
      </c>
      <c r="D2">
        <v>2012</v>
      </c>
      <c r="E2">
        <v>15.42</v>
      </c>
      <c r="F2">
        <v>12586</v>
      </c>
      <c r="G2" t="s">
        <v>212</v>
      </c>
      <c r="H2">
        <v>51.762</v>
      </c>
      <c r="I2">
        <v>117.637</v>
      </c>
      <c r="J2">
        <v>144.19999999999999</v>
      </c>
    </row>
    <row r="3" spans="1:10">
      <c r="B3" t="s">
        <v>214</v>
      </c>
      <c r="C3" t="s">
        <v>177</v>
      </c>
      <c r="D3">
        <v>2015</v>
      </c>
      <c r="E3">
        <v>24.5</v>
      </c>
      <c r="F3">
        <v>19992</v>
      </c>
      <c r="G3" t="s">
        <v>212</v>
      </c>
      <c r="I3">
        <v>107.15</v>
      </c>
      <c r="J3">
        <v>124</v>
      </c>
    </row>
    <row r="4" spans="1:10">
      <c r="B4" t="s">
        <v>214</v>
      </c>
      <c r="C4" t="s">
        <v>177</v>
      </c>
      <c r="D4">
        <v>2016</v>
      </c>
      <c r="E4">
        <v>19.5</v>
      </c>
      <c r="F4">
        <v>21268</v>
      </c>
      <c r="G4" t="s">
        <v>215</v>
      </c>
    </row>
    <row r="5" spans="1:10">
      <c r="B5" t="s">
        <v>200</v>
      </c>
      <c r="C5" t="s">
        <v>177</v>
      </c>
      <c r="D5">
        <v>2011</v>
      </c>
      <c r="E5">
        <v>2.9</v>
      </c>
      <c r="F5">
        <v>4320</v>
      </c>
      <c r="G5" t="s">
        <v>195</v>
      </c>
      <c r="H5">
        <v>67.972999999999999</v>
      </c>
      <c r="I5">
        <v>25.010999999999999</v>
      </c>
      <c r="J5">
        <v>93.5</v>
      </c>
    </row>
    <row r="6" spans="1:10">
      <c r="E6">
        <f>SUM(Таблица10[Площадь, га])</f>
        <v>62.32</v>
      </c>
      <c r="H6">
        <f>SUM(Таблица10[Валовый сбор 2017 г, т])</f>
        <v>119.735</v>
      </c>
      <c r="I6">
        <f>SUM(Таблица10[Валовый сбор 2018 г, т])</f>
        <v>249.798</v>
      </c>
      <c r="J6">
        <f>SUM(Таблица10[Валовый сбор 2019 г, т])</f>
        <v>361.7</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6"/>
  <sheetViews>
    <sheetView workbookViewId="0">
      <selection activeCell="D19" sqref="D19"/>
    </sheetView>
  </sheetViews>
  <sheetFormatPr baseColWidth="10" defaultColWidth="8.83203125" defaultRowHeight="15"/>
  <cols>
    <col min="3" max="3" width="10.5" customWidth="1"/>
    <col min="4" max="5" width="13.5" customWidth="1"/>
    <col min="6" max="6" width="21.5" customWidth="1"/>
    <col min="7" max="7" width="16" customWidth="1"/>
    <col min="8" max="10" width="22.5" customWidth="1"/>
  </cols>
  <sheetData>
    <row r="1" spans="1:10">
      <c r="A1" t="s">
        <v>181</v>
      </c>
      <c r="B1" t="s">
        <v>182</v>
      </c>
      <c r="C1" t="s">
        <v>183</v>
      </c>
      <c r="D1" t="s">
        <v>184</v>
      </c>
      <c r="E1" t="s">
        <v>185</v>
      </c>
      <c r="F1" t="s">
        <v>186</v>
      </c>
      <c r="G1" t="s">
        <v>187</v>
      </c>
      <c r="H1" t="s">
        <v>189</v>
      </c>
      <c r="I1" t="s">
        <v>191</v>
      </c>
      <c r="J1" t="s">
        <v>193</v>
      </c>
    </row>
    <row r="2" spans="1:10">
      <c r="B2" t="s">
        <v>204</v>
      </c>
      <c r="C2" t="s">
        <v>177</v>
      </c>
      <c r="D2">
        <v>2008</v>
      </c>
      <c r="E2">
        <v>1.4</v>
      </c>
      <c r="F2">
        <v>2120</v>
      </c>
      <c r="G2" t="s">
        <v>195</v>
      </c>
      <c r="H2">
        <v>13.185</v>
      </c>
      <c r="I2">
        <v>23</v>
      </c>
      <c r="J2">
        <v>45.5</v>
      </c>
    </row>
    <row r="3" spans="1:10">
      <c r="B3" t="s">
        <v>204</v>
      </c>
      <c r="C3" t="s">
        <v>177</v>
      </c>
      <c r="D3">
        <v>2008</v>
      </c>
      <c r="E3">
        <v>1.39</v>
      </c>
      <c r="F3">
        <v>2108</v>
      </c>
      <c r="G3" t="s">
        <v>195</v>
      </c>
      <c r="H3">
        <v>17</v>
      </c>
      <c r="I3">
        <v>19.399999999999999</v>
      </c>
      <c r="J3">
        <v>30</v>
      </c>
    </row>
    <row r="4" spans="1:10">
      <c r="B4" t="s">
        <v>204</v>
      </c>
      <c r="C4" t="s">
        <v>177</v>
      </c>
      <c r="D4">
        <v>2012</v>
      </c>
      <c r="E4">
        <v>2.97</v>
      </c>
      <c r="F4">
        <v>2424</v>
      </c>
      <c r="G4" t="s">
        <v>212</v>
      </c>
      <c r="H4">
        <v>37.652000000000001</v>
      </c>
      <c r="I4">
        <v>55.728000000000002</v>
      </c>
      <c r="J4">
        <v>48.2</v>
      </c>
    </row>
    <row r="5" spans="1:10">
      <c r="B5" t="s">
        <v>201</v>
      </c>
      <c r="C5" t="s">
        <v>177</v>
      </c>
      <c r="D5">
        <v>2009</v>
      </c>
      <c r="E5">
        <v>1.1000000000000001</v>
      </c>
      <c r="F5">
        <v>1647</v>
      </c>
      <c r="G5" t="s">
        <v>195</v>
      </c>
      <c r="H5">
        <v>8.5299999999999994</v>
      </c>
      <c r="I5">
        <v>11.66</v>
      </c>
      <c r="J5">
        <v>13.2</v>
      </c>
    </row>
    <row r="6" spans="1:10">
      <c r="E6">
        <f>SUM(Таблица11[Площадь, га])</f>
        <v>6.8599999999999994</v>
      </c>
      <c r="H6">
        <f>SUM(Таблица11[Валовый сбор 2017 г, т])</f>
        <v>76.367000000000004</v>
      </c>
      <c r="I6">
        <f>SUM(Таблица11[Валовый сбор 2018 г, т])</f>
        <v>109.788</v>
      </c>
      <c r="J6">
        <f>SUM(Таблица11[Валовый сбор 2019 г, т])</f>
        <v>136.9</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7"/>
  <sheetViews>
    <sheetView topLeftCell="B1" zoomScaleNormal="100" workbookViewId="0">
      <selection activeCell="D19" sqref="D19"/>
    </sheetView>
  </sheetViews>
  <sheetFormatPr baseColWidth="10" defaultColWidth="8.83203125" defaultRowHeight="15"/>
  <cols>
    <col min="3" max="3" width="10.5" customWidth="1"/>
    <col min="4" max="5" width="13.5" customWidth="1"/>
    <col min="6" max="6" width="21.5" customWidth="1"/>
    <col min="7" max="7" width="16" customWidth="1"/>
    <col min="8" max="10" width="22.5" customWidth="1"/>
  </cols>
  <sheetData>
    <row r="1" spans="1:10">
      <c r="A1" t="s">
        <v>181</v>
      </c>
      <c r="B1" t="s">
        <v>182</v>
      </c>
      <c r="C1" t="s">
        <v>183</v>
      </c>
      <c r="D1" t="s">
        <v>184</v>
      </c>
      <c r="E1" t="s">
        <v>185</v>
      </c>
      <c r="F1" t="s">
        <v>186</v>
      </c>
      <c r="G1" t="s">
        <v>187</v>
      </c>
      <c r="H1" t="s">
        <v>189</v>
      </c>
      <c r="I1" t="s">
        <v>191</v>
      </c>
      <c r="J1" t="s">
        <v>193</v>
      </c>
    </row>
    <row r="2" spans="1:10">
      <c r="B2" t="s">
        <v>94</v>
      </c>
      <c r="C2" t="s">
        <v>177</v>
      </c>
      <c r="D2">
        <v>2008</v>
      </c>
      <c r="E2">
        <v>4.2</v>
      </c>
      <c r="F2">
        <v>6396</v>
      </c>
      <c r="G2" t="s">
        <v>195</v>
      </c>
      <c r="H2">
        <v>67.13</v>
      </c>
      <c r="I2">
        <v>146.08000000000001</v>
      </c>
      <c r="J2">
        <v>95</v>
      </c>
    </row>
    <row r="3" spans="1:10">
      <c r="B3" t="s">
        <v>94</v>
      </c>
      <c r="C3" t="s">
        <v>177</v>
      </c>
      <c r="D3">
        <v>2009</v>
      </c>
      <c r="E3">
        <v>5.5</v>
      </c>
      <c r="F3">
        <v>8384</v>
      </c>
      <c r="G3" t="s">
        <v>195</v>
      </c>
      <c r="H3">
        <v>6.5</v>
      </c>
      <c r="I3">
        <v>105.96299999999999</v>
      </c>
      <c r="J3">
        <v>157.19999999999999</v>
      </c>
    </row>
    <row r="4" spans="1:10">
      <c r="B4" t="s">
        <v>94</v>
      </c>
      <c r="C4" t="s">
        <v>177</v>
      </c>
      <c r="D4">
        <v>2009</v>
      </c>
      <c r="E4">
        <v>1.8</v>
      </c>
      <c r="F4">
        <v>2781</v>
      </c>
      <c r="G4" t="s">
        <v>195</v>
      </c>
      <c r="H4">
        <v>9.48</v>
      </c>
      <c r="I4">
        <v>43.83</v>
      </c>
      <c r="J4">
        <v>53.8</v>
      </c>
    </row>
    <row r="5" spans="1:10">
      <c r="B5" t="s">
        <v>94</v>
      </c>
      <c r="C5" t="s">
        <v>177</v>
      </c>
      <c r="D5">
        <v>2016</v>
      </c>
      <c r="E5">
        <v>64</v>
      </c>
      <c r="F5">
        <v>52224</v>
      </c>
      <c r="G5" t="s">
        <v>212</v>
      </c>
      <c r="J5">
        <v>69</v>
      </c>
    </row>
    <row r="6" spans="1:10">
      <c r="B6" t="s">
        <v>218</v>
      </c>
      <c r="C6" t="s">
        <v>177</v>
      </c>
      <c r="D6">
        <v>2012</v>
      </c>
      <c r="E6">
        <v>25.3</v>
      </c>
      <c r="F6">
        <v>20281</v>
      </c>
      <c r="G6" t="s">
        <v>212</v>
      </c>
      <c r="H6">
        <v>18.04</v>
      </c>
      <c r="I6">
        <v>534.98</v>
      </c>
      <c r="J6">
        <v>423.4</v>
      </c>
    </row>
    <row r="7" spans="1:10">
      <c r="E7">
        <f>SUM(Таблица12[Площадь, га])</f>
        <v>100.8</v>
      </c>
      <c r="H7">
        <f>SUM(Таблица12[Валовый сбор 2017 г, т])</f>
        <v>101.15</v>
      </c>
      <c r="I7">
        <f>SUM(Таблица12[Валовый сбор 2018 г, т])</f>
        <v>830.85300000000007</v>
      </c>
      <c r="J7">
        <f>SUM(Таблица12[Валовый сбор 2019 г, т])</f>
        <v>798.4</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6"/>
  <sheetViews>
    <sheetView workbookViewId="0">
      <selection activeCell="D19" sqref="D19"/>
    </sheetView>
  </sheetViews>
  <sheetFormatPr baseColWidth="10" defaultColWidth="8.83203125" defaultRowHeight="15"/>
  <cols>
    <col min="3" max="3" width="10.5" customWidth="1"/>
    <col min="4" max="5" width="13.5" customWidth="1"/>
    <col min="6" max="6" width="21.5" customWidth="1"/>
    <col min="7" max="7" width="16" customWidth="1"/>
    <col min="8" max="10" width="22.5" customWidth="1"/>
  </cols>
  <sheetData>
    <row r="1" spans="1:10">
      <c r="A1" t="s">
        <v>181</v>
      </c>
      <c r="B1" t="s">
        <v>182</v>
      </c>
      <c r="C1" t="s">
        <v>183</v>
      </c>
      <c r="D1" t="s">
        <v>184</v>
      </c>
      <c r="E1" t="s">
        <v>185</v>
      </c>
      <c r="F1" t="s">
        <v>186</v>
      </c>
      <c r="G1" t="s">
        <v>187</v>
      </c>
      <c r="H1" t="s">
        <v>189</v>
      </c>
      <c r="I1" t="s">
        <v>191</v>
      </c>
      <c r="J1" t="s">
        <v>193</v>
      </c>
    </row>
    <row r="2" spans="1:10">
      <c r="B2" t="s">
        <v>197</v>
      </c>
      <c r="C2" t="s">
        <v>177</v>
      </c>
      <c r="D2">
        <v>2009</v>
      </c>
      <c r="E2">
        <v>4.2</v>
      </c>
      <c r="F2">
        <v>6372</v>
      </c>
      <c r="G2" t="s">
        <v>195</v>
      </c>
      <c r="H2">
        <v>15.45</v>
      </c>
      <c r="I2">
        <v>46.62</v>
      </c>
      <c r="J2">
        <v>31.8</v>
      </c>
    </row>
    <row r="3" spans="1:10">
      <c r="B3" t="s">
        <v>197</v>
      </c>
      <c r="C3" t="s">
        <v>177</v>
      </c>
      <c r="D3">
        <v>2009</v>
      </c>
      <c r="E3">
        <v>2.2999999999999998</v>
      </c>
      <c r="F3">
        <v>3496</v>
      </c>
      <c r="G3" t="s">
        <v>195</v>
      </c>
      <c r="H3">
        <v>45.02</v>
      </c>
      <c r="I3">
        <v>15.67</v>
      </c>
      <c r="J3">
        <v>35.9</v>
      </c>
    </row>
    <row r="4" spans="1:10">
      <c r="B4" t="s">
        <v>197</v>
      </c>
      <c r="C4" t="s">
        <v>177</v>
      </c>
      <c r="D4">
        <v>2011</v>
      </c>
      <c r="E4">
        <v>4.5</v>
      </c>
      <c r="F4">
        <v>6768</v>
      </c>
      <c r="G4" t="s">
        <v>195</v>
      </c>
      <c r="H4">
        <v>24.19</v>
      </c>
      <c r="I4">
        <v>68.27</v>
      </c>
      <c r="J4">
        <v>73.3</v>
      </c>
    </row>
    <row r="5" spans="1:10">
      <c r="B5" t="s">
        <v>207</v>
      </c>
      <c r="C5" t="s">
        <v>177</v>
      </c>
      <c r="D5">
        <v>2008</v>
      </c>
      <c r="E5">
        <v>1.4</v>
      </c>
      <c r="F5">
        <v>2108</v>
      </c>
      <c r="G5" t="s">
        <v>195</v>
      </c>
      <c r="H5">
        <v>5.16</v>
      </c>
      <c r="I5">
        <v>16</v>
      </c>
      <c r="J5">
        <v>33.9</v>
      </c>
    </row>
    <row r="6" spans="1:10">
      <c r="E6">
        <f>SUM(Таблица13[Площадь, га])</f>
        <v>12.4</v>
      </c>
      <c r="H6">
        <f>SUM(Таблица13[Валовый сбор 2017 г, т])</f>
        <v>89.82</v>
      </c>
      <c r="I6">
        <f>SUM(Таблица13[Валовый сбор 2018 г, т])</f>
        <v>146.56</v>
      </c>
      <c r="J6">
        <f>SUM(Таблица13[Валовый сбор 2019 г, т])</f>
        <v>174.9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Листы</vt:lpstr>
      </vt:variant>
      <vt:variant>
        <vt:i4>30</vt:i4>
      </vt:variant>
      <vt:variant>
        <vt:lpstr>Именованные диапазоны</vt:lpstr>
      </vt:variant>
      <vt:variant>
        <vt:i4>8</vt:i4>
      </vt:variant>
    </vt:vector>
  </HeadingPairs>
  <TitlesOfParts>
    <vt:vector size="38" baseType="lpstr">
      <vt:lpstr>График Погашения ИИ</vt:lpstr>
      <vt:lpstr>Либерти</vt:lpstr>
      <vt:lpstr>Айдаред</vt:lpstr>
      <vt:lpstr>Василиса</vt:lpstr>
      <vt:lpstr>Вильямс Прайт</vt:lpstr>
      <vt:lpstr>Женева</vt:lpstr>
      <vt:lpstr>Любава</vt:lpstr>
      <vt:lpstr>Прикубанское</vt:lpstr>
      <vt:lpstr>Талида</vt:lpstr>
      <vt:lpstr>Мутсу</vt:lpstr>
      <vt:lpstr>Консолидация </vt:lpstr>
      <vt:lpstr>План производства</vt:lpstr>
      <vt:lpstr>Financial Model_Quarter</vt:lpstr>
      <vt:lpstr>Financial Model</vt:lpstr>
      <vt:lpstr>Интеринвест</vt:lpstr>
      <vt:lpstr>Новозаведенское</vt:lpstr>
      <vt:lpstr>Распределение урожая</vt:lpstr>
      <vt:lpstr>Продажи_ИИ 16-1кв20</vt:lpstr>
      <vt:lpstr>Продажи_НЗ 16-1кв20</vt:lpstr>
      <vt:lpstr>Динамика продаж</vt:lpstr>
      <vt:lpstr>CapEx_Группа</vt:lpstr>
      <vt:lpstr>График погашения_СВОД</vt:lpstr>
      <vt:lpstr>ИИ_КП_1 пол 20</vt:lpstr>
      <vt:lpstr>ИИ _График погашения осн долг_</vt:lpstr>
      <vt:lpstr> НЗ 2020 1е полуг</vt:lpstr>
      <vt:lpstr>НЗ 2020 на 31.08.20</vt:lpstr>
      <vt:lpstr>Capex_ИИ</vt:lpstr>
      <vt:lpstr>Capex_Нз</vt:lpstr>
      <vt:lpstr>План по НЗ</vt:lpstr>
      <vt:lpstr>For Pres</vt:lpstr>
      <vt:lpstr>'ИИ _График погашения осн долг_'!Область_печати</vt:lpstr>
      <vt:lpstr>Интеринвест!Область_печати</vt:lpstr>
      <vt:lpstr>'Консолидация '!Область_печати</vt:lpstr>
      <vt:lpstr>Новозаведенское!Область_печати</vt:lpstr>
      <vt:lpstr>'Продажи_ИИ 16-1кв20'!Область_печати</vt:lpstr>
      <vt:lpstr>'Продажи_НЗ 16-1кв20'!Область_печати</vt:lpstr>
      <vt:lpstr>'Financial Model'!Область_печати</vt:lpstr>
      <vt:lpstr>'Financial Model_Quarter'!Область_печати</vt:lpstr>
    </vt:vector>
  </TitlesOfParts>
  <Company>Alfa-Bank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Полубояринов Никита Михайлович</dc:creator>
  <cp:lastModifiedBy>МИХАИЛ ЕФРЕМОВ</cp:lastModifiedBy>
  <cp:lastPrinted>2020-09-08T14:24:06Z</cp:lastPrinted>
  <dcterms:created xsi:type="dcterms:W3CDTF">2019-12-26T10:42:27Z</dcterms:created>
  <dcterms:modified xsi:type="dcterms:W3CDTF">2021-07-06T05:42:00Z</dcterms:modified>
</cp:coreProperties>
</file>