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урен\0 АГНКС\0 Ивановская\0 Козубенко1000\"/>
    </mc:Choice>
  </mc:AlternateContent>
  <xr:revisionPtr revIDLastSave="0" documentId="13_ncr:1_{BC9A4490-861D-49E0-9782-768BB6E36272}" xr6:coauthVersionLast="47" xr6:coauthVersionMax="47" xr10:uidLastSave="{00000000-0000-0000-0000-000000000000}"/>
  <bookViews>
    <workbookView xWindow="-120" yWindow="-120" windowWidth="29040" windowHeight="15840" tabRatio="933" xr2:uid="{00000000-000D-0000-FFFF-FFFF00000000}"/>
  </bookViews>
  <sheets>
    <sheet name="Расчеты для Инвестора" sheetId="14" r:id="rId1"/>
    <sheet name="С привлечением кредитной линии" sheetId="11" r:id="rId2"/>
    <sheet name="Без кредитной линии" sheetId="12" r:id="rId3"/>
    <sheet name="С продажей объекта" sheetId="13" r:id="rId4"/>
  </sheets>
  <definedNames>
    <definedName name="_xlnm.Print_Area" localSheetId="2">'Без кредитной линии'!$A$1:$R$54,'Без кредитной линии'!$A$61:$R$108</definedName>
    <definedName name="_xlnm.Print_Area" localSheetId="1">'С привлечением кредитной линии'!$A$1:$R$55,'С привлечением кредитной линии'!$A$62:$R$107</definedName>
    <definedName name="_xlnm.Print_Area" localSheetId="3">'С продажей объекта'!$A$1:$R$56,'С продажей объекта'!$A$62:$R$108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4" l="1"/>
  <c r="D13" i="14"/>
  <c r="D14" i="14"/>
  <c r="E14" i="14"/>
  <c r="C14" i="14"/>
  <c r="L53" i="12"/>
  <c r="M49" i="13"/>
  <c r="E16" i="14"/>
  <c r="E13" i="14"/>
  <c r="E8" i="14"/>
  <c r="D8" i="14"/>
  <c r="C8" i="14"/>
  <c r="Q51" i="12"/>
  <c r="D75" i="13"/>
  <c r="D63" i="13" s="1"/>
  <c r="AA58" i="13"/>
  <c r="Z58" i="13"/>
  <c r="D40" i="13"/>
  <c r="D39" i="13"/>
  <c r="M38" i="13"/>
  <c r="L38" i="13"/>
  <c r="K38" i="13"/>
  <c r="J38" i="13"/>
  <c r="I38" i="13"/>
  <c r="H38" i="13"/>
  <c r="G38" i="13"/>
  <c r="D38" i="13" s="1"/>
  <c r="I34" i="13"/>
  <c r="H34" i="13"/>
  <c r="G34" i="13"/>
  <c r="G8" i="13" s="1"/>
  <c r="D33" i="13"/>
  <c r="D32" i="13"/>
  <c r="D31" i="13"/>
  <c r="D30" i="13"/>
  <c r="D29" i="13"/>
  <c r="D28" i="13"/>
  <c r="F27" i="13"/>
  <c r="D27" i="13" s="1"/>
  <c r="D26" i="13"/>
  <c r="D25" i="13"/>
  <c r="E24" i="13"/>
  <c r="D24" i="13" s="1"/>
  <c r="D23" i="13"/>
  <c r="E22" i="13"/>
  <c r="D21" i="13"/>
  <c r="D20" i="13"/>
  <c r="D19" i="13"/>
  <c r="D18" i="13"/>
  <c r="D17" i="13"/>
  <c r="D13" i="13"/>
  <c r="M12" i="13"/>
  <c r="L12" i="13"/>
  <c r="K12" i="13"/>
  <c r="J12" i="13"/>
  <c r="I12" i="13"/>
  <c r="H12" i="13"/>
  <c r="G12" i="13"/>
  <c r="M11" i="13"/>
  <c r="L11" i="13"/>
  <c r="K11" i="13"/>
  <c r="J11" i="13"/>
  <c r="I11" i="13"/>
  <c r="H11" i="13"/>
  <c r="G11" i="13"/>
  <c r="D73" i="12"/>
  <c r="D61" i="12" s="1"/>
  <c r="AA56" i="12"/>
  <c r="Z56" i="12"/>
  <c r="D39" i="12"/>
  <c r="D38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I33" i="12"/>
  <c r="H33" i="12"/>
  <c r="G33" i="12"/>
  <c r="G8" i="12" s="1"/>
  <c r="D32" i="12"/>
  <c r="D31" i="12"/>
  <c r="D30" i="12"/>
  <c r="D29" i="12"/>
  <c r="D28" i="12"/>
  <c r="D27" i="12"/>
  <c r="F26" i="12"/>
  <c r="F33" i="12" s="1"/>
  <c r="D25" i="12"/>
  <c r="D24" i="12"/>
  <c r="E23" i="12"/>
  <c r="D23" i="12"/>
  <c r="D22" i="12"/>
  <c r="E21" i="12"/>
  <c r="D20" i="12"/>
  <c r="D19" i="12"/>
  <c r="D18" i="12"/>
  <c r="D17" i="12"/>
  <c r="D16" i="12"/>
  <c r="D12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R10" i="12"/>
  <c r="R35" i="12" s="1"/>
  <c r="Q10" i="12"/>
  <c r="P10" i="12"/>
  <c r="O10" i="12"/>
  <c r="O35" i="12" s="1"/>
  <c r="O43" i="12" s="1"/>
  <c r="N10" i="12"/>
  <c r="M10" i="12"/>
  <c r="L10" i="12"/>
  <c r="K10" i="12"/>
  <c r="J10" i="12"/>
  <c r="J35" i="12" s="1"/>
  <c r="I10" i="12"/>
  <c r="H10" i="12"/>
  <c r="G10" i="12"/>
  <c r="G35" i="12" s="1"/>
  <c r="G43" i="12" s="1"/>
  <c r="E34" i="13" l="1"/>
  <c r="L36" i="13"/>
  <c r="L45" i="13" s="1"/>
  <c r="I36" i="13"/>
  <c r="I37" i="13" s="1"/>
  <c r="I44" i="13" s="1"/>
  <c r="N35" i="12"/>
  <c r="J36" i="13"/>
  <c r="J37" i="13" s="1"/>
  <c r="F34" i="13"/>
  <c r="F8" i="13" s="1"/>
  <c r="M36" i="13"/>
  <c r="M45" i="13" s="1"/>
  <c r="M46" i="13" s="1"/>
  <c r="G36" i="13"/>
  <c r="G37" i="13" s="1"/>
  <c r="K36" i="13"/>
  <c r="K45" i="13" s="1"/>
  <c r="H36" i="13"/>
  <c r="H37" i="13" s="1"/>
  <c r="S36" i="13"/>
  <c r="I45" i="13"/>
  <c r="D22" i="13"/>
  <c r="D34" i="13" s="1"/>
  <c r="K35" i="12"/>
  <c r="K36" i="12" s="1"/>
  <c r="K42" i="12" s="1"/>
  <c r="L35" i="12"/>
  <c r="L36" i="12" s="1"/>
  <c r="M35" i="12"/>
  <c r="M43" i="12" s="1"/>
  <c r="M44" i="12" s="1"/>
  <c r="E33" i="12"/>
  <c r="H35" i="12"/>
  <c r="H36" i="12" s="1"/>
  <c r="P35" i="12"/>
  <c r="P36" i="12" s="1"/>
  <c r="I35" i="12"/>
  <c r="I43" i="12" s="1"/>
  <c r="Q35" i="12"/>
  <c r="Q43" i="12" s="1"/>
  <c r="D26" i="12"/>
  <c r="D37" i="12"/>
  <c r="J36" i="12"/>
  <c r="J43" i="12"/>
  <c r="L43" i="12"/>
  <c r="N36" i="12"/>
  <c r="N43" i="12"/>
  <c r="G44" i="12"/>
  <c r="S35" i="12"/>
  <c r="R36" i="12"/>
  <c r="R43" i="12"/>
  <c r="F8" i="12"/>
  <c r="P43" i="12"/>
  <c r="I36" i="12"/>
  <c r="Q36" i="12"/>
  <c r="O44" i="12"/>
  <c r="G36" i="12"/>
  <c r="O36" i="12"/>
  <c r="D21" i="12"/>
  <c r="D36" i="13" l="1"/>
  <c r="D45" i="13" s="1"/>
  <c r="G45" i="13"/>
  <c r="J45" i="13"/>
  <c r="J46" i="13" s="1"/>
  <c r="L37" i="13"/>
  <c r="H45" i="13"/>
  <c r="K43" i="12"/>
  <c r="M36" i="12"/>
  <c r="M42" i="12" s="1"/>
  <c r="M48" i="12" s="1"/>
  <c r="M50" i="12" s="1"/>
  <c r="K37" i="13"/>
  <c r="K44" i="13" s="1"/>
  <c r="M37" i="13"/>
  <c r="M44" i="13" s="1"/>
  <c r="D35" i="13"/>
  <c r="T42" i="13" s="1"/>
  <c r="G46" i="13"/>
  <c r="L46" i="13"/>
  <c r="L44" i="13"/>
  <c r="I46" i="13"/>
  <c r="I50" i="13" s="1"/>
  <c r="H46" i="13"/>
  <c r="K46" i="13"/>
  <c r="H43" i="13"/>
  <c r="H44" i="13"/>
  <c r="G43" i="13"/>
  <c r="G44" i="13"/>
  <c r="J44" i="13"/>
  <c r="H43" i="12"/>
  <c r="H44" i="12" s="1"/>
  <c r="H48" i="12" s="1"/>
  <c r="D33" i="12"/>
  <c r="D35" i="12"/>
  <c r="O42" i="12"/>
  <c r="N44" i="12"/>
  <c r="G41" i="12"/>
  <c r="G42" i="12"/>
  <c r="G48" i="12" s="1"/>
  <c r="N42" i="12"/>
  <c r="I42" i="12"/>
  <c r="J44" i="12"/>
  <c r="I44" i="12"/>
  <c r="J42" i="12"/>
  <c r="O48" i="12"/>
  <c r="O50" i="12" s="1"/>
  <c r="D34" i="12"/>
  <c r="D36" i="12"/>
  <c r="D43" i="12"/>
  <c r="P42" i="12"/>
  <c r="R44" i="12"/>
  <c r="K44" i="12"/>
  <c r="K48" i="12" s="1"/>
  <c r="Q42" i="12"/>
  <c r="P44" i="12"/>
  <c r="P48" i="12" s="1"/>
  <c r="P50" i="12" s="1"/>
  <c r="R42" i="12"/>
  <c r="L44" i="12"/>
  <c r="Q44" i="12"/>
  <c r="H41" i="12"/>
  <c r="H42" i="12"/>
  <c r="L42" i="12"/>
  <c r="F26" i="11"/>
  <c r="D37" i="13" l="1"/>
  <c r="H45" i="12"/>
  <c r="T40" i="12"/>
  <c r="H47" i="13"/>
  <c r="H48" i="13" s="1"/>
  <c r="G47" i="13"/>
  <c r="J50" i="13"/>
  <c r="J51" i="13" s="1"/>
  <c r="J52" i="13" s="1"/>
  <c r="M42" i="13"/>
  <c r="I42" i="13"/>
  <c r="M41" i="13" s="1"/>
  <c r="L42" i="13"/>
  <c r="L43" i="13" s="1"/>
  <c r="L47" i="13" s="1"/>
  <c r="K42" i="13"/>
  <c r="K43" i="13" s="1"/>
  <c r="K47" i="13" s="1"/>
  <c r="J42" i="13"/>
  <c r="J43" i="13" s="1"/>
  <c r="J47" i="13" s="1"/>
  <c r="G48" i="13"/>
  <c r="G49" i="13" s="1"/>
  <c r="M50" i="13"/>
  <c r="M52" i="13" s="1"/>
  <c r="L50" i="13"/>
  <c r="L52" i="13" s="1"/>
  <c r="H50" i="13"/>
  <c r="D44" i="13"/>
  <c r="I51" i="13"/>
  <c r="I52" i="13" s="1"/>
  <c r="G50" i="13"/>
  <c r="D46" i="13"/>
  <c r="K50" i="13"/>
  <c r="D44" i="12"/>
  <c r="G45" i="12"/>
  <c r="G46" i="12" s="1"/>
  <c r="L48" i="12"/>
  <c r="L50" i="12" s="1"/>
  <c r="J48" i="12"/>
  <c r="J49" i="12" s="1"/>
  <c r="J50" i="12" s="1"/>
  <c r="H49" i="12"/>
  <c r="H50" i="12" s="1"/>
  <c r="G49" i="12"/>
  <c r="G50" i="12"/>
  <c r="R48" i="12"/>
  <c r="R50" i="12" s="1"/>
  <c r="I48" i="12"/>
  <c r="D42" i="12"/>
  <c r="N48" i="12"/>
  <c r="N50" i="12" s="1"/>
  <c r="H46" i="12"/>
  <c r="H47" i="12" s="1"/>
  <c r="H53" i="12" s="1"/>
  <c r="R40" i="12"/>
  <c r="R41" i="12" s="1"/>
  <c r="R45" i="12" s="1"/>
  <c r="J40" i="12"/>
  <c r="J41" i="12" s="1"/>
  <c r="J45" i="12" s="1"/>
  <c r="Q40" i="12"/>
  <c r="Q41" i="12" s="1"/>
  <c r="Q45" i="12" s="1"/>
  <c r="I40" i="12"/>
  <c r="P40" i="12"/>
  <c r="P41" i="12" s="1"/>
  <c r="P45" i="12" s="1"/>
  <c r="O40" i="12"/>
  <c r="O41" i="12" s="1"/>
  <c r="O45" i="12" s="1"/>
  <c r="N40" i="12"/>
  <c r="N41" i="12" s="1"/>
  <c r="N45" i="12" s="1"/>
  <c r="M40" i="12"/>
  <c r="M41" i="12" s="1"/>
  <c r="M45" i="12" s="1"/>
  <c r="L40" i="12"/>
  <c r="L41" i="12" s="1"/>
  <c r="L45" i="12" s="1"/>
  <c r="K40" i="12"/>
  <c r="K41" i="12" s="1"/>
  <c r="K45" i="12" s="1"/>
  <c r="Q48" i="12"/>
  <c r="Q50" i="12" s="1"/>
  <c r="G37" i="11"/>
  <c r="E23" i="11"/>
  <c r="D74" i="11"/>
  <c r="D62" i="11" s="1"/>
  <c r="H49" i="13" l="1"/>
  <c r="H55" i="13" s="1"/>
  <c r="M43" i="13"/>
  <c r="M47" i="13" s="1"/>
  <c r="L48" i="13"/>
  <c r="L49" i="13" s="1"/>
  <c r="L55" i="13" s="1"/>
  <c r="H51" i="13"/>
  <c r="H52" i="13"/>
  <c r="G55" i="13"/>
  <c r="D50" i="13"/>
  <c r="G51" i="13"/>
  <c r="D51" i="13" s="1"/>
  <c r="T43" i="13"/>
  <c r="K48" i="13"/>
  <c r="K49" i="13" s="1"/>
  <c r="M48" i="13"/>
  <c r="J48" i="13"/>
  <c r="J49" i="13" s="1"/>
  <c r="D42" i="13"/>
  <c r="D43" i="13" s="1"/>
  <c r="D58" i="13" s="1"/>
  <c r="I43" i="13"/>
  <c r="I47" i="13" s="1"/>
  <c r="G47" i="12"/>
  <c r="G53" i="12" s="1"/>
  <c r="K46" i="12"/>
  <c r="K47" i="12" s="1"/>
  <c r="K53" i="12" s="1"/>
  <c r="L46" i="12"/>
  <c r="L47" i="12" s="1"/>
  <c r="J46" i="12"/>
  <c r="J47" i="12" s="1"/>
  <c r="J53" i="12" s="1"/>
  <c r="P46" i="12"/>
  <c r="P47" i="12" s="1"/>
  <c r="P53" i="12" s="1"/>
  <c r="I49" i="12"/>
  <c r="K49" i="12" s="1"/>
  <c r="K50" i="12" s="1"/>
  <c r="T41" i="12"/>
  <c r="M46" i="12"/>
  <c r="M47" i="12" s="1"/>
  <c r="M53" i="12" s="1"/>
  <c r="R46" i="12"/>
  <c r="R47" i="12" s="1"/>
  <c r="R53" i="12" s="1"/>
  <c r="H51" i="12"/>
  <c r="Q46" i="12"/>
  <c r="Q47" i="12" s="1"/>
  <c r="Q53" i="12" s="1"/>
  <c r="D48" i="12"/>
  <c r="O46" i="12"/>
  <c r="O47" i="12"/>
  <c r="O53" i="12" s="1"/>
  <c r="D40" i="12"/>
  <c r="D41" i="12" s="1"/>
  <c r="D56" i="12" s="1"/>
  <c r="I41" i="12"/>
  <c r="I45" i="12" s="1"/>
  <c r="N46" i="12"/>
  <c r="N47" i="12" s="1"/>
  <c r="N53" i="12" s="1"/>
  <c r="D18" i="11"/>
  <c r="G51" i="12" l="1"/>
  <c r="K51" i="13"/>
  <c r="K52" i="13" s="1"/>
  <c r="J55" i="13"/>
  <c r="J53" i="13"/>
  <c r="L53" i="13"/>
  <c r="I48" i="13"/>
  <c r="D48" i="13" s="1"/>
  <c r="D47" i="13"/>
  <c r="K55" i="13"/>
  <c r="G52" i="13"/>
  <c r="M53" i="13"/>
  <c r="H53" i="13"/>
  <c r="D52" i="13"/>
  <c r="G53" i="13"/>
  <c r="M52" i="12"/>
  <c r="J51" i="12"/>
  <c r="J52" i="12" s="1"/>
  <c r="L51" i="12"/>
  <c r="L52" i="12" s="1"/>
  <c r="R51" i="12"/>
  <c r="M51" i="12"/>
  <c r="H52" i="12"/>
  <c r="H54" i="12" s="1"/>
  <c r="I8" i="12" s="1"/>
  <c r="N51" i="12"/>
  <c r="N52" i="12" s="1"/>
  <c r="D49" i="12"/>
  <c r="D50" i="12" s="1"/>
  <c r="G52" i="12"/>
  <c r="P51" i="12"/>
  <c r="P52" i="12" s="1"/>
  <c r="I46" i="12"/>
  <c r="D46" i="12" s="1"/>
  <c r="D45" i="12"/>
  <c r="O51" i="12"/>
  <c r="O52" i="12" s="1"/>
  <c r="I50" i="12"/>
  <c r="K51" i="12"/>
  <c r="K56" i="12" s="1"/>
  <c r="D28" i="11"/>
  <c r="AA57" i="11"/>
  <c r="Z57" i="11"/>
  <c r="D39" i="11"/>
  <c r="D38" i="11"/>
  <c r="R37" i="11"/>
  <c r="Q37" i="11"/>
  <c r="P37" i="11"/>
  <c r="O37" i="11"/>
  <c r="N37" i="11"/>
  <c r="M37" i="11"/>
  <c r="L37" i="11"/>
  <c r="K37" i="11"/>
  <c r="J37" i="11"/>
  <c r="I37" i="11"/>
  <c r="H37" i="11"/>
  <c r="I33" i="11"/>
  <c r="H33" i="11"/>
  <c r="G33" i="11"/>
  <c r="G8" i="11" s="1"/>
  <c r="D32" i="11"/>
  <c r="D31" i="11"/>
  <c r="D30" i="11"/>
  <c r="D29" i="11"/>
  <c r="D27" i="11"/>
  <c r="D26" i="11"/>
  <c r="D25" i="11"/>
  <c r="D24" i="11"/>
  <c r="D23" i="11"/>
  <c r="D22" i="11"/>
  <c r="E21" i="11"/>
  <c r="E33" i="11" s="1"/>
  <c r="D20" i="11"/>
  <c r="D19" i="11"/>
  <c r="D17" i="11"/>
  <c r="D16" i="11"/>
  <c r="D12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M55" i="13" l="1"/>
  <c r="K53" i="13"/>
  <c r="K54" i="13" s="1"/>
  <c r="D49" i="13"/>
  <c r="H54" i="13"/>
  <c r="H56" i="13" s="1"/>
  <c r="I8" i="13" s="1"/>
  <c r="L54" i="13"/>
  <c r="J54" i="13"/>
  <c r="J56" i="13" s="1"/>
  <c r="K8" i="13" s="1"/>
  <c r="G54" i="13"/>
  <c r="K58" i="13"/>
  <c r="I49" i="13"/>
  <c r="I47" i="12"/>
  <c r="I53" i="12" s="1"/>
  <c r="D53" i="12" s="1"/>
  <c r="K52" i="12"/>
  <c r="G54" i="12"/>
  <c r="H8" i="12" s="1"/>
  <c r="D47" i="12"/>
  <c r="J54" i="12"/>
  <c r="K8" i="12" s="1"/>
  <c r="K54" i="12" s="1"/>
  <c r="L8" i="12" s="1"/>
  <c r="L54" i="12" s="1"/>
  <c r="M8" i="12" s="1"/>
  <c r="M54" i="12" s="1"/>
  <c r="N8" i="12" s="1"/>
  <c r="N54" i="12" s="1"/>
  <c r="O8" i="12" s="1"/>
  <c r="O54" i="12" s="1"/>
  <c r="P8" i="12" s="1"/>
  <c r="P54" i="12" s="1"/>
  <c r="Q8" i="12" s="1"/>
  <c r="Q54" i="12" s="1"/>
  <c r="R8" i="12" s="1"/>
  <c r="R54" i="12" s="1"/>
  <c r="L35" i="11"/>
  <c r="L44" i="11" s="1"/>
  <c r="G35" i="11"/>
  <c r="G44" i="11" s="1"/>
  <c r="O35" i="11"/>
  <c r="O44" i="11" s="1"/>
  <c r="J35" i="11"/>
  <c r="J36" i="11" s="1"/>
  <c r="R35" i="11"/>
  <c r="R44" i="11" s="1"/>
  <c r="K35" i="11"/>
  <c r="K36" i="11" s="1"/>
  <c r="F33" i="11"/>
  <c r="N35" i="11"/>
  <c r="N44" i="11" s="1"/>
  <c r="H35" i="11"/>
  <c r="H44" i="11" s="1"/>
  <c r="P35" i="11"/>
  <c r="P44" i="11" s="1"/>
  <c r="D21" i="11"/>
  <c r="D33" i="11" s="1"/>
  <c r="I35" i="11"/>
  <c r="I36" i="11" s="1"/>
  <c r="Q35" i="11"/>
  <c r="Q36" i="11" s="1"/>
  <c r="D37" i="11"/>
  <c r="M35" i="11"/>
  <c r="M44" i="11" s="1"/>
  <c r="K56" i="13" l="1"/>
  <c r="L8" i="13" s="1"/>
  <c r="L56" i="13" s="1"/>
  <c r="M8" i="13" s="1"/>
  <c r="M56" i="13" s="1"/>
  <c r="I51" i="12"/>
  <c r="D51" i="12" s="1"/>
  <c r="I55" i="13"/>
  <c r="D55" i="13" s="1"/>
  <c r="I53" i="13"/>
  <c r="G56" i="13"/>
  <c r="D34" i="11"/>
  <c r="T41" i="11" s="1"/>
  <c r="F8" i="11"/>
  <c r="G40" i="11"/>
  <c r="R36" i="11"/>
  <c r="R43" i="11" s="1"/>
  <c r="O36" i="11"/>
  <c r="O43" i="11" s="1"/>
  <c r="K44" i="11"/>
  <c r="K45" i="11" s="1"/>
  <c r="S35" i="11"/>
  <c r="L36" i="11"/>
  <c r="L43" i="11" s="1"/>
  <c r="G36" i="11"/>
  <c r="J44" i="11"/>
  <c r="J45" i="11" s="1"/>
  <c r="M36" i="11"/>
  <c r="M43" i="11" s="1"/>
  <c r="P36" i="11"/>
  <c r="P43" i="11" s="1"/>
  <c r="Q44" i="11"/>
  <c r="Q45" i="11" s="1"/>
  <c r="I44" i="11"/>
  <c r="I45" i="11" s="1"/>
  <c r="N36" i="11"/>
  <c r="N43" i="11" s="1"/>
  <c r="D35" i="11"/>
  <c r="D44" i="11" s="1"/>
  <c r="H36" i="11"/>
  <c r="O45" i="11"/>
  <c r="R45" i="11"/>
  <c r="P45" i="11"/>
  <c r="H45" i="11"/>
  <c r="J43" i="11"/>
  <c r="M45" i="11"/>
  <c r="L45" i="11"/>
  <c r="K43" i="11"/>
  <c r="Q43" i="11"/>
  <c r="G45" i="11"/>
  <c r="I43" i="11"/>
  <c r="N45" i="11"/>
  <c r="I52" i="12" l="1"/>
  <c r="D52" i="12" s="1"/>
  <c r="J55" i="12" s="1"/>
  <c r="H8" i="13"/>
  <c r="I54" i="13"/>
  <c r="D53" i="13"/>
  <c r="J40" i="11"/>
  <c r="D40" i="11" s="1"/>
  <c r="I54" i="12"/>
  <c r="H43" i="11"/>
  <c r="H49" i="11" s="1"/>
  <c r="H42" i="11"/>
  <c r="G43" i="11"/>
  <c r="G49" i="11" s="1"/>
  <c r="G50" i="11" s="1"/>
  <c r="G42" i="11"/>
  <c r="Q49" i="11"/>
  <c r="Q51" i="11" s="1"/>
  <c r="D36" i="11"/>
  <c r="R49" i="11"/>
  <c r="R51" i="11" s="1"/>
  <c r="L49" i="11"/>
  <c r="M49" i="11"/>
  <c r="M51" i="11" s="1"/>
  <c r="J49" i="11"/>
  <c r="N41" i="11"/>
  <c r="N42" i="11" s="1"/>
  <c r="N46" i="11" s="1"/>
  <c r="L41" i="11"/>
  <c r="L42" i="11" s="1"/>
  <c r="L46" i="11" s="1"/>
  <c r="M41" i="11"/>
  <c r="M42" i="11" s="1"/>
  <c r="M46" i="11" s="1"/>
  <c r="I41" i="11"/>
  <c r="K41" i="11"/>
  <c r="K42" i="11" s="1"/>
  <c r="K46" i="11" s="1"/>
  <c r="R41" i="11"/>
  <c r="R42" i="11" s="1"/>
  <c r="R46" i="11" s="1"/>
  <c r="J41" i="11"/>
  <c r="Q41" i="11"/>
  <c r="Q42" i="11" s="1"/>
  <c r="Q46" i="11" s="1"/>
  <c r="O41" i="11"/>
  <c r="O42" i="11" s="1"/>
  <c r="O46" i="11" s="1"/>
  <c r="P41" i="11"/>
  <c r="P42" i="11" s="1"/>
  <c r="P46" i="11" s="1"/>
  <c r="P49" i="11"/>
  <c r="P51" i="11" s="1"/>
  <c r="O49" i="11"/>
  <c r="O51" i="11" s="1"/>
  <c r="K49" i="11"/>
  <c r="D45" i="11"/>
  <c r="N49" i="11"/>
  <c r="N51" i="11" s="1"/>
  <c r="I49" i="11"/>
  <c r="J42" i="11" l="1"/>
  <c r="J46" i="11" s="1"/>
  <c r="G46" i="11"/>
  <c r="H46" i="11"/>
  <c r="J8" i="12"/>
  <c r="D54" i="12"/>
  <c r="I56" i="13"/>
  <c r="D43" i="11"/>
  <c r="T42" i="11"/>
  <c r="J50" i="11"/>
  <c r="H50" i="11"/>
  <c r="I50" i="11"/>
  <c r="O47" i="11"/>
  <c r="O48" i="11" s="1"/>
  <c r="O54" i="11" s="1"/>
  <c r="P47" i="11"/>
  <c r="P48" i="11" s="1"/>
  <c r="P54" i="11" s="1"/>
  <c r="Q47" i="11"/>
  <c r="Q48" i="11" s="1"/>
  <c r="Q54" i="11" s="1"/>
  <c r="H47" i="11"/>
  <c r="H48" i="11" s="1"/>
  <c r="H54" i="11" s="1"/>
  <c r="J47" i="11"/>
  <c r="J48" i="11" s="1"/>
  <c r="J54" i="11" s="1"/>
  <c r="K47" i="11"/>
  <c r="K48" i="11" s="1"/>
  <c r="K54" i="11" s="1"/>
  <c r="M47" i="11"/>
  <c r="M48" i="11" s="1"/>
  <c r="M54" i="11" s="1"/>
  <c r="G51" i="11"/>
  <c r="D49" i="11"/>
  <c r="N47" i="11"/>
  <c r="N48" i="11" s="1"/>
  <c r="N54" i="11" s="1"/>
  <c r="R47" i="11"/>
  <c r="R48" i="11" s="1"/>
  <c r="R54" i="11" s="1"/>
  <c r="L47" i="11"/>
  <c r="L48" i="11" s="1"/>
  <c r="L54" i="11" s="1"/>
  <c r="D41" i="11"/>
  <c r="D42" i="11" s="1"/>
  <c r="D57" i="11" s="1"/>
  <c r="I42" i="11"/>
  <c r="I46" i="11" s="1"/>
  <c r="G47" i="11"/>
  <c r="D50" i="11" l="1"/>
  <c r="J8" i="13"/>
  <c r="D56" i="13"/>
  <c r="J51" i="11"/>
  <c r="K50" i="11"/>
  <c r="K51" i="11" s="1"/>
  <c r="J52" i="11"/>
  <c r="J53" i="11" s="1"/>
  <c r="H51" i="11"/>
  <c r="I51" i="11"/>
  <c r="L51" i="11"/>
  <c r="Q52" i="11"/>
  <c r="P52" i="11"/>
  <c r="M52" i="11"/>
  <c r="O52" i="11"/>
  <c r="R52" i="11"/>
  <c r="H52" i="11"/>
  <c r="N52" i="11"/>
  <c r="I47" i="11"/>
  <c r="I48" i="11" s="1"/>
  <c r="I54" i="11" s="1"/>
  <c r="D46" i="11"/>
  <c r="G48" i="11"/>
  <c r="G52" i="11" s="1"/>
  <c r="H53" i="11" l="1"/>
  <c r="H55" i="11" s="1"/>
  <c r="I8" i="11" s="1"/>
  <c r="J55" i="11"/>
  <c r="K8" i="11" s="1"/>
  <c r="G54" i="11"/>
  <c r="G53" i="11" s="1"/>
  <c r="G55" i="11" s="1"/>
  <c r="H8" i="11" s="1"/>
  <c r="K52" i="11"/>
  <c r="D51" i="11"/>
  <c r="L52" i="11"/>
  <c r="I52" i="11"/>
  <c r="I53" i="11" s="1"/>
  <c r="I55" i="11" s="1"/>
  <c r="D47" i="11"/>
  <c r="D48" i="11" s="1"/>
  <c r="J8" i="11" l="1"/>
  <c r="D55" i="11"/>
  <c r="K57" i="11"/>
  <c r="K55" i="11"/>
  <c r="L8" i="11" s="1"/>
  <c r="L55" i="11" s="1"/>
  <c r="M8" i="11" s="1"/>
  <c r="M55" i="11" s="1"/>
  <c r="N8" i="11" s="1"/>
  <c r="N55" i="11" s="1"/>
  <c r="O8" i="11" s="1"/>
  <c r="O55" i="11" s="1"/>
  <c r="P8" i="11" s="1"/>
  <c r="P55" i="11" s="1"/>
  <c r="Q8" i="11" s="1"/>
  <c r="Q55" i="11" s="1"/>
  <c r="R8" i="11" s="1"/>
  <c r="R55" i="11" s="1"/>
  <c r="D52" i="11"/>
  <c r="D54" i="11" l="1"/>
  <c r="D53" i="11"/>
  <c r="J56" i="11" l="1"/>
  <c r="D54" i="13"/>
  <c r="J57" i="13" s="1"/>
</calcChain>
</file>

<file path=xl/sharedStrings.xml><?xml version="1.0" encoding="utf-8"?>
<sst xmlns="http://schemas.openxmlformats.org/spreadsheetml/2006/main" count="433" uniqueCount="125">
  <si>
    <t>Наименование статьи</t>
  </si>
  <si>
    <t>ед. изм.</t>
  </si>
  <si>
    <t>I</t>
  </si>
  <si>
    <t>II</t>
  </si>
  <si>
    <t>V</t>
  </si>
  <si>
    <t>VI</t>
  </si>
  <si>
    <t>VII</t>
  </si>
  <si>
    <t>IX</t>
  </si>
  <si>
    <t>Остаток денежных средств</t>
  </si>
  <si>
    <t>руб.</t>
  </si>
  <si>
    <t>Получение компенсации от государства</t>
  </si>
  <si>
    <t>Средний объем заправляемого газа за 1 заправку при давлении 200 атм</t>
  </si>
  <si>
    <r>
      <t>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</si>
  <si>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t>Годовая потребность в топливе</t>
  </si>
  <si>
    <r>
      <t xml:space="preserve"> м</t>
    </r>
    <r>
      <rPr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>/час</t>
    </r>
  </si>
  <si>
    <t>Всего капитальных вложений с НДС</t>
  </si>
  <si>
    <t xml:space="preserve">Всего расходы на производство сжатого газа </t>
  </si>
  <si>
    <t>Перевод назначения земельного участка</t>
  </si>
  <si>
    <t>Получение ТУ по газу</t>
  </si>
  <si>
    <t>Расходы на инженерные изыскания</t>
  </si>
  <si>
    <t>Расходы на экспертизу проекта</t>
  </si>
  <si>
    <t>Расходы на обучение и аттестацию производственного персонала</t>
  </si>
  <si>
    <t>График движения денежных средств по кварталам (эксплуатация АГНКС)</t>
  </si>
  <si>
    <t>Регистрация ОПО в Ростехнадзоре</t>
  </si>
  <si>
    <t>Ввод с эксплуатацию АГНКС</t>
  </si>
  <si>
    <t xml:space="preserve">График финансирования капитального строительства по кварталам (с III квартала начинается реализация газа в режиме пусконаладки)                                                                 </t>
  </si>
  <si>
    <t>Расходы на разрешение на строительство</t>
  </si>
  <si>
    <t>шт/сут</t>
  </si>
  <si>
    <t>Общестроительные работы и подводящий газопровод</t>
  </si>
  <si>
    <r>
      <t>м</t>
    </r>
    <r>
      <rPr>
        <b/>
        <i/>
        <vertAlign val="superscript"/>
        <sz val="12"/>
        <color rgb="FF000000"/>
        <rFont val="Times New Roman"/>
        <family val="1"/>
        <charset val="204"/>
      </rPr>
      <t>3</t>
    </r>
  </si>
  <si>
    <t>Количество потребляемого газа</t>
  </si>
  <si>
    <t>Всего первый за год эксплуатации</t>
  </si>
  <si>
    <t>ПОКАЗАТЕЛИ ПО ЭКСПЛУАТАЦИИ АГНКС (собственная станция без учета прибыли от работы коммерческой зоны).</t>
  </si>
  <si>
    <t>X</t>
  </si>
  <si>
    <t>XI</t>
  </si>
  <si>
    <t>Оборудование торгового зала (в т.ч.касса)</t>
  </si>
  <si>
    <t>Лицензии на программное обеспечение</t>
  </si>
  <si>
    <t xml:space="preserve">Газопровод </t>
  </si>
  <si>
    <t>Расходы на проектирование (стадия П, Р)</t>
  </si>
  <si>
    <t>Расходы на ФОТ производственного персонала с учетом начислений</t>
  </si>
  <si>
    <t>Ограждение</t>
  </si>
  <si>
    <t>Всего Общестроительные работы и подводящий газопровод</t>
  </si>
  <si>
    <t>Молниеотводы 16 метров 3 шт (оцинкованные опоры)</t>
  </si>
  <si>
    <t>Стоимость земельного участка</t>
  </si>
  <si>
    <t xml:space="preserve">IV </t>
  </si>
  <si>
    <t>ОСНО (с НДС)</t>
  </si>
  <si>
    <t>Стоимость закупаемого трубного газа с НДС</t>
  </si>
  <si>
    <t>Расходы на электроэнергию с НДС</t>
  </si>
  <si>
    <t>Эксплуатационные расходы с НДС в т.ч. маркетинг</t>
  </si>
  <si>
    <t>III</t>
  </si>
  <si>
    <t xml:space="preserve">VIII </t>
  </si>
  <si>
    <t>НДС по расходам на возмещение из бюджета</t>
  </si>
  <si>
    <t>НДС от выручки</t>
  </si>
  <si>
    <t>Выручка (доходы) от реализации сжатого газа с НДС</t>
  </si>
  <si>
    <t>Сумма прибыли до налогообложения (налогом на прибыль)</t>
  </si>
  <si>
    <t>Сумма налога на прибыль (20%)</t>
  </si>
  <si>
    <t>НДС к возмещению от строительсва</t>
  </si>
  <si>
    <t xml:space="preserve">Итого НДС к уплате в бюджет </t>
  </si>
  <si>
    <t>НДС от реализации без учета НДС к возмещению от строительства</t>
  </si>
  <si>
    <t>Чистая прибыль (по бухгалтерскому учету)</t>
  </si>
  <si>
    <r>
      <t>Отпускная цена 1 м</t>
    </r>
    <r>
      <rPr>
        <vertAlign val="superscript"/>
        <sz val="14"/>
        <color rgb="FF000000"/>
        <rFont val="Times New Roman"/>
        <family val="1"/>
        <charset val="204"/>
      </rPr>
      <t>3</t>
    </r>
    <r>
      <rPr>
        <sz val="14"/>
        <color rgb="FF000000"/>
        <rFont val="Times New Roman"/>
        <family val="1"/>
        <charset val="204"/>
      </rPr>
      <t xml:space="preserve"> природного газа на АГНКС </t>
    </r>
  </si>
  <si>
    <r>
      <t>Закупочная цена 1 м</t>
    </r>
    <r>
      <rPr>
        <vertAlign val="superscript"/>
        <sz val="14"/>
        <color rgb="FF000000"/>
        <rFont val="Times New Roman"/>
        <family val="1"/>
        <charset val="204"/>
      </rPr>
      <t>3</t>
    </r>
    <r>
      <rPr>
        <sz val="14"/>
        <color rgb="FF000000"/>
        <rFont val="Times New Roman"/>
        <family val="1"/>
        <charset val="204"/>
      </rPr>
      <t xml:space="preserve"> природного газа </t>
    </r>
  </si>
  <si>
    <t xml:space="preserve">Амортизация основных средств в соответствии с нормами </t>
  </si>
  <si>
    <t>НДС по капитальному строительству для возмещения</t>
  </si>
  <si>
    <t>XII</t>
  </si>
  <si>
    <t xml:space="preserve">Расходы на приобретение оборудования </t>
  </si>
  <si>
    <t>ст. Ивановская</t>
  </si>
  <si>
    <t>Пусконаладка и монтаж оборудования</t>
  </si>
  <si>
    <t>Асфальтирование и земляные работы</t>
  </si>
  <si>
    <t xml:space="preserve">Остаток денежных средств от реализации газа за квартал (расходы по амортизации основных средств и НДС к возмещению по кап строительству увеличивают остаток т.к. являются ранее понесенными с точки зрения денежного потока) </t>
  </si>
  <si>
    <t>Объем заправки в сутки</t>
  </si>
  <si>
    <t>ТУ, проект и согласование с ГИБДД (примыкание к федеральной дороге)</t>
  </si>
  <si>
    <t>Заработная плата с начислениями (ФОТ)</t>
  </si>
  <si>
    <t xml:space="preserve">Операторная 14х7 </t>
  </si>
  <si>
    <t>Пожарные емкости 2 шт. с установкой</t>
  </si>
  <si>
    <t>Очистные сооружения для ливневых стоков</t>
  </si>
  <si>
    <t>Малые архитектурные формы</t>
  </si>
  <si>
    <t>Фундаменты под оборудование</t>
  </si>
  <si>
    <t xml:space="preserve">САУ (система автоматического управления) </t>
  </si>
  <si>
    <t>Водоотведение и водоподведение (ТУ) лицензия на скважину и бурение</t>
  </si>
  <si>
    <t xml:space="preserve">Стелла </t>
  </si>
  <si>
    <t>Система электроснабжения наружная (подводящие кабеля, опоры под светильники и пр.)</t>
  </si>
  <si>
    <t>Галерея 40х10 м (возможна замена на навесы над колонками)</t>
  </si>
  <si>
    <t xml:space="preserve">Количество автотранспорта (шт/квартал с 6 столбца). </t>
  </si>
  <si>
    <t>Получение ТУ по электроэнергии (дополнительно 350 кВт/час)</t>
  </si>
  <si>
    <t>Сумма к дивидендов к выплате партнерам от чистой прибыли (40% с 6 по 9 столбец, с 10 столбца общая сумма)</t>
  </si>
  <si>
    <r>
      <t xml:space="preserve">Возврат средств Инвестору </t>
    </r>
    <r>
      <rPr>
        <sz val="14"/>
        <color rgb="FF000000"/>
        <rFont val="Times New Roman"/>
        <family val="1"/>
        <charset val="204"/>
      </rPr>
      <t>от остатка денежных средств</t>
    </r>
    <r>
      <rPr>
        <b/>
        <sz val="14"/>
        <color rgb="FF000000"/>
        <rFont val="Times New Roman"/>
        <family val="1"/>
        <charset val="204"/>
      </rPr>
      <t xml:space="preserve">  (с учетом сумм субсидии - столбец 9)</t>
    </r>
  </si>
  <si>
    <t>Производительность АГНКС</t>
  </si>
  <si>
    <t>Сумма к дивидендов к выплате партнерам от чистой прибыли (30% с 6 по 15 столбец, с 16 столбца общая сумма)</t>
  </si>
  <si>
    <t>С полным финансированием от Инвестора</t>
  </si>
  <si>
    <t>с полным финансированием от Инвестора</t>
  </si>
  <si>
    <t>с привлечением кредитной линии Россельхозбанка (Инвестор финансирует расходы до получения разрешения на строительство)</t>
  </si>
  <si>
    <t>Остаток денежных средств нарастающим итогом с учетом субсидии от государства за первый год от начала продаж</t>
  </si>
  <si>
    <t>Продажная стоимость объекта</t>
  </si>
  <si>
    <t>№</t>
  </si>
  <si>
    <r>
      <t xml:space="preserve">Возврат средств Инвестору </t>
    </r>
    <r>
      <rPr>
        <sz val="14"/>
        <color rgb="FF000000"/>
        <rFont val="Times New Roman"/>
        <family val="1"/>
        <charset val="204"/>
      </rPr>
      <t>от остатка денежных средств</t>
    </r>
    <r>
      <rPr>
        <b/>
        <sz val="14"/>
        <color rgb="FF000000"/>
        <rFont val="Times New Roman"/>
        <family val="1"/>
        <charset val="204"/>
      </rPr>
      <t xml:space="preserve">                                      (с учетом сумм субсидии - столбец 9)</t>
    </r>
  </si>
  <si>
    <r>
      <t xml:space="preserve">Возврат средств Инвестору </t>
    </r>
    <r>
      <rPr>
        <sz val="14"/>
        <color rgb="FF000000"/>
        <rFont val="Times New Roman"/>
        <family val="1"/>
        <charset val="204"/>
      </rPr>
      <t xml:space="preserve">от остатка денежных средств                              </t>
    </r>
    <r>
      <rPr>
        <b/>
        <sz val="14"/>
        <color rgb="FF000000"/>
        <rFont val="Times New Roman"/>
        <family val="1"/>
        <charset val="204"/>
      </rPr>
      <t xml:space="preserve">  (с учетом сумм субсидии - столбец 9)</t>
    </r>
  </si>
  <si>
    <t>Сумма к дивидендов к выплате партнерам от чистой прибыли (30% с 6 по 11 столбец, 12 столбец общая сумма дивидендов к распределению после продажи объекта)</t>
  </si>
  <si>
    <t>НДС от выручки (исключена стоимость земельного участка)</t>
  </si>
  <si>
    <t>График движения денежных средств по кварталам (эксплуатация и продажа АГНКС)</t>
  </si>
  <si>
    <t>Остаточная стоимость продаваемого амортизируемого имущества включая стоимость земельного участка</t>
  </si>
  <si>
    <t>с полным финансированием от Инвестора и последующей продажей АГНКС как имущественного комплекса</t>
  </si>
  <si>
    <t>Расходы на обслуживание кредита (4,7% на 5 лет. Сумма кредитной линии 75 058 000 руб.) до ввода объекта в эксплуатацию оплачиваются только проценты</t>
  </si>
  <si>
    <t>С полным финансированием от Инвестора и с последующей продажей объекта</t>
  </si>
  <si>
    <t>Объем вложений Инвестором</t>
  </si>
  <si>
    <t>Размер доли Инвестора</t>
  </si>
  <si>
    <t>Стоимость доли Инвестора после ввода объекта в эксплуатацию</t>
  </si>
  <si>
    <t>Расходы на строительство объекта</t>
  </si>
  <si>
    <t>Срок возврата средств Инвестору с начала реализации проекта</t>
  </si>
  <si>
    <t>1,2 года</t>
  </si>
  <si>
    <t>Срок возврата средств Инвестору с  начала продаж</t>
  </si>
  <si>
    <t>3 года</t>
  </si>
  <si>
    <t>2 года 3 месяца</t>
  </si>
  <si>
    <t>Доход Инвестора от продажи объекта</t>
  </si>
  <si>
    <t>Прибыль по бухгалтерскому учету от продажи объекта всего</t>
  </si>
  <si>
    <t>Общая прибыль по бухгалтерскому учету к распределению в квартал после возврата средств Инвестору</t>
  </si>
  <si>
    <t>1 год-на возврат Инвестору направляется 60% прибыли</t>
  </si>
  <si>
    <t>2 года 6 месяцев-на возврат Инвестору направляется 70% прибыли</t>
  </si>
  <si>
    <t>1 год 9 месяцев-на возврат Инвестору направляется 70% прибыли</t>
  </si>
  <si>
    <t>Доход Инвестора в квартал после возврата вложенных средств</t>
  </si>
  <si>
    <t>С привлечением кредитной линии (Инвестор финансирует расходы до получения разрешения на строительство)</t>
  </si>
  <si>
    <t>Всего доход Инвестора за один год после возврата вложенных средств</t>
  </si>
  <si>
    <t>Сумма возврата средств Инвестору за первый год с начала продаж (включена сумма компенсации расходов от государства - 36 млн. руб.)</t>
  </si>
  <si>
    <t>Основные показатели для Инвестора</t>
  </si>
  <si>
    <r>
      <t>на примере АГНКС в ст. Ивановской Краснодарского края (мощность 1000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</si>
</sst>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000"/>
    <numFmt numFmtId="168" formatCode="_-* #,##0.0_р_._-;\-* #,##0.0_р_._-;_-* &quot;-&quot;??_р_._-;_-@_-"/>
    <numFmt numFmtId="169" formatCode="#,##0.0"/>
    <numFmt numFmtId="170" formatCode="#,##0.000"/>
    <numFmt numFmtId="171" formatCode="#,##0_ ;\-#,##0\ 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vertAlign val="superscript"/>
      <sz val="12"/>
      <color rgb="FF000000"/>
      <name val="Times New Roman"/>
      <family val="1"/>
      <charset val="204"/>
    </font>
    <font>
      <sz val="12"/>
      <color theme="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4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4"/>
      <color theme="5" tint="-0.499984740745262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4"/>
      <color theme="5" tint="-0.499984740745262"/>
      <name val="Times New Roman"/>
      <family val="1"/>
      <charset val="204"/>
    </font>
    <font>
      <sz val="12"/>
      <color theme="5" tint="-0.499984740745262"/>
      <name val="Times New Roman"/>
      <family val="1"/>
      <charset val="204"/>
    </font>
    <font>
      <b/>
      <i/>
      <sz val="14"/>
      <color theme="5" tint="-0.499984740745262"/>
      <name val="Times New Roman"/>
      <family val="1"/>
      <charset val="204"/>
    </font>
    <font>
      <b/>
      <i/>
      <sz val="12"/>
      <color theme="5" tint="-0.499984740745262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4">
    <xf numFmtId="0" fontId="0" fillId="0" borderId="0" xfId="0"/>
    <xf numFmtId="0" fontId="0" fillId="0" borderId="0" xfId="0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66" fontId="0" fillId="0" borderId="0" xfId="1" applyNumberFormat="1" applyFont="1" applyAlignment="1">
      <alignment horizontal="center" vertical="center"/>
    </xf>
    <xf numFmtId="166" fontId="0" fillId="0" borderId="0" xfId="0" applyNumberFormat="1" applyAlignment="1">
      <alignment vertical="center"/>
    </xf>
    <xf numFmtId="0" fontId="6" fillId="3" borderId="39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165" fontId="0" fillId="0" borderId="0" xfId="1" applyFont="1" applyAlignment="1">
      <alignment vertical="center"/>
    </xf>
    <xf numFmtId="0" fontId="6" fillId="5" borderId="51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3" fontId="13" fillId="0" borderId="80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166" fontId="0" fillId="0" borderId="0" xfId="1" applyNumberFormat="1" applyFont="1" applyAlignment="1">
      <alignment vertical="center"/>
    </xf>
    <xf numFmtId="165" fontId="0" fillId="0" borderId="0" xfId="1" applyFont="1" applyFill="1" applyAlignment="1">
      <alignment vertical="center"/>
    </xf>
    <xf numFmtId="0" fontId="0" fillId="0" borderId="0" xfId="0" applyAlignment="1">
      <alignment horizontal="right" vertical="center"/>
    </xf>
    <xf numFmtId="165" fontId="0" fillId="0" borderId="0" xfId="1" applyFont="1" applyFill="1" applyAlignment="1">
      <alignment horizontal="center" vertical="center"/>
    </xf>
    <xf numFmtId="166" fontId="0" fillId="0" borderId="0" xfId="1" applyNumberFormat="1" applyFont="1" applyFill="1" applyAlignment="1">
      <alignment horizontal="center" vertical="center"/>
    </xf>
    <xf numFmtId="166" fontId="10" fillId="0" borderId="0" xfId="0" applyNumberFormat="1" applyFont="1" applyAlignment="1">
      <alignment vertical="center" wrapText="1"/>
    </xf>
    <xf numFmtId="9" fontId="0" fillId="0" borderId="0" xfId="2" applyFont="1" applyFill="1" applyAlignment="1">
      <alignment vertical="center"/>
    </xf>
    <xf numFmtId="0" fontId="14" fillId="0" borderId="0" xfId="0" applyFont="1" applyAlignment="1">
      <alignment horizontal="right" vertical="center"/>
    </xf>
    <xf numFmtId="166" fontId="14" fillId="0" borderId="0" xfId="0" applyNumberFormat="1" applyFont="1" applyAlignment="1">
      <alignment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6" fillId="3" borderId="84" xfId="0" applyFont="1" applyFill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0" fontId="2" fillId="0" borderId="64" xfId="0" applyFont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3" fontId="16" fillId="0" borderId="89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3" fontId="16" fillId="0" borderId="29" xfId="0" applyNumberFormat="1" applyFont="1" applyBorder="1" applyAlignment="1">
      <alignment horizontal="center" vertical="center"/>
    </xf>
    <xf numFmtId="3" fontId="16" fillId="0" borderId="73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 wrapText="1"/>
    </xf>
    <xf numFmtId="3" fontId="15" fillId="6" borderId="34" xfId="1" applyNumberFormat="1" applyFont="1" applyFill="1" applyBorder="1" applyAlignment="1">
      <alignment horizontal="center" vertical="center" wrapText="1"/>
    </xf>
    <xf numFmtId="3" fontId="17" fillId="0" borderId="35" xfId="0" applyNumberFormat="1" applyFont="1" applyBorder="1" applyAlignment="1">
      <alignment horizontal="center" vertical="center"/>
    </xf>
    <xf numFmtId="3" fontId="17" fillId="0" borderId="36" xfId="0" applyNumberFormat="1" applyFont="1" applyBorder="1" applyAlignment="1">
      <alignment horizontal="center" vertical="center"/>
    </xf>
    <xf numFmtId="3" fontId="17" fillId="0" borderId="37" xfId="0" applyNumberFormat="1" applyFont="1" applyBorder="1" applyAlignment="1">
      <alignment horizontal="center" vertical="center"/>
    </xf>
    <xf numFmtId="3" fontId="17" fillId="0" borderId="74" xfId="0" applyNumberFormat="1" applyFont="1" applyBorder="1" applyAlignment="1">
      <alignment horizontal="center" vertical="center"/>
    </xf>
    <xf numFmtId="3" fontId="17" fillId="0" borderId="91" xfId="0" applyNumberFormat="1" applyFont="1" applyBorder="1" applyAlignment="1">
      <alignment horizontal="center" vertical="center"/>
    </xf>
    <xf numFmtId="3" fontId="18" fillId="0" borderId="40" xfId="1" applyNumberFormat="1" applyFont="1" applyBorder="1" applyAlignment="1">
      <alignment horizontal="center" vertical="center" wrapText="1"/>
    </xf>
    <xf numFmtId="3" fontId="17" fillId="0" borderId="41" xfId="0" applyNumberFormat="1" applyFont="1" applyBorder="1" applyAlignment="1">
      <alignment horizontal="center" vertical="center"/>
    </xf>
    <xf numFmtId="3" fontId="17" fillId="0" borderId="42" xfId="0" applyNumberFormat="1" applyFont="1" applyBorder="1" applyAlignment="1">
      <alignment horizontal="center" vertical="center"/>
    </xf>
    <xf numFmtId="3" fontId="17" fillId="0" borderId="43" xfId="0" applyNumberFormat="1" applyFont="1" applyBorder="1" applyAlignment="1">
      <alignment horizontal="center" vertical="center"/>
    </xf>
    <xf numFmtId="3" fontId="17" fillId="0" borderId="75" xfId="0" applyNumberFormat="1" applyFont="1" applyBorder="1" applyAlignment="1">
      <alignment horizontal="center" vertical="center"/>
    </xf>
    <xf numFmtId="3" fontId="17" fillId="0" borderId="92" xfId="0" applyNumberFormat="1" applyFont="1" applyBorder="1" applyAlignment="1">
      <alignment horizontal="center" vertical="center"/>
    </xf>
    <xf numFmtId="3" fontId="15" fillId="0" borderId="40" xfId="1" applyNumberFormat="1" applyFont="1" applyBorder="1" applyAlignment="1">
      <alignment horizontal="center" vertical="center" wrapText="1"/>
    </xf>
    <xf numFmtId="4" fontId="15" fillId="0" borderId="40" xfId="1" applyNumberFormat="1" applyFont="1" applyBorder="1" applyAlignment="1">
      <alignment horizontal="center" vertical="center" wrapText="1"/>
    </xf>
    <xf numFmtId="3" fontId="17" fillId="0" borderId="47" xfId="0" applyNumberFormat="1" applyFont="1" applyBorder="1" applyAlignment="1">
      <alignment horizontal="center" vertical="center"/>
    </xf>
    <xf numFmtId="3" fontId="17" fillId="0" borderId="48" xfId="2" applyNumberFormat="1" applyFont="1" applyBorder="1" applyAlignment="1">
      <alignment horizontal="center" vertical="center"/>
    </xf>
    <xf numFmtId="3" fontId="17" fillId="0" borderId="48" xfId="0" applyNumberFormat="1" applyFont="1" applyBorder="1" applyAlignment="1">
      <alignment horizontal="center" vertical="center"/>
    </xf>
    <xf numFmtId="3" fontId="17" fillId="0" borderId="49" xfId="0" applyNumberFormat="1" applyFont="1" applyBorder="1" applyAlignment="1">
      <alignment horizontal="center" vertical="center"/>
    </xf>
    <xf numFmtId="166" fontId="18" fillId="5" borderId="52" xfId="1" applyNumberFormat="1" applyFont="1" applyFill="1" applyBorder="1" applyAlignment="1">
      <alignment horizontal="center" vertical="center"/>
    </xf>
    <xf numFmtId="3" fontId="17" fillId="5" borderId="53" xfId="0" applyNumberFormat="1" applyFont="1" applyFill="1" applyBorder="1" applyAlignment="1">
      <alignment horizontal="center" vertical="center"/>
    </xf>
    <xf numFmtId="3" fontId="17" fillId="3" borderId="54" xfId="0" applyNumberFormat="1" applyFont="1" applyFill="1" applyBorder="1" applyAlignment="1">
      <alignment horizontal="center" vertical="center"/>
    </xf>
    <xf numFmtId="3" fontId="17" fillId="3" borderId="55" xfId="0" applyNumberFormat="1" applyFont="1" applyFill="1" applyBorder="1" applyAlignment="1">
      <alignment horizontal="center" vertical="center"/>
    </xf>
    <xf numFmtId="166" fontId="19" fillId="5" borderId="40" xfId="1" applyNumberFormat="1" applyFont="1" applyFill="1" applyBorder="1" applyAlignment="1">
      <alignment horizontal="center" vertical="center"/>
    </xf>
    <xf numFmtId="3" fontId="19" fillId="5" borderId="41" xfId="0" applyNumberFormat="1" applyFont="1" applyFill="1" applyBorder="1" applyAlignment="1">
      <alignment horizontal="center" vertical="center"/>
    </xf>
    <xf numFmtId="3" fontId="17" fillId="3" borderId="42" xfId="0" applyNumberFormat="1" applyFont="1" applyFill="1" applyBorder="1" applyAlignment="1">
      <alignment horizontal="center" vertical="center"/>
    </xf>
    <xf numFmtId="3" fontId="17" fillId="3" borderId="43" xfId="0" applyNumberFormat="1" applyFont="1" applyFill="1" applyBorder="1" applyAlignment="1">
      <alignment horizontal="center" vertical="center"/>
    </xf>
    <xf numFmtId="166" fontId="18" fillId="5" borderId="40" xfId="1" applyNumberFormat="1" applyFont="1" applyFill="1" applyBorder="1" applyAlignment="1">
      <alignment horizontal="center" vertical="center"/>
    </xf>
    <xf numFmtId="3" fontId="17" fillId="5" borderId="41" xfId="0" applyNumberFormat="1" applyFont="1" applyFill="1" applyBorder="1" applyAlignment="1">
      <alignment horizontal="center" vertical="center"/>
    </xf>
    <xf numFmtId="166" fontId="18" fillId="5" borderId="46" xfId="1" applyNumberFormat="1" applyFont="1" applyFill="1" applyBorder="1" applyAlignment="1">
      <alignment horizontal="center" vertical="center"/>
    </xf>
    <xf numFmtId="3" fontId="17" fillId="5" borderId="47" xfId="0" applyNumberFormat="1" applyFont="1" applyFill="1" applyBorder="1" applyAlignment="1">
      <alignment horizontal="center" vertical="center"/>
    </xf>
    <xf numFmtId="3" fontId="17" fillId="3" borderId="48" xfId="0" applyNumberFormat="1" applyFont="1" applyFill="1" applyBorder="1" applyAlignment="1">
      <alignment horizontal="center" vertical="center"/>
    </xf>
    <xf numFmtId="3" fontId="17" fillId="3" borderId="49" xfId="0" applyNumberFormat="1" applyFont="1" applyFill="1" applyBorder="1" applyAlignment="1">
      <alignment horizontal="center" vertical="center"/>
    </xf>
    <xf numFmtId="167" fontId="17" fillId="0" borderId="41" xfId="0" applyNumberFormat="1" applyFont="1" applyBorder="1" applyAlignment="1">
      <alignment horizontal="center" vertical="center"/>
    </xf>
    <xf numFmtId="166" fontId="18" fillId="3" borderId="52" xfId="1" applyNumberFormat="1" applyFont="1" applyFill="1" applyBorder="1" applyAlignment="1">
      <alignment horizontal="center" vertical="center"/>
    </xf>
    <xf numFmtId="3" fontId="19" fillId="3" borderId="54" xfId="0" applyNumberFormat="1" applyFont="1" applyFill="1" applyBorder="1" applyAlignment="1">
      <alignment horizontal="center" vertical="center"/>
    </xf>
    <xf numFmtId="166" fontId="18" fillId="3" borderId="85" xfId="1" applyNumberFormat="1" applyFont="1" applyFill="1" applyBorder="1" applyAlignment="1">
      <alignment horizontal="center" vertical="center"/>
    </xf>
    <xf numFmtId="3" fontId="19" fillId="3" borderId="82" xfId="0" applyNumberFormat="1" applyFont="1" applyFill="1" applyBorder="1" applyAlignment="1">
      <alignment horizontal="center" vertical="center"/>
    </xf>
    <xf numFmtId="3" fontId="17" fillId="3" borderId="82" xfId="0" applyNumberFormat="1" applyFont="1" applyFill="1" applyBorder="1" applyAlignment="1">
      <alignment horizontal="center" vertical="center"/>
    </xf>
    <xf numFmtId="3" fontId="17" fillId="3" borderId="80" xfId="0" applyNumberFormat="1" applyFont="1" applyFill="1" applyBorder="1" applyAlignment="1">
      <alignment horizontal="center" vertical="center"/>
    </xf>
    <xf numFmtId="166" fontId="18" fillId="3" borderId="34" xfId="1" applyNumberFormat="1" applyFont="1" applyFill="1" applyBorder="1" applyAlignment="1">
      <alignment horizontal="center" vertical="center"/>
    </xf>
    <xf numFmtId="3" fontId="19" fillId="3" borderId="36" xfId="0" applyNumberFormat="1" applyFont="1" applyFill="1" applyBorder="1" applyAlignment="1">
      <alignment horizontal="center" vertical="center"/>
    </xf>
    <xf numFmtId="3" fontId="17" fillId="3" borderId="36" xfId="0" applyNumberFormat="1" applyFont="1" applyFill="1" applyBorder="1" applyAlignment="1">
      <alignment horizontal="center" vertical="center"/>
    </xf>
    <xf numFmtId="3" fontId="17" fillId="3" borderId="37" xfId="0" applyNumberFormat="1" applyFont="1" applyFill="1" applyBorder="1" applyAlignment="1">
      <alignment horizontal="center" vertical="center"/>
    </xf>
    <xf numFmtId="166" fontId="18" fillId="3" borderId="40" xfId="1" applyNumberFormat="1" applyFont="1" applyFill="1" applyBorder="1" applyAlignment="1">
      <alignment horizontal="center" vertical="center"/>
    </xf>
    <xf numFmtId="3" fontId="17" fillId="3" borderId="56" xfId="0" applyNumberFormat="1" applyFont="1" applyFill="1" applyBorder="1" applyAlignment="1">
      <alignment horizontal="center" vertical="center"/>
    </xf>
    <xf numFmtId="166" fontId="15" fillId="4" borderId="28" xfId="1" applyNumberFormat="1" applyFont="1" applyFill="1" applyBorder="1" applyAlignment="1">
      <alignment horizontal="center" vertical="center"/>
    </xf>
    <xf numFmtId="3" fontId="16" fillId="3" borderId="29" xfId="0" applyNumberFormat="1" applyFont="1" applyFill="1" applyBorder="1" applyAlignment="1">
      <alignment horizontal="center" vertical="center"/>
    </xf>
    <xf numFmtId="3" fontId="16" fillId="3" borderId="30" xfId="0" applyNumberFormat="1" applyFont="1" applyFill="1" applyBorder="1" applyAlignment="1">
      <alignment horizontal="center" vertical="center"/>
    </xf>
    <xf numFmtId="3" fontId="16" fillId="3" borderId="31" xfId="0" applyNumberFormat="1" applyFont="1" applyFill="1" applyBorder="1" applyAlignment="1">
      <alignment horizontal="center" vertical="center"/>
    </xf>
    <xf numFmtId="166" fontId="21" fillId="0" borderId="9" xfId="1" applyNumberFormat="1" applyFont="1" applyBorder="1" applyAlignment="1">
      <alignment horizontal="center" vertical="center"/>
    </xf>
    <xf numFmtId="3" fontId="22" fillId="0" borderId="69" xfId="0" applyNumberFormat="1" applyFont="1" applyBorder="1" applyAlignment="1">
      <alignment horizontal="center" vertical="center"/>
    </xf>
    <xf numFmtId="3" fontId="22" fillId="0" borderId="70" xfId="0" applyNumberFormat="1" applyFont="1" applyBorder="1" applyAlignment="1">
      <alignment horizontal="center" vertical="center"/>
    </xf>
    <xf numFmtId="166" fontId="23" fillId="0" borderId="70" xfId="1" applyNumberFormat="1" applyFont="1" applyBorder="1" applyAlignment="1">
      <alignment horizontal="center" vertical="center"/>
    </xf>
    <xf numFmtId="166" fontId="23" fillId="0" borderId="47" xfId="1" applyNumberFormat="1" applyFont="1" applyBorder="1" applyAlignment="1">
      <alignment horizontal="center" vertical="center"/>
    </xf>
    <xf numFmtId="166" fontId="23" fillId="0" borderId="76" xfId="1" applyNumberFormat="1" applyFont="1" applyBorder="1" applyAlignment="1">
      <alignment horizontal="center" vertical="center"/>
    </xf>
    <xf numFmtId="166" fontId="23" fillId="0" borderId="48" xfId="1" applyNumberFormat="1" applyFont="1" applyBorder="1" applyAlignment="1">
      <alignment horizontal="center" vertical="center"/>
    </xf>
    <xf numFmtId="166" fontId="23" fillId="0" borderId="81" xfId="1" applyNumberFormat="1" applyFont="1" applyBorder="1" applyAlignment="1">
      <alignment horizontal="center" vertical="center"/>
    </xf>
    <xf numFmtId="166" fontId="23" fillId="0" borderId="49" xfId="1" applyNumberFormat="1" applyFont="1" applyBorder="1" applyAlignment="1">
      <alignment horizontal="center" vertical="center"/>
    </xf>
    <xf numFmtId="166" fontId="18" fillId="0" borderId="52" xfId="1" applyNumberFormat="1" applyFont="1" applyBorder="1" applyAlignment="1">
      <alignment horizontal="center" vertical="center"/>
    </xf>
    <xf numFmtId="3" fontId="17" fillId="0" borderId="53" xfId="0" applyNumberFormat="1" applyFont="1" applyBorder="1" applyAlignment="1">
      <alignment horizontal="center" vertical="center"/>
    </xf>
    <xf numFmtId="3" fontId="17" fillId="0" borderId="54" xfId="0" applyNumberFormat="1" applyFont="1" applyBorder="1" applyAlignment="1">
      <alignment horizontal="center" vertical="center"/>
    </xf>
    <xf numFmtId="3" fontId="17" fillId="0" borderId="77" xfId="0" applyNumberFormat="1" applyFont="1" applyBorder="1" applyAlignment="1">
      <alignment horizontal="center" vertical="center"/>
    </xf>
    <xf numFmtId="3" fontId="17" fillId="0" borderId="93" xfId="0" applyNumberFormat="1" applyFont="1" applyBorder="1" applyAlignment="1">
      <alignment horizontal="center" vertical="center"/>
    </xf>
    <xf numFmtId="3" fontId="17" fillId="0" borderId="55" xfId="0" applyNumberFormat="1" applyFont="1" applyBorder="1" applyAlignment="1">
      <alignment horizontal="center" vertical="center"/>
    </xf>
    <xf numFmtId="166" fontId="18" fillId="0" borderId="34" xfId="1" applyNumberFormat="1" applyFont="1" applyBorder="1" applyAlignment="1">
      <alignment horizontal="center" vertical="center"/>
    </xf>
    <xf numFmtId="166" fontId="18" fillId="0" borderId="40" xfId="1" applyNumberFormat="1" applyFont="1" applyBorder="1" applyAlignment="1">
      <alignment horizontal="center" vertical="center"/>
    </xf>
    <xf numFmtId="166" fontId="24" fillId="0" borderId="46" xfId="1" applyNumberFormat="1" applyFont="1" applyBorder="1" applyAlignment="1">
      <alignment horizontal="center" vertical="center"/>
    </xf>
    <xf numFmtId="3" fontId="24" fillId="0" borderId="47" xfId="0" applyNumberFormat="1" applyFont="1" applyBorder="1" applyAlignment="1">
      <alignment horizontal="center" vertical="center"/>
    </xf>
    <xf numFmtId="3" fontId="24" fillId="0" borderId="48" xfId="0" applyNumberFormat="1" applyFont="1" applyBorder="1" applyAlignment="1">
      <alignment horizontal="center" vertical="center"/>
    </xf>
    <xf numFmtId="3" fontId="24" fillId="0" borderId="80" xfId="0" applyNumberFormat="1" applyFont="1" applyBorder="1" applyAlignment="1">
      <alignment horizontal="center" vertical="center"/>
    </xf>
    <xf numFmtId="3" fontId="24" fillId="0" borderId="76" xfId="0" applyNumberFormat="1" applyFont="1" applyBorder="1" applyAlignment="1">
      <alignment horizontal="center" vertical="center"/>
    </xf>
    <xf numFmtId="3" fontId="24" fillId="0" borderId="81" xfId="0" applyNumberFormat="1" applyFont="1" applyBorder="1" applyAlignment="1">
      <alignment horizontal="center" vertical="center"/>
    </xf>
    <xf numFmtId="3" fontId="24" fillId="0" borderId="49" xfId="0" applyNumberFormat="1" applyFont="1" applyBorder="1" applyAlignment="1">
      <alignment horizontal="center" vertical="center"/>
    </xf>
    <xf numFmtId="166" fontId="15" fillId="0" borderId="65" xfId="1" applyNumberFormat="1" applyFont="1" applyBorder="1" applyAlignment="1">
      <alignment horizontal="center" vertical="center"/>
    </xf>
    <xf numFmtId="3" fontId="17" fillId="0" borderId="66" xfId="0" applyNumberFormat="1" applyFont="1" applyBorder="1" applyAlignment="1">
      <alignment horizontal="center" vertical="center"/>
    </xf>
    <xf numFmtId="3" fontId="17" fillId="0" borderId="67" xfId="0" applyNumberFormat="1" applyFont="1" applyBorder="1" applyAlignment="1">
      <alignment horizontal="center" vertical="center"/>
    </xf>
    <xf numFmtId="3" fontId="16" fillId="0" borderId="67" xfId="0" applyNumberFormat="1" applyFont="1" applyBorder="1" applyAlignment="1">
      <alignment horizontal="center" vertical="center"/>
    </xf>
    <xf numFmtId="3" fontId="16" fillId="0" borderId="66" xfId="0" applyNumberFormat="1" applyFont="1" applyBorder="1" applyAlignment="1">
      <alignment horizontal="center" vertical="center"/>
    </xf>
    <xf numFmtId="3" fontId="16" fillId="0" borderId="78" xfId="0" applyNumberFormat="1" applyFont="1" applyBorder="1" applyAlignment="1">
      <alignment horizontal="center" vertical="center"/>
    </xf>
    <xf numFmtId="3" fontId="16" fillId="0" borderId="94" xfId="0" applyNumberFormat="1" applyFont="1" applyBorder="1" applyAlignment="1">
      <alignment horizontal="center" vertical="center"/>
    </xf>
    <xf numFmtId="3" fontId="16" fillId="0" borderId="68" xfId="0" applyNumberFormat="1" applyFont="1" applyBorder="1" applyAlignment="1">
      <alignment horizontal="center" vertical="center"/>
    </xf>
    <xf numFmtId="166" fontId="18" fillId="0" borderId="46" xfId="1" applyNumberFormat="1" applyFont="1" applyBorder="1" applyAlignment="1">
      <alignment horizontal="center" vertical="center"/>
    </xf>
    <xf numFmtId="3" fontId="17" fillId="0" borderId="76" xfId="0" applyNumberFormat="1" applyFont="1" applyBorder="1" applyAlignment="1">
      <alignment horizontal="center" vertical="center"/>
    </xf>
    <xf numFmtId="3" fontId="17" fillId="0" borderId="81" xfId="0" applyNumberFormat="1" applyFont="1" applyBorder="1" applyAlignment="1">
      <alignment horizontal="center" vertical="center"/>
    </xf>
    <xf numFmtId="166" fontId="15" fillId="7" borderId="28" xfId="1" applyNumberFormat="1" applyFont="1" applyFill="1" applyBorder="1" applyAlignment="1">
      <alignment horizontal="center" vertical="center"/>
    </xf>
    <xf numFmtId="3" fontId="17" fillId="7" borderId="29" xfId="0" applyNumberFormat="1" applyFont="1" applyFill="1" applyBorder="1" applyAlignment="1">
      <alignment horizontal="center" vertical="center"/>
    </xf>
    <xf numFmtId="3" fontId="17" fillId="7" borderId="30" xfId="0" applyNumberFormat="1" applyFont="1" applyFill="1" applyBorder="1" applyAlignment="1">
      <alignment horizontal="center" vertical="center"/>
    </xf>
    <xf numFmtId="3" fontId="16" fillId="7" borderId="30" xfId="0" applyNumberFormat="1" applyFont="1" applyFill="1" applyBorder="1" applyAlignment="1">
      <alignment horizontal="center" vertical="center"/>
    </xf>
    <xf numFmtId="3" fontId="16" fillId="7" borderId="29" xfId="0" applyNumberFormat="1" applyFont="1" applyFill="1" applyBorder="1" applyAlignment="1">
      <alignment horizontal="center" vertical="center"/>
    </xf>
    <xf numFmtId="3" fontId="16" fillId="7" borderId="73" xfId="0" applyNumberFormat="1" applyFont="1" applyFill="1" applyBorder="1" applyAlignment="1">
      <alignment horizontal="center" vertical="center"/>
    </xf>
    <xf numFmtId="3" fontId="16" fillId="7" borderId="90" xfId="0" applyNumberFormat="1" applyFont="1" applyFill="1" applyBorder="1" applyAlignment="1">
      <alignment horizontal="center" vertical="center"/>
    </xf>
    <xf numFmtId="3" fontId="16" fillId="7" borderId="31" xfId="0" applyNumberFormat="1" applyFont="1" applyFill="1" applyBorder="1" applyAlignment="1">
      <alignment horizontal="center" vertical="center"/>
    </xf>
    <xf numFmtId="166" fontId="26" fillId="0" borderId="9" xfId="1" applyNumberFormat="1" applyFont="1" applyBorder="1" applyAlignment="1">
      <alignment horizontal="center" vertical="center"/>
    </xf>
    <xf numFmtId="3" fontId="20" fillId="0" borderId="69" xfId="0" applyNumberFormat="1" applyFont="1" applyBorder="1" applyAlignment="1">
      <alignment horizontal="center" vertical="center"/>
    </xf>
    <xf numFmtId="3" fontId="20" fillId="0" borderId="70" xfId="0" applyNumberFormat="1" applyFont="1" applyBorder="1" applyAlignment="1">
      <alignment horizontal="center" vertical="center"/>
    </xf>
    <xf numFmtId="3" fontId="26" fillId="0" borderId="70" xfId="0" applyNumberFormat="1" applyFont="1" applyBorder="1" applyAlignment="1">
      <alignment horizontal="center" vertical="center"/>
    </xf>
    <xf numFmtId="3" fontId="26" fillId="0" borderId="69" xfId="0" applyNumberFormat="1" applyFont="1" applyBorder="1" applyAlignment="1">
      <alignment horizontal="center" vertical="center"/>
    </xf>
    <xf numFmtId="3" fontId="26" fillId="0" borderId="98" xfId="0" applyNumberFormat="1" applyFont="1" applyBorder="1" applyAlignment="1">
      <alignment horizontal="center" vertical="center"/>
    </xf>
    <xf numFmtId="3" fontId="26" fillId="0" borderId="99" xfId="0" applyNumberFormat="1" applyFont="1" applyBorder="1" applyAlignment="1">
      <alignment horizontal="center" vertical="center"/>
    </xf>
    <xf numFmtId="3" fontId="26" fillId="0" borderId="100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8" fillId="0" borderId="32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44" xfId="0" applyFont="1" applyBorder="1" applyAlignment="1">
      <alignment vertical="center" wrapText="1"/>
    </xf>
    <xf numFmtId="0" fontId="18" fillId="5" borderId="50" xfId="0" applyFont="1" applyFill="1" applyBorder="1" applyAlignment="1">
      <alignment vertical="center" wrapText="1"/>
    </xf>
    <xf numFmtId="0" fontId="18" fillId="5" borderId="38" xfId="0" applyFont="1" applyFill="1" applyBorder="1" applyAlignment="1">
      <alignment vertical="center" wrapText="1"/>
    </xf>
    <xf numFmtId="0" fontId="19" fillId="5" borderId="38" xfId="0" applyFont="1" applyFill="1" applyBorder="1" applyAlignment="1">
      <alignment vertical="center" wrapText="1"/>
    </xf>
    <xf numFmtId="0" fontId="18" fillId="5" borderId="44" xfId="0" applyFont="1" applyFill="1" applyBorder="1" applyAlignment="1">
      <alignment vertical="center" wrapText="1"/>
    </xf>
    <xf numFmtId="0" fontId="18" fillId="3" borderId="50" xfId="0" applyFont="1" applyFill="1" applyBorder="1" applyAlignment="1">
      <alignment vertical="center" wrapText="1"/>
    </xf>
    <xf numFmtId="0" fontId="18" fillId="3" borderId="83" xfId="0" applyFont="1" applyFill="1" applyBorder="1" applyAlignment="1">
      <alignment vertical="center" wrapText="1"/>
    </xf>
    <xf numFmtId="0" fontId="18" fillId="3" borderId="32" xfId="0" applyFont="1" applyFill="1" applyBorder="1" applyAlignment="1">
      <alignment vertical="center" wrapText="1"/>
    </xf>
    <xf numFmtId="0" fontId="18" fillId="3" borderId="38" xfId="0" applyFont="1" applyFill="1" applyBorder="1" applyAlignment="1">
      <alignment vertical="center" wrapText="1"/>
    </xf>
    <xf numFmtId="0" fontId="16" fillId="3" borderId="26" xfId="0" applyFont="1" applyFill="1" applyBorder="1" applyAlignment="1">
      <alignment vertical="center" wrapText="1"/>
    </xf>
    <xf numFmtId="0" fontId="28" fillId="0" borderId="7" xfId="0" applyFont="1" applyBorder="1" applyAlignment="1">
      <alignment vertical="center" wrapText="1"/>
    </xf>
    <xf numFmtId="0" fontId="18" fillId="0" borderId="50" xfId="0" applyFont="1" applyBorder="1" applyAlignment="1">
      <alignment vertical="center" wrapText="1"/>
    </xf>
    <xf numFmtId="0" fontId="24" fillId="0" borderId="44" xfId="0" applyFont="1" applyBorder="1" applyAlignment="1">
      <alignment vertical="center" wrapText="1"/>
    </xf>
    <xf numFmtId="0" fontId="15" fillId="0" borderId="63" xfId="0" applyFont="1" applyBorder="1" applyAlignment="1">
      <alignment vertical="center" wrapText="1"/>
    </xf>
    <xf numFmtId="0" fontId="15" fillId="7" borderId="26" xfId="0" applyFont="1" applyFill="1" applyBorder="1" applyAlignment="1">
      <alignment vertical="center" wrapText="1"/>
    </xf>
    <xf numFmtId="0" fontId="26" fillId="0" borderId="7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3" fontId="24" fillId="0" borderId="102" xfId="0" applyNumberFormat="1" applyFont="1" applyBorder="1" applyAlignment="1">
      <alignment horizontal="center" vertical="center"/>
    </xf>
    <xf numFmtId="166" fontId="0" fillId="0" borderId="0" xfId="1" applyNumberFormat="1" applyFont="1" applyFill="1" applyAlignment="1">
      <alignment vertical="center"/>
    </xf>
    <xf numFmtId="9" fontId="17" fillId="0" borderId="0" xfId="2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horizontal="center" vertical="center" wrapText="1"/>
    </xf>
    <xf numFmtId="166" fontId="26" fillId="4" borderId="4" xfId="1" applyNumberFormat="1" applyFont="1" applyFill="1" applyBorder="1" applyAlignment="1">
      <alignment horizontal="center" vertical="center"/>
    </xf>
    <xf numFmtId="3" fontId="17" fillId="4" borderId="10" xfId="0" applyNumberFormat="1" applyFont="1" applyFill="1" applyBorder="1" applyAlignment="1">
      <alignment horizontal="center" vertical="center"/>
    </xf>
    <xf numFmtId="3" fontId="17" fillId="4" borderId="11" xfId="0" applyNumberFormat="1" applyFont="1" applyFill="1" applyBorder="1" applyAlignment="1">
      <alignment horizontal="center" vertical="center"/>
    </xf>
    <xf numFmtId="3" fontId="16" fillId="4" borderId="11" xfId="0" applyNumberFormat="1" applyFont="1" applyFill="1" applyBorder="1" applyAlignment="1">
      <alignment horizontal="center" vertical="center"/>
    </xf>
    <xf numFmtId="3" fontId="16" fillId="4" borderId="22" xfId="0" applyNumberFormat="1" applyFont="1" applyFill="1" applyBorder="1" applyAlignment="1">
      <alignment horizontal="center" vertical="center"/>
    </xf>
    <xf numFmtId="0" fontId="15" fillId="3" borderId="57" xfId="0" applyFont="1" applyFill="1" applyBorder="1" applyAlignment="1">
      <alignment vertical="center" wrapText="1"/>
    </xf>
    <xf numFmtId="0" fontId="2" fillId="3" borderId="58" xfId="0" applyFont="1" applyFill="1" applyBorder="1" applyAlignment="1">
      <alignment horizontal="center" vertical="center" wrapText="1"/>
    </xf>
    <xf numFmtId="166" fontId="26" fillId="3" borderId="59" xfId="1" applyNumberFormat="1" applyFont="1" applyFill="1" applyBorder="1" applyAlignment="1">
      <alignment horizontal="center" vertical="center"/>
    </xf>
    <xf numFmtId="3" fontId="17" fillId="3" borderId="60" xfId="0" applyNumberFormat="1" applyFont="1" applyFill="1" applyBorder="1" applyAlignment="1">
      <alignment horizontal="center" vertical="center"/>
    </xf>
    <xf numFmtId="3" fontId="17" fillId="3" borderId="61" xfId="0" applyNumberFormat="1" applyFont="1" applyFill="1" applyBorder="1" applyAlignment="1">
      <alignment horizontal="center" vertical="center"/>
    </xf>
    <xf numFmtId="3" fontId="16" fillId="3" borderId="61" xfId="0" applyNumberFormat="1" applyFont="1" applyFill="1" applyBorder="1" applyAlignment="1">
      <alignment horizontal="center" vertical="center"/>
    </xf>
    <xf numFmtId="3" fontId="16" fillId="3" borderId="60" xfId="0" applyNumberFormat="1" applyFont="1" applyFill="1" applyBorder="1" applyAlignment="1">
      <alignment horizontal="center" vertical="center"/>
    </xf>
    <xf numFmtId="3" fontId="16" fillId="3" borderId="79" xfId="0" applyNumberFormat="1" applyFont="1" applyFill="1" applyBorder="1" applyAlignment="1">
      <alignment horizontal="center" vertical="center"/>
    </xf>
    <xf numFmtId="3" fontId="16" fillId="3" borderId="95" xfId="0" applyNumberFormat="1" applyFont="1" applyFill="1" applyBorder="1" applyAlignment="1">
      <alignment horizontal="center" vertical="center"/>
    </xf>
    <xf numFmtId="3" fontId="16" fillId="3" borderId="62" xfId="0" applyNumberFormat="1" applyFont="1" applyFill="1" applyBorder="1" applyAlignment="1">
      <alignment horizontal="center" vertical="center"/>
    </xf>
    <xf numFmtId="166" fontId="31" fillId="0" borderId="104" xfId="1" applyNumberFormat="1" applyFont="1" applyBorder="1" applyAlignment="1">
      <alignment vertical="center"/>
    </xf>
    <xf numFmtId="3" fontId="16" fillId="0" borderId="87" xfId="0" applyNumberFormat="1" applyFont="1" applyBorder="1" applyAlignment="1">
      <alignment horizontal="center" vertical="center"/>
    </xf>
    <xf numFmtId="3" fontId="16" fillId="0" borderId="103" xfId="0" applyNumberFormat="1" applyFont="1" applyBorder="1" applyAlignment="1">
      <alignment horizontal="center" vertical="center"/>
    </xf>
    <xf numFmtId="3" fontId="19" fillId="5" borderId="53" xfId="0" applyNumberFormat="1" applyFont="1" applyFill="1" applyBorder="1" applyAlignment="1">
      <alignment horizontal="center" vertical="center"/>
    </xf>
    <xf numFmtId="3" fontId="19" fillId="5" borderId="86" xfId="0" applyNumberFormat="1" applyFont="1" applyFill="1" applyBorder="1" applyAlignment="1">
      <alignment horizontal="center" vertical="center"/>
    </xf>
    <xf numFmtId="3" fontId="19" fillId="5" borderId="35" xfId="0" applyNumberFormat="1" applyFont="1" applyFill="1" applyBorder="1" applyAlignment="1">
      <alignment horizontal="center" vertical="center"/>
    </xf>
    <xf numFmtId="165" fontId="0" fillId="0" borderId="0" xfId="1" applyFont="1" applyAlignment="1">
      <alignment horizontal="center" vertical="center"/>
    </xf>
    <xf numFmtId="0" fontId="33" fillId="0" borderId="44" xfId="0" applyFont="1" applyBorder="1" applyAlignment="1">
      <alignment vertical="center" wrapText="1"/>
    </xf>
    <xf numFmtId="0" fontId="10" fillId="0" borderId="39" xfId="0" applyFont="1" applyBorder="1" applyAlignment="1">
      <alignment horizontal="center" vertical="center" wrapText="1"/>
    </xf>
    <xf numFmtId="166" fontId="33" fillId="0" borderId="46" xfId="1" applyNumberFormat="1" applyFont="1" applyBorder="1" applyAlignment="1">
      <alignment horizontal="center" vertical="center"/>
    </xf>
    <xf numFmtId="3" fontId="33" fillId="0" borderId="47" xfId="0" applyNumberFormat="1" applyFont="1" applyBorder="1" applyAlignment="1">
      <alignment horizontal="center" vertical="center"/>
    </xf>
    <xf numFmtId="3" fontId="33" fillId="0" borderId="48" xfId="0" applyNumberFormat="1" applyFont="1" applyBorder="1" applyAlignment="1">
      <alignment horizontal="center" vertical="center"/>
    </xf>
    <xf numFmtId="3" fontId="33" fillId="8" borderId="48" xfId="0" applyNumberFormat="1" applyFont="1" applyFill="1" applyBorder="1" applyAlignment="1">
      <alignment horizontal="center" vertical="center"/>
    </xf>
    <xf numFmtId="3" fontId="33" fillId="0" borderId="76" xfId="0" applyNumberFormat="1" applyFont="1" applyBorder="1" applyAlignment="1">
      <alignment horizontal="center" vertical="center"/>
    </xf>
    <xf numFmtId="3" fontId="33" fillId="8" borderId="47" xfId="0" applyNumberFormat="1" applyFont="1" applyFill="1" applyBorder="1" applyAlignment="1">
      <alignment horizontal="center" vertical="center"/>
    </xf>
    <xf numFmtId="3" fontId="33" fillId="0" borderId="81" xfId="0" applyNumberFormat="1" applyFont="1" applyBorder="1" applyAlignment="1">
      <alignment horizontal="center" vertical="center"/>
    </xf>
    <xf numFmtId="3" fontId="33" fillId="0" borderId="49" xfId="0" applyNumberFormat="1" applyFont="1" applyBorder="1" applyAlignment="1">
      <alignment horizontal="center" vertical="center"/>
    </xf>
    <xf numFmtId="0" fontId="35" fillId="0" borderId="83" xfId="0" applyFont="1" applyBorder="1" applyAlignment="1">
      <alignment vertical="center" wrapText="1"/>
    </xf>
    <xf numFmtId="0" fontId="36" fillId="0" borderId="84" xfId="0" applyFont="1" applyBorder="1" applyAlignment="1">
      <alignment horizontal="center" vertical="center" wrapText="1"/>
    </xf>
    <xf numFmtId="166" fontId="35" fillId="0" borderId="85" xfId="1" applyNumberFormat="1" applyFont="1" applyBorder="1" applyAlignment="1">
      <alignment horizontal="center" vertical="center"/>
    </xf>
    <xf numFmtId="3" fontId="37" fillId="0" borderId="86" xfId="0" applyNumberFormat="1" applyFont="1" applyBorder="1" applyAlignment="1">
      <alignment horizontal="center" vertical="center"/>
    </xf>
    <xf numFmtId="3" fontId="37" fillId="0" borderId="82" xfId="0" applyNumberFormat="1" applyFont="1" applyBorder="1" applyAlignment="1">
      <alignment horizontal="center" vertical="center"/>
    </xf>
    <xf numFmtId="3" fontId="35" fillId="0" borderId="82" xfId="0" applyNumberFormat="1" applyFont="1" applyBorder="1" applyAlignment="1">
      <alignment horizontal="center" vertical="center"/>
    </xf>
    <xf numFmtId="3" fontId="35" fillId="0" borderId="86" xfId="0" applyNumberFormat="1" applyFont="1" applyBorder="1" applyAlignment="1">
      <alignment horizontal="center" vertical="center"/>
    </xf>
    <xf numFmtId="3" fontId="35" fillId="0" borderId="96" xfId="0" applyNumberFormat="1" applyFont="1" applyBorder="1" applyAlignment="1">
      <alignment horizontal="center" vertical="center"/>
    </xf>
    <xf numFmtId="3" fontId="35" fillId="0" borderId="97" xfId="0" applyNumberFormat="1" applyFont="1" applyBorder="1" applyAlignment="1">
      <alignment horizontal="center" vertical="center"/>
    </xf>
    <xf numFmtId="3" fontId="35" fillId="0" borderId="80" xfId="0" applyNumberFormat="1" applyFont="1" applyBorder="1" applyAlignment="1">
      <alignment horizontal="center" vertical="center"/>
    </xf>
    <xf numFmtId="0" fontId="38" fillId="0" borderId="84" xfId="0" applyFont="1" applyBorder="1" applyAlignment="1">
      <alignment horizontal="center" vertical="center" wrapText="1"/>
    </xf>
    <xf numFmtId="0" fontId="35" fillId="0" borderId="50" xfId="0" applyFont="1" applyBorder="1" applyAlignment="1">
      <alignment vertical="center" wrapText="1"/>
    </xf>
    <xf numFmtId="0" fontId="36" fillId="0" borderId="51" xfId="0" applyFont="1" applyBorder="1" applyAlignment="1">
      <alignment horizontal="center" vertical="center" wrapText="1"/>
    </xf>
    <xf numFmtId="166" fontId="35" fillId="0" borderId="52" xfId="1" applyNumberFormat="1" applyFont="1" applyBorder="1" applyAlignment="1">
      <alignment horizontal="center" vertical="center"/>
    </xf>
    <xf numFmtId="3" fontId="35" fillId="0" borderId="53" xfId="0" applyNumberFormat="1" applyFont="1" applyBorder="1" applyAlignment="1">
      <alignment horizontal="center" vertical="center"/>
    </xf>
    <xf numFmtId="3" fontId="35" fillId="0" borderId="54" xfId="0" applyNumberFormat="1" applyFont="1" applyBorder="1" applyAlignment="1">
      <alignment horizontal="center" vertical="center"/>
    </xf>
    <xf numFmtId="3" fontId="35" fillId="0" borderId="77" xfId="0" applyNumberFormat="1" applyFont="1" applyBorder="1" applyAlignment="1">
      <alignment horizontal="center" vertical="center"/>
    </xf>
    <xf numFmtId="3" fontId="35" fillId="0" borderId="93" xfId="0" applyNumberFormat="1" applyFont="1" applyBorder="1" applyAlignment="1">
      <alignment horizontal="center" vertical="center"/>
    </xf>
    <xf numFmtId="3" fontId="35" fillId="0" borderId="55" xfId="0" applyNumberFormat="1" applyFont="1" applyBorder="1" applyAlignment="1">
      <alignment horizontal="center" vertical="center"/>
    </xf>
    <xf numFmtId="0" fontId="35" fillId="0" borderId="38" xfId="0" applyFont="1" applyBorder="1" applyAlignment="1">
      <alignment vertical="center" wrapText="1"/>
    </xf>
    <xf numFmtId="0" fontId="36" fillId="0" borderId="39" xfId="0" applyFont="1" applyBorder="1" applyAlignment="1">
      <alignment horizontal="center" vertical="center" wrapText="1"/>
    </xf>
    <xf numFmtId="166" fontId="35" fillId="0" borderId="34" xfId="1" applyNumberFormat="1" applyFont="1" applyBorder="1" applyAlignment="1">
      <alignment horizontal="center" vertical="center"/>
    </xf>
    <xf numFmtId="3" fontId="35" fillId="0" borderId="41" xfId="0" applyNumberFormat="1" applyFont="1" applyBorder="1" applyAlignment="1">
      <alignment horizontal="center" vertical="center"/>
    </xf>
    <xf numFmtId="3" fontId="35" fillId="0" borderId="42" xfId="0" applyNumberFormat="1" applyFont="1" applyBorder="1" applyAlignment="1">
      <alignment horizontal="center" vertical="center"/>
    </xf>
    <xf numFmtId="3" fontId="35" fillId="0" borderId="75" xfId="0" applyNumberFormat="1" applyFont="1" applyBorder="1" applyAlignment="1">
      <alignment horizontal="center" vertical="center"/>
    </xf>
    <xf numFmtId="3" fontId="35" fillId="0" borderId="92" xfId="0" applyNumberFormat="1" applyFont="1" applyBorder="1" applyAlignment="1">
      <alignment horizontal="center" vertical="center"/>
    </xf>
    <xf numFmtId="3" fontId="35" fillId="0" borderId="43" xfId="0" applyNumberFormat="1" applyFont="1" applyBorder="1" applyAlignment="1">
      <alignment horizontal="center" vertical="center"/>
    </xf>
    <xf numFmtId="0" fontId="39" fillId="0" borderId="83" xfId="0" applyFont="1" applyBorder="1" applyAlignment="1">
      <alignment vertical="center" wrapText="1"/>
    </xf>
    <xf numFmtId="0" fontId="40" fillId="0" borderId="84" xfId="0" applyFont="1" applyBorder="1" applyAlignment="1">
      <alignment horizontal="center" vertical="center" wrapText="1"/>
    </xf>
    <xf numFmtId="166" fontId="39" fillId="0" borderId="85" xfId="1" applyNumberFormat="1" applyFont="1" applyBorder="1" applyAlignment="1">
      <alignment horizontal="center" vertical="center"/>
    </xf>
    <xf numFmtId="3" fontId="39" fillId="0" borderId="86" xfId="0" applyNumberFormat="1" applyFont="1" applyBorder="1" applyAlignment="1">
      <alignment horizontal="center" vertical="center"/>
    </xf>
    <xf numFmtId="3" fontId="39" fillId="0" borderId="82" xfId="0" applyNumberFormat="1" applyFont="1" applyBorder="1" applyAlignment="1">
      <alignment horizontal="center" vertical="center"/>
    </xf>
    <xf numFmtId="169" fontId="39" fillId="0" borderId="82" xfId="0" applyNumberFormat="1" applyFont="1" applyBorder="1" applyAlignment="1">
      <alignment horizontal="center" vertical="center"/>
    </xf>
    <xf numFmtId="3" fontId="39" fillId="0" borderId="96" xfId="0" applyNumberFormat="1" applyFont="1" applyBorder="1" applyAlignment="1">
      <alignment horizontal="center" vertical="center"/>
    </xf>
    <xf numFmtId="3" fontId="39" fillId="0" borderId="97" xfId="0" applyNumberFormat="1" applyFont="1" applyBorder="1" applyAlignment="1">
      <alignment horizontal="center" vertical="center"/>
    </xf>
    <xf numFmtId="3" fontId="39" fillId="0" borderId="80" xfId="0" applyNumberFormat="1" applyFont="1" applyBorder="1" applyAlignment="1">
      <alignment horizontal="center" vertical="center"/>
    </xf>
    <xf numFmtId="0" fontId="39" fillId="3" borderId="26" xfId="0" applyFont="1" applyFill="1" applyBorder="1" applyAlignment="1">
      <alignment vertical="center" wrapText="1"/>
    </xf>
    <xf numFmtId="0" fontId="40" fillId="3" borderId="27" xfId="0" applyFont="1" applyFill="1" applyBorder="1" applyAlignment="1">
      <alignment horizontal="center" vertical="center" wrapText="1"/>
    </xf>
    <xf numFmtId="166" fontId="39" fillId="3" borderId="28" xfId="1" applyNumberFormat="1" applyFont="1" applyFill="1" applyBorder="1" applyAlignment="1">
      <alignment horizontal="center" vertical="center"/>
    </xf>
    <xf numFmtId="170" fontId="17" fillId="0" borderId="0" xfId="0" applyNumberFormat="1" applyFont="1" applyAlignment="1">
      <alignment horizontal="center" vertical="center"/>
    </xf>
    <xf numFmtId="0" fontId="31" fillId="0" borderId="42" xfId="0" applyFont="1" applyBorder="1" applyAlignment="1">
      <alignment horizontal="left" vertical="center" wrapText="1"/>
    </xf>
    <xf numFmtId="0" fontId="31" fillId="0" borderId="54" xfId="0" applyFont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31" fillId="0" borderId="104" xfId="0" applyFont="1" applyBorder="1" applyAlignment="1">
      <alignment horizontal="left" vertical="center"/>
    </xf>
    <xf numFmtId="0" fontId="31" fillId="0" borderId="82" xfId="0" applyFont="1" applyBorder="1" applyAlignment="1">
      <alignment horizontal="left" vertical="center" wrapText="1"/>
    </xf>
    <xf numFmtId="0" fontId="32" fillId="0" borderId="42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18" fillId="9" borderId="44" xfId="0" applyFont="1" applyFill="1" applyBorder="1" applyAlignment="1">
      <alignment vertical="center" wrapText="1"/>
    </xf>
    <xf numFmtId="0" fontId="6" fillId="9" borderId="45" xfId="0" applyFont="1" applyFill="1" applyBorder="1" applyAlignment="1">
      <alignment horizontal="center" vertical="center" wrapText="1"/>
    </xf>
    <xf numFmtId="3" fontId="15" fillId="9" borderId="46" xfId="1" applyNumberFormat="1" applyFont="1" applyFill="1" applyBorder="1" applyAlignment="1">
      <alignment horizontal="center" vertical="center" wrapText="1"/>
    </xf>
    <xf numFmtId="3" fontId="16" fillId="4" borderId="23" xfId="0" applyNumberFormat="1" applyFont="1" applyFill="1" applyBorder="1" applyAlignment="1">
      <alignment horizontal="center" vertical="center"/>
    </xf>
    <xf numFmtId="3" fontId="16" fillId="4" borderId="87" xfId="0" applyNumberFormat="1" applyFont="1" applyFill="1" applyBorder="1" applyAlignment="1">
      <alignment horizontal="center" vertical="center"/>
    </xf>
    <xf numFmtId="3" fontId="16" fillId="4" borderId="103" xfId="0" applyNumberFormat="1" applyFont="1" applyFill="1" applyBorder="1" applyAlignment="1">
      <alignment horizontal="center" vertical="center"/>
    </xf>
    <xf numFmtId="3" fontId="15" fillId="0" borderId="26" xfId="0" applyNumberFormat="1" applyFont="1" applyBorder="1" applyAlignment="1">
      <alignment horizontal="left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15" fillId="0" borderId="28" xfId="0" applyNumberFormat="1" applyFont="1" applyBorder="1" applyAlignment="1">
      <alignment horizontal="center" vertical="center" wrapText="1"/>
    </xf>
    <xf numFmtId="3" fontId="15" fillId="0" borderId="29" xfId="0" applyNumberFormat="1" applyFont="1" applyBorder="1" applyAlignment="1">
      <alignment horizontal="center" vertical="center" wrapText="1"/>
    </xf>
    <xf numFmtId="3" fontId="15" fillId="0" borderId="30" xfId="0" applyNumberFormat="1" applyFont="1" applyBorder="1" applyAlignment="1">
      <alignment horizontal="center" vertical="center" wrapText="1"/>
    </xf>
    <xf numFmtId="3" fontId="15" fillId="0" borderId="31" xfId="0" applyNumberFormat="1" applyFont="1" applyBorder="1" applyAlignment="1">
      <alignment horizontal="center" vertical="center" wrapText="1"/>
    </xf>
    <xf numFmtId="3" fontId="15" fillId="0" borderId="90" xfId="0" applyNumberFormat="1" applyFont="1" applyBorder="1" applyAlignment="1">
      <alignment horizontal="center" vertical="center" wrapText="1"/>
    </xf>
    <xf numFmtId="3" fontId="15" fillId="0" borderId="73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0" borderId="105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9" borderId="44" xfId="0" applyFont="1" applyFill="1" applyBorder="1" applyAlignment="1">
      <alignment horizontal="center" vertical="center" wrapText="1"/>
    </xf>
    <xf numFmtId="0" fontId="18" fillId="5" borderId="50" xfId="0" applyFont="1" applyFill="1" applyBorder="1" applyAlignment="1">
      <alignment horizontal="center" vertical="center" wrapText="1"/>
    </xf>
    <xf numFmtId="0" fontId="18" fillId="5" borderId="38" xfId="0" applyFont="1" applyFill="1" applyBorder="1" applyAlignment="1">
      <alignment horizontal="center" vertical="center" wrapText="1"/>
    </xf>
    <xf numFmtId="0" fontId="19" fillId="5" borderId="38" xfId="0" applyFont="1" applyFill="1" applyBorder="1" applyAlignment="1">
      <alignment horizontal="center" vertical="center" wrapText="1"/>
    </xf>
    <xf numFmtId="0" fontId="18" fillId="5" borderId="44" xfId="0" applyFont="1" applyFill="1" applyBorder="1" applyAlignment="1">
      <alignment horizontal="center" vertical="center" wrapText="1"/>
    </xf>
    <xf numFmtId="0" fontId="18" fillId="3" borderId="50" xfId="0" applyFont="1" applyFill="1" applyBorder="1" applyAlignment="1">
      <alignment horizontal="center" vertical="center" wrapText="1"/>
    </xf>
    <xf numFmtId="0" fontId="18" fillId="3" borderId="83" xfId="0" applyFont="1" applyFill="1" applyBorder="1" applyAlignment="1">
      <alignment horizontal="center" vertical="center" wrapText="1"/>
    </xf>
    <xf numFmtId="0" fontId="18" fillId="3" borderId="32" xfId="0" applyFont="1" applyFill="1" applyBorder="1" applyAlignment="1">
      <alignment horizontal="center" vertical="center" wrapText="1"/>
    </xf>
    <xf numFmtId="0" fontId="18" fillId="3" borderId="38" xfId="0" applyFont="1" applyFill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166" fontId="16" fillId="0" borderId="30" xfId="0" applyNumberFormat="1" applyFont="1" applyBorder="1" applyAlignment="1">
      <alignment horizontal="center" vertical="center"/>
    </xf>
    <xf numFmtId="171" fontId="17" fillId="0" borderId="36" xfId="1" applyNumberFormat="1" applyFont="1" applyFill="1" applyBorder="1" applyAlignment="1">
      <alignment horizontal="center" vertical="center"/>
    </xf>
    <xf numFmtId="171" fontId="17" fillId="0" borderId="42" xfId="1" applyNumberFormat="1" applyFont="1" applyFill="1" applyBorder="1" applyAlignment="1">
      <alignment horizontal="center" vertical="center"/>
    </xf>
    <xf numFmtId="171" fontId="19" fillId="0" borderId="42" xfId="1" applyNumberFormat="1" applyFont="1" applyFill="1" applyBorder="1" applyAlignment="1">
      <alignment horizontal="center" vertical="center"/>
    </xf>
    <xf numFmtId="171" fontId="17" fillId="0" borderId="48" xfId="1" applyNumberFormat="1" applyFont="1" applyFill="1" applyBorder="1" applyAlignment="1">
      <alignment horizontal="center" vertical="center"/>
    </xf>
    <xf numFmtId="171" fontId="17" fillId="0" borderId="82" xfId="1" applyNumberFormat="1" applyFont="1" applyFill="1" applyBorder="1" applyAlignment="1">
      <alignment horizontal="center" vertical="center"/>
    </xf>
    <xf numFmtId="171" fontId="16" fillId="0" borderId="30" xfId="0" applyNumberFormat="1" applyFont="1" applyBorder="1" applyAlignment="1">
      <alignment vertical="center"/>
    </xf>
    <xf numFmtId="171" fontId="31" fillId="0" borderId="36" xfId="1" applyNumberFormat="1" applyFont="1" applyFill="1" applyBorder="1" applyAlignment="1">
      <alignment vertical="center"/>
    </xf>
    <xf numFmtId="171" fontId="31" fillId="0" borderId="42" xfId="1" applyNumberFormat="1" applyFont="1" applyFill="1" applyBorder="1" applyAlignment="1">
      <alignment vertical="center"/>
    </xf>
    <xf numFmtId="171" fontId="32" fillId="0" borderId="42" xfId="1" applyNumberFormat="1" applyFont="1" applyFill="1" applyBorder="1" applyAlignment="1">
      <alignment vertical="center"/>
    </xf>
    <xf numFmtId="171" fontId="31" fillId="0" borderId="48" xfId="1" applyNumberFormat="1" applyFont="1" applyFill="1" applyBorder="1" applyAlignment="1">
      <alignment vertical="center"/>
    </xf>
    <xf numFmtId="171" fontId="31" fillId="0" borderId="82" xfId="1" applyNumberFormat="1" applyFont="1" applyFill="1" applyBorder="1" applyAlignment="1">
      <alignment vertical="center"/>
    </xf>
    <xf numFmtId="171" fontId="16" fillId="0" borderId="30" xfId="0" applyNumberFormat="1" applyFont="1" applyBorder="1" applyAlignment="1">
      <alignment horizontal="center" vertical="center"/>
    </xf>
    <xf numFmtId="171" fontId="31" fillId="0" borderId="36" xfId="1" applyNumberFormat="1" applyFont="1" applyFill="1" applyBorder="1" applyAlignment="1">
      <alignment horizontal="center" vertical="center"/>
    </xf>
    <xf numFmtId="171" fontId="31" fillId="0" borderId="42" xfId="1" applyNumberFormat="1" applyFont="1" applyFill="1" applyBorder="1" applyAlignment="1">
      <alignment horizontal="center" vertical="center"/>
    </xf>
    <xf numFmtId="171" fontId="32" fillId="0" borderId="42" xfId="1" applyNumberFormat="1" applyFont="1" applyFill="1" applyBorder="1" applyAlignment="1">
      <alignment horizontal="center" vertical="center"/>
    </xf>
    <xf numFmtId="171" fontId="31" fillId="0" borderId="48" xfId="1" applyNumberFormat="1" applyFont="1" applyFill="1" applyBorder="1" applyAlignment="1">
      <alignment horizontal="center" vertical="center"/>
    </xf>
    <xf numFmtId="171" fontId="31" fillId="0" borderId="82" xfId="1" applyNumberFormat="1" applyFont="1" applyFill="1" applyBorder="1" applyAlignment="1">
      <alignment horizontal="center" vertical="center"/>
    </xf>
    <xf numFmtId="0" fontId="37" fillId="0" borderId="83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37" fillId="3" borderId="26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7" borderId="26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3" borderId="57" xfId="0" applyFont="1" applyFill="1" applyBorder="1" applyAlignment="1">
      <alignment horizontal="center" vertical="center" wrapText="1"/>
    </xf>
    <xf numFmtId="171" fontId="17" fillId="0" borderId="36" xfId="1" applyNumberFormat="1" applyFont="1" applyFill="1" applyBorder="1" applyAlignment="1">
      <alignment horizontal="center"/>
    </xf>
    <xf numFmtId="171" fontId="17" fillId="0" borderId="42" xfId="1" applyNumberFormat="1" applyFont="1" applyFill="1" applyBorder="1" applyAlignment="1">
      <alignment horizontal="center"/>
    </xf>
    <xf numFmtId="171" fontId="19" fillId="0" borderId="42" xfId="1" applyNumberFormat="1" applyFont="1" applyFill="1" applyBorder="1" applyAlignment="1">
      <alignment horizontal="center"/>
    </xf>
    <xf numFmtId="171" fontId="17" fillId="0" borderId="48" xfId="1" applyNumberFormat="1" applyFont="1" applyFill="1" applyBorder="1" applyAlignment="1">
      <alignment horizontal="center"/>
    </xf>
    <xf numFmtId="171" fontId="17" fillId="0" borderId="82" xfId="1" applyNumberFormat="1" applyFont="1" applyFill="1" applyBorder="1" applyAlignment="1">
      <alignment horizontal="center"/>
    </xf>
    <xf numFmtId="3" fontId="18" fillId="0" borderId="26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7" fillId="0" borderId="42" xfId="0" applyNumberFormat="1" applyFont="1" applyBorder="1" applyAlignment="1">
      <alignment horizontal="center" vertical="center" wrapText="1"/>
    </xf>
    <xf numFmtId="3" fontId="7" fillId="0" borderId="42" xfId="0" applyNumberFormat="1" applyFont="1" applyBorder="1" applyAlignment="1">
      <alignment horizontal="left" vertical="center" wrapText="1"/>
    </xf>
    <xf numFmtId="9" fontId="7" fillId="0" borderId="42" xfId="2" applyFont="1" applyBorder="1" applyAlignment="1">
      <alignment horizontal="center" vertical="center" wrapText="1"/>
    </xf>
    <xf numFmtId="3" fontId="7" fillId="0" borderId="42" xfId="2" applyNumberFormat="1" applyFont="1" applyBorder="1" applyAlignment="1">
      <alignment horizontal="center" vertical="center" wrapText="1"/>
    </xf>
    <xf numFmtId="3" fontId="7" fillId="0" borderId="82" xfId="0" applyNumberFormat="1" applyFont="1" applyBorder="1" applyAlignment="1">
      <alignment horizontal="center" vertical="center" wrapText="1"/>
    </xf>
    <xf numFmtId="3" fontId="7" fillId="0" borderId="82" xfId="0" applyNumberFormat="1" applyFont="1" applyBorder="1" applyAlignment="1">
      <alignment horizontal="left" vertical="center" wrapText="1"/>
    </xf>
    <xf numFmtId="3" fontId="7" fillId="0" borderId="36" xfId="0" applyNumberFormat="1" applyFont="1" applyBorder="1" applyAlignment="1">
      <alignment horizontal="center" vertical="center" wrapText="1"/>
    </xf>
    <xf numFmtId="3" fontId="7" fillId="0" borderId="36" xfId="0" applyNumberFormat="1" applyFont="1" applyBorder="1" applyAlignment="1">
      <alignment horizontal="left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7" fillId="0" borderId="108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9740E-EFEB-4486-A00F-1E761245ACF4}">
  <sheetPr>
    <pageSetUpPr fitToPage="1"/>
  </sheetPr>
  <dimension ref="A1:E16"/>
  <sheetViews>
    <sheetView tabSelected="1" topLeftCell="A7" workbookViewId="0">
      <selection activeCell="H10" sqref="H10"/>
    </sheetView>
  </sheetViews>
  <sheetFormatPr defaultRowHeight="15.75" x14ac:dyDescent="0.25"/>
  <cols>
    <col min="1" max="1" width="9.140625" style="371"/>
    <col min="2" max="2" width="49.85546875" style="371" customWidth="1"/>
    <col min="3" max="3" width="18.28515625" style="371" customWidth="1"/>
    <col min="4" max="4" width="20.140625" style="371" customWidth="1"/>
    <col min="5" max="5" width="23.85546875" style="371" customWidth="1"/>
    <col min="6" max="16384" width="9.140625" style="371"/>
  </cols>
  <sheetData>
    <row r="1" spans="1:5" x14ac:dyDescent="0.25">
      <c r="A1" s="381" t="s">
        <v>123</v>
      </c>
      <c r="B1" s="381"/>
      <c r="C1" s="381"/>
      <c r="D1" s="381"/>
      <c r="E1" s="381"/>
    </row>
    <row r="2" spans="1:5" x14ac:dyDescent="0.25">
      <c r="A2" s="383" t="s">
        <v>124</v>
      </c>
      <c r="B2" s="383"/>
      <c r="C2" s="383"/>
      <c r="D2" s="383"/>
      <c r="E2" s="383"/>
    </row>
    <row r="3" spans="1:5" x14ac:dyDescent="0.25">
      <c r="A3" s="382"/>
      <c r="B3" s="382"/>
      <c r="C3" s="382"/>
      <c r="D3" s="382"/>
      <c r="E3" s="382"/>
    </row>
    <row r="4" spans="1:5" ht="157.5" x14ac:dyDescent="0.25">
      <c r="A4" s="380" t="s">
        <v>94</v>
      </c>
      <c r="B4" s="380" t="s">
        <v>0</v>
      </c>
      <c r="C4" s="380" t="s">
        <v>120</v>
      </c>
      <c r="D4" s="380" t="s">
        <v>89</v>
      </c>
      <c r="E4" s="380" t="s">
        <v>103</v>
      </c>
    </row>
    <row r="5" spans="1:5" x14ac:dyDescent="0.25">
      <c r="A5" s="378">
        <v>1</v>
      </c>
      <c r="B5" s="379" t="s">
        <v>107</v>
      </c>
      <c r="C5" s="378">
        <v>113446840</v>
      </c>
      <c r="D5" s="378">
        <v>113446840</v>
      </c>
      <c r="E5" s="378">
        <v>113446840</v>
      </c>
    </row>
    <row r="6" spans="1:5" x14ac:dyDescent="0.25">
      <c r="A6" s="372">
        <v>2</v>
      </c>
      <c r="B6" s="373" t="s">
        <v>104</v>
      </c>
      <c r="C6" s="372">
        <v>38388760</v>
      </c>
      <c r="D6" s="372">
        <v>113446840</v>
      </c>
      <c r="E6" s="372">
        <v>113446840</v>
      </c>
    </row>
    <row r="7" spans="1:5" x14ac:dyDescent="0.25">
      <c r="A7" s="372">
        <v>3</v>
      </c>
      <c r="B7" s="373" t="s">
        <v>105</v>
      </c>
      <c r="C7" s="374">
        <v>0.34</v>
      </c>
      <c r="D7" s="374">
        <v>0.51</v>
      </c>
      <c r="E7" s="374">
        <v>0.51</v>
      </c>
    </row>
    <row r="8" spans="1:5" ht="31.5" x14ac:dyDescent="0.25">
      <c r="A8" s="372">
        <v>4</v>
      </c>
      <c r="B8" s="373" t="s">
        <v>106</v>
      </c>
      <c r="C8" s="375">
        <f>C5*C7</f>
        <v>38571925.600000001</v>
      </c>
      <c r="D8" s="372">
        <f>D5*D7</f>
        <v>57857888.399999999</v>
      </c>
      <c r="E8" s="372">
        <f>E5*E7</f>
        <v>57857888.399999999</v>
      </c>
    </row>
    <row r="9" spans="1:5" ht="31.5" x14ac:dyDescent="0.25">
      <c r="A9" s="372">
        <v>5</v>
      </c>
      <c r="B9" s="373" t="s">
        <v>108</v>
      </c>
      <c r="C9" s="372" t="s">
        <v>109</v>
      </c>
      <c r="D9" s="372" t="s">
        <v>111</v>
      </c>
      <c r="E9" s="372" t="s">
        <v>112</v>
      </c>
    </row>
    <row r="10" spans="1:5" ht="78.75" x14ac:dyDescent="0.25">
      <c r="A10" s="372">
        <v>6</v>
      </c>
      <c r="B10" s="373" t="s">
        <v>110</v>
      </c>
      <c r="C10" s="372" t="s">
        <v>116</v>
      </c>
      <c r="D10" s="372" t="s">
        <v>117</v>
      </c>
      <c r="E10" s="372" t="s">
        <v>118</v>
      </c>
    </row>
    <row r="11" spans="1:5" ht="63" x14ac:dyDescent="0.25">
      <c r="A11" s="372">
        <v>7</v>
      </c>
      <c r="B11" s="373" t="s">
        <v>122</v>
      </c>
      <c r="C11" s="372">
        <v>38388760.246866658</v>
      </c>
      <c r="D11" s="372">
        <v>70434752</v>
      </c>
      <c r="E11" s="372">
        <v>70434752</v>
      </c>
    </row>
    <row r="12" spans="1:5" ht="47.25" x14ac:dyDescent="0.25">
      <c r="A12" s="372">
        <v>8</v>
      </c>
      <c r="B12" s="373" t="s">
        <v>115</v>
      </c>
      <c r="C12" s="372">
        <v>1894651.998000002</v>
      </c>
      <c r="D12" s="372">
        <v>5602517.9500000002</v>
      </c>
      <c r="E12" s="372">
        <v>5602517.9500000002</v>
      </c>
    </row>
    <row r="13" spans="1:5" ht="31.5" x14ac:dyDescent="0.25">
      <c r="A13" s="372">
        <v>9</v>
      </c>
      <c r="B13" s="373" t="s">
        <v>119</v>
      </c>
      <c r="C13" s="372">
        <f>C12*C7</f>
        <v>644181.67932000069</v>
      </c>
      <c r="D13" s="372">
        <f>D12*D7</f>
        <v>2857284.1545000002</v>
      </c>
      <c r="E13" s="372">
        <f>E12*E7</f>
        <v>2857284.1545000002</v>
      </c>
    </row>
    <row r="14" spans="1:5" ht="31.5" x14ac:dyDescent="0.25">
      <c r="A14" s="372">
        <v>10</v>
      </c>
      <c r="B14" s="373" t="s">
        <v>121</v>
      </c>
      <c r="C14" s="372">
        <f>C12*C7*4</f>
        <v>2576726.7172800028</v>
      </c>
      <c r="D14" s="372">
        <f>D12*D7*4</f>
        <v>11429136.618000001</v>
      </c>
      <c r="E14" s="372">
        <f>E12*E7*4</f>
        <v>11429136.618000001</v>
      </c>
    </row>
    <row r="15" spans="1:5" ht="31.5" x14ac:dyDescent="0.25">
      <c r="A15" s="372">
        <v>11</v>
      </c>
      <c r="B15" s="373" t="s">
        <v>114</v>
      </c>
      <c r="C15" s="372"/>
      <c r="D15" s="372"/>
      <c r="E15" s="372">
        <v>92675761.666666657</v>
      </c>
    </row>
    <row r="16" spans="1:5" x14ac:dyDescent="0.25">
      <c r="A16" s="376">
        <v>12</v>
      </c>
      <c r="B16" s="377" t="s">
        <v>113</v>
      </c>
      <c r="C16" s="376"/>
      <c r="D16" s="376"/>
      <c r="E16" s="376">
        <f>E7*E15</f>
        <v>47264638.449999996</v>
      </c>
    </row>
  </sheetData>
  <mergeCells count="2">
    <mergeCell ref="A1:E1"/>
    <mergeCell ref="A2:E2"/>
  </mergeCells>
  <phoneticPr fontId="34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18E80-A84A-4426-A91A-FED646F5D74F}">
  <sheetPr>
    <pageSetUpPr fitToPage="1"/>
  </sheetPr>
  <dimension ref="A1:AA86"/>
  <sheetViews>
    <sheetView zoomScale="70" zoomScaleNormal="70" workbookViewId="0">
      <pane xSplit="4" ySplit="9" topLeftCell="E38" activePane="bottomRight" state="frozen"/>
      <selection pane="topRight" activeCell="D1" sqref="D1"/>
      <selection pane="bottomLeft" activeCell="A8" sqref="A8"/>
      <selection pane="bottomRight" activeCell="L54" sqref="L54"/>
    </sheetView>
  </sheetViews>
  <sheetFormatPr defaultRowHeight="15" x14ac:dyDescent="0.25"/>
  <cols>
    <col min="1" max="1" width="5.85546875" style="318" customWidth="1"/>
    <col min="2" max="2" width="76" style="19" customWidth="1"/>
    <col min="3" max="3" width="11.5703125" style="1" customWidth="1"/>
    <col min="4" max="4" width="18.5703125" style="20" customWidth="1"/>
    <col min="5" max="5" width="18.42578125" style="1" customWidth="1"/>
    <col min="6" max="6" width="14.28515625" style="1" customWidth="1"/>
    <col min="7" max="7" width="17" style="1" customWidth="1"/>
    <col min="8" max="8" width="17.42578125" style="1" customWidth="1"/>
    <col min="9" max="9" width="17.5703125" style="1" bestFit="1" customWidth="1"/>
    <col min="10" max="10" width="17" style="1" customWidth="1"/>
    <col min="11" max="11" width="17.28515625" style="1" customWidth="1"/>
    <col min="12" max="12" width="17.140625" style="1" customWidth="1"/>
    <col min="13" max="13" width="16.85546875" style="1" customWidth="1"/>
    <col min="14" max="14" width="17.42578125" style="1" customWidth="1"/>
    <col min="15" max="15" width="16.5703125" style="1" customWidth="1"/>
    <col min="16" max="16" width="17" style="1" customWidth="1"/>
    <col min="17" max="17" width="16.5703125" style="1" customWidth="1"/>
    <col min="18" max="18" width="16.85546875" style="1" customWidth="1"/>
    <col min="19" max="19" width="16" style="1" customWidth="1"/>
    <col min="20" max="20" width="20.42578125" style="1" customWidth="1"/>
    <col min="21" max="21" width="15.28515625" style="1" customWidth="1"/>
    <col min="22" max="22" width="16.42578125" style="1" customWidth="1"/>
    <col min="23" max="23" width="15.7109375" style="1" customWidth="1"/>
    <col min="24" max="24" width="14.85546875" style="1" customWidth="1"/>
    <col min="25" max="25" width="19" style="1" customWidth="1"/>
    <col min="26" max="26" width="14.42578125" style="1" customWidth="1"/>
    <col min="27" max="27" width="15.85546875" style="1" customWidth="1"/>
    <col min="28" max="16384" width="9.140625" style="1"/>
  </cols>
  <sheetData>
    <row r="1" spans="1:20" ht="23.25" customHeight="1" x14ac:dyDescent="0.25">
      <c r="A1" s="287" t="s">
        <v>32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</row>
    <row r="2" spans="1:20" ht="23.25" customHeight="1" x14ac:dyDescent="0.25">
      <c r="A2" s="287" t="s">
        <v>91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</row>
    <row r="3" spans="1:20" ht="23.25" customHeight="1" x14ac:dyDescent="0.25">
      <c r="A3" s="288" t="s">
        <v>45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</row>
    <row r="4" spans="1:20" ht="30" customHeight="1" thickBot="1" x14ac:dyDescent="0.3">
      <c r="A4" s="289" t="s">
        <v>66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</row>
    <row r="5" spans="1:20" ht="51" customHeight="1" thickBot="1" x14ac:dyDescent="0.3">
      <c r="A5" s="315" t="s">
        <v>94</v>
      </c>
      <c r="B5" s="290" t="s">
        <v>0</v>
      </c>
      <c r="C5" s="292" t="s">
        <v>1</v>
      </c>
      <c r="D5" s="294" t="s">
        <v>31</v>
      </c>
      <c r="E5" s="296" t="s">
        <v>25</v>
      </c>
      <c r="F5" s="297"/>
      <c r="G5" s="297"/>
      <c r="H5" s="297"/>
      <c r="I5" s="297"/>
      <c r="J5" s="296" t="s">
        <v>22</v>
      </c>
      <c r="K5" s="297"/>
      <c r="L5" s="297"/>
      <c r="M5" s="297"/>
      <c r="N5" s="297"/>
      <c r="O5" s="297"/>
      <c r="P5" s="297"/>
      <c r="Q5" s="297"/>
      <c r="R5" s="298"/>
      <c r="S5" s="191"/>
    </row>
    <row r="6" spans="1:20" ht="16.5" thickBot="1" x14ac:dyDescent="0.3">
      <c r="A6" s="316"/>
      <c r="B6" s="291"/>
      <c r="C6" s="293"/>
      <c r="D6" s="295"/>
      <c r="E6" s="2" t="s">
        <v>2</v>
      </c>
      <c r="F6" s="3" t="s">
        <v>3</v>
      </c>
      <c r="G6" s="3" t="s">
        <v>49</v>
      </c>
      <c r="H6" s="3" t="s">
        <v>44</v>
      </c>
      <c r="I6" s="4" t="s">
        <v>4</v>
      </c>
      <c r="J6" s="5" t="s">
        <v>5</v>
      </c>
      <c r="K6" s="45" t="s">
        <v>6</v>
      </c>
      <c r="L6" s="187" t="s">
        <v>50</v>
      </c>
      <c r="M6" s="188" t="s">
        <v>7</v>
      </c>
      <c r="N6" s="189" t="s">
        <v>33</v>
      </c>
      <c r="O6" s="200" t="s">
        <v>34</v>
      </c>
      <c r="P6" s="5" t="s">
        <v>64</v>
      </c>
      <c r="Q6" s="188" t="s">
        <v>64</v>
      </c>
      <c r="R6" s="190" t="s">
        <v>64</v>
      </c>
      <c r="S6" s="191"/>
    </row>
    <row r="7" spans="1:20" ht="15.75" thickBot="1" x14ac:dyDescent="0.3">
      <c r="A7" s="317"/>
      <c r="B7" s="6">
        <v>1</v>
      </c>
      <c r="C7" s="7">
        <v>2</v>
      </c>
      <c r="D7" s="8">
        <v>3</v>
      </c>
      <c r="E7" s="9">
        <v>4</v>
      </c>
      <c r="F7" s="10">
        <v>5</v>
      </c>
      <c r="G7" s="10">
        <v>6</v>
      </c>
      <c r="H7" s="10">
        <v>7</v>
      </c>
      <c r="I7" s="11">
        <v>8</v>
      </c>
      <c r="J7" s="9">
        <v>9</v>
      </c>
      <c r="K7" s="46">
        <v>10</v>
      </c>
      <c r="L7" s="48">
        <v>11</v>
      </c>
      <c r="M7" s="10">
        <v>12</v>
      </c>
      <c r="N7" s="47">
        <v>13</v>
      </c>
      <c r="O7" s="201">
        <v>14</v>
      </c>
      <c r="P7" s="9">
        <v>15</v>
      </c>
      <c r="Q7" s="10">
        <v>16</v>
      </c>
      <c r="R7" s="11">
        <v>17</v>
      </c>
      <c r="S7" s="195"/>
    </row>
    <row r="8" spans="1:20" ht="18.75" x14ac:dyDescent="0.25">
      <c r="A8" s="355">
        <v>1</v>
      </c>
      <c r="B8" s="167" t="s">
        <v>8</v>
      </c>
      <c r="C8" s="12" t="s">
        <v>9</v>
      </c>
      <c r="D8" s="53"/>
      <c r="E8" s="54">
        <v>43108087</v>
      </c>
      <c r="F8" s="54">
        <f>F33</f>
        <v>60763455</v>
      </c>
      <c r="G8" s="54">
        <f>G33</f>
        <v>9384625</v>
      </c>
      <c r="H8" s="54">
        <f>H33+G55</f>
        <v>4910000</v>
      </c>
      <c r="I8" s="55">
        <f t="shared" ref="I8:R8" si="0">I33+H55</f>
        <v>0</v>
      </c>
      <c r="J8" s="56">
        <f t="shared" si="0"/>
        <v>0</v>
      </c>
      <c r="K8" s="55">
        <f t="shared" si="0"/>
        <v>25986848</v>
      </c>
      <c r="L8" s="56">
        <f t="shared" si="0"/>
        <v>30439902.395833336</v>
      </c>
      <c r="M8" s="54">
        <f t="shared" si="0"/>
        <v>33198241.625000004</v>
      </c>
      <c r="N8" s="57">
        <f t="shared" si="0"/>
        <v>35956580.854166672</v>
      </c>
      <c r="O8" s="55">
        <f t="shared" si="0"/>
        <v>38714920.083333336</v>
      </c>
      <c r="P8" s="56">
        <f t="shared" si="0"/>
        <v>41473259.3125</v>
      </c>
      <c r="Q8" s="54">
        <f t="shared" si="0"/>
        <v>44231598.541666664</v>
      </c>
      <c r="R8" s="58">
        <f t="shared" si="0"/>
        <v>46989937.770833328</v>
      </c>
      <c r="S8" s="196"/>
    </row>
    <row r="9" spans="1:20" ht="18.75" x14ac:dyDescent="0.25">
      <c r="A9" s="356">
        <v>2</v>
      </c>
      <c r="B9" s="168" t="s">
        <v>10</v>
      </c>
      <c r="C9" s="13" t="s">
        <v>9</v>
      </c>
      <c r="D9" s="59"/>
      <c r="E9" s="60"/>
      <c r="F9" s="61"/>
      <c r="G9" s="61"/>
      <c r="H9" s="61"/>
      <c r="I9" s="62"/>
      <c r="J9" s="63">
        <v>36000000</v>
      </c>
      <c r="K9" s="64"/>
      <c r="L9" s="65"/>
      <c r="M9" s="61"/>
      <c r="N9" s="66"/>
      <c r="O9" s="202"/>
      <c r="P9" s="60"/>
      <c r="Q9" s="61"/>
      <c r="R9" s="62"/>
      <c r="S9" s="197"/>
    </row>
    <row r="10" spans="1:20" ht="18.75" x14ac:dyDescent="0.25">
      <c r="A10" s="319">
        <v>3</v>
      </c>
      <c r="B10" s="169" t="s">
        <v>83</v>
      </c>
      <c r="C10" s="14" t="s">
        <v>27</v>
      </c>
      <c r="D10" s="67">
        <v>180</v>
      </c>
      <c r="E10" s="68"/>
      <c r="F10" s="69"/>
      <c r="G10" s="69">
        <f>$D$10*30*3/12*10</f>
        <v>13500</v>
      </c>
      <c r="H10" s="69">
        <f>$D$10*30*3</f>
        <v>16200</v>
      </c>
      <c r="I10" s="70">
        <f t="shared" ref="I10" si="1">$D$10*30*3</f>
        <v>16200</v>
      </c>
      <c r="J10" s="68">
        <f>$D$10*30*3</f>
        <v>16200</v>
      </c>
      <c r="K10" s="71">
        <f t="shared" ref="K10:R10" si="2">$D$10*30*3</f>
        <v>16200</v>
      </c>
      <c r="L10" s="68">
        <f t="shared" si="2"/>
        <v>16200</v>
      </c>
      <c r="M10" s="69">
        <f t="shared" si="2"/>
        <v>16200</v>
      </c>
      <c r="N10" s="72">
        <f t="shared" si="2"/>
        <v>16200</v>
      </c>
      <c r="O10" s="71">
        <f t="shared" si="2"/>
        <v>16200</v>
      </c>
      <c r="P10" s="68">
        <f t="shared" si="2"/>
        <v>16200</v>
      </c>
      <c r="Q10" s="69">
        <f t="shared" si="2"/>
        <v>16200</v>
      </c>
      <c r="R10" s="70">
        <f t="shared" si="2"/>
        <v>16200</v>
      </c>
      <c r="S10" s="205"/>
    </row>
    <row r="11" spans="1:20" ht="37.5" x14ac:dyDescent="0.25">
      <c r="A11" s="320">
        <v>4</v>
      </c>
      <c r="B11" s="170" t="s">
        <v>11</v>
      </c>
      <c r="C11" s="16" t="s">
        <v>12</v>
      </c>
      <c r="D11" s="73">
        <v>100</v>
      </c>
      <c r="E11" s="74"/>
      <c r="F11" s="75"/>
      <c r="G11" s="75">
        <f>$D$11</f>
        <v>100</v>
      </c>
      <c r="H11" s="75">
        <f t="shared" ref="H11:R11" si="3">$D$11</f>
        <v>100</v>
      </c>
      <c r="I11" s="76">
        <f t="shared" si="3"/>
        <v>100</v>
      </c>
      <c r="J11" s="74">
        <f t="shared" si="3"/>
        <v>100</v>
      </c>
      <c r="K11" s="77">
        <f t="shared" si="3"/>
        <v>100</v>
      </c>
      <c r="L11" s="74">
        <f t="shared" si="3"/>
        <v>100</v>
      </c>
      <c r="M11" s="75">
        <f t="shared" si="3"/>
        <v>100</v>
      </c>
      <c r="N11" s="78">
        <f t="shared" si="3"/>
        <v>100</v>
      </c>
      <c r="O11" s="77">
        <f t="shared" si="3"/>
        <v>100</v>
      </c>
      <c r="P11" s="74">
        <f t="shared" si="3"/>
        <v>100</v>
      </c>
      <c r="Q11" s="75">
        <f t="shared" si="3"/>
        <v>100</v>
      </c>
      <c r="R11" s="76">
        <f t="shared" si="3"/>
        <v>100</v>
      </c>
      <c r="S11" s="198"/>
    </row>
    <row r="12" spans="1:20" ht="18.75" x14ac:dyDescent="0.25">
      <c r="A12" s="320">
        <v>5</v>
      </c>
      <c r="B12" s="170" t="s">
        <v>13</v>
      </c>
      <c r="C12" s="16" t="s">
        <v>12</v>
      </c>
      <c r="D12" s="79">
        <f>D10*D11*360</f>
        <v>6480000</v>
      </c>
      <c r="E12" s="74"/>
      <c r="F12" s="75"/>
      <c r="G12" s="75"/>
      <c r="H12" s="75"/>
      <c r="I12" s="76"/>
      <c r="J12" s="74"/>
      <c r="K12" s="77"/>
      <c r="L12" s="74"/>
      <c r="M12" s="75"/>
      <c r="N12" s="78"/>
      <c r="O12" s="77"/>
      <c r="P12" s="74"/>
      <c r="Q12" s="75"/>
      <c r="R12" s="76"/>
      <c r="S12" s="198"/>
    </row>
    <row r="13" spans="1:20" ht="18" customHeight="1" x14ac:dyDescent="0.25">
      <c r="A13" s="320">
        <v>6</v>
      </c>
      <c r="B13" s="170" t="s">
        <v>60</v>
      </c>
      <c r="C13" s="16" t="s">
        <v>9</v>
      </c>
      <c r="D13" s="80">
        <v>20.88</v>
      </c>
      <c r="E13" s="74"/>
      <c r="F13" s="75"/>
      <c r="G13" s="75"/>
      <c r="H13" s="75"/>
      <c r="I13" s="76"/>
      <c r="J13" s="74"/>
      <c r="K13" s="77"/>
      <c r="L13" s="74"/>
      <c r="M13" s="75"/>
      <c r="N13" s="78"/>
      <c r="O13" s="77"/>
      <c r="P13" s="74"/>
      <c r="Q13" s="75"/>
      <c r="R13" s="76"/>
      <c r="S13" s="198"/>
    </row>
    <row r="14" spans="1:20" ht="22.5" x14ac:dyDescent="0.25">
      <c r="A14" s="320">
        <v>7</v>
      </c>
      <c r="B14" s="170" t="s">
        <v>61</v>
      </c>
      <c r="C14" s="16" t="s">
        <v>9</v>
      </c>
      <c r="D14" s="80">
        <v>6.77</v>
      </c>
      <c r="E14" s="74"/>
      <c r="F14" s="75"/>
      <c r="G14" s="75"/>
      <c r="H14" s="75"/>
      <c r="I14" s="76"/>
      <c r="J14" s="74"/>
      <c r="K14" s="77"/>
      <c r="L14" s="74"/>
      <c r="M14" s="75"/>
      <c r="N14" s="78"/>
      <c r="O14" s="77"/>
      <c r="P14" s="74"/>
      <c r="Q14" s="75"/>
      <c r="R14" s="76"/>
      <c r="S14" s="198"/>
    </row>
    <row r="15" spans="1:20" ht="17.25" customHeight="1" x14ac:dyDescent="0.25">
      <c r="A15" s="321">
        <v>8</v>
      </c>
      <c r="B15" s="299" t="s">
        <v>87</v>
      </c>
      <c r="C15" s="300" t="s">
        <v>14</v>
      </c>
      <c r="D15" s="301">
        <v>1000</v>
      </c>
      <c r="E15" s="81"/>
      <c r="F15" s="82"/>
      <c r="G15" s="83"/>
      <c r="H15" s="83"/>
      <c r="I15" s="84"/>
      <c r="J15" s="74"/>
      <c r="K15" s="77"/>
      <c r="L15" s="74"/>
      <c r="M15" s="75"/>
      <c r="N15" s="78"/>
      <c r="O15" s="77"/>
      <c r="P15" s="74"/>
      <c r="Q15" s="75"/>
      <c r="R15" s="76"/>
      <c r="S15" s="198"/>
    </row>
    <row r="16" spans="1:20" ht="19.5" customHeight="1" x14ac:dyDescent="0.25">
      <c r="A16" s="322">
        <v>9</v>
      </c>
      <c r="B16" s="172" t="s">
        <v>43</v>
      </c>
      <c r="C16" s="27" t="s">
        <v>9</v>
      </c>
      <c r="D16" s="85">
        <f>E16+F16+G16+H16+I16</f>
        <v>16500000</v>
      </c>
      <c r="E16" s="86">
        <v>16500000</v>
      </c>
      <c r="F16" s="87"/>
      <c r="G16" s="87"/>
      <c r="H16" s="87"/>
      <c r="I16" s="88"/>
      <c r="J16" s="74"/>
      <c r="K16" s="77"/>
      <c r="L16" s="74"/>
      <c r="M16" s="75"/>
      <c r="N16" s="78"/>
      <c r="O16" s="77"/>
      <c r="P16" s="74"/>
      <c r="Q16" s="75"/>
      <c r="R16" s="76"/>
      <c r="S16" s="198"/>
      <c r="T16" s="26"/>
    </row>
    <row r="17" spans="1:20" ht="18" customHeight="1" x14ac:dyDescent="0.25">
      <c r="A17" s="323">
        <v>10</v>
      </c>
      <c r="B17" s="173" t="s">
        <v>17</v>
      </c>
      <c r="C17" s="28" t="s">
        <v>9</v>
      </c>
      <c r="D17" s="89">
        <f t="shared" ref="D17:D32" si="4">E17+F17+G17+H17+I17</f>
        <v>0</v>
      </c>
      <c r="E17" s="90"/>
      <c r="F17" s="91"/>
      <c r="G17" s="91"/>
      <c r="H17" s="91"/>
      <c r="I17" s="92"/>
      <c r="J17" s="74"/>
      <c r="K17" s="77"/>
      <c r="L17" s="74"/>
      <c r="M17" s="75"/>
      <c r="N17" s="78"/>
      <c r="O17" s="77"/>
      <c r="P17" s="74"/>
      <c r="Q17" s="75"/>
      <c r="R17" s="76"/>
      <c r="S17" s="198"/>
    </row>
    <row r="18" spans="1:20" ht="40.5" customHeight="1" x14ac:dyDescent="0.25">
      <c r="A18" s="323">
        <v>11</v>
      </c>
      <c r="B18" s="173" t="s">
        <v>71</v>
      </c>
      <c r="C18" s="28" t="s">
        <v>9</v>
      </c>
      <c r="D18" s="89">
        <f>E18</f>
        <v>7500000</v>
      </c>
      <c r="E18" s="90">
        <v>7500000</v>
      </c>
      <c r="F18" s="91"/>
      <c r="G18" s="91"/>
      <c r="H18" s="91"/>
      <c r="I18" s="92"/>
      <c r="J18" s="74"/>
      <c r="K18" s="77"/>
      <c r="L18" s="74"/>
      <c r="M18" s="75"/>
      <c r="N18" s="78"/>
      <c r="O18" s="77"/>
      <c r="P18" s="74"/>
      <c r="Q18" s="75"/>
      <c r="R18" s="76"/>
      <c r="S18" s="198"/>
    </row>
    <row r="19" spans="1:20" ht="18" customHeight="1" x14ac:dyDescent="0.25">
      <c r="A19" s="323">
        <v>12</v>
      </c>
      <c r="B19" s="173" t="s">
        <v>18</v>
      </c>
      <c r="C19" s="28" t="s">
        <v>9</v>
      </c>
      <c r="D19" s="93">
        <f t="shared" si="4"/>
        <v>5500000</v>
      </c>
      <c r="E19" s="90">
        <v>5500000</v>
      </c>
      <c r="F19" s="91"/>
      <c r="G19" s="91"/>
      <c r="H19" s="91"/>
      <c r="I19" s="92"/>
      <c r="J19" s="74"/>
      <c r="K19" s="77"/>
      <c r="L19" s="74"/>
      <c r="M19" s="75"/>
      <c r="N19" s="78"/>
      <c r="O19" s="77"/>
      <c r="P19" s="74"/>
      <c r="Q19" s="75"/>
      <c r="R19" s="76"/>
      <c r="S19" s="198"/>
    </row>
    <row r="20" spans="1:20" ht="24.75" customHeight="1" x14ac:dyDescent="0.25">
      <c r="A20" s="324">
        <v>13</v>
      </c>
      <c r="B20" s="174" t="s">
        <v>84</v>
      </c>
      <c r="C20" s="28" t="s">
        <v>9</v>
      </c>
      <c r="D20" s="93">
        <f t="shared" si="4"/>
        <v>3625000</v>
      </c>
      <c r="E20" s="90">
        <v>3625000</v>
      </c>
      <c r="F20" s="91"/>
      <c r="G20" s="91"/>
      <c r="H20" s="91"/>
      <c r="I20" s="92"/>
      <c r="J20" s="74"/>
      <c r="K20" s="77"/>
      <c r="L20" s="74"/>
      <c r="M20" s="75"/>
      <c r="N20" s="78"/>
      <c r="O20" s="77"/>
      <c r="P20" s="74"/>
      <c r="Q20" s="75"/>
      <c r="R20" s="76"/>
      <c r="S20" s="198"/>
    </row>
    <row r="21" spans="1:20" ht="42" customHeight="1" x14ac:dyDescent="0.25">
      <c r="A21" s="324">
        <v>14</v>
      </c>
      <c r="B21" s="174" t="s">
        <v>79</v>
      </c>
      <c r="C21" s="28" t="s">
        <v>9</v>
      </c>
      <c r="D21" s="93">
        <f t="shared" si="4"/>
        <v>645000</v>
      </c>
      <c r="E21" s="90">
        <f>150000+395000+100000</f>
        <v>645000</v>
      </c>
      <c r="F21" s="91"/>
      <c r="G21" s="91"/>
      <c r="H21" s="91"/>
      <c r="I21" s="92"/>
      <c r="J21" s="74"/>
      <c r="K21" s="77"/>
      <c r="L21" s="74"/>
      <c r="M21" s="75"/>
      <c r="N21" s="78"/>
      <c r="O21" s="77"/>
      <c r="P21" s="74"/>
      <c r="Q21" s="75"/>
      <c r="R21" s="76"/>
      <c r="S21" s="198"/>
      <c r="T21" s="15"/>
    </row>
    <row r="22" spans="1:20" ht="18" customHeight="1" x14ac:dyDescent="0.25">
      <c r="A22" s="323">
        <v>15</v>
      </c>
      <c r="B22" s="173" t="s">
        <v>19</v>
      </c>
      <c r="C22" s="28" t="s">
        <v>9</v>
      </c>
      <c r="D22" s="93">
        <f t="shared" si="4"/>
        <v>520000</v>
      </c>
      <c r="E22" s="94">
        <v>520000</v>
      </c>
      <c r="F22" s="91"/>
      <c r="G22" s="91"/>
      <c r="H22" s="91"/>
      <c r="I22" s="92"/>
      <c r="J22" s="74"/>
      <c r="K22" s="77"/>
      <c r="L22" s="74"/>
      <c r="M22" s="75"/>
      <c r="N22" s="78"/>
      <c r="O22" s="77"/>
      <c r="P22" s="74"/>
      <c r="Q22" s="75"/>
      <c r="R22" s="76"/>
      <c r="S22" s="198"/>
    </row>
    <row r="23" spans="1:20" ht="18.75" customHeight="1" x14ac:dyDescent="0.25">
      <c r="A23" s="323">
        <v>16</v>
      </c>
      <c r="B23" s="173" t="s">
        <v>38</v>
      </c>
      <c r="C23" s="28" t="s">
        <v>9</v>
      </c>
      <c r="D23" s="93">
        <f t="shared" si="4"/>
        <v>2150000</v>
      </c>
      <c r="E23" s="94">
        <f>2500000-350000</f>
        <v>2150000</v>
      </c>
      <c r="F23" s="91"/>
      <c r="G23" s="91"/>
      <c r="H23" s="91"/>
      <c r="I23" s="92"/>
      <c r="J23" s="74"/>
      <c r="K23" s="77"/>
      <c r="L23" s="74"/>
      <c r="M23" s="75"/>
      <c r="N23" s="78"/>
      <c r="O23" s="77"/>
      <c r="P23" s="74"/>
      <c r="Q23" s="75"/>
      <c r="R23" s="76"/>
      <c r="S23" s="198"/>
    </row>
    <row r="24" spans="1:20" ht="17.25" customHeight="1" x14ac:dyDescent="0.25">
      <c r="A24" s="323">
        <v>17</v>
      </c>
      <c r="B24" s="173" t="s">
        <v>20</v>
      </c>
      <c r="C24" s="28" t="s">
        <v>9</v>
      </c>
      <c r="D24" s="93">
        <f t="shared" si="4"/>
        <v>350000</v>
      </c>
      <c r="E24" s="94">
        <v>350000</v>
      </c>
      <c r="F24" s="91"/>
      <c r="G24" s="91"/>
      <c r="H24" s="91"/>
      <c r="I24" s="92"/>
      <c r="J24" s="74"/>
      <c r="K24" s="77"/>
      <c r="L24" s="74"/>
      <c r="M24" s="75"/>
      <c r="N24" s="78"/>
      <c r="O24" s="77"/>
      <c r="P24" s="74"/>
      <c r="Q24" s="75"/>
      <c r="R24" s="76"/>
      <c r="S24" s="198"/>
    </row>
    <row r="25" spans="1:20" ht="21" customHeight="1" x14ac:dyDescent="0.25">
      <c r="A25" s="325">
        <v>18</v>
      </c>
      <c r="B25" s="175" t="s">
        <v>26</v>
      </c>
      <c r="C25" s="41" t="s">
        <v>9</v>
      </c>
      <c r="D25" s="95">
        <f t="shared" si="4"/>
        <v>360000</v>
      </c>
      <c r="E25" s="96">
        <v>360000</v>
      </c>
      <c r="F25" s="97"/>
      <c r="G25" s="97"/>
      <c r="H25" s="97"/>
      <c r="I25" s="98"/>
      <c r="J25" s="99"/>
      <c r="K25" s="77"/>
      <c r="L25" s="74"/>
      <c r="M25" s="75"/>
      <c r="N25" s="78"/>
      <c r="O25" s="77"/>
      <c r="P25" s="74"/>
      <c r="Q25" s="75"/>
      <c r="R25" s="76"/>
      <c r="S25" s="198"/>
    </row>
    <row r="26" spans="1:20" ht="18.75" x14ac:dyDescent="0.25">
      <c r="A26" s="326">
        <v>19</v>
      </c>
      <c r="B26" s="176" t="s">
        <v>65</v>
      </c>
      <c r="C26" s="43" t="s">
        <v>9</v>
      </c>
      <c r="D26" s="100">
        <f>E26+F26+G26+H26+I26</f>
        <v>32985000</v>
      </c>
      <c r="E26" s="226"/>
      <c r="F26" s="101">
        <f>(14000000+10800000+2500000+2500000+3500000+2500000+850000)*90%-824625</f>
        <v>32160375</v>
      </c>
      <c r="G26" s="87">
        <v>824625</v>
      </c>
      <c r="H26" s="87"/>
      <c r="I26" s="88"/>
      <c r="J26" s="74"/>
      <c r="K26" s="77"/>
      <c r="L26" s="74"/>
      <c r="M26" s="75"/>
      <c r="N26" s="78"/>
      <c r="O26" s="77"/>
      <c r="P26" s="74"/>
      <c r="Q26" s="75"/>
      <c r="R26" s="76"/>
      <c r="S26" s="198"/>
    </row>
    <row r="27" spans="1:20" ht="18.75" x14ac:dyDescent="0.25">
      <c r="A27" s="327">
        <v>20</v>
      </c>
      <c r="B27" s="177" t="s">
        <v>67</v>
      </c>
      <c r="C27" s="44" t="s">
        <v>9</v>
      </c>
      <c r="D27" s="102">
        <f>E27+F27+G27+H27+I27</f>
        <v>3500000</v>
      </c>
      <c r="E27" s="227"/>
      <c r="F27" s="103"/>
      <c r="G27" s="103">
        <v>3500000</v>
      </c>
      <c r="H27" s="104"/>
      <c r="I27" s="105"/>
      <c r="J27" s="74"/>
      <c r="K27" s="77"/>
      <c r="L27" s="74"/>
      <c r="M27" s="75"/>
      <c r="N27" s="78"/>
      <c r="O27" s="77"/>
      <c r="P27" s="74"/>
      <c r="Q27" s="75"/>
      <c r="R27" s="76"/>
      <c r="S27" s="198"/>
      <c r="T27" s="21"/>
    </row>
    <row r="28" spans="1:20" ht="18.75" x14ac:dyDescent="0.25">
      <c r="A28" s="328">
        <v>21</v>
      </c>
      <c r="B28" s="178" t="s">
        <v>28</v>
      </c>
      <c r="C28" s="42" t="s">
        <v>9</v>
      </c>
      <c r="D28" s="106">
        <f t="shared" si="4"/>
        <v>36150000</v>
      </c>
      <c r="E28" s="228"/>
      <c r="F28" s="107">
        <v>26930000</v>
      </c>
      <c r="G28" s="108">
        <v>4660000</v>
      </c>
      <c r="H28" s="108">
        <v>4560000</v>
      </c>
      <c r="I28" s="109"/>
      <c r="J28" s="74"/>
      <c r="K28" s="77"/>
      <c r="L28" s="74"/>
      <c r="M28" s="75"/>
      <c r="N28" s="78"/>
      <c r="O28" s="77"/>
      <c r="P28" s="74"/>
      <c r="Q28" s="75"/>
      <c r="R28" s="76"/>
      <c r="S28" s="198"/>
    </row>
    <row r="29" spans="1:20" ht="28.5" customHeight="1" x14ac:dyDescent="0.25">
      <c r="A29" s="329">
        <v>22</v>
      </c>
      <c r="B29" s="179" t="s">
        <v>21</v>
      </c>
      <c r="C29" s="22" t="s">
        <v>9</v>
      </c>
      <c r="D29" s="110">
        <f t="shared" si="4"/>
        <v>88000</v>
      </c>
      <c r="E29" s="90"/>
      <c r="F29" s="91">
        <v>88000</v>
      </c>
      <c r="G29" s="91"/>
      <c r="H29" s="91"/>
      <c r="I29" s="92"/>
      <c r="J29" s="74"/>
      <c r="K29" s="77"/>
      <c r="L29" s="74"/>
      <c r="M29" s="75"/>
      <c r="N29" s="78"/>
      <c r="O29" s="77"/>
      <c r="P29" s="74"/>
      <c r="Q29" s="75"/>
      <c r="R29" s="76"/>
      <c r="S29" s="198"/>
    </row>
    <row r="30" spans="1:20" ht="36.75" customHeight="1" x14ac:dyDescent="0.25">
      <c r="A30" s="329">
        <v>23</v>
      </c>
      <c r="B30" s="179" t="s">
        <v>39</v>
      </c>
      <c r="C30" s="22" t="s">
        <v>9</v>
      </c>
      <c r="D30" s="93">
        <f t="shared" si="4"/>
        <v>2823840</v>
      </c>
      <c r="E30" s="90">
        <v>1238760</v>
      </c>
      <c r="F30" s="91">
        <v>1585080</v>
      </c>
      <c r="G30" s="91"/>
      <c r="H30" s="91"/>
      <c r="I30" s="92"/>
      <c r="J30" s="74"/>
      <c r="K30" s="77"/>
      <c r="L30" s="74"/>
      <c r="M30" s="75"/>
      <c r="N30" s="78"/>
      <c r="O30" s="77"/>
      <c r="P30" s="74"/>
      <c r="Q30" s="75"/>
      <c r="R30" s="76"/>
      <c r="S30" s="198"/>
    </row>
    <row r="31" spans="1:20" ht="18.75" x14ac:dyDescent="0.25">
      <c r="A31" s="329">
        <v>24</v>
      </c>
      <c r="B31" s="179" t="s">
        <v>23</v>
      </c>
      <c r="C31" s="22" t="s">
        <v>9</v>
      </c>
      <c r="D31" s="110">
        <f t="shared" si="4"/>
        <v>400000</v>
      </c>
      <c r="E31" s="90"/>
      <c r="F31" s="91"/>
      <c r="G31" s="91">
        <v>400000</v>
      </c>
      <c r="H31" s="91"/>
      <c r="I31" s="111"/>
      <c r="J31" s="74"/>
      <c r="K31" s="77"/>
      <c r="L31" s="74"/>
      <c r="M31" s="75"/>
      <c r="N31" s="78"/>
      <c r="O31" s="77"/>
      <c r="P31" s="74"/>
      <c r="Q31" s="75"/>
      <c r="R31" s="76"/>
      <c r="S31" s="198"/>
    </row>
    <row r="32" spans="1:20" ht="18.75" x14ac:dyDescent="0.25">
      <c r="A32" s="329">
        <v>25</v>
      </c>
      <c r="B32" s="179" t="s">
        <v>24</v>
      </c>
      <c r="C32" s="22" t="s">
        <v>9</v>
      </c>
      <c r="D32" s="110">
        <f t="shared" si="4"/>
        <v>350000</v>
      </c>
      <c r="E32" s="90"/>
      <c r="F32" s="91"/>
      <c r="G32" s="91"/>
      <c r="H32" s="91">
        <v>350000</v>
      </c>
      <c r="I32" s="111"/>
      <c r="J32" s="74"/>
      <c r="K32" s="77"/>
      <c r="L32" s="74"/>
      <c r="M32" s="75"/>
      <c r="N32" s="78"/>
      <c r="O32" s="77"/>
      <c r="P32" s="74"/>
      <c r="Q32" s="75"/>
      <c r="R32" s="76"/>
      <c r="S32" s="198"/>
    </row>
    <row r="33" spans="1:20" ht="18.75" x14ac:dyDescent="0.25">
      <c r="A33" s="357">
        <v>26</v>
      </c>
      <c r="B33" s="180" t="s">
        <v>15</v>
      </c>
      <c r="C33" s="23" t="s">
        <v>9</v>
      </c>
      <c r="D33" s="112">
        <f>SUM(D16:D32)</f>
        <v>113446840</v>
      </c>
      <c r="E33" s="113">
        <f t="shared" ref="E33:I33" si="5">SUM(E16:E32)</f>
        <v>38388760</v>
      </c>
      <c r="F33" s="114">
        <f t="shared" si="5"/>
        <v>60763455</v>
      </c>
      <c r="G33" s="114">
        <f t="shared" si="5"/>
        <v>9384625</v>
      </c>
      <c r="H33" s="114">
        <f t="shared" si="5"/>
        <v>4910000</v>
      </c>
      <c r="I33" s="115">
        <f t="shared" si="5"/>
        <v>0</v>
      </c>
      <c r="J33" s="74"/>
      <c r="K33" s="77"/>
      <c r="L33" s="74"/>
      <c r="M33" s="75"/>
      <c r="N33" s="78"/>
      <c r="O33" s="77"/>
      <c r="P33" s="74"/>
      <c r="Q33" s="75"/>
      <c r="R33" s="76"/>
      <c r="S33" s="198"/>
    </row>
    <row r="34" spans="1:20" ht="19.5" x14ac:dyDescent="0.25">
      <c r="A34" s="358">
        <v>27</v>
      </c>
      <c r="B34" s="276" t="s">
        <v>63</v>
      </c>
      <c r="C34" s="277"/>
      <c r="D34" s="278">
        <f>(D33-D16-6850000-5500000-3625000-360000-645000-350000-88000-2823840-400000-350000)*16.67%</f>
        <v>12661698.500000002</v>
      </c>
      <c r="E34" s="113"/>
      <c r="F34" s="114"/>
      <c r="G34" s="114"/>
      <c r="H34" s="114"/>
      <c r="I34" s="115"/>
      <c r="J34" s="74"/>
      <c r="K34" s="77"/>
      <c r="L34" s="74"/>
      <c r="M34" s="75"/>
      <c r="N34" s="78"/>
      <c r="O34" s="77"/>
      <c r="P34" s="74"/>
      <c r="Q34" s="75"/>
      <c r="R34" s="76"/>
      <c r="S34" s="198"/>
    </row>
    <row r="35" spans="1:20" s="18" customFormat="1" ht="19.5" x14ac:dyDescent="0.25">
      <c r="A35" s="359">
        <v>28</v>
      </c>
      <c r="B35" s="181" t="s">
        <v>30</v>
      </c>
      <c r="C35" s="24" t="s">
        <v>29</v>
      </c>
      <c r="D35" s="116">
        <f>G35+H35+I35+J35</f>
        <v>6210000</v>
      </c>
      <c r="E35" s="117"/>
      <c r="F35" s="118"/>
      <c r="G35" s="119">
        <f t="shared" ref="G35:N35" si="6">G10*G11</f>
        <v>1350000</v>
      </c>
      <c r="H35" s="119">
        <f>H10*H11</f>
        <v>1620000</v>
      </c>
      <c r="I35" s="119">
        <f t="shared" si="6"/>
        <v>1620000</v>
      </c>
      <c r="J35" s="120">
        <f t="shared" si="6"/>
        <v>1620000</v>
      </c>
      <c r="K35" s="121">
        <f t="shared" si="6"/>
        <v>1620000</v>
      </c>
      <c r="L35" s="120">
        <f t="shared" si="6"/>
        <v>1620000</v>
      </c>
      <c r="M35" s="122">
        <f t="shared" si="6"/>
        <v>1620000</v>
      </c>
      <c r="N35" s="123">
        <f t="shared" si="6"/>
        <v>1620000</v>
      </c>
      <c r="O35" s="121">
        <f>O10*O11</f>
        <v>1620000</v>
      </c>
      <c r="P35" s="120">
        <f t="shared" ref="P35:R35" si="7">P10*P11</f>
        <v>1620000</v>
      </c>
      <c r="Q35" s="122">
        <f t="shared" si="7"/>
        <v>1620000</v>
      </c>
      <c r="R35" s="124">
        <f t="shared" si="7"/>
        <v>1620000</v>
      </c>
      <c r="S35" s="199">
        <f>R35/91</f>
        <v>17802.197802197803</v>
      </c>
      <c r="T35" s="18" t="s">
        <v>70</v>
      </c>
    </row>
    <row r="36" spans="1:20" ht="18.75" x14ac:dyDescent="0.25">
      <c r="A36" s="330">
        <v>29</v>
      </c>
      <c r="B36" s="182" t="s">
        <v>46</v>
      </c>
      <c r="C36" s="25" t="s">
        <v>9</v>
      </c>
      <c r="D36" s="125">
        <f>D35*D14</f>
        <v>42041700</v>
      </c>
      <c r="E36" s="126"/>
      <c r="F36" s="127"/>
      <c r="G36" s="127">
        <f>G35*$D$14</f>
        <v>9139500</v>
      </c>
      <c r="H36" s="127">
        <f t="shared" ref="H36:R36" si="8">H35*$D$14</f>
        <v>10967400</v>
      </c>
      <c r="I36" s="127">
        <f t="shared" si="8"/>
        <v>10967400</v>
      </c>
      <c r="J36" s="126">
        <f t="shared" si="8"/>
        <v>10967400</v>
      </c>
      <c r="K36" s="128">
        <f t="shared" si="8"/>
        <v>10967400</v>
      </c>
      <c r="L36" s="126">
        <f t="shared" si="8"/>
        <v>10967400</v>
      </c>
      <c r="M36" s="127">
        <f t="shared" si="8"/>
        <v>10967400</v>
      </c>
      <c r="N36" s="129">
        <f t="shared" si="8"/>
        <v>10967400</v>
      </c>
      <c r="O36" s="128">
        <f t="shared" si="8"/>
        <v>10967400</v>
      </c>
      <c r="P36" s="126">
        <f t="shared" si="8"/>
        <v>10967400</v>
      </c>
      <c r="Q36" s="127">
        <f t="shared" si="8"/>
        <v>10967400</v>
      </c>
      <c r="R36" s="130">
        <f t="shared" si="8"/>
        <v>10967400</v>
      </c>
      <c r="S36" s="279"/>
      <c r="T36" s="229"/>
    </row>
    <row r="37" spans="1:20" ht="18.75" x14ac:dyDescent="0.25">
      <c r="A37" s="319">
        <v>30</v>
      </c>
      <c r="B37" s="169" t="s">
        <v>47</v>
      </c>
      <c r="C37" s="16" t="s">
        <v>9</v>
      </c>
      <c r="D37" s="131">
        <f t="shared" ref="D37:D38" si="9">G37+H37+I37+J37</f>
        <v>16621200</v>
      </c>
      <c r="E37" s="68"/>
      <c r="F37" s="69"/>
      <c r="G37" s="69">
        <f>((170+100)*20*30*8.1)*2</f>
        <v>2624400</v>
      </c>
      <c r="H37" s="69">
        <f>(320*20*30*8.1)*3</f>
        <v>4665600</v>
      </c>
      <c r="I37" s="71">
        <f t="shared" ref="I37:R37" si="10">(320*20*30*8.1)*3</f>
        <v>4665600</v>
      </c>
      <c r="J37" s="74">
        <f t="shared" si="10"/>
        <v>4665600</v>
      </c>
      <c r="K37" s="76">
        <f t="shared" si="10"/>
        <v>4665600</v>
      </c>
      <c r="L37" s="72">
        <f t="shared" si="10"/>
        <v>4665600</v>
      </c>
      <c r="M37" s="69">
        <f t="shared" si="10"/>
        <v>4665600</v>
      </c>
      <c r="N37" s="69">
        <f t="shared" si="10"/>
        <v>4665600</v>
      </c>
      <c r="O37" s="71">
        <f t="shared" si="10"/>
        <v>4665600</v>
      </c>
      <c r="P37" s="74">
        <f t="shared" si="10"/>
        <v>4665600</v>
      </c>
      <c r="Q37" s="75">
        <f t="shared" si="10"/>
        <v>4665600</v>
      </c>
      <c r="R37" s="76">
        <f t="shared" si="10"/>
        <v>4665600</v>
      </c>
      <c r="S37" s="198"/>
    </row>
    <row r="38" spans="1:20" ht="18.75" x14ac:dyDescent="0.25">
      <c r="A38" s="319">
        <v>31</v>
      </c>
      <c r="B38" s="169" t="s">
        <v>48</v>
      </c>
      <c r="C38" s="16" t="s">
        <v>9</v>
      </c>
      <c r="D38" s="131">
        <f t="shared" si="9"/>
        <v>5200000</v>
      </c>
      <c r="E38" s="68"/>
      <c r="F38" s="69"/>
      <c r="G38" s="69">
        <v>1300000</v>
      </c>
      <c r="H38" s="69">
        <v>1300000</v>
      </c>
      <c r="I38" s="69">
        <v>1300000</v>
      </c>
      <c r="J38" s="68">
        <v>1300000</v>
      </c>
      <c r="K38" s="71">
        <v>1300000</v>
      </c>
      <c r="L38" s="68">
        <v>1300000</v>
      </c>
      <c r="M38" s="69">
        <v>1300000</v>
      </c>
      <c r="N38" s="72">
        <v>1300000</v>
      </c>
      <c r="O38" s="71">
        <v>1300000</v>
      </c>
      <c r="P38" s="68">
        <v>1300000</v>
      </c>
      <c r="Q38" s="69">
        <v>1300000</v>
      </c>
      <c r="R38" s="70">
        <v>1300000</v>
      </c>
      <c r="S38" s="198"/>
    </row>
    <row r="39" spans="1:20" ht="18.75" x14ac:dyDescent="0.25">
      <c r="A39" s="320">
        <v>32</v>
      </c>
      <c r="B39" s="170" t="s">
        <v>72</v>
      </c>
      <c r="C39" s="16" t="s">
        <v>9</v>
      </c>
      <c r="D39" s="132">
        <f>G39+H39+I39+J39</f>
        <v>17262720</v>
      </c>
      <c r="E39" s="74"/>
      <c r="F39" s="75"/>
      <c r="G39" s="75">
        <v>4315680</v>
      </c>
      <c r="H39" s="75">
        <v>4315680</v>
      </c>
      <c r="I39" s="75">
        <v>4315680</v>
      </c>
      <c r="J39" s="74">
        <v>4315680</v>
      </c>
      <c r="K39" s="77">
        <v>4315680</v>
      </c>
      <c r="L39" s="74">
        <v>4315680</v>
      </c>
      <c r="M39" s="75">
        <v>4315680</v>
      </c>
      <c r="N39" s="78">
        <v>4315680</v>
      </c>
      <c r="O39" s="77">
        <v>4315680</v>
      </c>
      <c r="P39" s="74">
        <v>4315680</v>
      </c>
      <c r="Q39" s="75">
        <v>4315680</v>
      </c>
      <c r="R39" s="76">
        <v>4315680</v>
      </c>
      <c r="S39" s="198"/>
    </row>
    <row r="40" spans="1:20" ht="56.25" x14ac:dyDescent="0.25">
      <c r="A40" s="331">
        <v>33</v>
      </c>
      <c r="B40" s="230" t="s">
        <v>102</v>
      </c>
      <c r="C40" s="231" t="s">
        <v>9</v>
      </c>
      <c r="D40" s="232">
        <f>G40+H40+I40+J40</f>
        <v>7280629.7599999998</v>
      </c>
      <c r="E40" s="233"/>
      <c r="F40" s="234"/>
      <c r="G40" s="235">
        <f>((F33+G33+H33)*4.7%)/4</f>
        <v>881932.44</v>
      </c>
      <c r="H40" s="234">
        <v>881932.44</v>
      </c>
      <c r="I40" s="236">
        <v>881932.44</v>
      </c>
      <c r="J40" s="237">
        <f>G40+75058000/5/4</f>
        <v>4634832.4399999995</v>
      </c>
      <c r="K40" s="236">
        <v>4634832.4399999995</v>
      </c>
      <c r="L40" s="233">
        <v>4634832.4399999995</v>
      </c>
      <c r="M40" s="234">
        <v>4634832.4399999995</v>
      </c>
      <c r="N40" s="238">
        <v>4634832.4399999995</v>
      </c>
      <c r="O40" s="236">
        <v>4634832.4399999995</v>
      </c>
      <c r="P40" s="233">
        <v>4634832.4399999995</v>
      </c>
      <c r="Q40" s="234">
        <v>4634832.4399999995</v>
      </c>
      <c r="R40" s="239">
        <v>4634832.4399999995</v>
      </c>
      <c r="S40" s="198"/>
    </row>
    <row r="41" spans="1:20" ht="18.75" x14ac:dyDescent="0.25">
      <c r="A41" s="332">
        <v>34</v>
      </c>
      <c r="B41" s="183" t="s">
        <v>62</v>
      </c>
      <c r="C41" s="29" t="s">
        <v>9</v>
      </c>
      <c r="D41" s="133">
        <f>G41+H41+I41+J41</f>
        <v>5516678.458333333</v>
      </c>
      <c r="E41" s="134"/>
      <c r="F41" s="135"/>
      <c r="G41" s="135"/>
      <c r="H41" s="135"/>
      <c r="I41" s="136">
        <f t="shared" ref="I41:R41" si="11">$T$41/24</f>
        <v>2758339.2291666665</v>
      </c>
      <c r="J41" s="134">
        <f t="shared" si="11"/>
        <v>2758339.2291666665</v>
      </c>
      <c r="K41" s="137">
        <f t="shared" si="11"/>
        <v>2758339.2291666665</v>
      </c>
      <c r="L41" s="134">
        <f t="shared" si="11"/>
        <v>2758339.2291666665</v>
      </c>
      <c r="M41" s="135">
        <f t="shared" si="11"/>
        <v>2758339.2291666665</v>
      </c>
      <c r="N41" s="138">
        <f t="shared" si="11"/>
        <v>2758339.2291666665</v>
      </c>
      <c r="O41" s="137">
        <f t="shared" si="11"/>
        <v>2758339.2291666665</v>
      </c>
      <c r="P41" s="134">
        <f t="shared" si="11"/>
        <v>2758339.2291666665</v>
      </c>
      <c r="Q41" s="135">
        <f t="shared" si="11"/>
        <v>2758339.2291666665</v>
      </c>
      <c r="R41" s="139">
        <f t="shared" si="11"/>
        <v>2758339.2291666665</v>
      </c>
      <c r="S41" s="203"/>
      <c r="T41" s="30">
        <f>D33-D16-D18-D24-D25-D31-D32-D34-D19-D20</f>
        <v>66200141.5</v>
      </c>
    </row>
    <row r="42" spans="1:20" ht="18.75" x14ac:dyDescent="0.25">
      <c r="A42" s="360">
        <v>35</v>
      </c>
      <c r="B42" s="184" t="s">
        <v>16</v>
      </c>
      <c r="C42" s="51" t="s">
        <v>9</v>
      </c>
      <c r="D42" s="140">
        <f>SUM(D36:D41)</f>
        <v>93922928.218333334</v>
      </c>
      <c r="E42" s="141"/>
      <c r="F42" s="142"/>
      <c r="G42" s="143">
        <f>SUM(G36:G41)</f>
        <v>18261512.440000001</v>
      </c>
      <c r="H42" s="143">
        <f>SUM(H36:H41)</f>
        <v>22130612.440000001</v>
      </c>
      <c r="I42" s="143">
        <f t="shared" ref="I42:R42" si="12">SUM(I36:I41)</f>
        <v>24888951.669166669</v>
      </c>
      <c r="J42" s="144">
        <f t="shared" si="12"/>
        <v>28641851.669166666</v>
      </c>
      <c r="K42" s="145">
        <f t="shared" si="12"/>
        <v>28641851.669166666</v>
      </c>
      <c r="L42" s="144">
        <f t="shared" si="12"/>
        <v>28641851.669166666</v>
      </c>
      <c r="M42" s="143">
        <f t="shared" si="12"/>
        <v>28641851.669166666</v>
      </c>
      <c r="N42" s="146">
        <f t="shared" si="12"/>
        <v>28641851.669166666</v>
      </c>
      <c r="O42" s="145">
        <f t="shared" si="12"/>
        <v>28641851.669166666</v>
      </c>
      <c r="P42" s="144">
        <f t="shared" si="12"/>
        <v>28641851.669166666</v>
      </c>
      <c r="Q42" s="143">
        <f t="shared" si="12"/>
        <v>28641851.669166666</v>
      </c>
      <c r="R42" s="147">
        <f t="shared" si="12"/>
        <v>28641851.669166666</v>
      </c>
      <c r="S42" s="196"/>
      <c r="T42" s="21">
        <f>T41-M41-L41-K41-J41-I41-N41-O41-P41-Q41-R41</f>
        <v>38616749.208333358</v>
      </c>
    </row>
    <row r="43" spans="1:20" ht="18.75" x14ac:dyDescent="0.25">
      <c r="A43" s="352">
        <v>36</v>
      </c>
      <c r="B43" s="240" t="s">
        <v>51</v>
      </c>
      <c r="C43" s="241" t="s">
        <v>9</v>
      </c>
      <c r="D43" s="242">
        <f>G43+H43+I43+J43</f>
        <v>10643816.666666666</v>
      </c>
      <c r="E43" s="243"/>
      <c r="F43" s="244"/>
      <c r="G43" s="245">
        <f t="shared" ref="G43:R43" si="13">(G36+G37+G38)*(20/120)</f>
        <v>2177316.6666666665</v>
      </c>
      <c r="H43" s="245">
        <f t="shared" si="13"/>
        <v>2822166.6666666665</v>
      </c>
      <c r="I43" s="245">
        <f t="shared" si="13"/>
        <v>2822166.6666666665</v>
      </c>
      <c r="J43" s="246">
        <f t="shared" si="13"/>
        <v>2822166.6666666665</v>
      </c>
      <c r="K43" s="247">
        <f t="shared" si="13"/>
        <v>2822166.6666666665</v>
      </c>
      <c r="L43" s="246">
        <f t="shared" si="13"/>
        <v>2822166.6666666665</v>
      </c>
      <c r="M43" s="245">
        <f t="shared" si="13"/>
        <v>2822166.6666666665</v>
      </c>
      <c r="N43" s="248">
        <f t="shared" si="13"/>
        <v>2822166.6666666665</v>
      </c>
      <c r="O43" s="247">
        <f t="shared" si="13"/>
        <v>2822166.6666666665</v>
      </c>
      <c r="P43" s="246">
        <f t="shared" si="13"/>
        <v>2822166.6666666665</v>
      </c>
      <c r="Q43" s="245">
        <f t="shared" si="13"/>
        <v>2822166.6666666665</v>
      </c>
      <c r="R43" s="249">
        <f t="shared" si="13"/>
        <v>2822166.6666666665</v>
      </c>
      <c r="S43" s="192"/>
      <c r="T43" s="21"/>
    </row>
    <row r="44" spans="1:20" ht="18.75" x14ac:dyDescent="0.25">
      <c r="A44" s="360">
        <v>37</v>
      </c>
      <c r="B44" s="184" t="s">
        <v>53</v>
      </c>
      <c r="C44" s="51" t="s">
        <v>9</v>
      </c>
      <c r="D44" s="140">
        <f>D35*D13</f>
        <v>129664800</v>
      </c>
      <c r="E44" s="141"/>
      <c r="F44" s="142"/>
      <c r="G44" s="143">
        <f>G35*$D$13</f>
        <v>28188000</v>
      </c>
      <c r="H44" s="143">
        <f t="shared" ref="H44:R44" si="14">H35*$D$13</f>
        <v>33825600</v>
      </c>
      <c r="I44" s="143">
        <f t="shared" si="14"/>
        <v>33825600</v>
      </c>
      <c r="J44" s="144">
        <f t="shared" si="14"/>
        <v>33825600</v>
      </c>
      <c r="K44" s="145">
        <f t="shared" si="14"/>
        <v>33825600</v>
      </c>
      <c r="L44" s="144">
        <f t="shared" si="14"/>
        <v>33825600</v>
      </c>
      <c r="M44" s="143">
        <f t="shared" si="14"/>
        <v>33825600</v>
      </c>
      <c r="N44" s="146">
        <f t="shared" si="14"/>
        <v>33825600</v>
      </c>
      <c r="O44" s="145">
        <f t="shared" si="14"/>
        <v>33825600</v>
      </c>
      <c r="P44" s="144">
        <f t="shared" si="14"/>
        <v>33825600</v>
      </c>
      <c r="Q44" s="143">
        <f t="shared" si="14"/>
        <v>33825600</v>
      </c>
      <c r="R44" s="147">
        <f t="shared" si="14"/>
        <v>33825600</v>
      </c>
      <c r="S44" s="196"/>
    </row>
    <row r="45" spans="1:20" ht="18.75" customHeight="1" x14ac:dyDescent="0.25">
      <c r="A45" s="352">
        <v>38</v>
      </c>
      <c r="B45" s="240" t="s">
        <v>52</v>
      </c>
      <c r="C45" s="250" t="s">
        <v>9</v>
      </c>
      <c r="D45" s="242">
        <f>G45+H45+I45+J45</f>
        <v>21610800</v>
      </c>
      <c r="E45" s="246"/>
      <c r="F45" s="245"/>
      <c r="G45" s="245">
        <f>G44*20/120</f>
        <v>4698000</v>
      </c>
      <c r="H45" s="245">
        <f t="shared" ref="H45:N45" si="15">H44*20/120</f>
        <v>5637600</v>
      </c>
      <c r="I45" s="245">
        <f t="shared" si="15"/>
        <v>5637600</v>
      </c>
      <c r="J45" s="246">
        <f t="shared" si="15"/>
        <v>5637600</v>
      </c>
      <c r="K45" s="247">
        <f t="shared" si="15"/>
        <v>5637600</v>
      </c>
      <c r="L45" s="246">
        <f t="shared" si="15"/>
        <v>5637600</v>
      </c>
      <c r="M45" s="245">
        <f t="shared" si="15"/>
        <v>5637600</v>
      </c>
      <c r="N45" s="248">
        <f t="shared" si="15"/>
        <v>5637600</v>
      </c>
      <c r="O45" s="247">
        <f>O44*20/120</f>
        <v>5637600</v>
      </c>
      <c r="P45" s="246">
        <f>P44*20/120</f>
        <v>5637600</v>
      </c>
      <c r="Q45" s="245">
        <f t="shared" ref="Q45:R45" si="16">Q44*20/120</f>
        <v>5637600</v>
      </c>
      <c r="R45" s="249">
        <f t="shared" si="16"/>
        <v>5637600</v>
      </c>
      <c r="S45" s="192"/>
      <c r="T45" s="26"/>
    </row>
    <row r="46" spans="1:20" ht="21.75" customHeight="1" x14ac:dyDescent="0.25">
      <c r="A46" s="319">
        <v>39</v>
      </c>
      <c r="B46" s="169" t="s">
        <v>54</v>
      </c>
      <c r="C46" s="14" t="s">
        <v>9</v>
      </c>
      <c r="D46" s="131">
        <f t="shared" ref="D46:D52" si="17">G46+H46+I46+J46</f>
        <v>24774888.44833333</v>
      </c>
      <c r="E46" s="68"/>
      <c r="F46" s="69"/>
      <c r="G46" s="69">
        <f>(G44-G45)-(G42-G43)</f>
        <v>7405804.2266666647</v>
      </c>
      <c r="H46" s="69">
        <f t="shared" ref="H46:R46" si="18">(H44-H45)-(H42-H43)</f>
        <v>8879554.2266666666</v>
      </c>
      <c r="I46" s="69">
        <f t="shared" si="18"/>
        <v>6121214.9974999987</v>
      </c>
      <c r="J46" s="68">
        <f t="shared" si="18"/>
        <v>2368314.9975000024</v>
      </c>
      <c r="K46" s="71">
        <f t="shared" si="18"/>
        <v>2368314.9975000024</v>
      </c>
      <c r="L46" s="68">
        <f t="shared" si="18"/>
        <v>2368314.9975000024</v>
      </c>
      <c r="M46" s="69">
        <f t="shared" si="18"/>
        <v>2368314.9975000024</v>
      </c>
      <c r="N46" s="72">
        <f t="shared" si="18"/>
        <v>2368314.9975000024</v>
      </c>
      <c r="O46" s="71">
        <f t="shared" si="18"/>
        <v>2368314.9975000024</v>
      </c>
      <c r="P46" s="68">
        <f t="shared" si="18"/>
        <v>2368314.9975000024</v>
      </c>
      <c r="Q46" s="69">
        <f t="shared" si="18"/>
        <v>2368314.9975000024</v>
      </c>
      <c r="R46" s="70">
        <f t="shared" si="18"/>
        <v>2368314.9975000024</v>
      </c>
      <c r="S46" s="198"/>
      <c r="T46" s="15"/>
    </row>
    <row r="47" spans="1:20" ht="19.5" customHeight="1" x14ac:dyDescent="0.25">
      <c r="A47" s="333">
        <v>40</v>
      </c>
      <c r="B47" s="171" t="s">
        <v>55</v>
      </c>
      <c r="C47" s="17" t="s">
        <v>9</v>
      </c>
      <c r="D47" s="148">
        <f t="shared" si="17"/>
        <v>4954977.689666667</v>
      </c>
      <c r="E47" s="81"/>
      <c r="F47" s="83"/>
      <c r="G47" s="83">
        <f>G46*20%</f>
        <v>1481160.8453333331</v>
      </c>
      <c r="H47" s="83">
        <f t="shared" ref="H47:R47" si="19">H46*20%</f>
        <v>1775910.8453333334</v>
      </c>
      <c r="I47" s="83">
        <f t="shared" si="19"/>
        <v>1224242.9994999997</v>
      </c>
      <c r="J47" s="81">
        <f t="shared" si="19"/>
        <v>473662.9995000005</v>
      </c>
      <c r="K47" s="149">
        <f t="shared" si="19"/>
        <v>473662.9995000005</v>
      </c>
      <c r="L47" s="81">
        <f t="shared" si="19"/>
        <v>473662.9995000005</v>
      </c>
      <c r="M47" s="83">
        <f t="shared" si="19"/>
        <v>473662.9995000005</v>
      </c>
      <c r="N47" s="150">
        <f t="shared" si="19"/>
        <v>473662.9995000005</v>
      </c>
      <c r="O47" s="149">
        <f t="shared" si="19"/>
        <v>473662.9995000005</v>
      </c>
      <c r="P47" s="81">
        <f t="shared" si="19"/>
        <v>473662.9995000005</v>
      </c>
      <c r="Q47" s="83">
        <f t="shared" si="19"/>
        <v>473662.9995000005</v>
      </c>
      <c r="R47" s="84">
        <f t="shared" si="19"/>
        <v>473662.9995000005</v>
      </c>
      <c r="S47" s="198"/>
      <c r="T47" s="49"/>
    </row>
    <row r="48" spans="1:20" ht="18.75" x14ac:dyDescent="0.25">
      <c r="A48" s="361">
        <v>41</v>
      </c>
      <c r="B48" s="185" t="s">
        <v>59</v>
      </c>
      <c r="C48" s="52" t="s">
        <v>9</v>
      </c>
      <c r="D48" s="151">
        <f>D46-D47</f>
        <v>19819910.758666664</v>
      </c>
      <c r="E48" s="152"/>
      <c r="F48" s="153"/>
      <c r="G48" s="154">
        <f>G46-G47</f>
        <v>5924643.3813333316</v>
      </c>
      <c r="H48" s="154">
        <f t="shared" ref="H48:R48" si="20">H46-H47</f>
        <v>7103643.3813333334</v>
      </c>
      <c r="I48" s="154">
        <f t="shared" si="20"/>
        <v>4896971.9979999987</v>
      </c>
      <c r="J48" s="155">
        <f t="shared" si="20"/>
        <v>1894651.998000002</v>
      </c>
      <c r="K48" s="156">
        <f t="shared" si="20"/>
        <v>1894651.998000002</v>
      </c>
      <c r="L48" s="155">
        <f t="shared" si="20"/>
        <v>1894651.998000002</v>
      </c>
      <c r="M48" s="154">
        <f t="shared" si="20"/>
        <v>1894651.998000002</v>
      </c>
      <c r="N48" s="157">
        <f t="shared" si="20"/>
        <v>1894651.998000002</v>
      </c>
      <c r="O48" s="156">
        <f t="shared" si="20"/>
        <v>1894651.998000002</v>
      </c>
      <c r="P48" s="155">
        <f t="shared" si="20"/>
        <v>1894651.998000002</v>
      </c>
      <c r="Q48" s="154">
        <f t="shared" si="20"/>
        <v>1894651.998000002</v>
      </c>
      <c r="R48" s="158">
        <f t="shared" si="20"/>
        <v>1894651.998000002</v>
      </c>
      <c r="S48" s="196"/>
      <c r="T48" s="26"/>
    </row>
    <row r="49" spans="1:27" ht="37.5" x14ac:dyDescent="0.25">
      <c r="A49" s="353">
        <v>42</v>
      </c>
      <c r="B49" s="251" t="s">
        <v>58</v>
      </c>
      <c r="C49" s="252" t="s">
        <v>9</v>
      </c>
      <c r="D49" s="253">
        <f t="shared" si="17"/>
        <v>10966983.333333334</v>
      </c>
      <c r="E49" s="254"/>
      <c r="F49" s="255"/>
      <c r="G49" s="255">
        <f>G45-G43</f>
        <v>2520683.3333333335</v>
      </c>
      <c r="H49" s="255">
        <f t="shared" ref="H49:R49" si="21">H45-H43</f>
        <v>2815433.3333333335</v>
      </c>
      <c r="I49" s="255">
        <f t="shared" si="21"/>
        <v>2815433.3333333335</v>
      </c>
      <c r="J49" s="254">
        <f t="shared" si="21"/>
        <v>2815433.3333333335</v>
      </c>
      <c r="K49" s="256">
        <f t="shared" si="21"/>
        <v>2815433.3333333335</v>
      </c>
      <c r="L49" s="254">
        <f t="shared" si="21"/>
        <v>2815433.3333333335</v>
      </c>
      <c r="M49" s="255">
        <f t="shared" si="21"/>
        <v>2815433.3333333335</v>
      </c>
      <c r="N49" s="257">
        <f t="shared" si="21"/>
        <v>2815433.3333333335</v>
      </c>
      <c r="O49" s="256">
        <f t="shared" si="21"/>
        <v>2815433.3333333335</v>
      </c>
      <c r="P49" s="254">
        <f t="shared" si="21"/>
        <v>2815433.3333333335</v>
      </c>
      <c r="Q49" s="255">
        <f t="shared" si="21"/>
        <v>2815433.3333333335</v>
      </c>
      <c r="R49" s="258">
        <f t="shared" si="21"/>
        <v>2815433.3333333335</v>
      </c>
      <c r="S49" s="192"/>
      <c r="T49" s="26"/>
    </row>
    <row r="50" spans="1:27" ht="18.75" x14ac:dyDescent="0.25">
      <c r="A50" s="354">
        <v>43</v>
      </c>
      <c r="B50" s="259" t="s">
        <v>56</v>
      </c>
      <c r="C50" s="260" t="s">
        <v>9</v>
      </c>
      <c r="D50" s="261">
        <f t="shared" si="17"/>
        <v>10966983.333333334</v>
      </c>
      <c r="E50" s="262"/>
      <c r="F50" s="263"/>
      <c r="G50" s="263">
        <f>G49</f>
        <v>2520683.3333333335</v>
      </c>
      <c r="H50" s="263">
        <f t="shared" ref="H50:J50" si="22">H49</f>
        <v>2815433.3333333335</v>
      </c>
      <c r="I50" s="263">
        <f t="shared" si="22"/>
        <v>2815433.3333333335</v>
      </c>
      <c r="J50" s="262">
        <f t="shared" si="22"/>
        <v>2815433.3333333335</v>
      </c>
      <c r="K50" s="264">
        <f>D34-J50-I50-H50-G50</f>
        <v>1694715.1666666665</v>
      </c>
      <c r="L50" s="262"/>
      <c r="M50" s="263"/>
      <c r="N50" s="265"/>
      <c r="O50" s="264"/>
      <c r="P50" s="262"/>
      <c r="Q50" s="263"/>
      <c r="R50" s="266"/>
      <c r="S50" s="192"/>
      <c r="T50" s="26"/>
    </row>
    <row r="51" spans="1:27" ht="19.5" x14ac:dyDescent="0.25">
      <c r="A51" s="352">
        <v>44</v>
      </c>
      <c r="B51" s="267" t="s">
        <v>57</v>
      </c>
      <c r="C51" s="268" t="s">
        <v>9</v>
      </c>
      <c r="D51" s="269">
        <f>D49-D50</f>
        <v>0</v>
      </c>
      <c r="E51" s="270"/>
      <c r="F51" s="271"/>
      <c r="G51" s="272">
        <f>G49-G50</f>
        <v>0</v>
      </c>
      <c r="H51" s="272">
        <f t="shared" ref="H51:R51" si="23">H49-H50</f>
        <v>0</v>
      </c>
      <c r="I51" s="271">
        <f t="shared" si="23"/>
        <v>0</v>
      </c>
      <c r="J51" s="270">
        <f t="shared" si="23"/>
        <v>0</v>
      </c>
      <c r="K51" s="273">
        <f t="shared" si="23"/>
        <v>1120718.166666667</v>
      </c>
      <c r="L51" s="270">
        <f t="shared" si="23"/>
        <v>2815433.3333333335</v>
      </c>
      <c r="M51" s="271">
        <f t="shared" si="23"/>
        <v>2815433.3333333335</v>
      </c>
      <c r="N51" s="274">
        <f t="shared" si="23"/>
        <v>2815433.3333333335</v>
      </c>
      <c r="O51" s="273">
        <f t="shared" si="23"/>
        <v>2815433.3333333335</v>
      </c>
      <c r="P51" s="270">
        <f t="shared" si="23"/>
        <v>2815433.3333333335</v>
      </c>
      <c r="Q51" s="271">
        <f t="shared" si="23"/>
        <v>2815433.3333333335</v>
      </c>
      <c r="R51" s="275">
        <f t="shared" si="23"/>
        <v>2815433.3333333335</v>
      </c>
      <c r="S51" s="193"/>
      <c r="T51" s="26"/>
    </row>
    <row r="52" spans="1:27" ht="85.5" customHeight="1" thickBot="1" x14ac:dyDescent="0.3">
      <c r="A52" s="362">
        <v>45</v>
      </c>
      <c r="B52" s="186" t="s">
        <v>69</v>
      </c>
      <c r="C52" s="51" t="s">
        <v>9</v>
      </c>
      <c r="D52" s="159">
        <f t="shared" si="17"/>
        <v>36303572.550333329</v>
      </c>
      <c r="E52" s="160"/>
      <c r="F52" s="161"/>
      <c r="G52" s="162">
        <f>G48+G50+G41</f>
        <v>8445326.7146666646</v>
      </c>
      <c r="H52" s="162">
        <f t="shared" ref="H52:R52" si="24">H48+H50+H41</f>
        <v>9919076.7146666665</v>
      </c>
      <c r="I52" s="162">
        <f t="shared" si="24"/>
        <v>10470744.560499998</v>
      </c>
      <c r="J52" s="163">
        <f t="shared" si="24"/>
        <v>7468424.5605000015</v>
      </c>
      <c r="K52" s="164">
        <f t="shared" si="24"/>
        <v>6347706.3938333355</v>
      </c>
      <c r="L52" s="163">
        <f t="shared" si="24"/>
        <v>4652991.2271666685</v>
      </c>
      <c r="M52" s="162">
        <f t="shared" si="24"/>
        <v>4652991.2271666685</v>
      </c>
      <c r="N52" s="165">
        <f t="shared" si="24"/>
        <v>4652991.2271666685</v>
      </c>
      <c r="O52" s="164">
        <f t="shared" si="24"/>
        <v>4652991.2271666685</v>
      </c>
      <c r="P52" s="163">
        <f>P48+P50+P41</f>
        <v>4652991.2271666685</v>
      </c>
      <c r="Q52" s="162">
        <f t="shared" si="24"/>
        <v>4652991.2271666685</v>
      </c>
      <c r="R52" s="166">
        <f t="shared" si="24"/>
        <v>4652991.2271666685</v>
      </c>
      <c r="S52" s="194"/>
      <c r="T52" s="26"/>
      <c r="Z52" s="1">
        <v>18145795.398611113</v>
      </c>
      <c r="AA52" s="1">
        <v>18145795.398611113</v>
      </c>
    </row>
    <row r="53" spans="1:27" ht="37.5" x14ac:dyDescent="0.25">
      <c r="A53" s="363">
        <v>46</v>
      </c>
      <c r="B53" s="206" t="s">
        <v>95</v>
      </c>
      <c r="C53" s="207" t="s">
        <v>9</v>
      </c>
      <c r="D53" s="208">
        <f>SUM(G53:J53)</f>
        <v>38388760.246866658</v>
      </c>
      <c r="E53" s="209"/>
      <c r="F53" s="210"/>
      <c r="G53" s="211">
        <f>G52-G54</f>
        <v>6075469.3621333316</v>
      </c>
      <c r="H53" s="211">
        <f t="shared" ref="H53:I53" si="25">H52-H54</f>
        <v>7077619.3621333335</v>
      </c>
      <c r="I53" s="211">
        <f t="shared" si="25"/>
        <v>8511955.7612999976</v>
      </c>
      <c r="J53" s="212">
        <f>J52-J54+10013152</f>
        <v>16723715.761300001</v>
      </c>
      <c r="K53" s="54"/>
      <c r="L53" s="56"/>
      <c r="M53" s="54"/>
      <c r="N53" s="224"/>
      <c r="O53" s="225"/>
      <c r="P53" s="56"/>
      <c r="Q53" s="54"/>
      <c r="R53" s="58"/>
      <c r="S53" s="196"/>
      <c r="T53" s="15"/>
    </row>
    <row r="54" spans="1:27" ht="40.5" customHeight="1" thickBot="1" x14ac:dyDescent="0.3">
      <c r="A54" s="364">
        <v>47</v>
      </c>
      <c r="B54" s="213" t="s">
        <v>85</v>
      </c>
      <c r="C54" s="214" t="s">
        <v>9</v>
      </c>
      <c r="D54" s="215">
        <f>G54+H54+I54+J54</f>
        <v>7927964.3034666665</v>
      </c>
      <c r="E54" s="216"/>
      <c r="F54" s="217"/>
      <c r="G54" s="218">
        <f>G48*40%</f>
        <v>2369857.3525333325</v>
      </c>
      <c r="H54" s="218">
        <f t="shared" ref="H54:J54" si="26">H48*40%</f>
        <v>2841457.3525333335</v>
      </c>
      <c r="I54" s="218">
        <f t="shared" si="26"/>
        <v>1958788.7991999995</v>
      </c>
      <c r="J54" s="219">
        <f t="shared" si="26"/>
        <v>757860.79920000082</v>
      </c>
      <c r="K54" s="220">
        <f>K48</f>
        <v>1894651.998000002</v>
      </c>
      <c r="L54" s="219">
        <f t="shared" ref="L54:R54" si="27">L48</f>
        <v>1894651.998000002</v>
      </c>
      <c r="M54" s="218">
        <f t="shared" si="27"/>
        <v>1894651.998000002</v>
      </c>
      <c r="N54" s="221">
        <f t="shared" si="27"/>
        <v>1894651.998000002</v>
      </c>
      <c r="O54" s="220">
        <f t="shared" si="27"/>
        <v>1894651.998000002</v>
      </c>
      <c r="P54" s="219">
        <f t="shared" si="27"/>
        <v>1894651.998000002</v>
      </c>
      <c r="Q54" s="218">
        <f t="shared" si="27"/>
        <v>1894651.998000002</v>
      </c>
      <c r="R54" s="222">
        <f t="shared" si="27"/>
        <v>1894651.998000002</v>
      </c>
      <c r="S54" s="196"/>
      <c r="T54" s="15"/>
    </row>
    <row r="55" spans="1:27" ht="57" thickBot="1" x14ac:dyDescent="0.3">
      <c r="A55" s="364">
        <v>48</v>
      </c>
      <c r="B55" s="213" t="s">
        <v>92</v>
      </c>
      <c r="C55" s="214"/>
      <c r="D55" s="215">
        <f>SUM(G55:J55)</f>
        <v>25986848</v>
      </c>
      <c r="E55" s="216"/>
      <c r="F55" s="217"/>
      <c r="G55" s="218">
        <f>G52-G53-G54</f>
        <v>0</v>
      </c>
      <c r="H55" s="218">
        <f t="shared" ref="H55:I55" si="28">H52-H53-H54</f>
        <v>0</v>
      </c>
      <c r="I55" s="218">
        <f t="shared" si="28"/>
        <v>0</v>
      </c>
      <c r="J55" s="219">
        <f>J52-J53-J54+J9</f>
        <v>25986848</v>
      </c>
      <c r="K55" s="220">
        <f>K52-K53-K54+K8</f>
        <v>30439902.395833336</v>
      </c>
      <c r="L55" s="219">
        <f>L52-L53-L54+L8</f>
        <v>33198241.625000004</v>
      </c>
      <c r="M55" s="218">
        <f t="shared" ref="M55:R55" si="29">M52-M53-M54+M8</f>
        <v>35956580.854166672</v>
      </c>
      <c r="N55" s="221">
        <f t="shared" si="29"/>
        <v>38714920.083333336</v>
      </c>
      <c r="O55" s="220">
        <f t="shared" si="29"/>
        <v>41473259.3125</v>
      </c>
      <c r="P55" s="219">
        <f t="shared" si="29"/>
        <v>44231598.541666664</v>
      </c>
      <c r="Q55" s="218">
        <f t="shared" si="29"/>
        <v>46989937.770833328</v>
      </c>
      <c r="R55" s="222">
        <f t="shared" si="29"/>
        <v>49748276.999999993</v>
      </c>
      <c r="S55" s="33"/>
    </row>
    <row r="56" spans="1:27" x14ac:dyDescent="0.25">
      <c r="C56" s="314"/>
      <c r="D56" s="314"/>
      <c r="E56" s="314"/>
      <c r="F56" s="314"/>
      <c r="G56" s="314"/>
      <c r="H56" s="314"/>
      <c r="I56" s="314"/>
      <c r="J56" s="21">
        <f>E33-D53</f>
        <v>-0.24686665832996368</v>
      </c>
      <c r="K56" s="38"/>
      <c r="L56" s="33"/>
      <c r="M56" s="38"/>
      <c r="N56" s="33"/>
      <c r="O56" s="33"/>
      <c r="P56" s="33"/>
      <c r="Q56" s="33"/>
      <c r="R56" s="33"/>
      <c r="S56" s="33"/>
    </row>
    <row r="57" spans="1:27" x14ac:dyDescent="0.25">
      <c r="B57" s="39"/>
      <c r="C57" s="34"/>
      <c r="D57" s="35">
        <f>(D44-D45)-((D42-D43)/(D44-D45))*100</f>
        <v>108053922.92824741</v>
      </c>
      <c r="G57" s="50"/>
      <c r="H57" s="50"/>
      <c r="I57" s="50"/>
      <c r="J57" s="50"/>
      <c r="K57" s="50">
        <f>K52/3</f>
        <v>2115902.1312777787</v>
      </c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>
        <f>Z52*60%</f>
        <v>10887477.239166668</v>
      </c>
      <c r="AA57" s="50">
        <f>AA52*60%</f>
        <v>10887477.239166668</v>
      </c>
    </row>
    <row r="58" spans="1:27" x14ac:dyDescent="0.25">
      <c r="B58" s="40"/>
      <c r="D58" s="36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27" ht="15.75" x14ac:dyDescent="0.25">
      <c r="C59" s="34"/>
      <c r="D59" s="37"/>
      <c r="G59" s="21"/>
      <c r="J59" s="38"/>
      <c r="K59" s="33"/>
      <c r="M59" s="21"/>
    </row>
    <row r="60" spans="1:27" x14ac:dyDescent="0.25">
      <c r="D60" s="36"/>
      <c r="E60" s="21"/>
      <c r="K60" s="33"/>
      <c r="M60" s="21"/>
      <c r="N60" s="21"/>
      <c r="O60" s="21"/>
      <c r="P60" s="21"/>
      <c r="Q60" s="21"/>
      <c r="R60" s="21"/>
      <c r="S60" s="21"/>
    </row>
    <row r="61" spans="1:27" x14ac:dyDescent="0.25">
      <c r="B61" s="31"/>
      <c r="C61" s="204"/>
      <c r="D61" s="36"/>
    </row>
    <row r="62" spans="1:27" ht="37.5" customHeight="1" x14ac:dyDescent="0.25">
      <c r="A62" s="334" t="s">
        <v>94</v>
      </c>
      <c r="B62" s="282" t="s">
        <v>41</v>
      </c>
      <c r="C62" s="282"/>
      <c r="D62" s="346">
        <f>SUM(D63:D77)</f>
        <v>36150000</v>
      </c>
    </row>
    <row r="63" spans="1:27" ht="20.25" x14ac:dyDescent="0.25">
      <c r="A63" s="335">
        <v>1</v>
      </c>
      <c r="B63" s="281" t="s">
        <v>68</v>
      </c>
      <c r="C63" s="281"/>
      <c r="D63" s="347">
        <v>11400000</v>
      </c>
      <c r="E63" s="26"/>
    </row>
    <row r="64" spans="1:27" ht="20.25" x14ac:dyDescent="0.25">
      <c r="A64" s="336">
        <v>2</v>
      </c>
      <c r="B64" s="280" t="s">
        <v>73</v>
      </c>
      <c r="C64" s="280"/>
      <c r="D64" s="348">
        <v>3600000</v>
      </c>
    </row>
    <row r="65" spans="1:4" ht="20.25" x14ac:dyDescent="0.25">
      <c r="A65" s="337">
        <v>3</v>
      </c>
      <c r="B65" s="280" t="s">
        <v>78</v>
      </c>
      <c r="C65" s="280"/>
      <c r="D65" s="349">
        <v>650000</v>
      </c>
    </row>
    <row r="66" spans="1:4" ht="40.5" customHeight="1" x14ac:dyDescent="0.25">
      <c r="A66" s="336">
        <v>4</v>
      </c>
      <c r="B66" s="280" t="s">
        <v>81</v>
      </c>
      <c r="C66" s="280"/>
      <c r="D66" s="348">
        <v>2100000</v>
      </c>
    </row>
    <row r="67" spans="1:4" ht="20.25" x14ac:dyDescent="0.25">
      <c r="A67" s="336">
        <v>5</v>
      </c>
      <c r="B67" s="280" t="s">
        <v>82</v>
      </c>
      <c r="C67" s="280"/>
      <c r="D67" s="348">
        <v>5300000</v>
      </c>
    </row>
    <row r="68" spans="1:4" ht="20.25" x14ac:dyDescent="0.25">
      <c r="A68" s="336">
        <v>6</v>
      </c>
      <c r="B68" s="280" t="s">
        <v>77</v>
      </c>
      <c r="C68" s="280"/>
      <c r="D68" s="348">
        <v>1550000</v>
      </c>
    </row>
    <row r="69" spans="1:4" ht="20.25" x14ac:dyDescent="0.25">
      <c r="A69" s="336">
        <v>7</v>
      </c>
      <c r="B69" s="280" t="s">
        <v>35</v>
      </c>
      <c r="C69" s="280"/>
      <c r="D69" s="348">
        <v>460000</v>
      </c>
    </row>
    <row r="70" spans="1:4" ht="20.25" x14ac:dyDescent="0.25">
      <c r="A70" s="336">
        <v>8</v>
      </c>
      <c r="B70" s="280" t="s">
        <v>36</v>
      </c>
      <c r="C70" s="280"/>
      <c r="D70" s="348">
        <v>180000</v>
      </c>
    </row>
    <row r="71" spans="1:4" ht="20.25" x14ac:dyDescent="0.25">
      <c r="A71" s="336">
        <v>9</v>
      </c>
      <c r="B71" s="280" t="s">
        <v>42</v>
      </c>
      <c r="C71" s="280"/>
      <c r="D71" s="348">
        <v>700000</v>
      </c>
    </row>
    <row r="72" spans="1:4" ht="20.25" x14ac:dyDescent="0.25">
      <c r="A72" s="337">
        <v>10</v>
      </c>
      <c r="B72" s="285" t="s">
        <v>37</v>
      </c>
      <c r="C72" s="285"/>
      <c r="D72" s="349">
        <v>4370000</v>
      </c>
    </row>
    <row r="73" spans="1:4" ht="20.25" x14ac:dyDescent="0.25">
      <c r="A73" s="336">
        <v>11</v>
      </c>
      <c r="B73" s="280" t="s">
        <v>40</v>
      </c>
      <c r="C73" s="280"/>
      <c r="D73" s="348">
        <v>320000</v>
      </c>
    </row>
    <row r="74" spans="1:4" ht="20.25" x14ac:dyDescent="0.25">
      <c r="A74" s="338">
        <v>12</v>
      </c>
      <c r="B74" s="280" t="s">
        <v>76</v>
      </c>
      <c r="C74" s="280"/>
      <c r="D74" s="350">
        <f>2350000-1640000</f>
        <v>710000</v>
      </c>
    </row>
    <row r="75" spans="1:4" ht="20.25" x14ac:dyDescent="0.25">
      <c r="A75" s="338">
        <v>13</v>
      </c>
      <c r="B75" s="280" t="s">
        <v>80</v>
      </c>
      <c r="C75" s="280"/>
      <c r="D75" s="350">
        <v>1640000</v>
      </c>
    </row>
    <row r="76" spans="1:4" ht="20.25" x14ac:dyDescent="0.25">
      <c r="A76" s="338">
        <v>14</v>
      </c>
      <c r="B76" s="280" t="s">
        <v>75</v>
      </c>
      <c r="C76" s="280"/>
      <c r="D76" s="350">
        <v>1520000</v>
      </c>
    </row>
    <row r="77" spans="1:4" ht="20.25" x14ac:dyDescent="0.25">
      <c r="A77" s="339">
        <v>15</v>
      </c>
      <c r="B77" s="284" t="s">
        <v>74</v>
      </c>
      <c r="C77" s="284"/>
      <c r="D77" s="351">
        <v>1650000</v>
      </c>
    </row>
    <row r="78" spans="1:4" ht="20.25" x14ac:dyDescent="0.25">
      <c r="B78" s="283"/>
      <c r="C78" s="283"/>
      <c r="D78" s="223"/>
    </row>
    <row r="79" spans="1:4" x14ac:dyDescent="0.25">
      <c r="C79" s="32"/>
    </row>
    <row r="80" spans="1:4" x14ac:dyDescent="0.25">
      <c r="B80" s="31"/>
      <c r="C80" s="32"/>
    </row>
    <row r="81" spans="2:3" x14ac:dyDescent="0.25">
      <c r="B81" s="31"/>
      <c r="C81" s="32"/>
    </row>
    <row r="82" spans="2:3" x14ac:dyDescent="0.25">
      <c r="B82" s="31"/>
      <c r="C82" s="32"/>
    </row>
    <row r="83" spans="2:3" x14ac:dyDescent="0.25">
      <c r="B83" s="31"/>
      <c r="C83" s="32"/>
    </row>
    <row r="84" spans="2:3" x14ac:dyDescent="0.25">
      <c r="B84" s="31"/>
      <c r="C84" s="32"/>
    </row>
    <row r="85" spans="2:3" x14ac:dyDescent="0.25">
      <c r="B85" s="31"/>
      <c r="C85" s="32"/>
    </row>
    <row r="86" spans="2:3" x14ac:dyDescent="0.25">
      <c r="B86" s="31"/>
      <c r="C86" s="32"/>
    </row>
  </sheetData>
  <mergeCells count="27">
    <mergeCell ref="A5:A7"/>
    <mergeCell ref="A1:R1"/>
    <mergeCell ref="A2:R2"/>
    <mergeCell ref="A3:R3"/>
    <mergeCell ref="A4:R4"/>
    <mergeCell ref="B5:B6"/>
    <mergeCell ref="C5:C6"/>
    <mergeCell ref="D5:D6"/>
    <mergeCell ref="E5:I5"/>
    <mergeCell ref="J5:R5"/>
    <mergeCell ref="B78:C78"/>
    <mergeCell ref="B77:C77"/>
    <mergeCell ref="B73:C73"/>
    <mergeCell ref="B72:C72"/>
    <mergeCell ref="B71:C71"/>
    <mergeCell ref="B76:C76"/>
    <mergeCell ref="B75:C75"/>
    <mergeCell ref="B74:C74"/>
    <mergeCell ref="B70:C70"/>
    <mergeCell ref="B69:C69"/>
    <mergeCell ref="B64:C64"/>
    <mergeCell ref="B63:C63"/>
    <mergeCell ref="B62:C62"/>
    <mergeCell ref="B67:C67"/>
    <mergeCell ref="B68:C68"/>
    <mergeCell ref="B65:C65"/>
    <mergeCell ref="B66:C66"/>
  </mergeCells>
  <phoneticPr fontId="34" type="noConversion"/>
  <pageMargins left="0.62992125984251968" right="0.23622047244094491" top="0.19685039370078741" bottom="0.19685039370078741" header="0" footer="0.31496062992125984"/>
  <pageSetup paperSize="9" scale="3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90EF5-8D43-4A6C-B954-99FEFED76066}">
  <sheetPr>
    <pageSetUpPr fitToPage="1"/>
  </sheetPr>
  <dimension ref="A1:AA85"/>
  <sheetViews>
    <sheetView zoomScale="70" zoomScaleNormal="70" workbookViewId="0">
      <pane xSplit="4" ySplit="9" topLeftCell="E32" activePane="bottomRight" state="frozen"/>
      <selection pane="topRight" activeCell="D1" sqref="D1"/>
      <selection pane="bottomLeft" activeCell="A8" sqref="A8"/>
      <selection pane="bottomRight" activeCell="G43" sqref="G43:J43"/>
    </sheetView>
  </sheetViews>
  <sheetFormatPr defaultRowHeight="15" x14ac:dyDescent="0.25"/>
  <cols>
    <col min="1" max="1" width="7.140625" style="1" customWidth="1"/>
    <col min="2" max="2" width="76" style="19" customWidth="1"/>
    <col min="3" max="3" width="11.5703125" style="1" customWidth="1"/>
    <col min="4" max="4" width="18.5703125" style="20" customWidth="1"/>
    <col min="5" max="5" width="18.42578125" style="1" customWidth="1"/>
    <col min="6" max="6" width="14.28515625" style="1" customWidth="1"/>
    <col min="7" max="7" width="17" style="1" customWidth="1"/>
    <col min="8" max="8" width="17.42578125" style="1" customWidth="1"/>
    <col min="9" max="9" width="17.5703125" style="1" bestFit="1" customWidth="1"/>
    <col min="10" max="10" width="17" style="1" customWidth="1"/>
    <col min="11" max="11" width="17.28515625" style="1" customWidth="1"/>
    <col min="12" max="12" width="17.140625" style="1" customWidth="1"/>
    <col min="13" max="13" width="16.85546875" style="1" customWidth="1"/>
    <col min="14" max="14" width="17.42578125" style="1" customWidth="1"/>
    <col min="15" max="15" width="16.5703125" style="1" customWidth="1"/>
    <col min="16" max="16" width="17" style="1" customWidth="1"/>
    <col min="17" max="17" width="16.5703125" style="1" customWidth="1"/>
    <col min="18" max="18" width="16.85546875" style="1" customWidth="1"/>
    <col min="19" max="19" width="16" style="1" customWidth="1"/>
    <col min="20" max="20" width="20.42578125" style="1" customWidth="1"/>
    <col min="21" max="21" width="15.28515625" style="1" customWidth="1"/>
    <col min="22" max="22" width="16.42578125" style="1" customWidth="1"/>
    <col min="23" max="23" width="15.7109375" style="1" customWidth="1"/>
    <col min="24" max="24" width="14.85546875" style="1" customWidth="1"/>
    <col min="25" max="25" width="19" style="1" customWidth="1"/>
    <col min="26" max="26" width="14.42578125" style="1" customWidth="1"/>
    <col min="27" max="27" width="15.85546875" style="1" customWidth="1"/>
    <col min="28" max="16384" width="9.140625" style="1"/>
  </cols>
  <sheetData>
    <row r="1" spans="1:20" ht="23.25" customHeight="1" x14ac:dyDescent="0.25">
      <c r="A1" s="287" t="s">
        <v>32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</row>
    <row r="2" spans="1:20" ht="23.25" customHeight="1" x14ac:dyDescent="0.25">
      <c r="A2" s="287" t="s">
        <v>90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</row>
    <row r="3" spans="1:20" ht="23.25" customHeight="1" x14ac:dyDescent="0.25">
      <c r="A3" s="288" t="s">
        <v>45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</row>
    <row r="4" spans="1:20" ht="28.5" customHeight="1" thickBot="1" x14ac:dyDescent="0.3">
      <c r="A4" s="289" t="s">
        <v>66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</row>
    <row r="5" spans="1:20" ht="51" customHeight="1" thickBot="1" x14ac:dyDescent="0.3">
      <c r="A5" s="315" t="s">
        <v>94</v>
      </c>
      <c r="B5" s="290" t="s">
        <v>0</v>
      </c>
      <c r="C5" s="292" t="s">
        <v>1</v>
      </c>
      <c r="D5" s="294" t="s">
        <v>31</v>
      </c>
      <c r="E5" s="296" t="s">
        <v>25</v>
      </c>
      <c r="F5" s="297"/>
      <c r="G5" s="297"/>
      <c r="H5" s="297"/>
      <c r="I5" s="297"/>
      <c r="J5" s="296" t="s">
        <v>22</v>
      </c>
      <c r="K5" s="297"/>
      <c r="L5" s="297"/>
      <c r="M5" s="297"/>
      <c r="N5" s="297"/>
      <c r="O5" s="297"/>
      <c r="P5" s="297"/>
      <c r="Q5" s="297"/>
      <c r="R5" s="298"/>
      <c r="S5" s="191"/>
    </row>
    <row r="6" spans="1:20" ht="16.5" thickBot="1" x14ac:dyDescent="0.3">
      <c r="A6" s="316"/>
      <c r="B6" s="291"/>
      <c r="C6" s="293"/>
      <c r="D6" s="295"/>
      <c r="E6" s="2" t="s">
        <v>2</v>
      </c>
      <c r="F6" s="3" t="s">
        <v>3</v>
      </c>
      <c r="G6" s="3" t="s">
        <v>49</v>
      </c>
      <c r="H6" s="3" t="s">
        <v>44</v>
      </c>
      <c r="I6" s="4" t="s">
        <v>4</v>
      </c>
      <c r="J6" s="5" t="s">
        <v>5</v>
      </c>
      <c r="K6" s="45" t="s">
        <v>6</v>
      </c>
      <c r="L6" s="187" t="s">
        <v>50</v>
      </c>
      <c r="M6" s="188" t="s">
        <v>7</v>
      </c>
      <c r="N6" s="189" t="s">
        <v>33</v>
      </c>
      <c r="O6" s="200" t="s">
        <v>34</v>
      </c>
      <c r="P6" s="5" t="s">
        <v>64</v>
      </c>
      <c r="Q6" s="188" t="s">
        <v>64</v>
      </c>
      <c r="R6" s="190" t="s">
        <v>64</v>
      </c>
      <c r="S6" s="191"/>
    </row>
    <row r="7" spans="1:20" ht="15.75" thickBot="1" x14ac:dyDescent="0.3">
      <c r="A7" s="317"/>
      <c r="B7" s="6">
        <v>1</v>
      </c>
      <c r="C7" s="7">
        <v>2</v>
      </c>
      <c r="D7" s="8">
        <v>3</v>
      </c>
      <c r="E7" s="9">
        <v>4</v>
      </c>
      <c r="F7" s="10">
        <v>5</v>
      </c>
      <c r="G7" s="10">
        <v>6</v>
      </c>
      <c r="H7" s="10">
        <v>7</v>
      </c>
      <c r="I7" s="11">
        <v>8</v>
      </c>
      <c r="J7" s="9">
        <v>9</v>
      </c>
      <c r="K7" s="46">
        <v>10</v>
      </c>
      <c r="L7" s="48">
        <v>11</v>
      </c>
      <c r="M7" s="10">
        <v>12</v>
      </c>
      <c r="N7" s="47">
        <v>13</v>
      </c>
      <c r="O7" s="201">
        <v>14</v>
      </c>
      <c r="P7" s="9">
        <v>15</v>
      </c>
      <c r="Q7" s="10">
        <v>16</v>
      </c>
      <c r="R7" s="11">
        <v>17</v>
      </c>
      <c r="S7" s="195"/>
    </row>
    <row r="8" spans="1:20" ht="18.75" x14ac:dyDescent="0.25">
      <c r="A8" s="355">
        <v>1</v>
      </c>
      <c r="B8" s="167" t="s">
        <v>8</v>
      </c>
      <c r="C8" s="12" t="s">
        <v>9</v>
      </c>
      <c r="D8" s="53"/>
      <c r="E8" s="54">
        <v>43108087</v>
      </c>
      <c r="F8" s="54">
        <f>F33</f>
        <v>60763455</v>
      </c>
      <c r="G8" s="54">
        <f>G33</f>
        <v>9384625</v>
      </c>
      <c r="H8" s="54">
        <f>H33+G54</f>
        <v>4910000</v>
      </c>
      <c r="I8" s="55">
        <f>I33+H54</f>
        <v>0</v>
      </c>
      <c r="J8" s="56">
        <f>J33+I54</f>
        <v>0</v>
      </c>
      <c r="K8" s="55">
        <f>K33+J54</f>
        <v>0</v>
      </c>
      <c r="L8" s="56">
        <f>L33+K54</f>
        <v>-2.3283064365386963E-10</v>
      </c>
      <c r="M8" s="54">
        <f>M33+L54</f>
        <v>-4.6566128730773926E-10</v>
      </c>
      <c r="N8" s="57">
        <f>N33+M54</f>
        <v>-6.9849193096160889E-10</v>
      </c>
      <c r="O8" s="55">
        <f>O33+N54</f>
        <v>-9.3132257461547852E-10</v>
      </c>
      <c r="P8" s="56">
        <f>P33+O54</f>
        <v>-1.1641532182693481E-9</v>
      </c>
      <c r="Q8" s="54">
        <f>Q33+P54</f>
        <v>-1.3969838619232178E-9</v>
      </c>
      <c r="R8" s="58">
        <f>R33+Q54</f>
        <v>2758339.2291666656</v>
      </c>
      <c r="S8" s="196"/>
    </row>
    <row r="9" spans="1:20" ht="18.75" x14ac:dyDescent="0.25">
      <c r="A9" s="356">
        <v>2</v>
      </c>
      <c r="B9" s="168" t="s">
        <v>10</v>
      </c>
      <c r="C9" s="13" t="s">
        <v>9</v>
      </c>
      <c r="D9" s="59"/>
      <c r="E9" s="60"/>
      <c r="F9" s="61"/>
      <c r="G9" s="61"/>
      <c r="H9" s="61"/>
      <c r="I9" s="62"/>
      <c r="J9" s="63">
        <v>36000000</v>
      </c>
      <c r="K9" s="64"/>
      <c r="L9" s="65"/>
      <c r="M9" s="61"/>
      <c r="N9" s="66"/>
      <c r="O9" s="202"/>
      <c r="P9" s="60"/>
      <c r="Q9" s="61"/>
      <c r="R9" s="62"/>
      <c r="S9" s="197"/>
    </row>
    <row r="10" spans="1:20" ht="18.75" x14ac:dyDescent="0.25">
      <c r="A10" s="319">
        <v>3</v>
      </c>
      <c r="B10" s="169" t="s">
        <v>83</v>
      </c>
      <c r="C10" s="14" t="s">
        <v>27</v>
      </c>
      <c r="D10" s="67">
        <v>180</v>
      </c>
      <c r="E10" s="68"/>
      <c r="F10" s="69"/>
      <c r="G10" s="69">
        <f>$D$10*30*3/12*10</f>
        <v>13500</v>
      </c>
      <c r="H10" s="69">
        <f>$D$10*30*3</f>
        <v>16200</v>
      </c>
      <c r="I10" s="70">
        <f t="shared" ref="I10" si="0">$D$10*30*3</f>
        <v>16200</v>
      </c>
      <c r="J10" s="68">
        <f>$D$10*30*3</f>
        <v>16200</v>
      </c>
      <c r="K10" s="71">
        <f t="shared" ref="K10:R10" si="1">$D$10*30*3</f>
        <v>16200</v>
      </c>
      <c r="L10" s="68">
        <f t="shared" si="1"/>
        <v>16200</v>
      </c>
      <c r="M10" s="69">
        <f t="shared" si="1"/>
        <v>16200</v>
      </c>
      <c r="N10" s="72">
        <f t="shared" si="1"/>
        <v>16200</v>
      </c>
      <c r="O10" s="71">
        <f t="shared" si="1"/>
        <v>16200</v>
      </c>
      <c r="P10" s="68">
        <f t="shared" si="1"/>
        <v>16200</v>
      </c>
      <c r="Q10" s="69">
        <f t="shared" si="1"/>
        <v>16200</v>
      </c>
      <c r="R10" s="70">
        <f t="shared" si="1"/>
        <v>16200</v>
      </c>
      <c r="S10" s="205"/>
    </row>
    <row r="11" spans="1:20" ht="37.5" x14ac:dyDescent="0.25">
      <c r="A11" s="320">
        <v>4</v>
      </c>
      <c r="B11" s="170" t="s">
        <v>11</v>
      </c>
      <c r="C11" s="16" t="s">
        <v>12</v>
      </c>
      <c r="D11" s="73">
        <v>100</v>
      </c>
      <c r="E11" s="74"/>
      <c r="F11" s="75"/>
      <c r="G11" s="75">
        <f>$D$11</f>
        <v>100</v>
      </c>
      <c r="H11" s="75">
        <f t="shared" ref="H11:R11" si="2">$D$11</f>
        <v>100</v>
      </c>
      <c r="I11" s="76">
        <f t="shared" si="2"/>
        <v>100</v>
      </c>
      <c r="J11" s="74">
        <f t="shared" si="2"/>
        <v>100</v>
      </c>
      <c r="K11" s="77">
        <f t="shared" si="2"/>
        <v>100</v>
      </c>
      <c r="L11" s="74">
        <f t="shared" si="2"/>
        <v>100</v>
      </c>
      <c r="M11" s="75">
        <f t="shared" si="2"/>
        <v>100</v>
      </c>
      <c r="N11" s="78">
        <f t="shared" si="2"/>
        <v>100</v>
      </c>
      <c r="O11" s="77">
        <f t="shared" si="2"/>
        <v>100</v>
      </c>
      <c r="P11" s="74">
        <f t="shared" si="2"/>
        <v>100</v>
      </c>
      <c r="Q11" s="75">
        <f t="shared" si="2"/>
        <v>100</v>
      </c>
      <c r="R11" s="76">
        <f t="shared" si="2"/>
        <v>100</v>
      </c>
      <c r="S11" s="198"/>
    </row>
    <row r="12" spans="1:20" ht="18.75" x14ac:dyDescent="0.25">
      <c r="A12" s="320">
        <v>5</v>
      </c>
      <c r="B12" s="170" t="s">
        <v>13</v>
      </c>
      <c r="C12" s="16" t="s">
        <v>12</v>
      </c>
      <c r="D12" s="79">
        <f>D10*D11*360</f>
        <v>6480000</v>
      </c>
      <c r="E12" s="74"/>
      <c r="F12" s="75"/>
      <c r="G12" s="75"/>
      <c r="H12" s="75"/>
      <c r="I12" s="76"/>
      <c r="J12" s="74"/>
      <c r="K12" s="77"/>
      <c r="L12" s="74"/>
      <c r="M12" s="75"/>
      <c r="N12" s="78"/>
      <c r="O12" s="77"/>
      <c r="P12" s="74"/>
      <c r="Q12" s="75"/>
      <c r="R12" s="76"/>
      <c r="S12" s="198"/>
    </row>
    <row r="13" spans="1:20" ht="18" customHeight="1" x14ac:dyDescent="0.25">
      <c r="A13" s="320">
        <v>6</v>
      </c>
      <c r="B13" s="170" t="s">
        <v>60</v>
      </c>
      <c r="C13" s="16" t="s">
        <v>9</v>
      </c>
      <c r="D13" s="80">
        <v>20.88</v>
      </c>
      <c r="E13" s="74"/>
      <c r="F13" s="75"/>
      <c r="G13" s="75"/>
      <c r="H13" s="75"/>
      <c r="I13" s="76"/>
      <c r="J13" s="74"/>
      <c r="K13" s="77"/>
      <c r="L13" s="74"/>
      <c r="M13" s="75"/>
      <c r="N13" s="78"/>
      <c r="O13" s="77"/>
      <c r="P13" s="74"/>
      <c r="Q13" s="75"/>
      <c r="R13" s="76"/>
      <c r="S13" s="198"/>
    </row>
    <row r="14" spans="1:20" ht="22.5" x14ac:dyDescent="0.25">
      <c r="A14" s="320">
        <v>7</v>
      </c>
      <c r="B14" s="170" t="s">
        <v>61</v>
      </c>
      <c r="C14" s="16" t="s">
        <v>9</v>
      </c>
      <c r="D14" s="80">
        <v>6.77</v>
      </c>
      <c r="E14" s="74"/>
      <c r="F14" s="75"/>
      <c r="G14" s="75"/>
      <c r="H14" s="75"/>
      <c r="I14" s="76"/>
      <c r="J14" s="74"/>
      <c r="K14" s="77"/>
      <c r="L14" s="74"/>
      <c r="M14" s="75"/>
      <c r="N14" s="78"/>
      <c r="O14" s="77"/>
      <c r="P14" s="74"/>
      <c r="Q14" s="75"/>
      <c r="R14" s="76"/>
      <c r="S14" s="198"/>
    </row>
    <row r="15" spans="1:20" ht="17.25" customHeight="1" x14ac:dyDescent="0.25">
      <c r="A15" s="321">
        <v>8</v>
      </c>
      <c r="B15" s="299" t="s">
        <v>87</v>
      </c>
      <c r="C15" s="300" t="s">
        <v>14</v>
      </c>
      <c r="D15" s="301">
        <v>1000</v>
      </c>
      <c r="E15" s="81"/>
      <c r="F15" s="82"/>
      <c r="G15" s="83"/>
      <c r="H15" s="83"/>
      <c r="I15" s="84"/>
      <c r="J15" s="74"/>
      <c r="K15" s="77"/>
      <c r="L15" s="74"/>
      <c r="M15" s="75"/>
      <c r="N15" s="78"/>
      <c r="O15" s="77"/>
      <c r="P15" s="74"/>
      <c r="Q15" s="75"/>
      <c r="R15" s="76"/>
      <c r="S15" s="198"/>
    </row>
    <row r="16" spans="1:20" ht="19.5" customHeight="1" x14ac:dyDescent="0.25">
      <c r="A16" s="322">
        <v>9</v>
      </c>
      <c r="B16" s="172" t="s">
        <v>43</v>
      </c>
      <c r="C16" s="27" t="s">
        <v>9</v>
      </c>
      <c r="D16" s="85">
        <f>E16+F16+G16+H16+I16</f>
        <v>16500000</v>
      </c>
      <c r="E16" s="86">
        <v>16500000</v>
      </c>
      <c r="F16" s="87"/>
      <c r="G16" s="87"/>
      <c r="H16" s="87"/>
      <c r="I16" s="88"/>
      <c r="J16" s="74"/>
      <c r="K16" s="77"/>
      <c r="L16" s="74"/>
      <c r="M16" s="75"/>
      <c r="N16" s="78"/>
      <c r="O16" s="77"/>
      <c r="P16" s="74"/>
      <c r="Q16" s="75"/>
      <c r="R16" s="76"/>
      <c r="S16" s="198"/>
      <c r="T16" s="26"/>
    </row>
    <row r="17" spans="1:20" ht="18" customHeight="1" x14ac:dyDescent="0.25">
      <c r="A17" s="323">
        <v>10</v>
      </c>
      <c r="B17" s="173" t="s">
        <v>17</v>
      </c>
      <c r="C17" s="28" t="s">
        <v>9</v>
      </c>
      <c r="D17" s="89">
        <f t="shared" ref="D17:D32" si="3">E17+F17+G17+H17+I17</f>
        <v>0</v>
      </c>
      <c r="E17" s="90"/>
      <c r="F17" s="91"/>
      <c r="G17" s="91"/>
      <c r="H17" s="91"/>
      <c r="I17" s="92"/>
      <c r="J17" s="74"/>
      <c r="K17" s="77"/>
      <c r="L17" s="74"/>
      <c r="M17" s="75"/>
      <c r="N17" s="78"/>
      <c r="O17" s="77"/>
      <c r="P17" s="74"/>
      <c r="Q17" s="75"/>
      <c r="R17" s="76"/>
      <c r="S17" s="198"/>
    </row>
    <row r="18" spans="1:20" ht="40.5" customHeight="1" x14ac:dyDescent="0.25">
      <c r="A18" s="323">
        <v>11</v>
      </c>
      <c r="B18" s="173" t="s">
        <v>71</v>
      </c>
      <c r="C18" s="28" t="s">
        <v>9</v>
      </c>
      <c r="D18" s="89">
        <f>E18</f>
        <v>7500000</v>
      </c>
      <c r="E18" s="90">
        <v>7500000</v>
      </c>
      <c r="F18" s="91"/>
      <c r="G18" s="91"/>
      <c r="H18" s="91"/>
      <c r="I18" s="92"/>
      <c r="J18" s="74"/>
      <c r="K18" s="77"/>
      <c r="L18" s="74"/>
      <c r="M18" s="75"/>
      <c r="N18" s="78"/>
      <c r="O18" s="77"/>
      <c r="P18" s="74"/>
      <c r="Q18" s="75"/>
      <c r="R18" s="76"/>
      <c r="S18" s="198"/>
    </row>
    <row r="19" spans="1:20" ht="18" customHeight="1" x14ac:dyDescent="0.25">
      <c r="A19" s="323">
        <v>12</v>
      </c>
      <c r="B19" s="173" t="s">
        <v>18</v>
      </c>
      <c r="C19" s="28" t="s">
        <v>9</v>
      </c>
      <c r="D19" s="93">
        <f t="shared" si="3"/>
        <v>5500000</v>
      </c>
      <c r="E19" s="90">
        <v>5500000</v>
      </c>
      <c r="F19" s="91"/>
      <c r="G19" s="91"/>
      <c r="H19" s="91"/>
      <c r="I19" s="92"/>
      <c r="J19" s="74"/>
      <c r="K19" s="77"/>
      <c r="L19" s="74"/>
      <c r="M19" s="75"/>
      <c r="N19" s="78"/>
      <c r="O19" s="77"/>
      <c r="P19" s="74"/>
      <c r="Q19" s="75"/>
      <c r="R19" s="76"/>
      <c r="S19" s="198"/>
    </row>
    <row r="20" spans="1:20" ht="24.75" customHeight="1" x14ac:dyDescent="0.25">
      <c r="A20" s="324">
        <v>13</v>
      </c>
      <c r="B20" s="174" t="s">
        <v>84</v>
      </c>
      <c r="C20" s="28" t="s">
        <v>9</v>
      </c>
      <c r="D20" s="93">
        <f t="shared" si="3"/>
        <v>3625000</v>
      </c>
      <c r="E20" s="90">
        <v>3625000</v>
      </c>
      <c r="F20" s="91"/>
      <c r="G20" s="91"/>
      <c r="H20" s="91"/>
      <c r="I20" s="92"/>
      <c r="J20" s="74"/>
      <c r="K20" s="77"/>
      <c r="L20" s="74"/>
      <c r="M20" s="75"/>
      <c r="N20" s="78"/>
      <c r="O20" s="77"/>
      <c r="P20" s="74"/>
      <c r="Q20" s="75"/>
      <c r="R20" s="76"/>
      <c r="S20" s="198"/>
    </row>
    <row r="21" spans="1:20" ht="42" customHeight="1" x14ac:dyDescent="0.25">
      <c r="A21" s="324">
        <v>14</v>
      </c>
      <c r="B21" s="174" t="s">
        <v>79</v>
      </c>
      <c r="C21" s="28" t="s">
        <v>9</v>
      </c>
      <c r="D21" s="93">
        <f t="shared" si="3"/>
        <v>645000</v>
      </c>
      <c r="E21" s="90">
        <f>150000+395000+100000</f>
        <v>645000</v>
      </c>
      <c r="F21" s="91"/>
      <c r="G21" s="91"/>
      <c r="H21" s="91"/>
      <c r="I21" s="92"/>
      <c r="J21" s="74"/>
      <c r="K21" s="77"/>
      <c r="L21" s="74"/>
      <c r="M21" s="75"/>
      <c r="N21" s="78"/>
      <c r="O21" s="77"/>
      <c r="P21" s="74"/>
      <c r="Q21" s="75"/>
      <c r="R21" s="76"/>
      <c r="S21" s="198"/>
      <c r="T21" s="15"/>
    </row>
    <row r="22" spans="1:20" ht="18" customHeight="1" x14ac:dyDescent="0.25">
      <c r="A22" s="323">
        <v>15</v>
      </c>
      <c r="B22" s="173" t="s">
        <v>19</v>
      </c>
      <c r="C22" s="28" t="s">
        <v>9</v>
      </c>
      <c r="D22" s="93">
        <f t="shared" si="3"/>
        <v>520000</v>
      </c>
      <c r="E22" s="94">
        <v>520000</v>
      </c>
      <c r="F22" s="91"/>
      <c r="G22" s="91"/>
      <c r="H22" s="91"/>
      <c r="I22" s="92"/>
      <c r="J22" s="74"/>
      <c r="K22" s="77"/>
      <c r="L22" s="74"/>
      <c r="M22" s="75"/>
      <c r="N22" s="78"/>
      <c r="O22" s="77"/>
      <c r="P22" s="74"/>
      <c r="Q22" s="75"/>
      <c r="R22" s="76"/>
      <c r="S22" s="198"/>
    </row>
    <row r="23" spans="1:20" ht="18.75" customHeight="1" x14ac:dyDescent="0.25">
      <c r="A23" s="323">
        <v>16</v>
      </c>
      <c r="B23" s="173" t="s">
        <v>38</v>
      </c>
      <c r="C23" s="28" t="s">
        <v>9</v>
      </c>
      <c r="D23" s="93">
        <f t="shared" si="3"/>
        <v>2150000</v>
      </c>
      <c r="E23" s="94">
        <f>2500000-350000</f>
        <v>2150000</v>
      </c>
      <c r="F23" s="91"/>
      <c r="G23" s="91"/>
      <c r="H23" s="91"/>
      <c r="I23" s="92"/>
      <c r="J23" s="74"/>
      <c r="K23" s="77"/>
      <c r="L23" s="74"/>
      <c r="M23" s="75"/>
      <c r="N23" s="78"/>
      <c r="O23" s="77"/>
      <c r="P23" s="74"/>
      <c r="Q23" s="75"/>
      <c r="R23" s="76"/>
      <c r="S23" s="198"/>
    </row>
    <row r="24" spans="1:20" ht="17.25" customHeight="1" x14ac:dyDescent="0.25">
      <c r="A24" s="323">
        <v>17</v>
      </c>
      <c r="B24" s="173" t="s">
        <v>20</v>
      </c>
      <c r="C24" s="28" t="s">
        <v>9</v>
      </c>
      <c r="D24" s="93">
        <f t="shared" si="3"/>
        <v>350000</v>
      </c>
      <c r="E24" s="94">
        <v>350000</v>
      </c>
      <c r="F24" s="91"/>
      <c r="G24" s="91"/>
      <c r="H24" s="91"/>
      <c r="I24" s="92"/>
      <c r="J24" s="74"/>
      <c r="K24" s="77"/>
      <c r="L24" s="74"/>
      <c r="M24" s="75"/>
      <c r="N24" s="78"/>
      <c r="O24" s="77"/>
      <c r="P24" s="74"/>
      <c r="Q24" s="75"/>
      <c r="R24" s="76"/>
      <c r="S24" s="198"/>
    </row>
    <row r="25" spans="1:20" ht="21" customHeight="1" x14ac:dyDescent="0.25">
      <c r="A25" s="325">
        <v>18</v>
      </c>
      <c r="B25" s="175" t="s">
        <v>26</v>
      </c>
      <c r="C25" s="41" t="s">
        <v>9</v>
      </c>
      <c r="D25" s="95">
        <f t="shared" si="3"/>
        <v>360000</v>
      </c>
      <c r="E25" s="96">
        <v>360000</v>
      </c>
      <c r="F25" s="97"/>
      <c r="G25" s="97"/>
      <c r="H25" s="97"/>
      <c r="I25" s="98"/>
      <c r="J25" s="99"/>
      <c r="K25" s="77"/>
      <c r="L25" s="74"/>
      <c r="M25" s="75"/>
      <c r="N25" s="78"/>
      <c r="O25" s="77"/>
      <c r="P25" s="74"/>
      <c r="Q25" s="75"/>
      <c r="R25" s="76"/>
      <c r="S25" s="198"/>
    </row>
    <row r="26" spans="1:20" ht="18.75" x14ac:dyDescent="0.25">
      <c r="A26" s="326">
        <v>19</v>
      </c>
      <c r="B26" s="176" t="s">
        <v>65</v>
      </c>
      <c r="C26" s="43" t="s">
        <v>9</v>
      </c>
      <c r="D26" s="100">
        <f>E26+F26+G26+H26+I26</f>
        <v>32985000</v>
      </c>
      <c r="E26" s="226"/>
      <c r="F26" s="101">
        <f>(14000000+10800000+2500000+2500000+3500000+2500000+850000)*90%-824625</f>
        <v>32160375</v>
      </c>
      <c r="G26" s="87">
        <v>824625</v>
      </c>
      <c r="H26" s="87"/>
      <c r="I26" s="88"/>
      <c r="J26" s="74"/>
      <c r="K26" s="77"/>
      <c r="L26" s="74"/>
      <c r="M26" s="75"/>
      <c r="N26" s="78"/>
      <c r="O26" s="77"/>
      <c r="P26" s="74"/>
      <c r="Q26" s="75"/>
      <c r="R26" s="76"/>
      <c r="S26" s="198"/>
    </row>
    <row r="27" spans="1:20" ht="18.75" x14ac:dyDescent="0.25">
      <c r="A27" s="327">
        <v>20</v>
      </c>
      <c r="B27" s="177" t="s">
        <v>67</v>
      </c>
      <c r="C27" s="44" t="s">
        <v>9</v>
      </c>
      <c r="D27" s="102">
        <f>E27+F27+G27+H27+I27</f>
        <v>3500000</v>
      </c>
      <c r="E27" s="227"/>
      <c r="F27" s="103"/>
      <c r="G27" s="103">
        <v>3500000</v>
      </c>
      <c r="H27" s="104"/>
      <c r="I27" s="105"/>
      <c r="J27" s="74"/>
      <c r="K27" s="77"/>
      <c r="L27" s="74"/>
      <c r="M27" s="75"/>
      <c r="N27" s="78"/>
      <c r="O27" s="77"/>
      <c r="P27" s="74"/>
      <c r="Q27" s="75"/>
      <c r="R27" s="76"/>
      <c r="S27" s="198"/>
      <c r="T27" s="21"/>
    </row>
    <row r="28" spans="1:20" ht="18.75" x14ac:dyDescent="0.25">
      <c r="A28" s="328">
        <v>21</v>
      </c>
      <c r="B28" s="178" t="s">
        <v>28</v>
      </c>
      <c r="C28" s="42" t="s">
        <v>9</v>
      </c>
      <c r="D28" s="106">
        <f t="shared" si="3"/>
        <v>36150000</v>
      </c>
      <c r="E28" s="228"/>
      <c r="F28" s="107">
        <v>26930000</v>
      </c>
      <c r="G28" s="108">
        <v>4660000</v>
      </c>
      <c r="H28" s="108">
        <v>4560000</v>
      </c>
      <c r="I28" s="109"/>
      <c r="J28" s="74"/>
      <c r="K28" s="77"/>
      <c r="L28" s="74"/>
      <c r="M28" s="75"/>
      <c r="N28" s="78"/>
      <c r="O28" s="77"/>
      <c r="P28" s="74"/>
      <c r="Q28" s="75"/>
      <c r="R28" s="76"/>
      <c r="S28" s="198"/>
    </row>
    <row r="29" spans="1:20" ht="28.5" customHeight="1" x14ac:dyDescent="0.25">
      <c r="A29" s="329">
        <v>22</v>
      </c>
      <c r="B29" s="179" t="s">
        <v>21</v>
      </c>
      <c r="C29" s="22" t="s">
        <v>9</v>
      </c>
      <c r="D29" s="110">
        <f t="shared" si="3"/>
        <v>88000</v>
      </c>
      <c r="E29" s="90"/>
      <c r="F29" s="91">
        <v>88000</v>
      </c>
      <c r="G29" s="91"/>
      <c r="H29" s="91"/>
      <c r="I29" s="92"/>
      <c r="J29" s="74"/>
      <c r="K29" s="77"/>
      <c r="L29" s="74"/>
      <c r="M29" s="75"/>
      <c r="N29" s="78"/>
      <c r="O29" s="77"/>
      <c r="P29" s="74"/>
      <c r="Q29" s="75"/>
      <c r="R29" s="76"/>
      <c r="S29" s="198"/>
    </row>
    <row r="30" spans="1:20" ht="36.75" customHeight="1" x14ac:dyDescent="0.25">
      <c r="A30" s="329">
        <v>23</v>
      </c>
      <c r="B30" s="179" t="s">
        <v>39</v>
      </c>
      <c r="C30" s="22" t="s">
        <v>9</v>
      </c>
      <c r="D30" s="93">
        <f t="shared" si="3"/>
        <v>2823840</v>
      </c>
      <c r="E30" s="90">
        <v>1238760</v>
      </c>
      <c r="F30" s="91">
        <v>1585080</v>
      </c>
      <c r="G30" s="91"/>
      <c r="H30" s="91"/>
      <c r="I30" s="92"/>
      <c r="J30" s="74"/>
      <c r="K30" s="77"/>
      <c r="L30" s="74"/>
      <c r="M30" s="75"/>
      <c r="N30" s="78"/>
      <c r="O30" s="77"/>
      <c r="P30" s="74"/>
      <c r="Q30" s="75"/>
      <c r="R30" s="76"/>
      <c r="S30" s="198"/>
    </row>
    <row r="31" spans="1:20" ht="18.75" x14ac:dyDescent="0.25">
      <c r="A31" s="329">
        <v>24</v>
      </c>
      <c r="B31" s="179" t="s">
        <v>23</v>
      </c>
      <c r="C31" s="22" t="s">
        <v>9</v>
      </c>
      <c r="D31" s="110">
        <f t="shared" si="3"/>
        <v>400000</v>
      </c>
      <c r="E31" s="90"/>
      <c r="F31" s="91"/>
      <c r="G31" s="91">
        <v>400000</v>
      </c>
      <c r="H31" s="91"/>
      <c r="I31" s="111"/>
      <c r="J31" s="74"/>
      <c r="K31" s="77"/>
      <c r="L31" s="74"/>
      <c r="M31" s="75"/>
      <c r="N31" s="78"/>
      <c r="O31" s="77"/>
      <c r="P31" s="74"/>
      <c r="Q31" s="75"/>
      <c r="R31" s="76"/>
      <c r="S31" s="198"/>
    </row>
    <row r="32" spans="1:20" ht="18.75" x14ac:dyDescent="0.25">
      <c r="A32" s="329">
        <v>25</v>
      </c>
      <c r="B32" s="179" t="s">
        <v>24</v>
      </c>
      <c r="C32" s="22" t="s">
        <v>9</v>
      </c>
      <c r="D32" s="110">
        <f t="shared" si="3"/>
        <v>350000</v>
      </c>
      <c r="E32" s="90"/>
      <c r="F32" s="91"/>
      <c r="G32" s="91"/>
      <c r="H32" s="91">
        <v>350000</v>
      </c>
      <c r="I32" s="111"/>
      <c r="J32" s="74"/>
      <c r="K32" s="77"/>
      <c r="L32" s="74"/>
      <c r="M32" s="75"/>
      <c r="N32" s="78"/>
      <c r="O32" s="77"/>
      <c r="P32" s="74"/>
      <c r="Q32" s="75"/>
      <c r="R32" s="76"/>
      <c r="S32" s="198"/>
    </row>
    <row r="33" spans="1:20" ht="18.75" x14ac:dyDescent="0.25">
      <c r="A33" s="357">
        <v>26</v>
      </c>
      <c r="B33" s="180" t="s">
        <v>15</v>
      </c>
      <c r="C33" s="23" t="s">
        <v>9</v>
      </c>
      <c r="D33" s="112">
        <f>SUM(D16:D32)</f>
        <v>113446840</v>
      </c>
      <c r="E33" s="113">
        <f t="shared" ref="E33:I33" si="4">SUM(E16:E32)</f>
        <v>38388760</v>
      </c>
      <c r="F33" s="114">
        <f t="shared" si="4"/>
        <v>60763455</v>
      </c>
      <c r="G33" s="114">
        <f t="shared" si="4"/>
        <v>9384625</v>
      </c>
      <c r="H33" s="114">
        <f t="shared" si="4"/>
        <v>4910000</v>
      </c>
      <c r="I33" s="115">
        <f t="shared" si="4"/>
        <v>0</v>
      </c>
      <c r="J33" s="74"/>
      <c r="K33" s="77"/>
      <c r="L33" s="74"/>
      <c r="M33" s="75"/>
      <c r="N33" s="78"/>
      <c r="O33" s="77"/>
      <c r="P33" s="74"/>
      <c r="Q33" s="75"/>
      <c r="R33" s="76"/>
      <c r="S33" s="198"/>
    </row>
    <row r="34" spans="1:20" ht="19.5" x14ac:dyDescent="0.25">
      <c r="A34" s="358">
        <v>27</v>
      </c>
      <c r="B34" s="276" t="s">
        <v>63</v>
      </c>
      <c r="C34" s="277"/>
      <c r="D34" s="278">
        <f>(D33-D16-6850000-5500000-3625000-360000-645000-350000-88000-2823840-400000-350000)*16.67%</f>
        <v>12661698.500000002</v>
      </c>
      <c r="E34" s="113"/>
      <c r="F34" s="114"/>
      <c r="G34" s="114"/>
      <c r="H34" s="114"/>
      <c r="I34" s="115"/>
      <c r="J34" s="74"/>
      <c r="K34" s="77"/>
      <c r="L34" s="74"/>
      <c r="M34" s="75"/>
      <c r="N34" s="78"/>
      <c r="O34" s="77"/>
      <c r="P34" s="74"/>
      <c r="Q34" s="75"/>
      <c r="R34" s="76"/>
      <c r="S34" s="198"/>
    </row>
    <row r="35" spans="1:20" s="18" customFormat="1" ht="19.5" x14ac:dyDescent="0.25">
      <c r="A35" s="359">
        <v>28</v>
      </c>
      <c r="B35" s="181" t="s">
        <v>30</v>
      </c>
      <c r="C35" s="24" t="s">
        <v>29</v>
      </c>
      <c r="D35" s="116">
        <f>G35+H35+I35+J35</f>
        <v>6210000</v>
      </c>
      <c r="E35" s="117"/>
      <c r="F35" s="118"/>
      <c r="G35" s="119">
        <f t="shared" ref="G35:N35" si="5">G10*G11</f>
        <v>1350000</v>
      </c>
      <c r="H35" s="119">
        <f>H10*H11</f>
        <v>1620000</v>
      </c>
      <c r="I35" s="119">
        <f t="shared" si="5"/>
        <v>1620000</v>
      </c>
      <c r="J35" s="120">
        <f t="shared" si="5"/>
        <v>1620000</v>
      </c>
      <c r="K35" s="121">
        <f t="shared" si="5"/>
        <v>1620000</v>
      </c>
      <c r="L35" s="120">
        <f t="shared" si="5"/>
        <v>1620000</v>
      </c>
      <c r="M35" s="122">
        <f t="shared" si="5"/>
        <v>1620000</v>
      </c>
      <c r="N35" s="123">
        <f t="shared" si="5"/>
        <v>1620000</v>
      </c>
      <c r="O35" s="121">
        <f>O10*O11</f>
        <v>1620000</v>
      </c>
      <c r="P35" s="120">
        <f t="shared" ref="P35:R35" si="6">P10*P11</f>
        <v>1620000</v>
      </c>
      <c r="Q35" s="122">
        <f t="shared" si="6"/>
        <v>1620000</v>
      </c>
      <c r="R35" s="124">
        <f t="shared" si="6"/>
        <v>1620000</v>
      </c>
      <c r="S35" s="199">
        <f>R35/91</f>
        <v>17802.197802197803</v>
      </c>
      <c r="T35" s="18" t="s">
        <v>70</v>
      </c>
    </row>
    <row r="36" spans="1:20" ht="18.75" x14ac:dyDescent="0.25">
      <c r="A36" s="330">
        <v>29</v>
      </c>
      <c r="B36" s="182" t="s">
        <v>46</v>
      </c>
      <c r="C36" s="25" t="s">
        <v>9</v>
      </c>
      <c r="D36" s="125">
        <f>D35*D14</f>
        <v>42041700</v>
      </c>
      <c r="E36" s="126"/>
      <c r="F36" s="127"/>
      <c r="G36" s="127">
        <f>G35*$D$14</f>
        <v>9139500</v>
      </c>
      <c r="H36" s="127">
        <f t="shared" ref="H36:R36" si="7">H35*$D$14</f>
        <v>10967400</v>
      </c>
      <c r="I36" s="127">
        <f t="shared" si="7"/>
        <v>10967400</v>
      </c>
      <c r="J36" s="126">
        <f t="shared" si="7"/>
        <v>10967400</v>
      </c>
      <c r="K36" s="128">
        <f t="shared" si="7"/>
        <v>10967400</v>
      </c>
      <c r="L36" s="126">
        <f t="shared" si="7"/>
        <v>10967400</v>
      </c>
      <c r="M36" s="127">
        <f t="shared" si="7"/>
        <v>10967400</v>
      </c>
      <c r="N36" s="129">
        <f t="shared" si="7"/>
        <v>10967400</v>
      </c>
      <c r="O36" s="128">
        <f t="shared" si="7"/>
        <v>10967400</v>
      </c>
      <c r="P36" s="126">
        <f t="shared" si="7"/>
        <v>10967400</v>
      </c>
      <c r="Q36" s="127">
        <f t="shared" si="7"/>
        <v>10967400</v>
      </c>
      <c r="R36" s="130">
        <f t="shared" si="7"/>
        <v>10967400</v>
      </c>
      <c r="S36" s="279"/>
      <c r="T36" s="229"/>
    </row>
    <row r="37" spans="1:20" ht="18.75" x14ac:dyDescent="0.25">
      <c r="A37" s="319">
        <v>30</v>
      </c>
      <c r="B37" s="169" t="s">
        <v>47</v>
      </c>
      <c r="C37" s="16" t="s">
        <v>9</v>
      </c>
      <c r="D37" s="131">
        <f t="shared" ref="D37:D38" si="8">G37+H37+I37+J37</f>
        <v>16621200</v>
      </c>
      <c r="E37" s="68"/>
      <c r="F37" s="69"/>
      <c r="G37" s="69">
        <f>((170+100)*20*30*8.1)*2</f>
        <v>2624400</v>
      </c>
      <c r="H37" s="69">
        <f>(320*20*30*8.1)*3</f>
        <v>4665600</v>
      </c>
      <c r="I37" s="71">
        <f t="shared" ref="I37:R37" si="9">(320*20*30*8.1)*3</f>
        <v>4665600</v>
      </c>
      <c r="J37" s="74">
        <f t="shared" si="9"/>
        <v>4665600</v>
      </c>
      <c r="K37" s="76">
        <f t="shared" si="9"/>
        <v>4665600</v>
      </c>
      <c r="L37" s="72">
        <f t="shared" si="9"/>
        <v>4665600</v>
      </c>
      <c r="M37" s="69">
        <f t="shared" si="9"/>
        <v>4665600</v>
      </c>
      <c r="N37" s="69">
        <f t="shared" si="9"/>
        <v>4665600</v>
      </c>
      <c r="O37" s="71">
        <f t="shared" si="9"/>
        <v>4665600</v>
      </c>
      <c r="P37" s="74">
        <f t="shared" si="9"/>
        <v>4665600</v>
      </c>
      <c r="Q37" s="75">
        <f t="shared" si="9"/>
        <v>4665600</v>
      </c>
      <c r="R37" s="76">
        <f t="shared" si="9"/>
        <v>4665600</v>
      </c>
      <c r="S37" s="198"/>
    </row>
    <row r="38" spans="1:20" ht="18.75" x14ac:dyDescent="0.25">
      <c r="A38" s="319">
        <v>31</v>
      </c>
      <c r="B38" s="169" t="s">
        <v>48</v>
      </c>
      <c r="C38" s="16" t="s">
        <v>9</v>
      </c>
      <c r="D38" s="131">
        <f t="shared" si="8"/>
        <v>5200000</v>
      </c>
      <c r="E38" s="68"/>
      <c r="F38" s="69"/>
      <c r="G38" s="69">
        <v>1300000</v>
      </c>
      <c r="H38" s="69">
        <v>1300000</v>
      </c>
      <c r="I38" s="69">
        <v>1300000</v>
      </c>
      <c r="J38" s="68">
        <v>1300000</v>
      </c>
      <c r="K38" s="71">
        <v>1300000</v>
      </c>
      <c r="L38" s="68">
        <v>1300000</v>
      </c>
      <c r="M38" s="69">
        <v>1300000</v>
      </c>
      <c r="N38" s="72">
        <v>1300000</v>
      </c>
      <c r="O38" s="71">
        <v>1300000</v>
      </c>
      <c r="P38" s="68">
        <v>1300000</v>
      </c>
      <c r="Q38" s="69">
        <v>1300000</v>
      </c>
      <c r="R38" s="70">
        <v>1300000</v>
      </c>
      <c r="S38" s="198"/>
    </row>
    <row r="39" spans="1:20" ht="18.75" x14ac:dyDescent="0.25">
      <c r="A39" s="320">
        <v>32</v>
      </c>
      <c r="B39" s="170" t="s">
        <v>72</v>
      </c>
      <c r="C39" s="16" t="s">
        <v>9</v>
      </c>
      <c r="D39" s="132">
        <f>G39+H39+I39+J39</f>
        <v>17262720</v>
      </c>
      <c r="E39" s="74"/>
      <c r="F39" s="75"/>
      <c r="G39" s="75">
        <v>4315680</v>
      </c>
      <c r="H39" s="75">
        <v>4315680</v>
      </c>
      <c r="I39" s="75">
        <v>4315680</v>
      </c>
      <c r="J39" s="74">
        <v>4315680</v>
      </c>
      <c r="K39" s="77">
        <v>4315680</v>
      </c>
      <c r="L39" s="74">
        <v>4315680</v>
      </c>
      <c r="M39" s="75">
        <v>4315680</v>
      </c>
      <c r="N39" s="78">
        <v>4315680</v>
      </c>
      <c r="O39" s="77">
        <v>4315680</v>
      </c>
      <c r="P39" s="74">
        <v>4315680</v>
      </c>
      <c r="Q39" s="75">
        <v>4315680</v>
      </c>
      <c r="R39" s="76">
        <v>4315680</v>
      </c>
      <c r="S39" s="198"/>
    </row>
    <row r="40" spans="1:20" ht="18.75" x14ac:dyDescent="0.25">
      <c r="A40" s="332">
        <v>33</v>
      </c>
      <c r="B40" s="183" t="s">
        <v>62</v>
      </c>
      <c r="C40" s="29" t="s">
        <v>9</v>
      </c>
      <c r="D40" s="133">
        <f>G40+H40+I40+J40</f>
        <v>5516678.458333333</v>
      </c>
      <c r="E40" s="134"/>
      <c r="F40" s="135"/>
      <c r="G40" s="135"/>
      <c r="H40" s="135"/>
      <c r="I40" s="136">
        <f t="shared" ref="I40:R40" si="10">$T$40/24</f>
        <v>2758339.2291666665</v>
      </c>
      <c r="J40" s="134">
        <f t="shared" si="10"/>
        <v>2758339.2291666665</v>
      </c>
      <c r="K40" s="137">
        <f t="shared" si="10"/>
        <v>2758339.2291666665</v>
      </c>
      <c r="L40" s="134">
        <f t="shared" si="10"/>
        <v>2758339.2291666665</v>
      </c>
      <c r="M40" s="135">
        <f t="shared" si="10"/>
        <v>2758339.2291666665</v>
      </c>
      <c r="N40" s="138">
        <f t="shared" si="10"/>
        <v>2758339.2291666665</v>
      </c>
      <c r="O40" s="137">
        <f t="shared" si="10"/>
        <v>2758339.2291666665</v>
      </c>
      <c r="P40" s="134">
        <f t="shared" si="10"/>
        <v>2758339.2291666665</v>
      </c>
      <c r="Q40" s="135">
        <f t="shared" si="10"/>
        <v>2758339.2291666665</v>
      </c>
      <c r="R40" s="139">
        <f t="shared" si="10"/>
        <v>2758339.2291666665</v>
      </c>
      <c r="S40" s="203"/>
      <c r="T40" s="30">
        <f>D33-D16-D18-D24-D25-D31-D32-D34-D19-D20</f>
        <v>66200141.5</v>
      </c>
    </row>
    <row r="41" spans="1:20" ht="18.75" x14ac:dyDescent="0.25">
      <c r="A41" s="360">
        <v>34</v>
      </c>
      <c r="B41" s="184" t="s">
        <v>16</v>
      </c>
      <c r="C41" s="51" t="s">
        <v>9</v>
      </c>
      <c r="D41" s="140">
        <f>SUM(D36:D40)</f>
        <v>86642298.458333328</v>
      </c>
      <c r="E41" s="141"/>
      <c r="F41" s="142"/>
      <c r="G41" s="143">
        <f>SUM(G36:G40)</f>
        <v>17379580</v>
      </c>
      <c r="H41" s="143">
        <f>SUM(H36:H40)</f>
        <v>21248680</v>
      </c>
      <c r="I41" s="143">
        <f>SUM(I36:I40)</f>
        <v>24007019.229166668</v>
      </c>
      <c r="J41" s="144">
        <f>SUM(J36:J40)</f>
        <v>24007019.229166668</v>
      </c>
      <c r="K41" s="145">
        <f>SUM(K36:K40)</f>
        <v>24007019.229166668</v>
      </c>
      <c r="L41" s="144">
        <f>SUM(L36:L40)</f>
        <v>24007019.229166668</v>
      </c>
      <c r="M41" s="143">
        <f>SUM(M36:M40)</f>
        <v>24007019.229166668</v>
      </c>
      <c r="N41" s="146">
        <f>SUM(N36:N40)</f>
        <v>24007019.229166668</v>
      </c>
      <c r="O41" s="145">
        <f>SUM(O36:O40)</f>
        <v>24007019.229166668</v>
      </c>
      <c r="P41" s="144">
        <f>SUM(P36:P40)</f>
        <v>24007019.229166668</v>
      </c>
      <c r="Q41" s="143">
        <f>SUM(Q36:Q40)</f>
        <v>24007019.229166668</v>
      </c>
      <c r="R41" s="147">
        <f>SUM(R36:R40)</f>
        <v>24007019.229166668</v>
      </c>
      <c r="S41" s="196"/>
      <c r="T41" s="21">
        <f>T40-M40-L40-K40-J40-I40-N40-O40-P40-Q40-R40</f>
        <v>38616749.208333358</v>
      </c>
    </row>
    <row r="42" spans="1:20" ht="18.75" x14ac:dyDescent="0.25">
      <c r="A42" s="352">
        <v>35</v>
      </c>
      <c r="B42" s="240" t="s">
        <v>51</v>
      </c>
      <c r="C42" s="241" t="s">
        <v>9</v>
      </c>
      <c r="D42" s="242">
        <f>G42+H42+I42+J42</f>
        <v>10643816.666666666</v>
      </c>
      <c r="E42" s="243"/>
      <c r="F42" s="244"/>
      <c r="G42" s="245">
        <f>(G36+G37+G38)*(20/120)</f>
        <v>2177316.6666666665</v>
      </c>
      <c r="H42" s="245">
        <f>(H36+H37+H38)*(20/120)</f>
        <v>2822166.6666666665</v>
      </c>
      <c r="I42" s="245">
        <f>(I36+I37+I38)*(20/120)</f>
        <v>2822166.6666666665</v>
      </c>
      <c r="J42" s="246">
        <f>(J36+J37+J38)*(20/120)</f>
        <v>2822166.6666666665</v>
      </c>
      <c r="K42" s="247">
        <f>(K36+K37+K38)*(20/120)</f>
        <v>2822166.6666666665</v>
      </c>
      <c r="L42" s="246">
        <f>(L36+L37+L38)*(20/120)</f>
        <v>2822166.6666666665</v>
      </c>
      <c r="M42" s="245">
        <f>(M36+M37+M38)*(20/120)</f>
        <v>2822166.6666666665</v>
      </c>
      <c r="N42" s="248">
        <f>(N36+N37+N38)*(20/120)</f>
        <v>2822166.6666666665</v>
      </c>
      <c r="O42" s="247">
        <f>(O36+O37+O38)*(20/120)</f>
        <v>2822166.6666666665</v>
      </c>
      <c r="P42" s="246">
        <f>(P36+P37+P38)*(20/120)</f>
        <v>2822166.6666666665</v>
      </c>
      <c r="Q42" s="245">
        <f>(Q36+Q37+Q38)*(20/120)</f>
        <v>2822166.6666666665</v>
      </c>
      <c r="R42" s="249">
        <f>(R36+R37+R38)*(20/120)</f>
        <v>2822166.6666666665</v>
      </c>
      <c r="S42" s="192"/>
      <c r="T42" s="21"/>
    </row>
    <row r="43" spans="1:20" ht="18.75" x14ac:dyDescent="0.25">
      <c r="A43" s="360">
        <v>36</v>
      </c>
      <c r="B43" s="184" t="s">
        <v>53</v>
      </c>
      <c r="C43" s="51" t="s">
        <v>9</v>
      </c>
      <c r="D43" s="140">
        <f>D35*D13</f>
        <v>129664800</v>
      </c>
      <c r="E43" s="141"/>
      <c r="F43" s="142"/>
      <c r="G43" s="143">
        <f>G35*$D$13</f>
        <v>28188000</v>
      </c>
      <c r="H43" s="143">
        <f>H35*$D$13</f>
        <v>33825600</v>
      </c>
      <c r="I43" s="143">
        <f>I35*$D$13</f>
        <v>33825600</v>
      </c>
      <c r="J43" s="144">
        <f>J35*$D$13</f>
        <v>33825600</v>
      </c>
      <c r="K43" s="145">
        <f>K35*$D$13</f>
        <v>33825600</v>
      </c>
      <c r="L43" s="144">
        <f>L35*$D$13</f>
        <v>33825600</v>
      </c>
      <c r="M43" s="143">
        <f>M35*$D$13</f>
        <v>33825600</v>
      </c>
      <c r="N43" s="146">
        <f>N35*$D$13</f>
        <v>33825600</v>
      </c>
      <c r="O43" s="145">
        <f>O35*$D$13</f>
        <v>33825600</v>
      </c>
      <c r="P43" s="144">
        <f>P35*$D$13</f>
        <v>33825600</v>
      </c>
      <c r="Q43" s="143">
        <f>Q35*$D$13</f>
        <v>33825600</v>
      </c>
      <c r="R43" s="147">
        <f>R35*$D$13</f>
        <v>33825600</v>
      </c>
      <c r="S43" s="196"/>
    </row>
    <row r="44" spans="1:20" ht="18.75" customHeight="1" x14ac:dyDescent="0.25">
      <c r="A44" s="352">
        <v>37</v>
      </c>
      <c r="B44" s="240" t="s">
        <v>52</v>
      </c>
      <c r="C44" s="250" t="s">
        <v>9</v>
      </c>
      <c r="D44" s="242">
        <f>G44+H44+I44+J44</f>
        <v>21610800</v>
      </c>
      <c r="E44" s="246"/>
      <c r="F44" s="245"/>
      <c r="G44" s="245">
        <f>G43*20/120</f>
        <v>4698000</v>
      </c>
      <c r="H44" s="245">
        <f t="shared" ref="H44:N44" si="11">H43*20/120</f>
        <v>5637600</v>
      </c>
      <c r="I44" s="245">
        <f t="shared" si="11"/>
        <v>5637600</v>
      </c>
      <c r="J44" s="246">
        <f t="shared" si="11"/>
        <v>5637600</v>
      </c>
      <c r="K44" s="247">
        <f t="shared" si="11"/>
        <v>5637600</v>
      </c>
      <c r="L44" s="246">
        <f t="shared" si="11"/>
        <v>5637600</v>
      </c>
      <c r="M44" s="245">
        <f t="shared" si="11"/>
        <v>5637600</v>
      </c>
      <c r="N44" s="248">
        <f t="shared" si="11"/>
        <v>5637600</v>
      </c>
      <c r="O44" s="247">
        <f>O43*20/120</f>
        <v>5637600</v>
      </c>
      <c r="P44" s="246">
        <f>P43*20/120</f>
        <v>5637600</v>
      </c>
      <c r="Q44" s="245">
        <f t="shared" ref="Q44:R44" si="12">Q43*20/120</f>
        <v>5637600</v>
      </c>
      <c r="R44" s="249">
        <f t="shared" si="12"/>
        <v>5637600</v>
      </c>
      <c r="S44" s="192"/>
      <c r="T44" s="26"/>
    </row>
    <row r="45" spans="1:20" ht="21.75" customHeight="1" x14ac:dyDescent="0.25">
      <c r="A45" s="319">
        <v>38</v>
      </c>
      <c r="B45" s="169" t="s">
        <v>54</v>
      </c>
      <c r="C45" s="14" t="s">
        <v>9</v>
      </c>
      <c r="D45" s="131">
        <f t="shared" ref="D45:D51" si="13">G45+H45+I45+J45</f>
        <v>32055518.208333336</v>
      </c>
      <c r="E45" s="68"/>
      <c r="F45" s="69"/>
      <c r="G45" s="69">
        <f>(G43-G44)-(G41-G42)</f>
        <v>8287736.666666666</v>
      </c>
      <c r="H45" s="69">
        <f t="shared" ref="H45:R45" si="14">(H43-H44)-(H41-H42)</f>
        <v>9761486.6666666679</v>
      </c>
      <c r="I45" s="69">
        <f t="shared" si="14"/>
        <v>7003147.4375</v>
      </c>
      <c r="J45" s="68">
        <f t="shared" si="14"/>
        <v>7003147.4375</v>
      </c>
      <c r="K45" s="71">
        <f t="shared" si="14"/>
        <v>7003147.4375</v>
      </c>
      <c r="L45" s="68">
        <f t="shared" si="14"/>
        <v>7003147.4375</v>
      </c>
      <c r="M45" s="69">
        <f t="shared" si="14"/>
        <v>7003147.4375</v>
      </c>
      <c r="N45" s="72">
        <f t="shared" si="14"/>
        <v>7003147.4375</v>
      </c>
      <c r="O45" s="71">
        <f t="shared" si="14"/>
        <v>7003147.4375</v>
      </c>
      <c r="P45" s="68">
        <f t="shared" si="14"/>
        <v>7003147.4375</v>
      </c>
      <c r="Q45" s="69">
        <f t="shared" si="14"/>
        <v>7003147.4375</v>
      </c>
      <c r="R45" s="70">
        <f t="shared" si="14"/>
        <v>7003147.4375</v>
      </c>
      <c r="S45" s="198"/>
      <c r="T45" s="15"/>
    </row>
    <row r="46" spans="1:20" ht="19.5" customHeight="1" x14ac:dyDescent="0.25">
      <c r="A46" s="333">
        <v>39</v>
      </c>
      <c r="B46" s="171" t="s">
        <v>55</v>
      </c>
      <c r="C46" s="17" t="s">
        <v>9</v>
      </c>
      <c r="D46" s="148">
        <f t="shared" si="13"/>
        <v>6411103.6416666666</v>
      </c>
      <c r="E46" s="81"/>
      <c r="F46" s="83"/>
      <c r="G46" s="83">
        <f>G45*20%</f>
        <v>1657547.3333333333</v>
      </c>
      <c r="H46" s="83">
        <f t="shared" ref="H46:R46" si="15">H45*20%</f>
        <v>1952297.3333333337</v>
      </c>
      <c r="I46" s="83">
        <f t="shared" si="15"/>
        <v>1400629.4875</v>
      </c>
      <c r="J46" s="81">
        <f t="shared" si="15"/>
        <v>1400629.4875</v>
      </c>
      <c r="K46" s="149">
        <f t="shared" si="15"/>
        <v>1400629.4875</v>
      </c>
      <c r="L46" s="81">
        <f t="shared" si="15"/>
        <v>1400629.4875</v>
      </c>
      <c r="M46" s="83">
        <f t="shared" si="15"/>
        <v>1400629.4875</v>
      </c>
      <c r="N46" s="150">
        <f t="shared" si="15"/>
        <v>1400629.4875</v>
      </c>
      <c r="O46" s="149">
        <f t="shared" si="15"/>
        <v>1400629.4875</v>
      </c>
      <c r="P46" s="81">
        <f t="shared" si="15"/>
        <v>1400629.4875</v>
      </c>
      <c r="Q46" s="83">
        <f t="shared" si="15"/>
        <v>1400629.4875</v>
      </c>
      <c r="R46" s="84">
        <f t="shared" si="15"/>
        <v>1400629.4875</v>
      </c>
      <c r="S46" s="198"/>
      <c r="T46" s="49"/>
    </row>
    <row r="47" spans="1:20" ht="18.75" x14ac:dyDescent="0.25">
      <c r="A47" s="361">
        <v>40</v>
      </c>
      <c r="B47" s="185" t="s">
        <v>59</v>
      </c>
      <c r="C47" s="52" t="s">
        <v>9</v>
      </c>
      <c r="D47" s="151">
        <f>D45-D46</f>
        <v>25644414.56666667</v>
      </c>
      <c r="E47" s="152"/>
      <c r="F47" s="153"/>
      <c r="G47" s="154">
        <f>G45-G46</f>
        <v>6630189.333333333</v>
      </c>
      <c r="H47" s="154">
        <f t="shared" ref="H47:R47" si="16">H45-H46</f>
        <v>7809189.333333334</v>
      </c>
      <c r="I47" s="154">
        <f t="shared" si="16"/>
        <v>5602517.9500000002</v>
      </c>
      <c r="J47" s="155">
        <f t="shared" si="16"/>
        <v>5602517.9500000002</v>
      </c>
      <c r="K47" s="156">
        <f t="shared" si="16"/>
        <v>5602517.9500000002</v>
      </c>
      <c r="L47" s="155">
        <f t="shared" si="16"/>
        <v>5602517.9500000002</v>
      </c>
      <c r="M47" s="154">
        <f t="shared" si="16"/>
        <v>5602517.9500000002</v>
      </c>
      <c r="N47" s="157">
        <f t="shared" si="16"/>
        <v>5602517.9500000002</v>
      </c>
      <c r="O47" s="156">
        <f t="shared" si="16"/>
        <v>5602517.9500000002</v>
      </c>
      <c r="P47" s="155">
        <f t="shared" si="16"/>
        <v>5602517.9500000002</v>
      </c>
      <c r="Q47" s="154">
        <f t="shared" si="16"/>
        <v>5602517.9500000002</v>
      </c>
      <c r="R47" s="158">
        <f t="shared" si="16"/>
        <v>5602517.9500000002</v>
      </c>
      <c r="S47" s="196"/>
      <c r="T47" s="26"/>
    </row>
    <row r="48" spans="1:20" ht="37.5" x14ac:dyDescent="0.25">
      <c r="A48" s="353">
        <v>41</v>
      </c>
      <c r="B48" s="251" t="s">
        <v>58</v>
      </c>
      <c r="C48" s="252" t="s">
        <v>9</v>
      </c>
      <c r="D48" s="253">
        <f t="shared" si="13"/>
        <v>10966983.333333334</v>
      </c>
      <c r="E48" s="254"/>
      <c r="F48" s="255"/>
      <c r="G48" s="255">
        <f>G44-G42</f>
        <v>2520683.3333333335</v>
      </c>
      <c r="H48" s="255">
        <f t="shared" ref="H48:R48" si="17">H44-H42</f>
        <v>2815433.3333333335</v>
      </c>
      <c r="I48" s="255">
        <f t="shared" si="17"/>
        <v>2815433.3333333335</v>
      </c>
      <c r="J48" s="254">
        <f t="shared" si="17"/>
        <v>2815433.3333333335</v>
      </c>
      <c r="K48" s="256">
        <f t="shared" si="17"/>
        <v>2815433.3333333335</v>
      </c>
      <c r="L48" s="254">
        <f t="shared" si="17"/>
        <v>2815433.3333333335</v>
      </c>
      <c r="M48" s="255">
        <f t="shared" si="17"/>
        <v>2815433.3333333335</v>
      </c>
      <c r="N48" s="257">
        <f t="shared" si="17"/>
        <v>2815433.3333333335</v>
      </c>
      <c r="O48" s="256">
        <f t="shared" si="17"/>
        <v>2815433.3333333335</v>
      </c>
      <c r="P48" s="254">
        <f t="shared" si="17"/>
        <v>2815433.3333333335</v>
      </c>
      <c r="Q48" s="255">
        <f t="shared" si="17"/>
        <v>2815433.3333333335</v>
      </c>
      <c r="R48" s="258">
        <f t="shared" si="17"/>
        <v>2815433.3333333335</v>
      </c>
      <c r="S48" s="192"/>
      <c r="T48" s="26"/>
    </row>
    <row r="49" spans="1:27" ht="18.75" x14ac:dyDescent="0.25">
      <c r="A49" s="354">
        <v>42</v>
      </c>
      <c r="B49" s="259" t="s">
        <v>56</v>
      </c>
      <c r="C49" s="260" t="s">
        <v>9</v>
      </c>
      <c r="D49" s="261">
        <f t="shared" si="13"/>
        <v>10966983.333333334</v>
      </c>
      <c r="E49" s="262"/>
      <c r="F49" s="263"/>
      <c r="G49" s="263">
        <f>G48</f>
        <v>2520683.3333333335</v>
      </c>
      <c r="H49" s="263">
        <f t="shared" ref="H49:J49" si="18">H48</f>
        <v>2815433.3333333335</v>
      </c>
      <c r="I49" s="263">
        <f t="shared" si="18"/>
        <v>2815433.3333333335</v>
      </c>
      <c r="J49" s="262">
        <f t="shared" si="18"/>
        <v>2815433.3333333335</v>
      </c>
      <c r="K49" s="264">
        <f>D34-J49-I49-H49-G49</f>
        <v>1694715.1666666665</v>
      </c>
      <c r="L49" s="262"/>
      <c r="M49" s="263"/>
      <c r="N49" s="265"/>
      <c r="O49" s="264"/>
      <c r="P49" s="262"/>
      <c r="Q49" s="263"/>
      <c r="R49" s="266"/>
      <c r="S49" s="192"/>
      <c r="T49" s="26"/>
    </row>
    <row r="50" spans="1:27" ht="19.5" x14ac:dyDescent="0.25">
      <c r="A50" s="352">
        <v>43</v>
      </c>
      <c r="B50" s="267" t="s">
        <v>57</v>
      </c>
      <c r="C50" s="268" t="s">
        <v>9</v>
      </c>
      <c r="D50" s="269">
        <f>D48-D49</f>
        <v>0</v>
      </c>
      <c r="E50" s="270"/>
      <c r="F50" s="271"/>
      <c r="G50" s="272">
        <f>G48-G49</f>
        <v>0</v>
      </c>
      <c r="H50" s="272">
        <f t="shared" ref="H50:R50" si="19">H48-H49</f>
        <v>0</v>
      </c>
      <c r="I50" s="271">
        <f t="shared" si="19"/>
        <v>0</v>
      </c>
      <c r="J50" s="270">
        <f t="shared" si="19"/>
        <v>0</v>
      </c>
      <c r="K50" s="273">
        <f t="shared" si="19"/>
        <v>1120718.166666667</v>
      </c>
      <c r="L50" s="270">
        <f t="shared" si="19"/>
        <v>2815433.3333333335</v>
      </c>
      <c r="M50" s="271">
        <f t="shared" si="19"/>
        <v>2815433.3333333335</v>
      </c>
      <c r="N50" s="274">
        <f t="shared" si="19"/>
        <v>2815433.3333333335</v>
      </c>
      <c r="O50" s="273">
        <f t="shared" si="19"/>
        <v>2815433.3333333335</v>
      </c>
      <c r="P50" s="270">
        <f t="shared" si="19"/>
        <v>2815433.3333333335</v>
      </c>
      <c r="Q50" s="271">
        <f t="shared" si="19"/>
        <v>2815433.3333333335</v>
      </c>
      <c r="R50" s="275">
        <f t="shared" si="19"/>
        <v>2815433.3333333335</v>
      </c>
      <c r="S50" s="193"/>
      <c r="T50" s="26"/>
    </row>
    <row r="51" spans="1:27" ht="85.5" customHeight="1" thickBot="1" x14ac:dyDescent="0.3">
      <c r="A51" s="362">
        <v>44</v>
      </c>
      <c r="B51" s="186" t="s">
        <v>69</v>
      </c>
      <c r="C51" s="51" t="s">
        <v>9</v>
      </c>
      <c r="D51" s="159">
        <f t="shared" si="13"/>
        <v>42128076.358333334</v>
      </c>
      <c r="E51" s="160"/>
      <c r="F51" s="161"/>
      <c r="G51" s="162">
        <f>G47+G49+G40</f>
        <v>9150872.666666666</v>
      </c>
      <c r="H51" s="162">
        <f t="shared" ref="H51:R51" si="20">H47+H49+H40</f>
        <v>10624622.666666668</v>
      </c>
      <c r="I51" s="162">
        <f t="shared" si="20"/>
        <v>11176290.512499999</v>
      </c>
      <c r="J51" s="163">
        <f t="shared" si="20"/>
        <v>11176290.512499999</v>
      </c>
      <c r="K51" s="164">
        <f t="shared" si="20"/>
        <v>10055572.345833333</v>
      </c>
      <c r="L51" s="163">
        <f t="shared" si="20"/>
        <v>8360857.1791666672</v>
      </c>
      <c r="M51" s="162">
        <f t="shared" si="20"/>
        <v>8360857.1791666672</v>
      </c>
      <c r="N51" s="165">
        <f t="shared" si="20"/>
        <v>8360857.1791666672</v>
      </c>
      <c r="O51" s="164">
        <f t="shared" si="20"/>
        <v>8360857.1791666672</v>
      </c>
      <c r="P51" s="163">
        <f>P47+P49+P40</f>
        <v>8360857.1791666672</v>
      </c>
      <c r="Q51" s="162">
        <f>Q47+Q49+Q40</f>
        <v>8360857.1791666672</v>
      </c>
      <c r="R51" s="166">
        <f t="shared" si="20"/>
        <v>8360857.1791666672</v>
      </c>
      <c r="S51" s="194"/>
      <c r="T51" s="26"/>
      <c r="Z51" s="1">
        <v>18145795.398611113</v>
      </c>
      <c r="AA51" s="1">
        <v>18145795.398611113</v>
      </c>
    </row>
    <row r="52" spans="1:27" ht="37.5" x14ac:dyDescent="0.25">
      <c r="A52" s="363">
        <v>45</v>
      </c>
      <c r="B52" s="206" t="s">
        <v>96</v>
      </c>
      <c r="C52" s="207" t="s">
        <v>9</v>
      </c>
      <c r="D52" s="208">
        <f>SUM(G52:R52)</f>
        <v>113446839.92</v>
      </c>
      <c r="E52" s="209"/>
      <c r="F52" s="210"/>
      <c r="G52" s="211">
        <f>G51-G53</f>
        <v>7161815.8666666662</v>
      </c>
      <c r="H52" s="211">
        <f t="shared" ref="H52:P52" si="21">H51-H53</f>
        <v>8281865.8666666672</v>
      </c>
      <c r="I52" s="211">
        <f t="shared" si="21"/>
        <v>9495535.1274999995</v>
      </c>
      <c r="J52" s="212">
        <f>J51-J53+36000000</f>
        <v>45495535.127499998</v>
      </c>
      <c r="K52" s="302">
        <f t="shared" si="21"/>
        <v>8374816.9608333334</v>
      </c>
      <c r="L52" s="212">
        <f t="shared" si="21"/>
        <v>6680101.7941666674</v>
      </c>
      <c r="M52" s="302">
        <f t="shared" si="21"/>
        <v>6680101.7941666674</v>
      </c>
      <c r="N52" s="303">
        <f t="shared" si="21"/>
        <v>6680101.7941666674</v>
      </c>
      <c r="O52" s="304">
        <f t="shared" si="21"/>
        <v>6680101.7941666674</v>
      </c>
      <c r="P52" s="212">
        <f t="shared" si="21"/>
        <v>7916863.7941666674</v>
      </c>
      <c r="Q52" s="54"/>
      <c r="R52" s="58"/>
      <c r="S52" s="196"/>
      <c r="T52" s="15"/>
    </row>
    <row r="53" spans="1:27" ht="40.5" customHeight="1" thickBot="1" x14ac:dyDescent="0.3">
      <c r="A53" s="364">
        <v>46</v>
      </c>
      <c r="B53" s="213" t="s">
        <v>88</v>
      </c>
      <c r="C53" s="214" t="s">
        <v>9</v>
      </c>
      <c r="D53" s="215">
        <f>G53+H53+I53+J53</f>
        <v>7693324.3699999992</v>
      </c>
      <c r="E53" s="216"/>
      <c r="F53" s="217"/>
      <c r="G53" s="218">
        <f>G47*30%</f>
        <v>1989056.7999999998</v>
      </c>
      <c r="H53" s="218">
        <f t="shared" ref="H53:O53" si="22">H47*30%</f>
        <v>2342756.8000000003</v>
      </c>
      <c r="I53" s="218">
        <f t="shared" si="22"/>
        <v>1680755.385</v>
      </c>
      <c r="J53" s="219">
        <f t="shared" si="22"/>
        <v>1680755.385</v>
      </c>
      <c r="K53" s="220">
        <f t="shared" si="22"/>
        <v>1680755.385</v>
      </c>
      <c r="L53" s="219">
        <f>L47*30%</f>
        <v>1680755.385</v>
      </c>
      <c r="M53" s="218">
        <f t="shared" si="22"/>
        <v>1680755.385</v>
      </c>
      <c r="N53" s="221">
        <f t="shared" si="22"/>
        <v>1680755.385</v>
      </c>
      <c r="O53" s="220">
        <f t="shared" si="22"/>
        <v>1680755.385</v>
      </c>
      <c r="P53" s="219">
        <f>P47*30%-1236762</f>
        <v>443993.38500000001</v>
      </c>
      <c r="Q53" s="218">
        <f>Q47</f>
        <v>5602517.9500000002</v>
      </c>
      <c r="R53" s="222">
        <f>R47</f>
        <v>5602517.9500000002</v>
      </c>
      <c r="S53" s="196"/>
      <c r="T53" s="15"/>
    </row>
    <row r="54" spans="1:27" ht="57" thickBot="1" x14ac:dyDescent="0.3">
      <c r="A54" s="364">
        <v>47</v>
      </c>
      <c r="B54" s="213" t="s">
        <v>92</v>
      </c>
      <c r="C54" s="214"/>
      <c r="D54" s="215">
        <f>SUM(G54:J54)</f>
        <v>0</v>
      </c>
      <c r="E54" s="216"/>
      <c r="F54" s="217"/>
      <c r="G54" s="218">
        <f>G51-G52-G53</f>
        <v>0</v>
      </c>
      <c r="H54" s="218">
        <f t="shared" ref="H54:I54" si="23">H51-H52-H53</f>
        <v>0</v>
      </c>
      <c r="I54" s="218">
        <f t="shared" si="23"/>
        <v>0</v>
      </c>
      <c r="J54" s="219">
        <f>J51-J52-J53+J9</f>
        <v>0</v>
      </c>
      <c r="K54" s="220">
        <f>K51-K52-K53+K8</f>
        <v>-2.3283064365386963E-10</v>
      </c>
      <c r="L54" s="219">
        <f>L51-L52-L53+L8</f>
        <v>-4.6566128730773926E-10</v>
      </c>
      <c r="M54" s="218">
        <f>M51-M52-M53+M8</f>
        <v>-6.9849193096160889E-10</v>
      </c>
      <c r="N54" s="221">
        <f>N51-N52-N53+N8</f>
        <v>-9.3132257461547852E-10</v>
      </c>
      <c r="O54" s="220">
        <f>O51-O52-O53+O8</f>
        <v>-1.1641532182693481E-9</v>
      </c>
      <c r="P54" s="219">
        <f>P51-P52-P53+P8</f>
        <v>-1.3969838619232178E-9</v>
      </c>
      <c r="Q54" s="218">
        <f>Q51-Q52-Q53+Q8</f>
        <v>2758339.2291666656</v>
      </c>
      <c r="R54" s="222">
        <f>R51-R52-R53+R8</f>
        <v>5516678.4583333321</v>
      </c>
      <c r="S54" s="33"/>
    </row>
    <row r="55" spans="1:27" x14ac:dyDescent="0.25">
      <c r="C55" s="286"/>
      <c r="D55" s="286"/>
      <c r="E55" s="286"/>
      <c r="F55" s="286"/>
      <c r="G55" s="286"/>
      <c r="H55" s="286"/>
      <c r="I55" s="286"/>
      <c r="J55" s="21">
        <f>D33-D52</f>
        <v>7.9999998211860657E-2</v>
      </c>
      <c r="K55" s="38"/>
      <c r="L55" s="33"/>
      <c r="M55" s="38"/>
      <c r="N55" s="33"/>
      <c r="O55" s="33"/>
      <c r="P55" s="33"/>
      <c r="Q55" s="33"/>
      <c r="R55" s="33"/>
      <c r="S55" s="33"/>
    </row>
    <row r="56" spans="1:27" x14ac:dyDescent="0.25">
      <c r="B56" s="39"/>
      <c r="C56" s="34"/>
      <c r="D56" s="35">
        <f>(D43-D44)-((D41-D42)/(D43-D44))*100</f>
        <v>108053929.66620228</v>
      </c>
      <c r="G56" s="50"/>
      <c r="H56" s="50"/>
      <c r="I56" s="50"/>
      <c r="J56" s="50"/>
      <c r="K56" s="50">
        <f>K51/3</f>
        <v>3351857.4486111109</v>
      </c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>
        <f>Z51*60%</f>
        <v>10887477.239166668</v>
      </c>
      <c r="AA56" s="50">
        <f>AA51*60%</f>
        <v>10887477.239166668</v>
      </c>
    </row>
    <row r="57" spans="1:27" x14ac:dyDescent="0.25">
      <c r="B57" s="40"/>
      <c r="D57" s="36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27" ht="15.75" x14ac:dyDescent="0.25">
      <c r="C58" s="34"/>
      <c r="D58" s="37"/>
      <c r="G58" s="21"/>
      <c r="J58" s="38"/>
      <c r="K58" s="33"/>
      <c r="M58" s="21"/>
    </row>
    <row r="59" spans="1:27" x14ac:dyDescent="0.25">
      <c r="D59" s="36"/>
      <c r="E59" s="21"/>
      <c r="K59" s="33"/>
      <c r="M59" s="21"/>
      <c r="N59" s="21"/>
      <c r="O59" s="21"/>
      <c r="P59" s="21"/>
      <c r="Q59" s="21"/>
      <c r="R59" s="21"/>
      <c r="S59" s="21"/>
    </row>
    <row r="60" spans="1:27" x14ac:dyDescent="0.25">
      <c r="B60" s="31"/>
      <c r="C60" s="204"/>
      <c r="D60" s="36"/>
    </row>
    <row r="61" spans="1:27" ht="37.5" customHeight="1" x14ac:dyDescent="0.25">
      <c r="A61" s="346" t="s">
        <v>94</v>
      </c>
      <c r="B61" s="282" t="s">
        <v>41</v>
      </c>
      <c r="C61" s="282"/>
      <c r="D61" s="340">
        <f>SUM(D62:D76)</f>
        <v>36150000</v>
      </c>
    </row>
    <row r="62" spans="1:27" ht="20.25" x14ac:dyDescent="0.3">
      <c r="A62" s="365">
        <v>1</v>
      </c>
      <c r="B62" s="281" t="s">
        <v>68</v>
      </c>
      <c r="C62" s="281"/>
      <c r="D62" s="341">
        <v>11400000</v>
      </c>
      <c r="E62" s="26"/>
    </row>
    <row r="63" spans="1:27" ht="20.25" x14ac:dyDescent="0.3">
      <c r="A63" s="366">
        <v>2</v>
      </c>
      <c r="B63" s="280" t="s">
        <v>73</v>
      </c>
      <c r="C63" s="280"/>
      <c r="D63" s="342">
        <v>3600000</v>
      </c>
    </row>
    <row r="64" spans="1:27" ht="20.25" x14ac:dyDescent="0.3">
      <c r="A64" s="367">
        <v>3</v>
      </c>
      <c r="B64" s="280" t="s">
        <v>78</v>
      </c>
      <c r="C64" s="280"/>
      <c r="D64" s="343">
        <v>650000</v>
      </c>
    </row>
    <row r="65" spans="1:4" ht="40.5" customHeight="1" x14ac:dyDescent="0.3">
      <c r="A65" s="366">
        <v>4</v>
      </c>
      <c r="B65" s="280" t="s">
        <v>81</v>
      </c>
      <c r="C65" s="280"/>
      <c r="D65" s="342">
        <v>2100000</v>
      </c>
    </row>
    <row r="66" spans="1:4" ht="20.25" x14ac:dyDescent="0.3">
      <c r="A66" s="366">
        <v>5</v>
      </c>
      <c r="B66" s="280" t="s">
        <v>82</v>
      </c>
      <c r="C66" s="280"/>
      <c r="D66" s="342">
        <v>5300000</v>
      </c>
    </row>
    <row r="67" spans="1:4" ht="20.25" x14ac:dyDescent="0.3">
      <c r="A67" s="366">
        <v>6</v>
      </c>
      <c r="B67" s="280" t="s">
        <v>77</v>
      </c>
      <c r="C67" s="280"/>
      <c r="D67" s="342">
        <v>1550000</v>
      </c>
    </row>
    <row r="68" spans="1:4" ht="20.25" x14ac:dyDescent="0.3">
      <c r="A68" s="366">
        <v>7</v>
      </c>
      <c r="B68" s="280" t="s">
        <v>35</v>
      </c>
      <c r="C68" s="280"/>
      <c r="D68" s="342">
        <v>460000</v>
      </c>
    </row>
    <row r="69" spans="1:4" ht="20.25" x14ac:dyDescent="0.3">
      <c r="A69" s="366">
        <v>8</v>
      </c>
      <c r="B69" s="280" t="s">
        <v>36</v>
      </c>
      <c r="C69" s="280"/>
      <c r="D69" s="342">
        <v>180000</v>
      </c>
    </row>
    <row r="70" spans="1:4" ht="20.25" x14ac:dyDescent="0.3">
      <c r="A70" s="366">
        <v>9</v>
      </c>
      <c r="B70" s="280" t="s">
        <v>42</v>
      </c>
      <c r="C70" s="280"/>
      <c r="D70" s="342">
        <v>700000</v>
      </c>
    </row>
    <row r="71" spans="1:4" ht="20.25" x14ac:dyDescent="0.3">
      <c r="A71" s="367">
        <v>10</v>
      </c>
      <c r="B71" s="285" t="s">
        <v>37</v>
      </c>
      <c r="C71" s="285"/>
      <c r="D71" s="343">
        <v>4370000</v>
      </c>
    </row>
    <row r="72" spans="1:4" ht="20.25" x14ac:dyDescent="0.3">
      <c r="A72" s="366">
        <v>11</v>
      </c>
      <c r="B72" s="280" t="s">
        <v>40</v>
      </c>
      <c r="C72" s="280"/>
      <c r="D72" s="342">
        <v>320000</v>
      </c>
    </row>
    <row r="73" spans="1:4" ht="20.25" x14ac:dyDescent="0.3">
      <c r="A73" s="368">
        <v>12</v>
      </c>
      <c r="B73" s="280" t="s">
        <v>76</v>
      </c>
      <c r="C73" s="280"/>
      <c r="D73" s="344">
        <f>2350000-1640000</f>
        <v>710000</v>
      </c>
    </row>
    <row r="74" spans="1:4" ht="20.25" x14ac:dyDescent="0.3">
      <c r="A74" s="368">
        <v>13</v>
      </c>
      <c r="B74" s="280" t="s">
        <v>80</v>
      </c>
      <c r="C74" s="280"/>
      <c r="D74" s="344">
        <v>1640000</v>
      </c>
    </row>
    <row r="75" spans="1:4" ht="20.25" x14ac:dyDescent="0.3">
      <c r="A75" s="368">
        <v>14</v>
      </c>
      <c r="B75" s="280" t="s">
        <v>75</v>
      </c>
      <c r="C75" s="280"/>
      <c r="D75" s="344">
        <v>1520000</v>
      </c>
    </row>
    <row r="76" spans="1:4" ht="20.25" x14ac:dyDescent="0.3">
      <c r="A76" s="369">
        <v>15</v>
      </c>
      <c r="B76" s="284" t="s">
        <v>74</v>
      </c>
      <c r="C76" s="284"/>
      <c r="D76" s="345">
        <v>1650000</v>
      </c>
    </row>
    <row r="77" spans="1:4" ht="20.25" x14ac:dyDescent="0.25">
      <c r="B77" s="283"/>
      <c r="C77" s="283"/>
      <c r="D77" s="223"/>
    </row>
    <row r="78" spans="1:4" x14ac:dyDescent="0.25">
      <c r="C78" s="32"/>
    </row>
    <row r="79" spans="1:4" x14ac:dyDescent="0.25">
      <c r="B79" s="31"/>
      <c r="C79" s="32"/>
    </row>
    <row r="80" spans="1:4" x14ac:dyDescent="0.25">
      <c r="B80" s="31"/>
      <c r="C80" s="32"/>
    </row>
    <row r="81" spans="2:27" s="20" customFormat="1" x14ac:dyDescent="0.25">
      <c r="B81" s="31"/>
      <c r="C81" s="3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s="20" customFormat="1" x14ac:dyDescent="0.25">
      <c r="B82" s="31"/>
      <c r="C82" s="3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s="20" customFormat="1" x14ac:dyDescent="0.25">
      <c r="B83" s="31"/>
      <c r="C83" s="3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s="20" customFormat="1" x14ac:dyDescent="0.25">
      <c r="B84" s="31"/>
      <c r="C84" s="3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s="20" customFormat="1" x14ac:dyDescent="0.25">
      <c r="B85" s="31"/>
      <c r="C85" s="3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</sheetData>
  <mergeCells count="28">
    <mergeCell ref="A5:A7"/>
    <mergeCell ref="A1:R1"/>
    <mergeCell ref="A2:R2"/>
    <mergeCell ref="A3:R3"/>
    <mergeCell ref="A4:R4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C55:I55"/>
    <mergeCell ref="B61:C61"/>
    <mergeCell ref="B62:C62"/>
    <mergeCell ref="B63:C63"/>
    <mergeCell ref="B64:C64"/>
    <mergeCell ref="B65:C65"/>
    <mergeCell ref="B5:B6"/>
    <mergeCell ref="C5:C6"/>
    <mergeCell ref="D5:D6"/>
    <mergeCell ref="E5:I5"/>
    <mergeCell ref="J5:R5"/>
  </mergeCells>
  <pageMargins left="0.62992125984251968" right="0.23622047244094491" top="0.19685039370078741" bottom="0.19685039370078741" header="0" footer="0.31496062992125984"/>
  <pageSetup paperSize="9" scale="3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869C8-B08F-499A-B6B6-8A419AB800CE}">
  <sheetPr>
    <pageSetUpPr fitToPage="1"/>
  </sheetPr>
  <dimension ref="A1:AA87"/>
  <sheetViews>
    <sheetView zoomScale="70" zoomScaleNormal="70" workbookViewId="0">
      <pane ySplit="10" topLeftCell="A37" activePane="bottomLeft" state="frozen"/>
      <selection pane="bottomLeft" activeCell="M49" sqref="M49"/>
    </sheetView>
  </sheetViews>
  <sheetFormatPr defaultRowHeight="15" x14ac:dyDescent="0.25"/>
  <cols>
    <col min="1" max="1" width="7" style="1" customWidth="1"/>
    <col min="2" max="2" width="76" style="19" customWidth="1"/>
    <col min="3" max="3" width="11.5703125" style="1" customWidth="1"/>
    <col min="4" max="4" width="18.5703125" style="20" customWidth="1"/>
    <col min="5" max="5" width="18.42578125" style="1" customWidth="1"/>
    <col min="6" max="6" width="14.28515625" style="1" customWidth="1"/>
    <col min="7" max="7" width="17" style="1" customWidth="1"/>
    <col min="8" max="8" width="17.42578125" style="1" customWidth="1"/>
    <col min="9" max="9" width="17.5703125" style="1" bestFit="1" customWidth="1"/>
    <col min="10" max="10" width="17" style="1" customWidth="1"/>
    <col min="11" max="11" width="17.28515625" style="1" customWidth="1"/>
    <col min="12" max="12" width="17.140625" style="1" customWidth="1"/>
    <col min="13" max="13" width="16.85546875" style="1" customWidth="1"/>
    <col min="14" max="14" width="17.42578125" style="1" customWidth="1"/>
    <col min="15" max="15" width="16.5703125" style="1" customWidth="1"/>
    <col min="16" max="16" width="17" style="1" customWidth="1"/>
    <col min="17" max="17" width="16.5703125" style="1" customWidth="1"/>
    <col min="18" max="18" width="16.85546875" style="1" customWidth="1"/>
    <col min="19" max="19" width="16" style="1" customWidth="1"/>
    <col min="20" max="20" width="20.42578125" style="1" customWidth="1"/>
    <col min="21" max="21" width="15.28515625" style="1" customWidth="1"/>
    <col min="22" max="22" width="16.42578125" style="1" customWidth="1"/>
    <col min="23" max="23" width="15.7109375" style="1" customWidth="1"/>
    <col min="24" max="24" width="14.85546875" style="1" customWidth="1"/>
    <col min="25" max="25" width="19" style="1" customWidth="1"/>
    <col min="26" max="26" width="14.42578125" style="1" customWidth="1"/>
    <col min="27" max="27" width="15.85546875" style="1" customWidth="1"/>
    <col min="28" max="16384" width="9.140625" style="1"/>
  </cols>
  <sheetData>
    <row r="1" spans="1:19" ht="23.25" customHeight="1" x14ac:dyDescent="0.25">
      <c r="A1" s="287" t="s">
        <v>32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</row>
    <row r="2" spans="1:19" ht="23.25" customHeight="1" x14ac:dyDescent="0.25">
      <c r="A2" s="287" t="s">
        <v>101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</row>
    <row r="3" spans="1:19" ht="23.25" customHeight="1" x14ac:dyDescent="0.25">
      <c r="A3" s="288" t="s">
        <v>45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</row>
    <row r="4" spans="1:19" ht="24" customHeight="1" thickBot="1" x14ac:dyDescent="0.3">
      <c r="A4" s="289" t="s">
        <v>66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</row>
    <row r="5" spans="1:19" ht="51" customHeight="1" thickBot="1" x14ac:dyDescent="0.3">
      <c r="A5" s="315" t="s">
        <v>94</v>
      </c>
      <c r="B5" s="290" t="s">
        <v>0</v>
      </c>
      <c r="C5" s="292" t="s">
        <v>1</v>
      </c>
      <c r="D5" s="294" t="s">
        <v>31</v>
      </c>
      <c r="E5" s="296" t="s">
        <v>25</v>
      </c>
      <c r="F5" s="297"/>
      <c r="G5" s="297"/>
      <c r="H5" s="297"/>
      <c r="I5" s="297"/>
      <c r="J5" s="296" t="s">
        <v>99</v>
      </c>
      <c r="K5" s="297"/>
      <c r="L5" s="297"/>
      <c r="M5" s="297"/>
      <c r="N5" s="297"/>
      <c r="O5" s="297"/>
      <c r="P5" s="297"/>
      <c r="Q5" s="297"/>
      <c r="R5" s="298"/>
      <c r="S5" s="191"/>
    </row>
    <row r="6" spans="1:19" ht="16.5" thickBot="1" x14ac:dyDescent="0.3">
      <c r="A6" s="316"/>
      <c r="B6" s="291"/>
      <c r="C6" s="293"/>
      <c r="D6" s="295"/>
      <c r="E6" s="2" t="s">
        <v>2</v>
      </c>
      <c r="F6" s="3" t="s">
        <v>3</v>
      </c>
      <c r="G6" s="3" t="s">
        <v>49</v>
      </c>
      <c r="H6" s="3" t="s">
        <v>44</v>
      </c>
      <c r="I6" s="4" t="s">
        <v>4</v>
      </c>
      <c r="J6" s="5" t="s">
        <v>5</v>
      </c>
      <c r="K6" s="45" t="s">
        <v>6</v>
      </c>
      <c r="L6" s="187" t="s">
        <v>50</v>
      </c>
      <c r="M6" s="188" t="s">
        <v>7</v>
      </c>
      <c r="N6" s="189" t="s">
        <v>33</v>
      </c>
      <c r="O6" s="200" t="s">
        <v>34</v>
      </c>
      <c r="P6" s="5" t="s">
        <v>64</v>
      </c>
      <c r="Q6" s="188" t="s">
        <v>64</v>
      </c>
      <c r="R6" s="190" t="s">
        <v>64</v>
      </c>
      <c r="S6" s="191"/>
    </row>
    <row r="7" spans="1:19" ht="15.75" thickBot="1" x14ac:dyDescent="0.3">
      <c r="A7" s="317"/>
      <c r="B7" s="6">
        <v>1</v>
      </c>
      <c r="C7" s="7">
        <v>2</v>
      </c>
      <c r="D7" s="8">
        <v>3</v>
      </c>
      <c r="E7" s="9">
        <v>4</v>
      </c>
      <c r="F7" s="10">
        <v>5</v>
      </c>
      <c r="G7" s="10">
        <v>6</v>
      </c>
      <c r="H7" s="10">
        <v>7</v>
      </c>
      <c r="I7" s="11">
        <v>8</v>
      </c>
      <c r="J7" s="9">
        <v>9</v>
      </c>
      <c r="K7" s="46">
        <v>10</v>
      </c>
      <c r="L7" s="48">
        <v>11</v>
      </c>
      <c r="M7" s="10">
        <v>12</v>
      </c>
      <c r="N7" s="47">
        <v>13</v>
      </c>
      <c r="O7" s="201">
        <v>14</v>
      </c>
      <c r="P7" s="9">
        <v>15</v>
      </c>
      <c r="Q7" s="10">
        <v>16</v>
      </c>
      <c r="R7" s="11">
        <v>17</v>
      </c>
      <c r="S7" s="195"/>
    </row>
    <row r="8" spans="1:19" ht="18.75" x14ac:dyDescent="0.25">
      <c r="A8" s="355">
        <v>1</v>
      </c>
      <c r="B8" s="167" t="s">
        <v>8</v>
      </c>
      <c r="C8" s="12" t="s">
        <v>9</v>
      </c>
      <c r="D8" s="53"/>
      <c r="E8" s="54">
        <v>43108087</v>
      </c>
      <c r="F8" s="54">
        <f>F34</f>
        <v>60763455</v>
      </c>
      <c r="G8" s="54">
        <f>G34</f>
        <v>9384625</v>
      </c>
      <c r="H8" s="54">
        <f>H34+G56</f>
        <v>4910000</v>
      </c>
      <c r="I8" s="55">
        <f>I34+H56</f>
        <v>0</v>
      </c>
      <c r="J8" s="56">
        <f>J34+I56</f>
        <v>0</v>
      </c>
      <c r="K8" s="55">
        <f>K34+J56</f>
        <v>0</v>
      </c>
      <c r="L8" s="56">
        <f>L34+K56</f>
        <v>-2.3283064365386963E-10</v>
      </c>
      <c r="M8" s="54">
        <f>M34+L56</f>
        <v>-4.6566128730773926E-10</v>
      </c>
      <c r="N8" s="57"/>
      <c r="O8" s="55"/>
      <c r="P8" s="56"/>
      <c r="Q8" s="54"/>
      <c r="R8" s="58"/>
      <c r="S8" s="196"/>
    </row>
    <row r="9" spans="1:19" ht="18.75" x14ac:dyDescent="0.25">
      <c r="A9" s="356">
        <v>2</v>
      </c>
      <c r="B9" s="168" t="s">
        <v>10</v>
      </c>
      <c r="C9" s="13" t="s">
        <v>9</v>
      </c>
      <c r="D9" s="59"/>
      <c r="E9" s="60"/>
      <c r="F9" s="61"/>
      <c r="G9" s="61"/>
      <c r="H9" s="61"/>
      <c r="I9" s="62"/>
      <c r="J9" s="63">
        <v>36000000</v>
      </c>
      <c r="K9" s="64"/>
      <c r="L9" s="65"/>
      <c r="M9" s="61"/>
      <c r="N9" s="66"/>
      <c r="O9" s="202"/>
      <c r="P9" s="60"/>
      <c r="Q9" s="61"/>
      <c r="R9" s="62"/>
      <c r="S9" s="197"/>
    </row>
    <row r="10" spans="1:19" s="15" customFormat="1" ht="18.75" x14ac:dyDescent="0.25">
      <c r="A10" s="370">
        <v>3</v>
      </c>
      <c r="B10" s="305" t="s">
        <v>93</v>
      </c>
      <c r="C10" s="306" t="s">
        <v>9</v>
      </c>
      <c r="D10" s="307"/>
      <c r="E10" s="308"/>
      <c r="F10" s="309"/>
      <c r="G10" s="309"/>
      <c r="H10" s="309"/>
      <c r="I10" s="310"/>
      <c r="J10" s="63"/>
      <c r="K10" s="64"/>
      <c r="L10" s="63"/>
      <c r="M10" s="309">
        <v>210000000</v>
      </c>
      <c r="N10" s="311"/>
      <c r="O10" s="312"/>
      <c r="P10" s="308"/>
      <c r="Q10" s="309"/>
      <c r="R10" s="310"/>
      <c r="S10" s="313"/>
    </row>
    <row r="11" spans="1:19" ht="18.75" x14ac:dyDescent="0.25">
      <c r="A11" s="319">
        <v>4</v>
      </c>
      <c r="B11" s="169" t="s">
        <v>83</v>
      </c>
      <c r="C11" s="14" t="s">
        <v>27</v>
      </c>
      <c r="D11" s="67">
        <v>180</v>
      </c>
      <c r="E11" s="68"/>
      <c r="F11" s="69"/>
      <c r="G11" s="69">
        <f>$D$11*30*3/12*10</f>
        <v>13500</v>
      </c>
      <c r="H11" s="69">
        <f>$D$11*30*3</f>
        <v>16200</v>
      </c>
      <c r="I11" s="70">
        <f t="shared" ref="I11" si="0">$D$11*30*3</f>
        <v>16200</v>
      </c>
      <c r="J11" s="68">
        <f>$D$11*30*3</f>
        <v>16200</v>
      </c>
      <c r="K11" s="71">
        <f t="shared" ref="K11:R11" si="1">$D$11*30*3</f>
        <v>16200</v>
      </c>
      <c r="L11" s="68">
        <f t="shared" si="1"/>
        <v>16200</v>
      </c>
      <c r="M11" s="69">
        <f t="shared" si="1"/>
        <v>16200</v>
      </c>
      <c r="N11" s="72"/>
      <c r="O11" s="71"/>
      <c r="P11" s="68"/>
      <c r="Q11" s="69"/>
      <c r="R11" s="70"/>
      <c r="S11" s="205"/>
    </row>
    <row r="12" spans="1:19" ht="37.5" x14ac:dyDescent="0.25">
      <c r="A12" s="320">
        <v>5</v>
      </c>
      <c r="B12" s="170" t="s">
        <v>11</v>
      </c>
      <c r="C12" s="16" t="s">
        <v>12</v>
      </c>
      <c r="D12" s="73">
        <v>100</v>
      </c>
      <c r="E12" s="74"/>
      <c r="F12" s="75"/>
      <c r="G12" s="75">
        <f>$D$12</f>
        <v>100</v>
      </c>
      <c r="H12" s="75">
        <f t="shared" ref="H12:R12" si="2">$D$12</f>
        <v>100</v>
      </c>
      <c r="I12" s="76">
        <f t="shared" si="2"/>
        <v>100</v>
      </c>
      <c r="J12" s="74">
        <f t="shared" si="2"/>
        <v>100</v>
      </c>
      <c r="K12" s="77">
        <f t="shared" si="2"/>
        <v>100</v>
      </c>
      <c r="L12" s="74">
        <f t="shared" si="2"/>
        <v>100</v>
      </c>
      <c r="M12" s="75">
        <f t="shared" si="2"/>
        <v>100</v>
      </c>
      <c r="N12" s="78"/>
      <c r="O12" s="77"/>
      <c r="P12" s="74"/>
      <c r="Q12" s="75"/>
      <c r="R12" s="76"/>
      <c r="S12" s="198"/>
    </row>
    <row r="13" spans="1:19" ht="18.75" x14ac:dyDescent="0.25">
      <c r="A13" s="320">
        <v>6</v>
      </c>
      <c r="B13" s="170" t="s">
        <v>13</v>
      </c>
      <c r="C13" s="16" t="s">
        <v>12</v>
      </c>
      <c r="D13" s="79">
        <f>D11*D12*360</f>
        <v>6480000</v>
      </c>
      <c r="E13" s="74"/>
      <c r="F13" s="75"/>
      <c r="G13" s="75"/>
      <c r="H13" s="75"/>
      <c r="I13" s="76"/>
      <c r="J13" s="74"/>
      <c r="K13" s="77"/>
      <c r="L13" s="74"/>
      <c r="M13" s="75"/>
      <c r="N13" s="78"/>
      <c r="O13" s="77"/>
      <c r="P13" s="74"/>
      <c r="Q13" s="75"/>
      <c r="R13" s="76"/>
      <c r="S13" s="198"/>
    </row>
    <row r="14" spans="1:19" ht="18" customHeight="1" x14ac:dyDescent="0.25">
      <c r="A14" s="320">
        <v>7</v>
      </c>
      <c r="B14" s="170" t="s">
        <v>60</v>
      </c>
      <c r="C14" s="16" t="s">
        <v>9</v>
      </c>
      <c r="D14" s="80">
        <v>20.88</v>
      </c>
      <c r="E14" s="74"/>
      <c r="F14" s="75"/>
      <c r="G14" s="75"/>
      <c r="H14" s="75"/>
      <c r="I14" s="76"/>
      <c r="J14" s="74"/>
      <c r="K14" s="77"/>
      <c r="L14" s="74"/>
      <c r="M14" s="75"/>
      <c r="N14" s="78"/>
      <c r="O14" s="77"/>
      <c r="P14" s="74"/>
      <c r="Q14" s="75"/>
      <c r="R14" s="76"/>
      <c r="S14" s="198"/>
    </row>
    <row r="15" spans="1:19" ht="22.5" x14ac:dyDescent="0.25">
      <c r="A15" s="320">
        <v>8</v>
      </c>
      <c r="B15" s="170" t="s">
        <v>61</v>
      </c>
      <c r="C15" s="16" t="s">
        <v>9</v>
      </c>
      <c r="D15" s="80">
        <v>6.77</v>
      </c>
      <c r="E15" s="74"/>
      <c r="F15" s="75"/>
      <c r="G15" s="75"/>
      <c r="H15" s="75"/>
      <c r="I15" s="76"/>
      <c r="J15" s="74"/>
      <c r="K15" s="77"/>
      <c r="L15" s="74"/>
      <c r="M15" s="75"/>
      <c r="N15" s="78"/>
      <c r="O15" s="77"/>
      <c r="P15" s="74"/>
      <c r="Q15" s="75"/>
      <c r="R15" s="76"/>
      <c r="S15" s="198"/>
    </row>
    <row r="16" spans="1:19" ht="17.25" customHeight="1" x14ac:dyDescent="0.25">
      <c r="A16" s="321">
        <v>9</v>
      </c>
      <c r="B16" s="299" t="s">
        <v>87</v>
      </c>
      <c r="C16" s="300" t="s">
        <v>14</v>
      </c>
      <c r="D16" s="301">
        <v>1000</v>
      </c>
      <c r="E16" s="81"/>
      <c r="F16" s="82"/>
      <c r="G16" s="83"/>
      <c r="H16" s="83"/>
      <c r="I16" s="84"/>
      <c r="J16" s="74"/>
      <c r="K16" s="77"/>
      <c r="L16" s="74"/>
      <c r="M16" s="75"/>
      <c r="N16" s="78"/>
      <c r="O16" s="77"/>
      <c r="P16" s="74"/>
      <c r="Q16" s="75"/>
      <c r="R16" s="76"/>
      <c r="S16" s="198"/>
    </row>
    <row r="17" spans="1:20" ht="19.5" customHeight="1" x14ac:dyDescent="0.25">
      <c r="A17" s="322">
        <v>10</v>
      </c>
      <c r="B17" s="172" t="s">
        <v>43</v>
      </c>
      <c r="C17" s="27" t="s">
        <v>9</v>
      </c>
      <c r="D17" s="85">
        <f>E17+F17+G17+H17+I17</f>
        <v>16500000</v>
      </c>
      <c r="E17" s="86">
        <v>16500000</v>
      </c>
      <c r="F17" s="87"/>
      <c r="G17" s="87"/>
      <c r="H17" s="87"/>
      <c r="I17" s="88"/>
      <c r="J17" s="74"/>
      <c r="K17" s="77"/>
      <c r="L17" s="74"/>
      <c r="M17" s="75"/>
      <c r="N17" s="78"/>
      <c r="O17" s="77"/>
      <c r="P17" s="74"/>
      <c r="Q17" s="75"/>
      <c r="R17" s="76"/>
      <c r="S17" s="198"/>
      <c r="T17" s="26"/>
    </row>
    <row r="18" spans="1:20" ht="18" customHeight="1" x14ac:dyDescent="0.25">
      <c r="A18" s="323">
        <v>11</v>
      </c>
      <c r="B18" s="173" t="s">
        <v>17</v>
      </c>
      <c r="C18" s="28" t="s">
        <v>9</v>
      </c>
      <c r="D18" s="89">
        <f t="shared" ref="D18:D33" si="3">E18+F18+G18+H18+I18</f>
        <v>0</v>
      </c>
      <c r="E18" s="90"/>
      <c r="F18" s="91"/>
      <c r="G18" s="91"/>
      <c r="H18" s="91"/>
      <c r="I18" s="92"/>
      <c r="J18" s="74"/>
      <c r="K18" s="77"/>
      <c r="L18" s="74"/>
      <c r="M18" s="75"/>
      <c r="N18" s="78"/>
      <c r="O18" s="77"/>
      <c r="P18" s="74"/>
      <c r="Q18" s="75"/>
      <c r="R18" s="76"/>
      <c r="S18" s="198"/>
    </row>
    <row r="19" spans="1:20" ht="40.5" customHeight="1" x14ac:dyDescent="0.25">
      <c r="A19" s="323">
        <v>12</v>
      </c>
      <c r="B19" s="173" t="s">
        <v>71</v>
      </c>
      <c r="C19" s="28" t="s">
        <v>9</v>
      </c>
      <c r="D19" s="89">
        <f>E19</f>
        <v>7500000</v>
      </c>
      <c r="E19" s="90">
        <v>7500000</v>
      </c>
      <c r="F19" s="91"/>
      <c r="G19" s="91"/>
      <c r="H19" s="91"/>
      <c r="I19" s="92"/>
      <c r="J19" s="74"/>
      <c r="K19" s="77"/>
      <c r="L19" s="74"/>
      <c r="M19" s="75"/>
      <c r="N19" s="78"/>
      <c r="O19" s="77"/>
      <c r="P19" s="74"/>
      <c r="Q19" s="75"/>
      <c r="R19" s="76"/>
      <c r="S19" s="198"/>
    </row>
    <row r="20" spans="1:20" ht="18" customHeight="1" x14ac:dyDescent="0.25">
      <c r="A20" s="323">
        <v>13</v>
      </c>
      <c r="B20" s="173" t="s">
        <v>18</v>
      </c>
      <c r="C20" s="28" t="s">
        <v>9</v>
      </c>
      <c r="D20" s="93">
        <f t="shared" si="3"/>
        <v>5500000</v>
      </c>
      <c r="E20" s="90">
        <v>5500000</v>
      </c>
      <c r="F20" s="91"/>
      <c r="G20" s="91"/>
      <c r="H20" s="91"/>
      <c r="I20" s="92"/>
      <c r="J20" s="74"/>
      <c r="K20" s="77"/>
      <c r="L20" s="74"/>
      <c r="M20" s="75"/>
      <c r="N20" s="78"/>
      <c r="O20" s="77"/>
      <c r="P20" s="74"/>
      <c r="Q20" s="75"/>
      <c r="R20" s="76"/>
      <c r="S20" s="198"/>
    </row>
    <row r="21" spans="1:20" ht="24.75" customHeight="1" x14ac:dyDescent="0.25">
      <c r="A21" s="324">
        <v>14</v>
      </c>
      <c r="B21" s="174" t="s">
        <v>84</v>
      </c>
      <c r="C21" s="28" t="s">
        <v>9</v>
      </c>
      <c r="D21" s="93">
        <f t="shared" si="3"/>
        <v>3625000</v>
      </c>
      <c r="E21" s="90">
        <v>3625000</v>
      </c>
      <c r="F21" s="91"/>
      <c r="G21" s="91"/>
      <c r="H21" s="91"/>
      <c r="I21" s="92"/>
      <c r="J21" s="74"/>
      <c r="K21" s="77"/>
      <c r="L21" s="74"/>
      <c r="M21" s="75"/>
      <c r="N21" s="78"/>
      <c r="O21" s="77"/>
      <c r="P21" s="74"/>
      <c r="Q21" s="75"/>
      <c r="R21" s="76"/>
      <c r="S21" s="198"/>
    </row>
    <row r="22" spans="1:20" ht="42" customHeight="1" x14ac:dyDescent="0.25">
      <c r="A22" s="324">
        <v>15</v>
      </c>
      <c r="B22" s="174" t="s">
        <v>79</v>
      </c>
      <c r="C22" s="28" t="s">
        <v>9</v>
      </c>
      <c r="D22" s="93">
        <f t="shared" si="3"/>
        <v>645000</v>
      </c>
      <c r="E22" s="90">
        <f>150000+395000+100000</f>
        <v>645000</v>
      </c>
      <c r="F22" s="91"/>
      <c r="G22" s="91"/>
      <c r="H22" s="91"/>
      <c r="I22" s="92"/>
      <c r="J22" s="74"/>
      <c r="K22" s="77"/>
      <c r="L22" s="74"/>
      <c r="M22" s="75"/>
      <c r="N22" s="78"/>
      <c r="O22" s="77"/>
      <c r="P22" s="74"/>
      <c r="Q22" s="75"/>
      <c r="R22" s="76"/>
      <c r="S22" s="198"/>
      <c r="T22" s="15"/>
    </row>
    <row r="23" spans="1:20" ht="18" customHeight="1" x14ac:dyDescent="0.25">
      <c r="A23" s="323">
        <v>16</v>
      </c>
      <c r="B23" s="173" t="s">
        <v>19</v>
      </c>
      <c r="C23" s="28" t="s">
        <v>9</v>
      </c>
      <c r="D23" s="93">
        <f t="shared" si="3"/>
        <v>520000</v>
      </c>
      <c r="E23" s="94">
        <v>520000</v>
      </c>
      <c r="F23" s="91"/>
      <c r="G23" s="91"/>
      <c r="H23" s="91"/>
      <c r="I23" s="92"/>
      <c r="J23" s="74"/>
      <c r="K23" s="77"/>
      <c r="L23" s="74"/>
      <c r="M23" s="75"/>
      <c r="N23" s="78"/>
      <c r="O23" s="77"/>
      <c r="P23" s="74"/>
      <c r="Q23" s="75"/>
      <c r="R23" s="76"/>
      <c r="S23" s="198"/>
    </row>
    <row r="24" spans="1:20" ht="18.75" customHeight="1" x14ac:dyDescent="0.25">
      <c r="A24" s="323">
        <v>17</v>
      </c>
      <c r="B24" s="173" t="s">
        <v>38</v>
      </c>
      <c r="C24" s="28" t="s">
        <v>9</v>
      </c>
      <c r="D24" s="93">
        <f t="shared" si="3"/>
        <v>2150000</v>
      </c>
      <c r="E24" s="94">
        <f>2500000-350000</f>
        <v>2150000</v>
      </c>
      <c r="F24" s="91"/>
      <c r="G24" s="91"/>
      <c r="H24" s="91"/>
      <c r="I24" s="92"/>
      <c r="J24" s="74"/>
      <c r="K24" s="77"/>
      <c r="L24" s="74"/>
      <c r="M24" s="75"/>
      <c r="N24" s="78"/>
      <c r="O24" s="77"/>
      <c r="P24" s="74"/>
      <c r="Q24" s="75"/>
      <c r="R24" s="76"/>
      <c r="S24" s="198"/>
    </row>
    <row r="25" spans="1:20" ht="17.25" customHeight="1" x14ac:dyDescent="0.25">
      <c r="A25" s="323">
        <v>18</v>
      </c>
      <c r="B25" s="173" t="s">
        <v>20</v>
      </c>
      <c r="C25" s="28" t="s">
        <v>9</v>
      </c>
      <c r="D25" s="93">
        <f t="shared" si="3"/>
        <v>350000</v>
      </c>
      <c r="E25" s="94">
        <v>350000</v>
      </c>
      <c r="F25" s="91"/>
      <c r="G25" s="91"/>
      <c r="H25" s="91"/>
      <c r="I25" s="92"/>
      <c r="J25" s="74"/>
      <c r="K25" s="77"/>
      <c r="L25" s="74"/>
      <c r="M25" s="75"/>
      <c r="N25" s="78"/>
      <c r="O25" s="77"/>
      <c r="P25" s="74"/>
      <c r="Q25" s="75"/>
      <c r="R25" s="76"/>
      <c r="S25" s="198"/>
    </row>
    <row r="26" spans="1:20" ht="21" customHeight="1" x14ac:dyDescent="0.25">
      <c r="A26" s="325">
        <v>19</v>
      </c>
      <c r="B26" s="175" t="s">
        <v>26</v>
      </c>
      <c r="C26" s="41" t="s">
        <v>9</v>
      </c>
      <c r="D26" s="95">
        <f t="shared" si="3"/>
        <v>360000</v>
      </c>
      <c r="E26" s="96">
        <v>360000</v>
      </c>
      <c r="F26" s="97"/>
      <c r="G26" s="97"/>
      <c r="H26" s="97"/>
      <c r="I26" s="98"/>
      <c r="J26" s="99"/>
      <c r="K26" s="77"/>
      <c r="L26" s="74"/>
      <c r="M26" s="75"/>
      <c r="N26" s="78"/>
      <c r="O26" s="77"/>
      <c r="P26" s="74"/>
      <c r="Q26" s="75"/>
      <c r="R26" s="76"/>
      <c r="S26" s="198"/>
    </row>
    <row r="27" spans="1:20" ht="18.75" x14ac:dyDescent="0.25">
      <c r="A27" s="326">
        <v>20</v>
      </c>
      <c r="B27" s="176" t="s">
        <v>65</v>
      </c>
      <c r="C27" s="43" t="s">
        <v>9</v>
      </c>
      <c r="D27" s="100">
        <f>E27+F27+G27+H27+I27</f>
        <v>32985000</v>
      </c>
      <c r="E27" s="226"/>
      <c r="F27" s="101">
        <f>(14000000+10800000+2500000+2500000+3500000+2500000+850000)*90%-824625</f>
        <v>32160375</v>
      </c>
      <c r="G27" s="87">
        <v>824625</v>
      </c>
      <c r="H27" s="87"/>
      <c r="I27" s="88"/>
      <c r="J27" s="74"/>
      <c r="K27" s="77"/>
      <c r="L27" s="74"/>
      <c r="M27" s="75"/>
      <c r="N27" s="78"/>
      <c r="O27" s="77"/>
      <c r="P27" s="74"/>
      <c r="Q27" s="75"/>
      <c r="R27" s="76"/>
      <c r="S27" s="198"/>
    </row>
    <row r="28" spans="1:20" ht="18.75" x14ac:dyDescent="0.25">
      <c r="A28" s="327">
        <v>21</v>
      </c>
      <c r="B28" s="177" t="s">
        <v>67</v>
      </c>
      <c r="C28" s="44" t="s">
        <v>9</v>
      </c>
      <c r="D28" s="102">
        <f>E28+F28+G28+H28+I28</f>
        <v>3500000</v>
      </c>
      <c r="E28" s="227"/>
      <c r="F28" s="103"/>
      <c r="G28" s="103">
        <v>3500000</v>
      </c>
      <c r="H28" s="104"/>
      <c r="I28" s="105"/>
      <c r="J28" s="74"/>
      <c r="K28" s="77"/>
      <c r="L28" s="74"/>
      <c r="M28" s="75"/>
      <c r="N28" s="78"/>
      <c r="O28" s="77"/>
      <c r="P28" s="74"/>
      <c r="Q28" s="75"/>
      <c r="R28" s="76"/>
      <c r="S28" s="198"/>
      <c r="T28" s="21"/>
    </row>
    <row r="29" spans="1:20" ht="18.75" x14ac:dyDescent="0.25">
      <c r="A29" s="328">
        <v>22</v>
      </c>
      <c r="B29" s="178" t="s">
        <v>28</v>
      </c>
      <c r="C29" s="42" t="s">
        <v>9</v>
      </c>
      <c r="D29" s="106">
        <f t="shared" si="3"/>
        <v>36150000</v>
      </c>
      <c r="E29" s="228"/>
      <c r="F29" s="107">
        <v>26930000</v>
      </c>
      <c r="G29" s="108">
        <v>4660000</v>
      </c>
      <c r="H29" s="108">
        <v>4560000</v>
      </c>
      <c r="I29" s="109"/>
      <c r="J29" s="74"/>
      <c r="K29" s="77"/>
      <c r="L29" s="74"/>
      <c r="M29" s="75"/>
      <c r="N29" s="78"/>
      <c r="O29" s="77"/>
      <c r="P29" s="74"/>
      <c r="Q29" s="75"/>
      <c r="R29" s="76"/>
      <c r="S29" s="198"/>
    </row>
    <row r="30" spans="1:20" ht="28.5" customHeight="1" x14ac:dyDescent="0.25">
      <c r="A30" s="329">
        <v>23</v>
      </c>
      <c r="B30" s="179" t="s">
        <v>21</v>
      </c>
      <c r="C30" s="22" t="s">
        <v>9</v>
      </c>
      <c r="D30" s="110">
        <f t="shared" si="3"/>
        <v>88000</v>
      </c>
      <c r="E30" s="90"/>
      <c r="F30" s="91">
        <v>88000</v>
      </c>
      <c r="G30" s="91"/>
      <c r="H30" s="91"/>
      <c r="I30" s="92"/>
      <c r="J30" s="74"/>
      <c r="K30" s="77"/>
      <c r="L30" s="74"/>
      <c r="M30" s="75"/>
      <c r="N30" s="78"/>
      <c r="O30" s="77"/>
      <c r="P30" s="74"/>
      <c r="Q30" s="75"/>
      <c r="R30" s="76"/>
      <c r="S30" s="198"/>
    </row>
    <row r="31" spans="1:20" ht="36.75" customHeight="1" x14ac:dyDescent="0.25">
      <c r="A31" s="329">
        <v>24</v>
      </c>
      <c r="B31" s="179" t="s">
        <v>39</v>
      </c>
      <c r="C31" s="22" t="s">
        <v>9</v>
      </c>
      <c r="D31" s="93">
        <f t="shared" si="3"/>
        <v>2823840</v>
      </c>
      <c r="E31" s="90">
        <v>1238760</v>
      </c>
      <c r="F31" s="91">
        <v>1585080</v>
      </c>
      <c r="G31" s="91"/>
      <c r="H31" s="91"/>
      <c r="I31" s="92"/>
      <c r="J31" s="74"/>
      <c r="K31" s="77"/>
      <c r="L31" s="74"/>
      <c r="M31" s="75"/>
      <c r="N31" s="78"/>
      <c r="O31" s="77"/>
      <c r="P31" s="74"/>
      <c r="Q31" s="75"/>
      <c r="R31" s="76"/>
      <c r="S31" s="198"/>
    </row>
    <row r="32" spans="1:20" ht="18.75" x14ac:dyDescent="0.25">
      <c r="A32" s="329">
        <v>25</v>
      </c>
      <c r="B32" s="179" t="s">
        <v>23</v>
      </c>
      <c r="C32" s="22" t="s">
        <v>9</v>
      </c>
      <c r="D32" s="110">
        <f t="shared" si="3"/>
        <v>400000</v>
      </c>
      <c r="E32" s="90"/>
      <c r="F32" s="91"/>
      <c r="G32" s="91">
        <v>400000</v>
      </c>
      <c r="H32" s="91"/>
      <c r="I32" s="111"/>
      <c r="J32" s="74"/>
      <c r="K32" s="77"/>
      <c r="L32" s="74"/>
      <c r="M32" s="75"/>
      <c r="N32" s="78"/>
      <c r="O32" s="77"/>
      <c r="P32" s="74"/>
      <c r="Q32" s="75"/>
      <c r="R32" s="76"/>
      <c r="S32" s="198"/>
    </row>
    <row r="33" spans="1:20" ht="18.75" x14ac:dyDescent="0.25">
      <c r="A33" s="329">
        <v>26</v>
      </c>
      <c r="B33" s="179" t="s">
        <v>24</v>
      </c>
      <c r="C33" s="22" t="s">
        <v>9</v>
      </c>
      <c r="D33" s="110">
        <f t="shared" si="3"/>
        <v>350000</v>
      </c>
      <c r="E33" s="90"/>
      <c r="F33" s="91"/>
      <c r="G33" s="91"/>
      <c r="H33" s="91">
        <v>350000</v>
      </c>
      <c r="I33" s="111"/>
      <c r="J33" s="74"/>
      <c r="K33" s="77"/>
      <c r="L33" s="74"/>
      <c r="M33" s="75"/>
      <c r="N33" s="78"/>
      <c r="O33" s="77"/>
      <c r="P33" s="74"/>
      <c r="Q33" s="75"/>
      <c r="R33" s="76"/>
      <c r="S33" s="198"/>
    </row>
    <row r="34" spans="1:20" ht="18.75" x14ac:dyDescent="0.25">
      <c r="A34" s="357">
        <v>27</v>
      </c>
      <c r="B34" s="180" t="s">
        <v>15</v>
      </c>
      <c r="C34" s="23" t="s">
        <v>9</v>
      </c>
      <c r="D34" s="112">
        <f>SUM(D17:D33)</f>
        <v>113446840</v>
      </c>
      <c r="E34" s="113">
        <f t="shared" ref="E34:I34" si="4">SUM(E17:E33)</f>
        <v>38388760</v>
      </c>
      <c r="F34" s="114">
        <f t="shared" si="4"/>
        <v>60763455</v>
      </c>
      <c r="G34" s="114">
        <f t="shared" si="4"/>
        <v>9384625</v>
      </c>
      <c r="H34" s="114">
        <f t="shared" si="4"/>
        <v>4910000</v>
      </c>
      <c r="I34" s="115">
        <f t="shared" si="4"/>
        <v>0</v>
      </c>
      <c r="J34" s="74"/>
      <c r="K34" s="77"/>
      <c r="L34" s="74"/>
      <c r="M34" s="75"/>
      <c r="N34" s="78"/>
      <c r="O34" s="77"/>
      <c r="P34" s="74"/>
      <c r="Q34" s="75"/>
      <c r="R34" s="76"/>
      <c r="S34" s="198"/>
    </row>
    <row r="35" spans="1:20" ht="19.5" x14ac:dyDescent="0.25">
      <c r="A35" s="358">
        <v>28</v>
      </c>
      <c r="B35" s="276" t="s">
        <v>63</v>
      </c>
      <c r="C35" s="277"/>
      <c r="D35" s="278">
        <f>(D34-D17-6850000-5500000-3625000-360000-645000-350000-88000-2823840-400000-350000)*16.67%</f>
        <v>12661698.500000002</v>
      </c>
      <c r="E35" s="113"/>
      <c r="F35" s="114"/>
      <c r="G35" s="114"/>
      <c r="H35" s="114"/>
      <c r="I35" s="115"/>
      <c r="J35" s="74"/>
      <c r="K35" s="77"/>
      <c r="L35" s="74"/>
      <c r="M35" s="75"/>
      <c r="N35" s="78"/>
      <c r="O35" s="77"/>
      <c r="P35" s="74"/>
      <c r="Q35" s="75"/>
      <c r="R35" s="76"/>
      <c r="S35" s="198"/>
    </row>
    <row r="36" spans="1:20" s="18" customFormat="1" ht="19.5" x14ac:dyDescent="0.25">
      <c r="A36" s="359">
        <v>29</v>
      </c>
      <c r="B36" s="181" t="s">
        <v>30</v>
      </c>
      <c r="C36" s="24" t="s">
        <v>29</v>
      </c>
      <c r="D36" s="116">
        <f>G36+H36+I36+J36</f>
        <v>6210000</v>
      </c>
      <c r="E36" s="117"/>
      <c r="F36" s="118"/>
      <c r="G36" s="119">
        <f t="shared" ref="G36:N36" si="5">G11*G12</f>
        <v>1350000</v>
      </c>
      <c r="H36" s="119">
        <f>H11*H12</f>
        <v>1620000</v>
      </c>
      <c r="I36" s="119">
        <f t="shared" si="5"/>
        <v>1620000</v>
      </c>
      <c r="J36" s="120">
        <f t="shared" si="5"/>
        <v>1620000</v>
      </c>
      <c r="K36" s="121">
        <f t="shared" si="5"/>
        <v>1620000</v>
      </c>
      <c r="L36" s="120">
        <f t="shared" si="5"/>
        <v>1620000</v>
      </c>
      <c r="M36" s="122">
        <f t="shared" si="5"/>
        <v>1620000</v>
      </c>
      <c r="N36" s="123"/>
      <c r="O36" s="121"/>
      <c r="P36" s="120"/>
      <c r="Q36" s="122"/>
      <c r="R36" s="124"/>
      <c r="S36" s="199">
        <f>R36/91</f>
        <v>0</v>
      </c>
      <c r="T36" s="18" t="s">
        <v>70</v>
      </c>
    </row>
    <row r="37" spans="1:20" ht="18.75" x14ac:dyDescent="0.25">
      <c r="A37" s="330">
        <v>30</v>
      </c>
      <c r="B37" s="182" t="s">
        <v>46</v>
      </c>
      <c r="C37" s="25" t="s">
        <v>9</v>
      </c>
      <c r="D37" s="125">
        <f>D36*D15</f>
        <v>42041700</v>
      </c>
      <c r="E37" s="126"/>
      <c r="F37" s="127"/>
      <c r="G37" s="127">
        <f>G36*$D$15</f>
        <v>9139500</v>
      </c>
      <c r="H37" s="127">
        <f t="shared" ref="H37:R37" si="6">H36*$D$15</f>
        <v>10967400</v>
      </c>
      <c r="I37" s="127">
        <f t="shared" si="6"/>
        <v>10967400</v>
      </c>
      <c r="J37" s="126">
        <f t="shared" si="6"/>
        <v>10967400</v>
      </c>
      <c r="K37" s="128">
        <f t="shared" si="6"/>
        <v>10967400</v>
      </c>
      <c r="L37" s="126">
        <f t="shared" si="6"/>
        <v>10967400</v>
      </c>
      <c r="M37" s="127">
        <f t="shared" si="6"/>
        <v>10967400</v>
      </c>
      <c r="N37" s="129"/>
      <c r="O37" s="128"/>
      <c r="P37" s="126"/>
      <c r="Q37" s="127"/>
      <c r="R37" s="130"/>
      <c r="S37" s="279"/>
      <c r="T37" s="229"/>
    </row>
    <row r="38" spans="1:20" ht="18.75" x14ac:dyDescent="0.25">
      <c r="A38" s="319">
        <v>31</v>
      </c>
      <c r="B38" s="169" t="s">
        <v>47</v>
      </c>
      <c r="C38" s="16" t="s">
        <v>9</v>
      </c>
      <c r="D38" s="131">
        <f t="shared" ref="D38:D39" si="7">G38+H38+I38+J38</f>
        <v>16621200</v>
      </c>
      <c r="E38" s="68"/>
      <c r="F38" s="69"/>
      <c r="G38" s="69">
        <f>((170+100)*20*30*8.1)*2</f>
        <v>2624400</v>
      </c>
      <c r="H38" s="69">
        <f>(320*20*30*8.1)*3</f>
        <v>4665600</v>
      </c>
      <c r="I38" s="71">
        <f t="shared" ref="I38:R38" si="8">(320*20*30*8.1)*3</f>
        <v>4665600</v>
      </c>
      <c r="J38" s="74">
        <f t="shared" si="8"/>
        <v>4665600</v>
      </c>
      <c r="K38" s="76">
        <f t="shared" si="8"/>
        <v>4665600</v>
      </c>
      <c r="L38" s="72">
        <f t="shared" si="8"/>
        <v>4665600</v>
      </c>
      <c r="M38" s="69">
        <f t="shared" si="8"/>
        <v>4665600</v>
      </c>
      <c r="N38" s="69"/>
      <c r="O38" s="71"/>
      <c r="P38" s="74"/>
      <c r="Q38" s="75"/>
      <c r="R38" s="76"/>
      <c r="S38" s="198"/>
    </row>
    <row r="39" spans="1:20" ht="18.75" x14ac:dyDescent="0.25">
      <c r="A39" s="319">
        <v>32</v>
      </c>
      <c r="B39" s="169" t="s">
        <v>48</v>
      </c>
      <c r="C39" s="16" t="s">
        <v>9</v>
      </c>
      <c r="D39" s="131">
        <f t="shared" si="7"/>
        <v>5200000</v>
      </c>
      <c r="E39" s="68"/>
      <c r="F39" s="69"/>
      <c r="G39" s="69">
        <v>1300000</v>
      </c>
      <c r="H39" s="69">
        <v>1300000</v>
      </c>
      <c r="I39" s="69">
        <v>1300000</v>
      </c>
      <c r="J39" s="68">
        <v>1300000</v>
      </c>
      <c r="K39" s="71">
        <v>1300000</v>
      </c>
      <c r="L39" s="68">
        <v>1300000</v>
      </c>
      <c r="M39" s="69">
        <v>1300000</v>
      </c>
      <c r="N39" s="72"/>
      <c r="O39" s="71"/>
      <c r="P39" s="68"/>
      <c r="Q39" s="69"/>
      <c r="R39" s="70"/>
      <c r="S39" s="198"/>
    </row>
    <row r="40" spans="1:20" ht="18.75" x14ac:dyDescent="0.25">
      <c r="A40" s="320">
        <v>33</v>
      </c>
      <c r="B40" s="170" t="s">
        <v>72</v>
      </c>
      <c r="C40" s="16" t="s">
        <v>9</v>
      </c>
      <c r="D40" s="132">
        <f>G40+H40+I40+J40</f>
        <v>17262720</v>
      </c>
      <c r="E40" s="74"/>
      <c r="F40" s="75"/>
      <c r="G40" s="75">
        <v>4315680</v>
      </c>
      <c r="H40" s="75">
        <v>4315680</v>
      </c>
      <c r="I40" s="75">
        <v>4315680</v>
      </c>
      <c r="J40" s="74">
        <v>4315680</v>
      </c>
      <c r="K40" s="77">
        <v>4315680</v>
      </c>
      <c r="L40" s="74">
        <v>4315680</v>
      </c>
      <c r="M40" s="75">
        <v>4315680</v>
      </c>
      <c r="N40" s="78"/>
      <c r="O40" s="77"/>
      <c r="P40" s="74"/>
      <c r="Q40" s="75"/>
      <c r="R40" s="76"/>
      <c r="S40" s="198"/>
    </row>
    <row r="41" spans="1:20" ht="37.5" x14ac:dyDescent="0.25">
      <c r="A41" s="333">
        <v>34</v>
      </c>
      <c r="B41" s="171" t="s">
        <v>100</v>
      </c>
      <c r="C41" s="16" t="s">
        <v>9</v>
      </c>
      <c r="D41" s="148"/>
      <c r="E41" s="81"/>
      <c r="F41" s="83"/>
      <c r="G41" s="83"/>
      <c r="H41" s="83"/>
      <c r="I41" s="149"/>
      <c r="J41" s="81"/>
      <c r="K41" s="149"/>
      <c r="L41" s="81"/>
      <c r="M41" s="83">
        <f>T42-I42-J42-K42-L42-M42+D17</f>
        <v>68908445.354166687</v>
      </c>
      <c r="N41" s="150"/>
      <c r="O41" s="149"/>
      <c r="P41" s="81"/>
      <c r="Q41" s="83"/>
      <c r="R41" s="84"/>
      <c r="S41" s="198"/>
    </row>
    <row r="42" spans="1:20" ht="18.75" x14ac:dyDescent="0.25">
      <c r="A42" s="332">
        <v>35</v>
      </c>
      <c r="B42" s="183" t="s">
        <v>62</v>
      </c>
      <c r="C42" s="29" t="s">
        <v>9</v>
      </c>
      <c r="D42" s="133">
        <f>G42+H42+I42+J42</f>
        <v>5516678.458333333</v>
      </c>
      <c r="E42" s="134"/>
      <c r="F42" s="135"/>
      <c r="G42" s="135"/>
      <c r="H42" s="135"/>
      <c r="I42" s="136">
        <f t="shared" ref="I42:R42" si="9">$T$42/24</f>
        <v>2758339.2291666665</v>
      </c>
      <c r="J42" s="134">
        <f t="shared" si="9"/>
        <v>2758339.2291666665</v>
      </c>
      <c r="K42" s="137">
        <f t="shared" si="9"/>
        <v>2758339.2291666665</v>
      </c>
      <c r="L42" s="134">
        <f t="shared" si="9"/>
        <v>2758339.2291666665</v>
      </c>
      <c r="M42" s="135">
        <f t="shared" si="9"/>
        <v>2758339.2291666665</v>
      </c>
      <c r="N42" s="138"/>
      <c r="O42" s="137"/>
      <c r="P42" s="134"/>
      <c r="Q42" s="135"/>
      <c r="R42" s="139"/>
      <c r="S42" s="203"/>
      <c r="T42" s="30">
        <f>D34-D17-D19-D25-D26-D32-D33-D35-D20-D21</f>
        <v>66200141.5</v>
      </c>
    </row>
    <row r="43" spans="1:20" ht="18.75" x14ac:dyDescent="0.25">
      <c r="A43" s="360">
        <v>36</v>
      </c>
      <c r="B43" s="184" t="s">
        <v>16</v>
      </c>
      <c r="C43" s="51" t="s">
        <v>9</v>
      </c>
      <c r="D43" s="140">
        <f>SUM(D37:D42)</f>
        <v>86642298.458333328</v>
      </c>
      <c r="E43" s="141"/>
      <c r="F43" s="142"/>
      <c r="G43" s="143">
        <f>SUM(G37:G42)</f>
        <v>17379580</v>
      </c>
      <c r="H43" s="143">
        <f>SUM(H37:H42)</f>
        <v>21248680</v>
      </c>
      <c r="I43" s="143">
        <f>SUM(I37:I42)</f>
        <v>24007019.229166668</v>
      </c>
      <c r="J43" s="144">
        <f>SUM(J37:J42)</f>
        <v>24007019.229166668</v>
      </c>
      <c r="K43" s="145">
        <f>SUM(K37:K42)</f>
        <v>24007019.229166668</v>
      </c>
      <c r="L43" s="144">
        <f>SUM(L37:L42)</f>
        <v>24007019.229166668</v>
      </c>
      <c r="M43" s="143">
        <f>SUM(M37:M42)</f>
        <v>92915464.583333358</v>
      </c>
      <c r="N43" s="146"/>
      <c r="O43" s="145"/>
      <c r="P43" s="144"/>
      <c r="Q43" s="143"/>
      <c r="R43" s="147"/>
      <c r="S43" s="196"/>
      <c r="T43" s="21">
        <f>T42-M42-L42-K42-J42-I42-N42-O42-P42-Q42-R42</f>
        <v>52408445.354166679</v>
      </c>
    </row>
    <row r="44" spans="1:20" ht="18.75" x14ac:dyDescent="0.25">
      <c r="A44" s="352">
        <v>37</v>
      </c>
      <c r="B44" s="240" t="s">
        <v>51</v>
      </c>
      <c r="C44" s="241" t="s">
        <v>9</v>
      </c>
      <c r="D44" s="242">
        <f>G44+H44+I44+J44</f>
        <v>10643816.666666666</v>
      </c>
      <c r="E44" s="243"/>
      <c r="F44" s="244"/>
      <c r="G44" s="245">
        <f>(G37+G38+G39)*(20/120)</f>
        <v>2177316.6666666665</v>
      </c>
      <c r="H44" s="245">
        <f>(H37+H38+H39)*(20/120)</f>
        <v>2822166.6666666665</v>
      </c>
      <c r="I44" s="245">
        <f>(I37+I38+I39)*(20/120)</f>
        <v>2822166.6666666665</v>
      </c>
      <c r="J44" s="246">
        <f>(J37+J38+J39)*(20/120)</f>
        <v>2822166.6666666665</v>
      </c>
      <c r="K44" s="247">
        <f>(K37+K38+K39)*(20/120)</f>
        <v>2822166.6666666665</v>
      </c>
      <c r="L44" s="246">
        <f>(L37+L38+L39)*(20/120)</f>
        <v>2822166.6666666665</v>
      </c>
      <c r="M44" s="245">
        <f>(M37+M38+M39)*(20/120)</f>
        <v>2822166.6666666665</v>
      </c>
      <c r="N44" s="248"/>
      <c r="O44" s="247"/>
      <c r="P44" s="246"/>
      <c r="Q44" s="245"/>
      <c r="R44" s="249"/>
      <c r="S44" s="192"/>
      <c r="T44" s="21"/>
    </row>
    <row r="45" spans="1:20" ht="18.75" x14ac:dyDescent="0.25">
      <c r="A45" s="360">
        <v>38</v>
      </c>
      <c r="B45" s="184" t="s">
        <v>53</v>
      </c>
      <c r="C45" s="51" t="s">
        <v>9</v>
      </c>
      <c r="D45" s="140">
        <f>D36*D14</f>
        <v>129664800</v>
      </c>
      <c r="E45" s="141"/>
      <c r="F45" s="142"/>
      <c r="G45" s="143">
        <f>G36*$D$14</f>
        <v>28188000</v>
      </c>
      <c r="H45" s="143">
        <f>H36*$D$14</f>
        <v>33825600</v>
      </c>
      <c r="I45" s="143">
        <f>I36*$D$14</f>
        <v>33825600</v>
      </c>
      <c r="J45" s="144">
        <f>J36*$D$14</f>
        <v>33825600</v>
      </c>
      <c r="K45" s="145">
        <f>K36*$D$14</f>
        <v>33825600</v>
      </c>
      <c r="L45" s="144">
        <f>L36*$D$14</f>
        <v>33825600</v>
      </c>
      <c r="M45" s="143">
        <f>M36*$D$14+M10</f>
        <v>243825600</v>
      </c>
      <c r="N45" s="146"/>
      <c r="O45" s="145"/>
      <c r="P45" s="144"/>
      <c r="Q45" s="143"/>
      <c r="R45" s="147"/>
      <c r="S45" s="196"/>
    </row>
    <row r="46" spans="1:20" ht="18.75" customHeight="1" x14ac:dyDescent="0.25">
      <c r="A46" s="352">
        <v>39</v>
      </c>
      <c r="B46" s="240" t="s">
        <v>98</v>
      </c>
      <c r="C46" s="250" t="s">
        <v>9</v>
      </c>
      <c r="D46" s="242">
        <f>G46+H46+I46+J46</f>
        <v>21610800</v>
      </c>
      <c r="E46" s="246"/>
      <c r="F46" s="245"/>
      <c r="G46" s="245">
        <f>G45*20/120</f>
        <v>4698000</v>
      </c>
      <c r="H46" s="245">
        <f t="shared" ref="H46:L46" si="10">H45*20/120</f>
        <v>5637600</v>
      </c>
      <c r="I46" s="245">
        <f t="shared" si="10"/>
        <v>5637600</v>
      </c>
      <c r="J46" s="246">
        <f t="shared" si="10"/>
        <v>5637600</v>
      </c>
      <c r="K46" s="247">
        <f t="shared" si="10"/>
        <v>5637600</v>
      </c>
      <c r="L46" s="246">
        <f t="shared" si="10"/>
        <v>5637600</v>
      </c>
      <c r="M46" s="245">
        <f>(M45-D17)*20/120</f>
        <v>37887600</v>
      </c>
      <c r="N46" s="248"/>
      <c r="O46" s="247"/>
      <c r="P46" s="246"/>
      <c r="Q46" s="245"/>
      <c r="R46" s="249"/>
      <c r="S46" s="192"/>
      <c r="T46" s="26"/>
    </row>
    <row r="47" spans="1:20" ht="21.75" customHeight="1" x14ac:dyDescent="0.25">
      <c r="A47" s="319">
        <v>40</v>
      </c>
      <c r="B47" s="169" t="s">
        <v>54</v>
      </c>
      <c r="C47" s="14" t="s">
        <v>9</v>
      </c>
      <c r="D47" s="131">
        <f t="shared" ref="D47:D53" si="11">G47+H47+I47+J47</f>
        <v>32055518.208333336</v>
      </c>
      <c r="E47" s="68"/>
      <c r="F47" s="69"/>
      <c r="G47" s="69">
        <f>(G45-G46)-(G43-G44)</f>
        <v>8287736.666666666</v>
      </c>
      <c r="H47" s="69">
        <f t="shared" ref="H47:R47" si="12">(H45-H46)-(H43-H44)</f>
        <v>9761486.6666666679</v>
      </c>
      <c r="I47" s="69">
        <f t="shared" si="12"/>
        <v>7003147.4375</v>
      </c>
      <c r="J47" s="68">
        <f t="shared" si="12"/>
        <v>7003147.4375</v>
      </c>
      <c r="K47" s="71">
        <f t="shared" si="12"/>
        <v>7003147.4375</v>
      </c>
      <c r="L47" s="68">
        <f t="shared" si="12"/>
        <v>7003147.4375</v>
      </c>
      <c r="M47" s="69">
        <f t="shared" si="12"/>
        <v>115844702.08333331</v>
      </c>
      <c r="N47" s="72"/>
      <c r="O47" s="71"/>
      <c r="P47" s="68"/>
      <c r="Q47" s="69"/>
      <c r="R47" s="70"/>
      <c r="S47" s="198"/>
      <c r="T47" s="15"/>
    </row>
    <row r="48" spans="1:20" ht="19.5" customHeight="1" x14ac:dyDescent="0.25">
      <c r="A48" s="333">
        <v>41</v>
      </c>
      <c r="B48" s="171" t="s">
        <v>55</v>
      </c>
      <c r="C48" s="17" t="s">
        <v>9</v>
      </c>
      <c r="D48" s="148">
        <f t="shared" si="11"/>
        <v>6411103.6416666666</v>
      </c>
      <c r="E48" s="81"/>
      <c r="F48" s="83"/>
      <c r="G48" s="83">
        <f>G47*20%</f>
        <v>1657547.3333333333</v>
      </c>
      <c r="H48" s="83">
        <f t="shared" ref="H48:R48" si="13">H47*20%</f>
        <v>1952297.3333333337</v>
      </c>
      <c r="I48" s="83">
        <f t="shared" si="13"/>
        <v>1400629.4875</v>
      </c>
      <c r="J48" s="81">
        <f t="shared" si="13"/>
        <v>1400629.4875</v>
      </c>
      <c r="K48" s="149">
        <f t="shared" si="13"/>
        <v>1400629.4875</v>
      </c>
      <c r="L48" s="81">
        <f t="shared" si="13"/>
        <v>1400629.4875</v>
      </c>
      <c r="M48" s="83">
        <f t="shared" si="13"/>
        <v>23168940.416666664</v>
      </c>
      <c r="N48" s="150"/>
      <c r="O48" s="149"/>
      <c r="P48" s="81"/>
      <c r="Q48" s="83"/>
      <c r="R48" s="84"/>
      <c r="S48" s="198"/>
      <c r="T48" s="49"/>
    </row>
    <row r="49" spans="1:27" ht="18.75" x14ac:dyDescent="0.25">
      <c r="A49" s="361">
        <v>42</v>
      </c>
      <c r="B49" s="185" t="s">
        <v>59</v>
      </c>
      <c r="C49" s="52" t="s">
        <v>9</v>
      </c>
      <c r="D49" s="151">
        <f>D47-D48</f>
        <v>25644414.56666667</v>
      </c>
      <c r="E49" s="152"/>
      <c r="F49" s="153"/>
      <c r="G49" s="154">
        <f>G47-G48</f>
        <v>6630189.333333333</v>
      </c>
      <c r="H49" s="154">
        <f t="shared" ref="H49:R49" si="14">H47-H48</f>
        <v>7809189.333333334</v>
      </c>
      <c r="I49" s="154">
        <f t="shared" si="14"/>
        <v>5602517.9500000002</v>
      </c>
      <c r="J49" s="155">
        <f t="shared" si="14"/>
        <v>5602517.9500000002</v>
      </c>
      <c r="K49" s="156">
        <f t="shared" si="14"/>
        <v>5602517.9500000002</v>
      </c>
      <c r="L49" s="155">
        <f t="shared" si="14"/>
        <v>5602517.9500000002</v>
      </c>
      <c r="M49" s="154">
        <f t="shared" si="14"/>
        <v>92675761.666666657</v>
      </c>
      <c r="N49" s="157"/>
      <c r="O49" s="156"/>
      <c r="P49" s="155"/>
      <c r="Q49" s="154"/>
      <c r="R49" s="158"/>
      <c r="S49" s="196"/>
      <c r="T49" s="26"/>
    </row>
    <row r="50" spans="1:27" ht="37.5" x14ac:dyDescent="0.25">
      <c r="A50" s="353">
        <v>43</v>
      </c>
      <c r="B50" s="251" t="s">
        <v>58</v>
      </c>
      <c r="C50" s="252" t="s">
        <v>9</v>
      </c>
      <c r="D50" s="253">
        <f t="shared" si="11"/>
        <v>10966983.333333334</v>
      </c>
      <c r="E50" s="254"/>
      <c r="F50" s="255"/>
      <c r="G50" s="255">
        <f>G46-G44</f>
        <v>2520683.3333333335</v>
      </c>
      <c r="H50" s="255">
        <f t="shared" ref="H50:R50" si="15">H46-H44</f>
        <v>2815433.3333333335</v>
      </c>
      <c r="I50" s="255">
        <f t="shared" si="15"/>
        <v>2815433.3333333335</v>
      </c>
      <c r="J50" s="254">
        <f t="shared" si="15"/>
        <v>2815433.3333333335</v>
      </c>
      <c r="K50" s="256">
        <f t="shared" si="15"/>
        <v>2815433.3333333335</v>
      </c>
      <c r="L50" s="254">
        <f t="shared" si="15"/>
        <v>2815433.3333333335</v>
      </c>
      <c r="M50" s="255">
        <f t="shared" si="15"/>
        <v>35065433.333333336</v>
      </c>
      <c r="N50" s="257"/>
      <c r="O50" s="256"/>
      <c r="P50" s="254"/>
      <c r="Q50" s="255"/>
      <c r="R50" s="258"/>
      <c r="S50" s="192"/>
      <c r="T50" s="26"/>
    </row>
    <row r="51" spans="1:27" ht="18.75" x14ac:dyDescent="0.25">
      <c r="A51" s="354">
        <v>44</v>
      </c>
      <c r="B51" s="259" t="s">
        <v>56</v>
      </c>
      <c r="C51" s="260" t="s">
        <v>9</v>
      </c>
      <c r="D51" s="261">
        <f t="shared" si="11"/>
        <v>10966983.333333334</v>
      </c>
      <c r="E51" s="262"/>
      <c r="F51" s="263"/>
      <c r="G51" s="263">
        <f>G50</f>
        <v>2520683.3333333335</v>
      </c>
      <c r="H51" s="263">
        <f t="shared" ref="H51:J51" si="16">H50</f>
        <v>2815433.3333333335</v>
      </c>
      <c r="I51" s="263">
        <f t="shared" si="16"/>
        <v>2815433.3333333335</v>
      </c>
      <c r="J51" s="262">
        <f t="shared" si="16"/>
        <v>2815433.3333333335</v>
      </c>
      <c r="K51" s="264">
        <f>D35-J51-I51-H51-G51</f>
        <v>1694715.1666666665</v>
      </c>
      <c r="L51" s="262"/>
      <c r="M51" s="263"/>
      <c r="N51" s="265"/>
      <c r="O51" s="264"/>
      <c r="P51" s="262"/>
      <c r="Q51" s="263"/>
      <c r="R51" s="266"/>
      <c r="S51" s="192"/>
      <c r="T51" s="26"/>
    </row>
    <row r="52" spans="1:27" ht="19.5" x14ac:dyDescent="0.25">
      <c r="A52" s="352">
        <v>45</v>
      </c>
      <c r="B52" s="267" t="s">
        <v>57</v>
      </c>
      <c r="C52" s="268" t="s">
        <v>9</v>
      </c>
      <c r="D52" s="269">
        <f>D50-D51</f>
        <v>0</v>
      </c>
      <c r="E52" s="270"/>
      <c r="F52" s="271"/>
      <c r="G52" s="272">
        <f>G50-G51</f>
        <v>0</v>
      </c>
      <c r="H52" s="272">
        <f t="shared" ref="H52:R52" si="17">H50-H51</f>
        <v>0</v>
      </c>
      <c r="I52" s="271">
        <f t="shared" si="17"/>
        <v>0</v>
      </c>
      <c r="J52" s="270">
        <f t="shared" si="17"/>
        <v>0</v>
      </c>
      <c r="K52" s="273">
        <f t="shared" si="17"/>
        <v>1120718.166666667</v>
      </c>
      <c r="L52" s="270">
        <f t="shared" si="17"/>
        <v>2815433.3333333335</v>
      </c>
      <c r="M52" s="271">
        <f t="shared" si="17"/>
        <v>35065433.333333336</v>
      </c>
      <c r="N52" s="274"/>
      <c r="O52" s="273"/>
      <c r="P52" s="270"/>
      <c r="Q52" s="271"/>
      <c r="R52" s="275"/>
      <c r="S52" s="193"/>
      <c r="T52" s="26"/>
    </row>
    <row r="53" spans="1:27" ht="85.5" customHeight="1" thickBot="1" x14ac:dyDescent="0.3">
      <c r="A53" s="362">
        <v>46</v>
      </c>
      <c r="B53" s="186" t="s">
        <v>69</v>
      </c>
      <c r="C53" s="51" t="s">
        <v>9</v>
      </c>
      <c r="D53" s="159">
        <f t="shared" si="11"/>
        <v>42128076.358333334</v>
      </c>
      <c r="E53" s="160"/>
      <c r="F53" s="161"/>
      <c r="G53" s="162">
        <f>G49+G51+G42</f>
        <v>9150872.666666666</v>
      </c>
      <c r="H53" s="162">
        <f t="shared" ref="H53:R53" si="18">H49+H51+H42</f>
        <v>10624622.666666668</v>
      </c>
      <c r="I53" s="162">
        <f t="shared" si="18"/>
        <v>11176290.512499999</v>
      </c>
      <c r="J53" s="163">
        <f t="shared" si="18"/>
        <v>11176290.512499999</v>
      </c>
      <c r="K53" s="164">
        <f t="shared" si="18"/>
        <v>10055572.345833333</v>
      </c>
      <c r="L53" s="163">
        <f t="shared" si="18"/>
        <v>8360857.1791666672</v>
      </c>
      <c r="M53" s="162">
        <f t="shared" si="18"/>
        <v>95434100.895833328</v>
      </c>
      <c r="N53" s="165"/>
      <c r="O53" s="164"/>
      <c r="P53" s="163"/>
      <c r="Q53" s="162"/>
      <c r="R53" s="166"/>
      <c r="S53" s="194"/>
      <c r="T53" s="26"/>
      <c r="Z53" s="1">
        <v>18145795.398611113</v>
      </c>
      <c r="AA53" s="1">
        <v>18145795.398611113</v>
      </c>
    </row>
    <row r="54" spans="1:27" ht="37.5" x14ac:dyDescent="0.25">
      <c r="A54" s="363">
        <v>47</v>
      </c>
      <c r="B54" s="206" t="s">
        <v>86</v>
      </c>
      <c r="C54" s="207" t="s">
        <v>9</v>
      </c>
      <c r="D54" s="208">
        <f>SUM(G54:R54)</f>
        <v>113446839.74333332</v>
      </c>
      <c r="E54" s="209"/>
      <c r="F54" s="210"/>
      <c r="G54" s="211">
        <f>G53-G55</f>
        <v>7161815.8666666662</v>
      </c>
      <c r="H54" s="211">
        <f t="shared" ref="H54:P54" si="19">H53-H55</f>
        <v>8281865.8666666672</v>
      </c>
      <c r="I54" s="211">
        <f t="shared" si="19"/>
        <v>9495535.1274999995</v>
      </c>
      <c r="J54" s="212">
        <f>J53-J55+36000000</f>
        <v>45495535.127499998</v>
      </c>
      <c r="K54" s="302">
        <f t="shared" si="19"/>
        <v>8374816.9608333334</v>
      </c>
      <c r="L54" s="212">
        <f t="shared" si="19"/>
        <v>6680101.7941666674</v>
      </c>
      <c r="M54" s="302">
        <v>27957169</v>
      </c>
      <c r="N54" s="303"/>
      <c r="O54" s="304"/>
      <c r="P54" s="212"/>
      <c r="Q54" s="54"/>
      <c r="R54" s="58"/>
      <c r="S54" s="196"/>
      <c r="T54" s="15"/>
    </row>
    <row r="55" spans="1:27" ht="60.75" customHeight="1" thickBot="1" x14ac:dyDescent="0.3">
      <c r="A55" s="364">
        <v>48</v>
      </c>
      <c r="B55" s="213" t="s">
        <v>97</v>
      </c>
      <c r="C55" s="214" t="s">
        <v>9</v>
      </c>
      <c r="D55" s="215">
        <f>G55+H55+I55+J55</f>
        <v>7693324.3699999992</v>
      </c>
      <c r="E55" s="216"/>
      <c r="F55" s="217"/>
      <c r="G55" s="218">
        <f>G49*30%</f>
        <v>1989056.7999999998</v>
      </c>
      <c r="H55" s="218">
        <f t="shared" ref="H55:O55" si="20">H49*30%</f>
        <v>2342756.8000000003</v>
      </c>
      <c r="I55" s="218">
        <f t="shared" si="20"/>
        <v>1680755.385</v>
      </c>
      <c r="J55" s="219">
        <f t="shared" si="20"/>
        <v>1680755.385</v>
      </c>
      <c r="K55" s="220">
        <f t="shared" si="20"/>
        <v>1680755.385</v>
      </c>
      <c r="L55" s="219">
        <f t="shared" si="20"/>
        <v>1680755.385</v>
      </c>
      <c r="M55" s="218">
        <f>M53-M54</f>
        <v>67476931.895833328</v>
      </c>
      <c r="N55" s="221"/>
      <c r="O55" s="220"/>
      <c r="P55" s="219"/>
      <c r="Q55" s="218"/>
      <c r="R55" s="222"/>
      <c r="S55" s="196"/>
      <c r="T55" s="15"/>
    </row>
    <row r="56" spans="1:27" ht="57" thickBot="1" x14ac:dyDescent="0.3">
      <c r="A56" s="364">
        <v>49</v>
      </c>
      <c r="B56" s="213" t="s">
        <v>92</v>
      </c>
      <c r="C56" s="214"/>
      <c r="D56" s="215">
        <f>SUM(G56:J56)</f>
        <v>0</v>
      </c>
      <c r="E56" s="216"/>
      <c r="F56" s="217"/>
      <c r="G56" s="218">
        <f>G53-G54-G55</f>
        <v>0</v>
      </c>
      <c r="H56" s="218">
        <f t="shared" ref="H56:I56" si="21">H53-H54-H55</f>
        <v>0</v>
      </c>
      <c r="I56" s="218">
        <f t="shared" si="21"/>
        <v>0</v>
      </c>
      <c r="J56" s="219">
        <f>J53-J54-J55+J9</f>
        <v>0</v>
      </c>
      <c r="K56" s="220">
        <f>K53-K54-K55+K8</f>
        <v>-2.3283064365386963E-10</v>
      </c>
      <c r="L56" s="219">
        <f>L53-L54-L55+L8</f>
        <v>-4.6566128730773926E-10</v>
      </c>
      <c r="M56" s="218">
        <f>M53-M54-M55+M8</f>
        <v>-4.6566128730773926E-10</v>
      </c>
      <c r="N56" s="221"/>
      <c r="O56" s="220"/>
      <c r="P56" s="219"/>
      <c r="Q56" s="218"/>
      <c r="R56" s="222"/>
      <c r="S56" s="33"/>
    </row>
    <row r="57" spans="1:27" x14ac:dyDescent="0.25">
      <c r="C57" s="286"/>
      <c r="D57" s="286"/>
      <c r="E57" s="286"/>
      <c r="F57" s="286"/>
      <c r="G57" s="286"/>
      <c r="H57" s="286"/>
      <c r="I57" s="286"/>
      <c r="J57" s="21">
        <f>D34-D54</f>
        <v>0.25666667520999908</v>
      </c>
      <c r="K57" s="38"/>
      <c r="L57" s="33"/>
      <c r="M57" s="38"/>
      <c r="N57" s="33"/>
      <c r="O57" s="33"/>
      <c r="P57" s="33"/>
      <c r="Q57" s="33"/>
      <c r="R57" s="33"/>
      <c r="S57" s="33"/>
    </row>
    <row r="58" spans="1:27" x14ac:dyDescent="0.25">
      <c r="B58" s="39"/>
      <c r="C58" s="34"/>
      <c r="D58" s="35">
        <f>(D45-D46)-((D43-D44)/(D45-D46))*100</f>
        <v>108053929.66620228</v>
      </c>
      <c r="G58" s="50"/>
      <c r="H58" s="50"/>
      <c r="I58" s="50"/>
      <c r="J58" s="50"/>
      <c r="K58" s="50">
        <f>K53/3</f>
        <v>3351857.4486111109</v>
      </c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>
        <f>Z53*60%</f>
        <v>10887477.239166668</v>
      </c>
      <c r="AA58" s="50">
        <f>AA53*60%</f>
        <v>10887477.239166668</v>
      </c>
    </row>
    <row r="59" spans="1:27" x14ac:dyDescent="0.25">
      <c r="B59" s="40"/>
      <c r="D59" s="36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27" ht="15.75" x14ac:dyDescent="0.25">
      <c r="C60" s="34"/>
      <c r="D60" s="37"/>
      <c r="G60" s="21"/>
      <c r="J60" s="38"/>
      <c r="K60" s="33"/>
      <c r="M60" s="21"/>
    </row>
    <row r="61" spans="1:27" x14ac:dyDescent="0.25">
      <c r="D61" s="36"/>
      <c r="E61" s="21"/>
      <c r="K61" s="33"/>
      <c r="M61" s="21"/>
      <c r="N61" s="21"/>
      <c r="O61" s="21"/>
      <c r="P61" s="21"/>
      <c r="Q61" s="21"/>
      <c r="R61" s="21"/>
      <c r="S61" s="21"/>
    </row>
    <row r="62" spans="1:27" x14ac:dyDescent="0.25">
      <c r="B62" s="31"/>
      <c r="C62" s="204"/>
      <c r="D62" s="36"/>
    </row>
    <row r="63" spans="1:27" ht="37.5" customHeight="1" x14ac:dyDescent="0.25">
      <c r="A63" s="340" t="s">
        <v>94</v>
      </c>
      <c r="B63" s="282" t="s">
        <v>41</v>
      </c>
      <c r="C63" s="282"/>
      <c r="D63" s="340">
        <f>SUM(D64:D78)</f>
        <v>36150000</v>
      </c>
    </row>
    <row r="64" spans="1:27" ht="20.25" x14ac:dyDescent="0.25">
      <c r="A64" s="335">
        <v>1</v>
      </c>
      <c r="B64" s="281" t="s">
        <v>68</v>
      </c>
      <c r="C64" s="281"/>
      <c r="D64" s="341">
        <v>11400000</v>
      </c>
      <c r="E64" s="26"/>
    </row>
    <row r="65" spans="1:4" ht="20.25" x14ac:dyDescent="0.25">
      <c r="A65" s="336">
        <v>2</v>
      </c>
      <c r="B65" s="280" t="s">
        <v>73</v>
      </c>
      <c r="C65" s="280"/>
      <c r="D65" s="342">
        <v>3600000</v>
      </c>
    </row>
    <row r="66" spans="1:4" ht="20.25" x14ac:dyDescent="0.25">
      <c r="A66" s="337">
        <v>3</v>
      </c>
      <c r="B66" s="280" t="s">
        <v>78</v>
      </c>
      <c r="C66" s="280"/>
      <c r="D66" s="343">
        <v>650000</v>
      </c>
    </row>
    <row r="67" spans="1:4" ht="40.5" customHeight="1" x14ac:dyDescent="0.25">
      <c r="A67" s="336">
        <v>4</v>
      </c>
      <c r="B67" s="280" t="s">
        <v>81</v>
      </c>
      <c r="C67" s="280"/>
      <c r="D67" s="342">
        <v>2100000</v>
      </c>
    </row>
    <row r="68" spans="1:4" ht="20.25" x14ac:dyDescent="0.25">
      <c r="A68" s="336">
        <v>5</v>
      </c>
      <c r="B68" s="280" t="s">
        <v>82</v>
      </c>
      <c r="C68" s="280"/>
      <c r="D68" s="342">
        <v>5300000</v>
      </c>
    </row>
    <row r="69" spans="1:4" ht="20.25" x14ac:dyDescent="0.25">
      <c r="A69" s="336">
        <v>6</v>
      </c>
      <c r="B69" s="280" t="s">
        <v>77</v>
      </c>
      <c r="C69" s="280"/>
      <c r="D69" s="342">
        <v>1550000</v>
      </c>
    </row>
    <row r="70" spans="1:4" ht="20.25" x14ac:dyDescent="0.25">
      <c r="A70" s="336">
        <v>7</v>
      </c>
      <c r="B70" s="280" t="s">
        <v>35</v>
      </c>
      <c r="C70" s="280"/>
      <c r="D70" s="342">
        <v>460000</v>
      </c>
    </row>
    <row r="71" spans="1:4" ht="20.25" x14ac:dyDescent="0.25">
      <c r="A71" s="336">
        <v>8</v>
      </c>
      <c r="B71" s="280" t="s">
        <v>36</v>
      </c>
      <c r="C71" s="280"/>
      <c r="D71" s="342">
        <v>180000</v>
      </c>
    </row>
    <row r="72" spans="1:4" ht="20.25" x14ac:dyDescent="0.25">
      <c r="A72" s="336">
        <v>9</v>
      </c>
      <c r="B72" s="280" t="s">
        <v>42</v>
      </c>
      <c r="C72" s="280"/>
      <c r="D72" s="342">
        <v>700000</v>
      </c>
    </row>
    <row r="73" spans="1:4" ht="20.25" x14ac:dyDescent="0.25">
      <c r="A73" s="337">
        <v>10</v>
      </c>
      <c r="B73" s="285" t="s">
        <v>37</v>
      </c>
      <c r="C73" s="285"/>
      <c r="D73" s="343">
        <v>4370000</v>
      </c>
    </row>
    <row r="74" spans="1:4" ht="20.25" x14ac:dyDescent="0.25">
      <c r="A74" s="336">
        <v>11</v>
      </c>
      <c r="B74" s="280" t="s">
        <v>40</v>
      </c>
      <c r="C74" s="280"/>
      <c r="D74" s="342">
        <v>320000</v>
      </c>
    </row>
    <row r="75" spans="1:4" ht="20.25" x14ac:dyDescent="0.25">
      <c r="A75" s="338">
        <v>12</v>
      </c>
      <c r="B75" s="280" t="s">
        <v>76</v>
      </c>
      <c r="C75" s="280"/>
      <c r="D75" s="344">
        <f>2350000-1640000</f>
        <v>710000</v>
      </c>
    </row>
    <row r="76" spans="1:4" ht="20.25" x14ac:dyDescent="0.25">
      <c r="A76" s="338">
        <v>13</v>
      </c>
      <c r="B76" s="280" t="s">
        <v>80</v>
      </c>
      <c r="C76" s="280"/>
      <c r="D76" s="344">
        <v>1640000</v>
      </c>
    </row>
    <row r="77" spans="1:4" ht="20.25" x14ac:dyDescent="0.25">
      <c r="A77" s="338">
        <v>14</v>
      </c>
      <c r="B77" s="280" t="s">
        <v>75</v>
      </c>
      <c r="C77" s="280"/>
      <c r="D77" s="344">
        <v>1520000</v>
      </c>
    </row>
    <row r="78" spans="1:4" ht="20.25" x14ac:dyDescent="0.25">
      <c r="A78" s="339">
        <v>15</v>
      </c>
      <c r="B78" s="284" t="s">
        <v>74</v>
      </c>
      <c r="C78" s="284"/>
      <c r="D78" s="345">
        <v>1650000</v>
      </c>
    </row>
    <row r="79" spans="1:4" ht="20.25" x14ac:dyDescent="0.25">
      <c r="B79" s="283"/>
      <c r="C79" s="283"/>
      <c r="D79" s="223"/>
    </row>
    <row r="80" spans="1:4" x14ac:dyDescent="0.25">
      <c r="C80" s="32"/>
    </row>
    <row r="81" spans="2:27" x14ac:dyDescent="0.25">
      <c r="B81" s="31"/>
      <c r="C81" s="32"/>
    </row>
    <row r="82" spans="2:27" x14ac:dyDescent="0.25">
      <c r="B82" s="31"/>
      <c r="C82" s="32"/>
    </row>
    <row r="83" spans="2:27" s="20" customFormat="1" x14ac:dyDescent="0.25">
      <c r="B83" s="31"/>
      <c r="C83" s="3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s="20" customFormat="1" x14ac:dyDescent="0.25">
      <c r="B84" s="31"/>
      <c r="C84" s="3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s="20" customFormat="1" x14ac:dyDescent="0.25">
      <c r="B85" s="31"/>
      <c r="C85" s="3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s="20" customFormat="1" x14ac:dyDescent="0.25">
      <c r="B86" s="31"/>
      <c r="C86" s="3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s="20" customFormat="1" x14ac:dyDescent="0.25">
      <c r="B87" s="31"/>
      <c r="C87" s="3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</sheetData>
  <mergeCells count="28">
    <mergeCell ref="A5:A7"/>
    <mergeCell ref="A4:R4"/>
    <mergeCell ref="A3:R3"/>
    <mergeCell ref="A2:R2"/>
    <mergeCell ref="A1:R1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C57:I57"/>
    <mergeCell ref="B63:C63"/>
    <mergeCell ref="B64:C64"/>
    <mergeCell ref="B65:C65"/>
    <mergeCell ref="B66:C66"/>
    <mergeCell ref="B67:C67"/>
    <mergeCell ref="B5:B6"/>
    <mergeCell ref="C5:C6"/>
    <mergeCell ref="D5:D6"/>
    <mergeCell ref="E5:I5"/>
    <mergeCell ref="J5:R5"/>
  </mergeCells>
  <pageMargins left="0.62992125984251968" right="0.23622047244094491" top="0.19685039370078741" bottom="0.19685039370078741" header="0" footer="0.31496062992125984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Расчеты для Инвестора</vt:lpstr>
      <vt:lpstr>С привлечением кредитной линии</vt:lpstr>
      <vt:lpstr>Без кредитной линии</vt:lpstr>
      <vt:lpstr>С продажей объекта</vt:lpstr>
      <vt:lpstr>'Без кредитной линии'!Область_печати</vt:lpstr>
      <vt:lpstr>'С привлечением кредитной линии'!Область_печати</vt:lpstr>
      <vt:lpstr>'С продажей объекта'!Область_печати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2022-12-16T10:12:48Z</cp:lastPrinted>
  <dcterms:created xsi:type="dcterms:W3CDTF">2020-08-26T11:01:23Z</dcterms:created>
  <dcterms:modified xsi:type="dcterms:W3CDTF">2022-12-16T10:14:55Z</dcterms:modified>
</cp:coreProperties>
</file>