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\OneDrive\Рабочий стол\"/>
    </mc:Choice>
  </mc:AlternateContent>
  <bookViews>
    <workbookView xWindow="0" yWindow="0" windowWidth="19200" windowHeight="7032"/>
  </bookViews>
  <sheets>
    <sheet name="ТЭП" sheetId="1" r:id="rId1"/>
    <sheet name="ШР" sheetId="3" r:id="rId2"/>
    <sheet name="техника" sheetId="2" r:id="rId3"/>
    <sheet name="Затраты" sheetId="4" r:id="rId4"/>
    <sheet name="Доход" sheetId="5" r:id="rId5"/>
    <sheet name="Налоги" sheetId="6" r:id="rId6"/>
    <sheet name="Этапы" sheetId="8" r:id="rId7"/>
    <sheet name="ФОТ" sheetId="9" r:id="rId8"/>
    <sheet name="ДДС" sheetId="10" r:id="rId9"/>
  </sheets>
  <externalReferences>
    <externalReference r:id="rId10"/>
    <externalReference r:id="rId11"/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0" l="1"/>
  <c r="H60" i="10" l="1"/>
  <c r="B5" i="10" l="1"/>
  <c r="B55" i="10" l="1"/>
  <c r="B54" i="10"/>
  <c r="B52" i="10"/>
  <c r="B51" i="10"/>
  <c r="B48" i="10"/>
  <c r="C15" i="10"/>
  <c r="B41" i="10" l="1"/>
  <c r="C4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T70" i="10"/>
  <c r="T95" i="10" s="1"/>
  <c r="S70" i="10"/>
  <c r="S95" i="10" s="1"/>
  <c r="R70" i="10"/>
  <c r="R95" i="10" s="1"/>
  <c r="Q70" i="10"/>
  <c r="Q95" i="10" s="1"/>
  <c r="P70" i="10"/>
  <c r="P95" i="10" s="1"/>
  <c r="O70" i="10"/>
  <c r="O95" i="10" s="1"/>
  <c r="N70" i="10"/>
  <c r="N95" i="10" s="1"/>
  <c r="M70" i="10"/>
  <c r="M95" i="10" s="1"/>
  <c r="L70" i="10"/>
  <c r="L95" i="10" s="1"/>
  <c r="K70" i="10"/>
  <c r="K95" i="10" s="1"/>
  <c r="J70" i="10"/>
  <c r="J95" i="10" s="1"/>
  <c r="I70" i="10"/>
  <c r="I95" i="10" s="1"/>
  <c r="H70" i="10"/>
  <c r="H95" i="10" s="1"/>
  <c r="G70" i="10"/>
  <c r="F70" i="10"/>
  <c r="F95" i="10" s="1"/>
  <c r="E70" i="10"/>
  <c r="E95" i="10" s="1"/>
  <c r="D70" i="10"/>
  <c r="D95" i="10" s="1"/>
  <c r="C70" i="10"/>
  <c r="C95" i="10" s="1"/>
  <c r="T60" i="10"/>
  <c r="T94" i="10" s="1"/>
  <c r="S60" i="10"/>
  <c r="S94" i="10" s="1"/>
  <c r="R60" i="10"/>
  <c r="R94" i="10" s="1"/>
  <c r="Q60" i="10"/>
  <c r="Q94" i="10" s="1"/>
  <c r="P60" i="10"/>
  <c r="P94" i="10" s="1"/>
  <c r="O60" i="10"/>
  <c r="O94" i="10" s="1"/>
  <c r="N60" i="10"/>
  <c r="N94" i="10" s="1"/>
  <c r="M60" i="10"/>
  <c r="M94" i="10" s="1"/>
  <c r="L60" i="10"/>
  <c r="L94" i="10" s="1"/>
  <c r="K60" i="10"/>
  <c r="K94" i="10" s="1"/>
  <c r="J60" i="10"/>
  <c r="J94" i="10" s="1"/>
  <c r="I60" i="10"/>
  <c r="I94" i="10" s="1"/>
  <c r="H94" i="10"/>
  <c r="G60" i="10"/>
  <c r="G94" i="10" s="1"/>
  <c r="F60" i="10"/>
  <c r="F94" i="10" s="1"/>
  <c r="E60" i="10"/>
  <c r="E94" i="10" s="1"/>
  <c r="D60" i="10"/>
  <c r="D94" i="10" s="1"/>
  <c r="C60" i="10"/>
  <c r="C94" i="10" s="1"/>
  <c r="N15" i="10"/>
  <c r="M15" i="10"/>
  <c r="L15" i="10"/>
  <c r="K15" i="10"/>
  <c r="J15" i="10"/>
  <c r="I15" i="10"/>
  <c r="H15" i="10"/>
  <c r="G15" i="10"/>
  <c r="F15" i="10"/>
  <c r="E15" i="10"/>
  <c r="D15" i="10"/>
  <c r="T7" i="10"/>
  <c r="T6" i="10" s="1"/>
  <c r="T98" i="10" s="1"/>
  <c r="S7" i="10"/>
  <c r="R7" i="10"/>
  <c r="R6" i="10" s="1"/>
  <c r="Q7" i="10"/>
  <c r="Q6" i="10" s="1"/>
  <c r="P7" i="10"/>
  <c r="P6" i="10" s="1"/>
  <c r="P98" i="10" s="1"/>
  <c r="O7" i="10"/>
  <c r="N7" i="10"/>
  <c r="N6" i="10" s="1"/>
  <c r="M7" i="10"/>
  <c r="M6" i="10" s="1"/>
  <c r="L7" i="10"/>
  <c r="L6" i="10" s="1"/>
  <c r="L98" i="10" s="1"/>
  <c r="K7" i="10"/>
  <c r="J7" i="10"/>
  <c r="J6" i="10" s="1"/>
  <c r="I7" i="10"/>
  <c r="I6" i="10" s="1"/>
  <c r="H7" i="10"/>
  <c r="H6" i="10" s="1"/>
  <c r="H98" i="10" s="1"/>
  <c r="G7" i="10"/>
  <c r="F7" i="10"/>
  <c r="F6" i="10" s="1"/>
  <c r="E7" i="10"/>
  <c r="E6" i="10" s="1"/>
  <c r="D7" i="10"/>
  <c r="D6" i="10" s="1"/>
  <c r="D98" i="10" s="1"/>
  <c r="C7" i="10"/>
  <c r="C6" i="10" s="1"/>
  <c r="C98" i="10" s="1"/>
  <c r="S6" i="10"/>
  <c r="S98" i="10" s="1"/>
  <c r="O6" i="10"/>
  <c r="O98" i="10" s="1"/>
  <c r="K6" i="10"/>
  <c r="K98" i="10" s="1"/>
  <c r="G6" i="10"/>
  <c r="G98" i="10" s="1"/>
  <c r="G95" i="10" l="1"/>
  <c r="B70" i="10"/>
  <c r="B60" i="10"/>
  <c r="B94" i="10" s="1"/>
  <c r="E97" i="10"/>
  <c r="E98" i="10"/>
  <c r="Q97" i="10"/>
  <c r="Q98" i="10"/>
  <c r="F97" i="10"/>
  <c r="F98" i="10"/>
  <c r="M97" i="10"/>
  <c r="M98" i="10"/>
  <c r="I97" i="10"/>
  <c r="I98" i="10"/>
  <c r="J97" i="10"/>
  <c r="J98" i="10"/>
  <c r="N97" i="10"/>
  <c r="N98" i="10"/>
  <c r="R97" i="10"/>
  <c r="R98" i="10"/>
  <c r="C97" i="10"/>
  <c r="G97" i="10"/>
  <c r="K97" i="10"/>
  <c r="K13" i="10" s="1"/>
  <c r="O97" i="10"/>
  <c r="O13" i="10" s="1"/>
  <c r="S97" i="10"/>
  <c r="S13" i="10" s="1"/>
  <c r="D97" i="10"/>
  <c r="D13" i="10" s="1"/>
  <c r="H97" i="10"/>
  <c r="H13" i="10" s="1"/>
  <c r="L97" i="10"/>
  <c r="L13" i="10" s="1"/>
  <c r="P97" i="10"/>
  <c r="P13" i="10" s="1"/>
  <c r="T97" i="10"/>
  <c r="T13" i="10" s="1"/>
  <c r="R13" i="10" l="1"/>
  <c r="R103" i="10" s="1"/>
  <c r="Q13" i="10"/>
  <c r="Q103" i="10" s="1"/>
  <c r="J13" i="10"/>
  <c r="J103" i="10" s="1"/>
  <c r="M13" i="10"/>
  <c r="M103" i="10" s="1"/>
  <c r="G13" i="10"/>
  <c r="G103" i="10" s="1"/>
  <c r="I13" i="10"/>
  <c r="I103" i="10" s="1"/>
  <c r="F13" i="10"/>
  <c r="E13" i="10"/>
  <c r="E103" i="10" s="1"/>
  <c r="N13" i="10"/>
  <c r="N103" i="10" s="1"/>
  <c r="C13" i="10"/>
  <c r="C103" i="10" s="1"/>
  <c r="K103" i="10"/>
  <c r="H103" i="10"/>
  <c r="B95" i="10"/>
  <c r="B92" i="10"/>
  <c r="T103" i="10"/>
  <c r="D103" i="10"/>
  <c r="P103" i="10"/>
  <c r="L103" i="10"/>
  <c r="O103" i="10"/>
  <c r="S103" i="10"/>
  <c r="B13" i="10" l="1"/>
  <c r="F103" i="10"/>
  <c r="C105" i="10"/>
  <c r="D4" i="10" s="1"/>
  <c r="D105" i="10" s="1"/>
  <c r="E4" i="10" s="1"/>
  <c r="E105" i="10" s="1"/>
  <c r="F4" i="10" l="1"/>
  <c r="F105" i="10" l="1"/>
  <c r="G4" i="10" s="1"/>
  <c r="G105" i="10" l="1"/>
  <c r="H4" i="10" s="1"/>
  <c r="H105" i="10" s="1"/>
  <c r="I4" i="10" s="1"/>
  <c r="I105" i="10" s="1"/>
  <c r="J4" i="10" s="1"/>
  <c r="J105" i="10" s="1"/>
  <c r="K4" i="10" l="1"/>
  <c r="K105" i="10" s="1"/>
  <c r="L4" i="10" l="1"/>
  <c r="L105" i="10" s="1"/>
  <c r="M4" i="10" l="1"/>
  <c r="M105" i="10" s="1"/>
  <c r="N4" i="10" l="1"/>
  <c r="N105" i="10" s="1"/>
  <c r="O4" i="10" l="1"/>
  <c r="O105" i="10" s="1"/>
  <c r="P4" i="10" l="1"/>
  <c r="P105" i="10" s="1"/>
  <c r="C28" i="9"/>
  <c r="F27" i="9"/>
  <c r="E27" i="9"/>
  <c r="F26" i="9"/>
  <c r="E26" i="9"/>
  <c r="F25" i="9"/>
  <c r="E25" i="9"/>
  <c r="H25" i="9" s="1"/>
  <c r="F24" i="9"/>
  <c r="E24" i="9"/>
  <c r="F23" i="9"/>
  <c r="E23" i="9"/>
  <c r="G23" i="9" s="1"/>
  <c r="F22" i="9"/>
  <c r="E22" i="9"/>
  <c r="F21" i="9"/>
  <c r="E21" i="9"/>
  <c r="H21" i="9" s="1"/>
  <c r="F20" i="9"/>
  <c r="E20" i="9"/>
  <c r="F19" i="9"/>
  <c r="E19" i="9"/>
  <c r="G19" i="9" s="1"/>
  <c r="F18" i="9"/>
  <c r="E18" i="9"/>
  <c r="F17" i="9"/>
  <c r="E17" i="9"/>
  <c r="G17" i="9" s="1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F9" i="9"/>
  <c r="E9" i="9"/>
  <c r="G14" i="9" l="1"/>
  <c r="H18" i="9"/>
  <c r="H14" i="9"/>
  <c r="G13" i="9"/>
  <c r="H10" i="9"/>
  <c r="I10" i="9" s="1"/>
  <c r="J10" i="9" s="1"/>
  <c r="K10" i="9" s="1"/>
  <c r="G18" i="9"/>
  <c r="G21" i="9"/>
  <c r="G9" i="9"/>
  <c r="H16" i="9"/>
  <c r="I16" i="9" s="1"/>
  <c r="J16" i="9" s="1"/>
  <c r="K16" i="9" s="1"/>
  <c r="H22" i="9"/>
  <c r="I22" i="9" s="1"/>
  <c r="J22" i="9" s="1"/>
  <c r="K22" i="9" s="1"/>
  <c r="H26" i="9"/>
  <c r="I26" i="9" s="1"/>
  <c r="J26" i="9" s="1"/>
  <c r="K26" i="9" s="1"/>
  <c r="I14" i="9"/>
  <c r="J14" i="9" s="1"/>
  <c r="K14" i="9" s="1"/>
  <c r="G10" i="9"/>
  <c r="H12" i="9"/>
  <c r="G26" i="9"/>
  <c r="G15" i="9"/>
  <c r="H17" i="9"/>
  <c r="G22" i="9"/>
  <c r="H24" i="9"/>
  <c r="G25" i="9"/>
  <c r="I21" i="9"/>
  <c r="J21" i="9" s="1"/>
  <c r="K21" i="9" s="1"/>
  <c r="I25" i="9"/>
  <c r="J25" i="9" s="1"/>
  <c r="K25" i="9" s="1"/>
  <c r="H9" i="9"/>
  <c r="G11" i="9"/>
  <c r="H13" i="9"/>
  <c r="H20" i="9"/>
  <c r="G27" i="9"/>
  <c r="I18" i="9"/>
  <c r="J18" i="9" s="1"/>
  <c r="K18" i="9" s="1"/>
  <c r="Q4" i="10"/>
  <c r="Q105" i="10" s="1"/>
  <c r="H11" i="9"/>
  <c r="H15" i="9"/>
  <c r="H19" i="9"/>
  <c r="H23" i="9"/>
  <c r="H27" i="9"/>
  <c r="G12" i="9"/>
  <c r="G16" i="9"/>
  <c r="G20" i="9"/>
  <c r="G24" i="9"/>
  <c r="G46" i="4"/>
  <c r="C61" i="4"/>
  <c r="C63" i="4"/>
  <c r="I23" i="9" l="1"/>
  <c r="J23" i="9" s="1"/>
  <c r="K23" i="9" s="1"/>
  <c r="I24" i="9"/>
  <c r="J24" i="9" s="1"/>
  <c r="K24" i="9" s="1"/>
  <c r="I19" i="9"/>
  <c r="J19" i="9" s="1"/>
  <c r="K19" i="9" s="1"/>
  <c r="I20" i="9"/>
  <c r="J20" i="9" s="1"/>
  <c r="K20" i="9" s="1"/>
  <c r="I15" i="9"/>
  <c r="J15" i="9" s="1"/>
  <c r="K15" i="9" s="1"/>
  <c r="I13" i="9"/>
  <c r="J13" i="9" s="1"/>
  <c r="K13" i="9" s="1"/>
  <c r="I17" i="9"/>
  <c r="J17" i="9" s="1"/>
  <c r="K17" i="9" s="1"/>
  <c r="I12" i="9"/>
  <c r="J12" i="9" s="1"/>
  <c r="K12" i="9" s="1"/>
  <c r="I9" i="9"/>
  <c r="J9" i="9" s="1"/>
  <c r="I27" i="9"/>
  <c r="J27" i="9" s="1"/>
  <c r="K27" i="9" s="1"/>
  <c r="H28" i="9"/>
  <c r="E3" i="9" s="1"/>
  <c r="I11" i="9"/>
  <c r="J11" i="9" s="1"/>
  <c r="K11" i="9" s="1"/>
  <c r="R4" i="10"/>
  <c r="R105" i="10" s="1"/>
  <c r="K22" i="3"/>
  <c r="K9" i="9" l="1"/>
  <c r="K28" i="9" s="1"/>
  <c r="E5" i="9" s="1"/>
  <c r="J28" i="9"/>
  <c r="E4" i="9" s="1"/>
  <c r="I28" i="9"/>
  <c r="S4" i="10"/>
  <c r="S105" i="10" s="1"/>
  <c r="C23" i="3"/>
  <c r="D15" i="8"/>
  <c r="T4" i="10" l="1"/>
  <c r="T105" i="10" s="1"/>
  <c r="C62" i="4" l="1"/>
  <c r="D7" i="8"/>
  <c r="C68" i="4" s="1"/>
  <c r="D17" i="8" l="1"/>
  <c r="D56" i="1"/>
  <c r="D54" i="1"/>
  <c r="F12" i="6"/>
  <c r="D57" i="1" s="1"/>
  <c r="D11" i="6"/>
  <c r="F10" i="6" s="1"/>
  <c r="D55" i="1" s="1"/>
  <c r="D7" i="6"/>
  <c r="F6" i="6" s="1"/>
  <c r="D53" i="1" s="1"/>
  <c r="D3" i="6"/>
  <c r="F2" i="6" s="1"/>
  <c r="D51" i="1" l="1"/>
  <c r="C8" i="5"/>
  <c r="E7" i="5"/>
  <c r="E6" i="5"/>
  <c r="E5" i="5"/>
  <c r="E4" i="5"/>
  <c r="E8" i="5" l="1"/>
  <c r="C41" i="4"/>
  <c r="D42" i="1" s="1"/>
  <c r="C16" i="4"/>
  <c r="D41" i="1" s="1"/>
  <c r="C4" i="4"/>
  <c r="D39" i="1" s="1"/>
  <c r="D28" i="1"/>
  <c r="J22" i="3"/>
  <c r="F22" i="3"/>
  <c r="E22" i="3"/>
  <c r="H22" i="3" s="1"/>
  <c r="K21" i="3"/>
  <c r="J21" i="3"/>
  <c r="F21" i="3"/>
  <c r="E21" i="3"/>
  <c r="H21" i="3" s="1"/>
  <c r="K20" i="3"/>
  <c r="J20" i="3"/>
  <c r="F20" i="3"/>
  <c r="E20" i="3"/>
  <c r="K19" i="3"/>
  <c r="J19" i="3"/>
  <c r="F19" i="3"/>
  <c r="E19" i="3"/>
  <c r="H19" i="3" s="1"/>
  <c r="K18" i="3"/>
  <c r="J18" i="3"/>
  <c r="F18" i="3"/>
  <c r="E18" i="3"/>
  <c r="G18" i="3" s="1"/>
  <c r="K17" i="3"/>
  <c r="J17" i="3"/>
  <c r="F17" i="3"/>
  <c r="E17" i="3"/>
  <c r="H17" i="3" s="1"/>
  <c r="K16" i="3"/>
  <c r="J16" i="3"/>
  <c r="F16" i="3"/>
  <c r="E16" i="3"/>
  <c r="H16" i="3" s="1"/>
  <c r="K15" i="3"/>
  <c r="J15" i="3"/>
  <c r="F15" i="3"/>
  <c r="E15" i="3"/>
  <c r="H15" i="3" s="1"/>
  <c r="K14" i="3"/>
  <c r="J14" i="3"/>
  <c r="F14" i="3"/>
  <c r="E14" i="3"/>
  <c r="H14" i="3" s="1"/>
  <c r="K13" i="3"/>
  <c r="J13" i="3"/>
  <c r="F13" i="3"/>
  <c r="E13" i="3"/>
  <c r="K12" i="3"/>
  <c r="J12" i="3"/>
  <c r="F12" i="3"/>
  <c r="E12" i="3"/>
  <c r="K11" i="3"/>
  <c r="J11" i="3"/>
  <c r="F11" i="3"/>
  <c r="E11" i="3"/>
  <c r="K10" i="3"/>
  <c r="J10" i="3"/>
  <c r="F10" i="3"/>
  <c r="E10" i="3"/>
  <c r="G10" i="3" s="1"/>
  <c r="K9" i="3"/>
  <c r="J9" i="3"/>
  <c r="F9" i="3"/>
  <c r="E9" i="3"/>
  <c r="K8" i="3"/>
  <c r="J8" i="3"/>
  <c r="F8" i="3"/>
  <c r="E8" i="3"/>
  <c r="H8" i="3" s="1"/>
  <c r="K7" i="3"/>
  <c r="J7" i="3"/>
  <c r="F7" i="3"/>
  <c r="E7" i="3"/>
  <c r="G7" i="3" s="1"/>
  <c r="K6" i="3"/>
  <c r="J6" i="3"/>
  <c r="F6" i="3"/>
  <c r="E6" i="3"/>
  <c r="K5" i="3"/>
  <c r="J5" i="3"/>
  <c r="F5" i="3"/>
  <c r="E5" i="3"/>
  <c r="H5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K4" i="3"/>
  <c r="J4" i="3"/>
  <c r="F4" i="3"/>
  <c r="E4" i="3"/>
  <c r="G17" i="3" l="1"/>
  <c r="H4" i="3"/>
  <c r="G21" i="3"/>
  <c r="G6" i="3"/>
  <c r="H10" i="3"/>
  <c r="G12" i="3"/>
  <c r="H13" i="3"/>
  <c r="G13" i="3"/>
  <c r="H7" i="3"/>
  <c r="H9" i="3"/>
  <c r="G11" i="3"/>
  <c r="H12" i="3"/>
  <c r="G16" i="3"/>
  <c r="G22" i="3"/>
  <c r="C9" i="5"/>
  <c r="D44" i="1" s="1"/>
  <c r="D48" i="1"/>
  <c r="H6" i="3"/>
  <c r="G20" i="3"/>
  <c r="H11" i="3"/>
  <c r="H20" i="3"/>
  <c r="K23" i="3"/>
  <c r="C13" i="4" s="1"/>
  <c r="H18" i="3"/>
  <c r="J23" i="3"/>
  <c r="C12" i="4" s="1"/>
  <c r="G14" i="3"/>
  <c r="G5" i="3"/>
  <c r="G9" i="3"/>
  <c r="G4" i="3"/>
  <c r="G8" i="3"/>
  <c r="G15" i="3"/>
  <c r="G19" i="3"/>
  <c r="H23" i="3" l="1"/>
  <c r="L23" i="3" s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2" i="2" l="1"/>
  <c r="C15" i="4" s="1"/>
  <c r="F10" i="4"/>
  <c r="C10" i="4"/>
  <c r="C66" i="4" s="1"/>
  <c r="D47" i="1"/>
  <c r="D31" i="1" l="1"/>
  <c r="C11" i="4"/>
  <c r="C45" i="4" s="1"/>
  <c r="C44" i="4" s="1"/>
  <c r="C9" i="4" l="1"/>
  <c r="D40" i="1" s="1"/>
  <c r="D43" i="1"/>
  <c r="D37" i="1" l="1"/>
  <c r="D58" i="1" s="1"/>
  <c r="D61" i="1" s="1"/>
  <c r="C69" i="4"/>
  <c r="D45" i="1" s="1"/>
  <c r="D5" i="6"/>
  <c r="F4" i="6" s="1"/>
  <c r="E69" i="4" l="1"/>
  <c r="D52" i="1"/>
  <c r="F14" i="6"/>
  <c r="D49" i="1" l="1"/>
  <c r="D59" i="1"/>
  <c r="D60" i="1" l="1"/>
  <c r="D62" i="1"/>
</calcChain>
</file>

<file path=xl/comments1.xml><?xml version="1.0" encoding="utf-8"?>
<comments xmlns="http://schemas.openxmlformats.org/spreadsheetml/2006/main">
  <authors>
    <author>LXalunina@hotmail.com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 xml:space="preserve">I и II Этапы
</t>
        </r>
      </text>
    </comment>
    <comment ref="F5" authorId="0" shapeId="0">
      <text>
        <r>
          <rPr>
            <sz val="9"/>
            <color indexed="81"/>
            <rFont val="Tahoma"/>
            <family val="2"/>
            <charset val="204"/>
          </rPr>
          <t>Приобретение техники</t>
        </r>
      </text>
    </comment>
  </commentList>
</comments>
</file>

<file path=xl/sharedStrings.xml><?xml version="1.0" encoding="utf-8"?>
<sst xmlns="http://schemas.openxmlformats.org/spreadsheetml/2006/main" count="544" uniqueCount="411">
  <si>
    <t>№ п/п</t>
  </si>
  <si>
    <t>Наименование показателей</t>
  </si>
  <si>
    <t>Ед. измерения</t>
  </si>
  <si>
    <t>Величина</t>
  </si>
  <si>
    <t>Параметры карьера:</t>
  </si>
  <si>
    <t>1.1</t>
  </si>
  <si>
    <t>Общая площадь земельного отвода</t>
  </si>
  <si>
    <t>га</t>
  </si>
  <si>
    <t>1.2</t>
  </si>
  <si>
    <t>Общая площадь горного отвода</t>
  </si>
  <si>
    <t>1.3</t>
  </si>
  <si>
    <t>Производительность карьера в плотном теле:</t>
  </si>
  <si>
    <t>Годовая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</si>
  <si>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</si>
  <si>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Основное технологическое оборудование:</t>
  </si>
  <si>
    <t>2.1</t>
  </si>
  <si>
    <t>Погрузчик фронтальный колесный фирмы XCMG LV1100KN  с защитными сетками для колес</t>
  </si>
  <si>
    <t>шт.</t>
  </si>
  <si>
    <t>2.2</t>
  </si>
  <si>
    <t>Автосамосвал POWSUN PX95MT</t>
  </si>
  <si>
    <t>2.3</t>
  </si>
  <si>
    <t>Экскаватор фирмы LGMG ME105 (б/у)</t>
  </si>
  <si>
    <t>2.4</t>
  </si>
  <si>
    <t>2.5</t>
  </si>
  <si>
    <t>2.6</t>
  </si>
  <si>
    <t>Буровая установка строчечного бурения с пневматическим перфоратором MA90RR итальянской фирмы «Marini Quarries Group»</t>
  </si>
  <si>
    <t>Буровая установка строчечного бурения с пневматическим перфоратором MA90RR итальянской фирмы «Marini Quarries Group» с пылеотсасывателем TORNADO</t>
  </si>
  <si>
    <t>Общее потребление основных материалов и объем бурения скважин:</t>
  </si>
  <si>
    <t>3.1</t>
  </si>
  <si>
    <t>Топливо</t>
  </si>
  <si>
    <t xml:space="preserve">тонн/год </t>
  </si>
  <si>
    <t>тонн/час</t>
  </si>
  <si>
    <t>3.2</t>
  </si>
  <si>
    <t>Общий погонаж бурения скважин диаметром 90 мм</t>
  </si>
  <si>
    <t xml:space="preserve">м/год </t>
  </si>
  <si>
    <t xml:space="preserve">м/месяц </t>
  </si>
  <si>
    <t>м/сутки</t>
  </si>
  <si>
    <t>3.3</t>
  </si>
  <si>
    <t>Общий погонаж бурения шпуров диаметром 28-32 мм</t>
  </si>
  <si>
    <t>3.4</t>
  </si>
  <si>
    <t xml:space="preserve">Объем канатной резки щелей (11 мм) </t>
  </si>
  <si>
    <t>Количество персонала, всего:</t>
  </si>
  <si>
    <t>чел.</t>
  </si>
  <si>
    <t>ИТР и служащие</t>
  </si>
  <si>
    <t>Рабочие</t>
  </si>
  <si>
    <t>тыс. руб.</t>
  </si>
  <si>
    <t>Планируемый выпуск продукции за год:</t>
  </si>
  <si>
    <r>
      <t xml:space="preserve">Блоки I группы (свыше 5 м 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)-3%</t>
    </r>
  </si>
  <si>
    <r>
      <t>Блоки II группы (от 3 до 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)-1,6%</t>
    </r>
  </si>
  <si>
    <r>
      <t>Блоки III группы (от 0,7 до 3м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)-4,7%</t>
    </r>
  </si>
  <si>
    <r>
      <t>Блоки IV группы (от 0,1 до 0,7м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)-20,7%</t>
    </r>
  </si>
  <si>
    <t>Общая себестоимость продукции за год:</t>
  </si>
  <si>
    <t>тыс.руб.</t>
  </si>
  <si>
    <t>в том числе:</t>
  </si>
  <si>
    <r>
      <t>Средняя цена 1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блока </t>
    </r>
  </si>
  <si>
    <t>руб.</t>
  </si>
  <si>
    <t>Средняя себестоимость одного кубометра блоков-</t>
  </si>
  <si>
    <t>Планируемый товарный выпуск продукции:</t>
  </si>
  <si>
    <t>Объем налогов:</t>
  </si>
  <si>
    <t>Планируемая прибыль</t>
  </si>
  <si>
    <t>Чистая прибыль</t>
  </si>
  <si>
    <t>ROA (Return on Assets) - Рентабельность активов</t>
  </si>
  <si>
    <t>ROIC (Return on Invested Capital) - Рентабельность инвестированного капитала</t>
  </si>
  <si>
    <t>ROS (Return on Sales) - Рентабельность продаж (выручки)</t>
  </si>
  <si>
    <t>Наименование оборудования, фирма- изготовитель</t>
  </si>
  <si>
    <t>Тип</t>
  </si>
  <si>
    <t>Количество единиц</t>
  </si>
  <si>
    <t>Стоимость, тыс. руб.</t>
  </si>
  <si>
    <t>Единицы</t>
  </si>
  <si>
    <t>Общая</t>
  </si>
  <si>
    <r>
      <rPr>
        <sz val="11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</si>
  <si>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t>LV1100KN</t>
  </si>
  <si>
    <r>
      <rPr>
        <sz val="11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</si>
  <si>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t>POWSUN PX95MT</t>
  </si>
  <si>
    <r>
      <rPr>
        <sz val="11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</si>
  <si>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r>
      <rPr>
        <sz val="11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</si>
  <si>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t>Hor-Drill</t>
  </si>
  <si>
    <r>
      <rPr>
        <sz val="11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</si>
  <si>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t>SPHERICAL</t>
  </si>
  <si>
    <r>
      <rPr>
        <sz val="11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</si>
  <si>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r>
      <rPr>
        <sz val="11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</si>
  <si>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t>Дизель-генератор шведской фирмы «Atlas Copco»</t>
  </si>
  <si>
    <t>QАS 80</t>
  </si>
  <si>
    <r>
      <rPr>
        <sz val="11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</si>
  <si>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t>Компрессор шведской фирмы «Atlas Copco»</t>
  </si>
  <si>
    <t>XAS186DD</t>
  </si>
  <si>
    <r>
      <rPr>
        <sz val="11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1"/>
        <color rgb="FF000000"/>
        <rFont val="Times New Roman"/>
        <family val="1"/>
        <charset val="204"/>
      </rPr>
      <t> </t>
    </r>
  </si>
  <si>
    <t>Установка для заточки буров итальянской фирмы «Marini Quarries Group»</t>
  </si>
  <si>
    <t>GRINDERS</t>
  </si>
  <si>
    <r>
      <rPr>
        <sz val="11"/>
        <color rgb="FF000000"/>
        <rFont val="Times New Roman"/>
        <family val="1"/>
        <charset val="204"/>
      </rPr>
      <t>10.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</si>
  <si>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t>Установка для заточки коронок итальянской фирмы «Marini Quarries Group»</t>
  </si>
  <si>
    <t>JASCO</t>
  </si>
  <si>
    <r>
      <rPr>
        <sz val="11"/>
        <color rgb="FF000000"/>
        <rFont val="Times New Roman"/>
        <family val="1"/>
        <charset val="204"/>
      </rPr>
      <t>11.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</si>
  <si>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t>Пресс для соединения канатов итальянской фирмы «Marini Quarries Group»</t>
  </si>
  <si>
    <t>HANDY-PRESS</t>
  </si>
  <si>
    <r>
      <rPr>
        <sz val="11"/>
        <color rgb="FF000000"/>
        <rFont val="Times New Roman"/>
        <family val="1"/>
        <charset val="204"/>
      </rPr>
      <t>12.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</si>
  <si>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t>Ножницы для резки канатов итальянской фирмы «Marini Quarries Group»</t>
  </si>
  <si>
    <t>HANDY-CUTTER</t>
  </si>
  <si>
    <r>
      <rPr>
        <sz val="11"/>
        <color rgb="FF000000"/>
        <rFont val="Times New Roman"/>
        <family val="1"/>
        <charset val="204"/>
      </rPr>
      <t>13.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</si>
  <si>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r>
      <rPr>
        <sz val="11"/>
        <color rgb="FF000000"/>
        <rFont val="Times New Roman"/>
        <family val="1"/>
        <charset val="204"/>
      </rP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</si>
  <si>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t>ME105</t>
  </si>
  <si>
    <r>
      <rPr>
        <sz val="11"/>
        <color rgb="FF000000"/>
        <rFont val="Times New Roman"/>
        <family val="1"/>
        <charset val="204"/>
      </rPr>
      <t>15.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</si>
  <si>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t>Контейнеры для административно-бытового блока (душевые, пункт приема пищи, административные помещения)</t>
  </si>
  <si>
    <r>
      <rPr>
        <sz val="11"/>
        <color rgb="FF000000"/>
        <rFont val="Times New Roman"/>
        <family val="1"/>
        <charset val="204"/>
      </rPr>
      <t>16.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</si>
  <si>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t xml:space="preserve">Автобус ПАЗ </t>
  </si>
  <si>
    <t>ПАЗ</t>
  </si>
  <si>
    <r>
      <rPr>
        <sz val="11"/>
        <color rgb="FF000000"/>
        <rFont val="Times New Roman"/>
        <family val="1"/>
        <charset val="204"/>
      </rPr>
      <t>17.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</si>
  <si>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t xml:space="preserve">Топливозаправщик на базе </t>
  </si>
  <si>
    <t>Урал 4320-1951-60</t>
  </si>
  <si>
    <r>
      <rPr>
        <sz val="11"/>
        <color rgb="FF000000"/>
        <rFont val="Times New Roman"/>
        <family val="1"/>
        <charset val="204"/>
      </rPr>
      <t>18.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</si>
  <si>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r>
      <rPr>
        <sz val="11"/>
        <color rgb="FF000000"/>
        <rFont val="Times New Roman"/>
        <family val="1"/>
        <charset val="204"/>
      </rPr>
      <t>Мотопомпа ИЖ МП – 1 (60м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, H=30м) для тушения пожаров</t>
    </r>
  </si>
  <si>
    <t>аналог</t>
  </si>
  <si>
    <r>
      <rPr>
        <sz val="11"/>
        <color rgb="FF000000"/>
        <rFont val="Times New Roman"/>
        <family val="1"/>
        <charset val="204"/>
      </rPr>
      <t>19.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1"/>
        <color rgb="FF000000"/>
        <rFont val="Times New Roman"/>
        <family val="1"/>
        <charset val="204"/>
      </rPr>
      <t> </t>
    </r>
  </si>
  <si>
    <t>Расходные материалы и инструмент (шланги пневматические – 120 м, штанги буровые – 45 шт., коронки -3 шт., алмазный канат-100м, наждачные круги и др.)</t>
  </si>
  <si>
    <t>Итого</t>
  </si>
  <si>
    <t>Должность, профессия</t>
  </si>
  <si>
    <t>кол-во шт. ед</t>
  </si>
  <si>
    <t>Месячный оклад</t>
  </si>
  <si>
    <t xml:space="preserve">Доплата по районному коэффициенту </t>
  </si>
  <si>
    <t xml:space="preserve">Доплата за работу в районах, приравненных к районам Крайнего Севера </t>
  </si>
  <si>
    <t>Месячная зарплата по ед.должности, руб.</t>
  </si>
  <si>
    <t>Месячная зарплата, руб.</t>
  </si>
  <si>
    <t>Доплата по районному коэффициенту по стр.</t>
  </si>
  <si>
    <t>Доплата за работу в районах, приравненных к районам Крайнего Севера по стр.</t>
  </si>
  <si>
    <t>по окладу</t>
  </si>
  <si>
    <t>Директор</t>
  </si>
  <si>
    <t>Главный инженер</t>
  </si>
  <si>
    <t>Заместитель директора по маркетингу и снабжению</t>
  </si>
  <si>
    <t>Главный бухгалтер</t>
  </si>
  <si>
    <t>Бухгалтер</t>
  </si>
  <si>
    <t>Главный электромеханик</t>
  </si>
  <si>
    <t>Офис-менеджер</t>
  </si>
  <si>
    <t xml:space="preserve">Начальник карьера </t>
  </si>
  <si>
    <t xml:space="preserve">Мастер горных работ </t>
  </si>
  <si>
    <t>Электрослесарь</t>
  </si>
  <si>
    <t>Водитель микроавтобуса</t>
  </si>
  <si>
    <t>Охранник</t>
  </si>
  <si>
    <t>Машинист экскаватора</t>
  </si>
  <si>
    <t>Водитель погрузчика</t>
  </si>
  <si>
    <t>Машинист канатной установки</t>
  </si>
  <si>
    <t>Бурильщик шпуров</t>
  </si>
  <si>
    <t>Кольщик блоков</t>
  </si>
  <si>
    <t>Водитель автосамосвала</t>
  </si>
  <si>
    <t>Подсобный рабочий</t>
  </si>
  <si>
    <t xml:space="preserve">Всего за месяц </t>
  </si>
  <si>
    <t>Код затрат</t>
  </si>
  <si>
    <t>Наименование затрат</t>
  </si>
  <si>
    <t>Материальные расходы</t>
  </si>
  <si>
    <t>254.3</t>
  </si>
  <si>
    <t>на приобретение инструментов, приспособлений, инвентаря, приборов, лабораторного оборудования, спецодежды и другого имущества, не являющихся амортизируемым имуществом</t>
  </si>
  <si>
    <t>254.4</t>
  </si>
  <si>
    <t>на приобретение комплектующих изделий, подвергающихся монтажу, и (или) полуфабрикатов, подвергающихся дополнительной обработке (буровой инструмент, канаты и др.)</t>
  </si>
  <si>
    <t>254.5</t>
  </si>
  <si>
    <t>на приобретение топлива, воды и энергии всех видов, расходуемых на технологические цели, выработку всех видов энергии, отопление зданий, а также расходы на трансформацию и передачу</t>
  </si>
  <si>
    <t>254.6</t>
  </si>
  <si>
    <t>Расходы на оплату труда</t>
  </si>
  <si>
    <t>255.1</t>
  </si>
  <si>
    <t>255.7</t>
  </si>
  <si>
    <t>расходы на оплату труда, сохраняемую работникам на время отпуска, расходы на оплату проезда работников и лиц, находящихся у этих работников на иждивении, к месту использования отпуска на территории Российской Федерации и обратно (включая расходы на оплату провоза багажа работников организаций, расположенных в районах Крайнего Севера и приравненных к ним местностях)</t>
  </si>
  <si>
    <t>255.11</t>
  </si>
  <si>
    <t>надбавки, обусловленные районным регулированием оплаты труда, в том числе начисления по районным коэффициентам и коэффициентам за работу в тяжелых природно-климатических условиях</t>
  </si>
  <si>
    <t>255.12</t>
  </si>
  <si>
    <t>надбавки за непрерывный стаж работы в районах Крайнего Севера и приравненных к ним местностях, в районах европейского Севера и других районах с тяжелыми природно-климатическими условиями</t>
  </si>
  <si>
    <t>255.21</t>
  </si>
  <si>
    <t>расходы на оплату труда работников, не состоящих в штате организации-налогоплательщика, за выполнение ими работ по заключенным договорам гражданско-правового характера (включая договоры подряда), за исключением оплаты труда по договорам гражданско-правового характера, заключенным с индивидуальными предпринимателями</t>
  </si>
  <si>
    <t>Суммы начисленной амортизации</t>
  </si>
  <si>
    <t>258.1</t>
  </si>
  <si>
    <t>первая группа - все недолговечное имущество со сроком полезного использования от 1 года до 2 лет включительно</t>
  </si>
  <si>
    <t>258.2</t>
  </si>
  <si>
    <t>вторая группа - имущество со сроком полезного использования свыше 2 лет до 3 лет включительно</t>
  </si>
  <si>
    <t>258.3</t>
  </si>
  <si>
    <t>третья группа - имущество со сроком полезного использования свыше 3 лет до 5 лет включительно</t>
  </si>
  <si>
    <t>Топливозаправщик – 8400 т.р.</t>
  </si>
  <si>
    <t>Автобус – 2990 т.р.</t>
  </si>
  <si>
    <t>Сварочный агрегат – 100 т.р.</t>
  </si>
  <si>
    <t>Оргтехника- 300 т.р. (Всего стоимость – 20558 т.р.)</t>
  </si>
  <si>
    <t>258.5</t>
  </si>
  <si>
    <t>пятая группа - имущество со сроком полезного использования свыше 7 лет до 10 лет включительно</t>
  </si>
  <si>
    <t>Технологические автодороги – 50 т.р.</t>
  </si>
  <si>
    <t xml:space="preserve">Погрузчик –17000 т.р. (1 шт.) </t>
  </si>
  <si>
    <t>Автосамосвал POWSUN PX95MT - 16700 т.р. (1шт.)</t>
  </si>
  <si>
    <t>Дизель-генератор фирмы «Atlas Copco» (2шт) – 3800 т.р.</t>
  </si>
  <si>
    <t>(Всего стоимость – 48094 т.р.)</t>
  </si>
  <si>
    <t>258.6</t>
  </si>
  <si>
    <t>шестая группа - имущество со сроком полезного использования свыше 10 лет до 15 лет включительно</t>
  </si>
  <si>
    <t>Экскаватор фирмы LGMG ME105 - 1шт. с гидроклиновыми навесками – 24000 т. руб.</t>
  </si>
  <si>
    <t>Компрессор фирмы «Atlas Copco» -4560 т.р.(2 шт.)</t>
  </si>
  <si>
    <t>Мотопомпа ИЖ МП – 80 т.р.</t>
  </si>
  <si>
    <t xml:space="preserve"> (Всего стоимость – 28640 т.р.)</t>
  </si>
  <si>
    <t>258.7</t>
  </si>
  <si>
    <t>седьмая группа - имущество со сроком полезного использования свыше 15 лет до 20 лет включительно</t>
  </si>
  <si>
    <t>Контейнеры административно-бытового блока – 1000 т.р.</t>
  </si>
  <si>
    <t xml:space="preserve"> (Всего стоимость – 1000т.р.)</t>
  </si>
  <si>
    <t>Расходы на ремонт основных средств</t>
  </si>
  <si>
    <t>260.1</t>
  </si>
  <si>
    <t>расходы на ремонт основных средств</t>
  </si>
  <si>
    <t>260.3</t>
  </si>
  <si>
    <t xml:space="preserve">резерв под предстоящие ремонты основных средств </t>
  </si>
  <si>
    <t>264.1</t>
  </si>
  <si>
    <t>суммы налогов и сборов</t>
  </si>
  <si>
    <t>264.3</t>
  </si>
  <si>
    <t>суммы комиссионных сборов и иных подобных расходов за выполненные сторонними организациями работы (предоставленные услуги)</t>
  </si>
  <si>
    <t>264.6</t>
  </si>
  <si>
    <t>расходы на обеспечение пожарной безопасности, расходы на содержание службы газоспасателей, расходы на услуги по охране имущества, обслуживанию охранно- пожарной сигнализации, расходы на приобретение услуг пожарной охраны и иных услуг охранной деятельности, а также расходы на содержание собственной службы безопасности по выполнению функций экономической защиты банковских и хозяйственных операций и сохранности материальных ценностей (за исключением расходов на экипировку, приобретение оружия и иных специальных средств защиты</t>
  </si>
  <si>
    <t>264.11</t>
  </si>
  <si>
    <t>расходы на содержание служебного транспорта (автомобильного, железнодорожного, воздушного и иных видов транспорта). Расходы на компенсацию за использование для служебных поездок личных легковых автомобилей и мотоциклов</t>
  </si>
  <si>
    <t>264.12</t>
  </si>
  <si>
    <t>расходы на командировки:</t>
  </si>
  <si>
    <t>-проезд работника к месту командировки и обратно к месту постоянной работы;</t>
  </si>
  <si>
    <t>-наем жилого помещения, а также расходы работника на оплату дополнительных услуг, оказываемых в гостиницах</t>
  </si>
  <si>
    <t>-суточные или полевое довольствие</t>
  </si>
  <si>
    <t>-оформление и выдача виз, паспортов, ваучеров, приглашений и иных аналогичных документов</t>
  </si>
  <si>
    <t>-консульские, аэродромные сборы, сборы за право въезда, прохода, транзита автомобильного и иного транспорта, за пользование морскими каналами, другими подобными сооружениями и иные аналогичные платежи, и сборы</t>
  </si>
  <si>
    <t>264.16</t>
  </si>
  <si>
    <t>плата государственному и (или) частному нотариусу за нотариальное оформление</t>
  </si>
  <si>
    <t>264.18</t>
  </si>
  <si>
    <t>расходы на управление организацией или отдельными ее подразделениями, а также расходы на приобретение услуг по управлению организацией или ее отдельными подразделениями</t>
  </si>
  <si>
    <t>264.22</t>
  </si>
  <si>
    <t>представительские расходы, связанные с официальным приемом и обслуживанием представителей других организаций, участвующих в переговорах в целях установления и поддержания сотрудничества</t>
  </si>
  <si>
    <t>264.24</t>
  </si>
  <si>
    <t>расходы на канцелярские товары</t>
  </si>
  <si>
    <t>264.26</t>
  </si>
  <si>
    <t>расходы, связанные с приобретением права на использование программ для ЭВМ и баз данных по договорам с правообладателем (по лицензионным соглашениям). К указанным расходам также относятся расходы на приобретение исключительных прав на программы для ЭВМ стоимостью менее 10000 рублей и обновление программ для ЭВМ и баз данных</t>
  </si>
  <si>
    <t>264.28</t>
  </si>
  <si>
    <t>расходы на рекламу производимых (приобретенных) и (или) реализуемых товаров (работ, услуг), деятельности налогоплательщика, товарного знака и знака обслуживания, включая участие в выставках и ярмарках</t>
  </si>
  <si>
    <t>264.32</t>
  </si>
  <si>
    <t>расходы на содержание вахтовых и временных поселков, включая все объекты жилищно-коммунального и социально-бытового назначения, подсобных хозяйств и иных аналогичных служб, в организациях, осуществляющих свою деятельность вахтовым способом или работающих в полевых (экспедиционных) условиях</t>
  </si>
  <si>
    <t>264.34</t>
  </si>
  <si>
    <t>264.36</t>
  </si>
  <si>
    <t>расходы на услуги по ведению бухгалтерского учета, оказываемые сторонними организациями или индивидуальными предпринимателями</t>
  </si>
  <si>
    <t>264.40</t>
  </si>
  <si>
    <t>платежи за регистрацию прав на недвижимое имущество и землю, сделок с указанными объектами, платежи за предоставление информации о зарегистрированных правах, оплата услуг уполномоченных органов и специализированных организаций по оценке имущества, изготовлению документов кадастрового и технического учета (инвентаризации) объектов недвижимости</t>
  </si>
  <si>
    <t>264.41</t>
  </si>
  <si>
    <t>расходы по договорам гражданско-правового характера (включая договоры подряда), заключенным с индивидуальными предпринимателями, не состоящими в штате организации</t>
  </si>
  <si>
    <t>264.45</t>
  </si>
  <si>
    <t>264.48</t>
  </si>
  <si>
    <t>расходы, связанные с содержанием помещений объектов общественного питания, обслуживающих трудовые коллективы (включая суммы начисленной амортизации, расходы на проведение ремонта помещений, расходы на освещение, отопление, водоснабжение, электроснабжение, а также на топливо для приготовления пищи)</t>
  </si>
  <si>
    <t>264.49</t>
  </si>
  <si>
    <t>Наименованием готовой продукции</t>
  </si>
  <si>
    <t>Планируемый выпуск за год, м3</t>
  </si>
  <si>
    <r>
      <rPr>
        <sz val="10"/>
        <color rgb="FF000000"/>
        <rFont val="Times New Roman"/>
        <family val="1"/>
        <charset val="204"/>
      </rPr>
      <t>Прогнозная отпускная цена 1м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 xml:space="preserve"> на первый год работы предприятия, руб.</t>
    </r>
  </si>
  <si>
    <t>Годовая выручка (без НДС) тыс. руб.</t>
  </si>
  <si>
    <r>
      <rPr>
        <sz val="12"/>
        <color rgb="FF000000"/>
        <rFont val="Times New Roman"/>
        <family val="1"/>
        <charset val="204"/>
      </rPr>
      <t xml:space="preserve">Блоки I группы (свыше 5 м 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)-3%</t>
    </r>
  </si>
  <si>
    <r>
      <rPr>
        <sz val="12"/>
        <color rgb="FF000000"/>
        <rFont val="Times New Roman"/>
        <family val="1"/>
        <charset val="204"/>
      </rPr>
      <t>Блоки II группы (от 3 до 5 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)-1,6%</t>
    </r>
  </si>
  <si>
    <r>
      <rPr>
        <sz val="12"/>
        <color rgb="FF000000"/>
        <rFont val="Times New Roman"/>
        <family val="1"/>
        <charset val="204"/>
      </rPr>
      <t>Блоки III группы (от 0,7 до 3м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)-4,7%</t>
    </r>
  </si>
  <si>
    <r>
      <rPr>
        <sz val="12"/>
        <color rgb="FF000000"/>
        <rFont val="Times New Roman"/>
        <family val="1"/>
        <charset val="204"/>
      </rPr>
      <t>Блоки IV группы (от 0,1 до 0,7м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)-20,7%</t>
    </r>
  </si>
  <si>
    <t xml:space="preserve">ВСЕГО </t>
  </si>
  <si>
    <t>-</t>
  </si>
  <si>
    <t xml:space="preserve">Средняя цена 1 м3 блока </t>
  </si>
  <si>
    <t>Статья налогового кодекса</t>
  </si>
  <si>
    <t>Наименование налога</t>
  </si>
  <si>
    <t>Налогооблагаемая база (за расчетный год)</t>
  </si>
  <si>
    <t>Ставка</t>
  </si>
  <si>
    <t>Годовая суммам налога, тыс. руб.</t>
  </si>
  <si>
    <t>1.</t>
  </si>
  <si>
    <t>164.3</t>
  </si>
  <si>
    <t xml:space="preserve">Налог на добавленную стоимость (НДС) </t>
  </si>
  <si>
    <t xml:space="preserve">Объем реализации продукции, тыс. руб. </t>
  </si>
  <si>
    <t>2.</t>
  </si>
  <si>
    <t>Налог на прибыль организации</t>
  </si>
  <si>
    <t>Прибыль предприятия за год, тыс.руб.</t>
  </si>
  <si>
    <t>4.</t>
  </si>
  <si>
    <t>Налог на добычу полезных ископаемых</t>
  </si>
  <si>
    <t>Стоимость добытого полезного ископаемого, тыс.руб.(без НДС)</t>
  </si>
  <si>
    <t>5.</t>
  </si>
  <si>
    <t>Глава 28</t>
  </si>
  <si>
    <t>Транспортный налог</t>
  </si>
  <si>
    <t>Лошадиная сила транспортного средства – автосамосвал, погрузчик, экскаватор, топливозаправщик, автобус -5 единиц</t>
  </si>
  <si>
    <t>В среднем –  18 тыс.руб. за 1 тс</t>
  </si>
  <si>
    <t>6.</t>
  </si>
  <si>
    <t>ФЗ «Об охране окружающей среды» от 10.01.2002 № 7-ФЗ</t>
  </si>
  <si>
    <t>Экологический налог</t>
  </si>
  <si>
    <t>По опыту аналогичных предприятий</t>
  </si>
  <si>
    <t>7.</t>
  </si>
  <si>
    <t>Налог на имущество организации</t>
  </si>
  <si>
    <t>Балансовая стоимость основных средств, тыс. руб.</t>
  </si>
  <si>
    <t>8.</t>
  </si>
  <si>
    <t>Глава 31</t>
  </si>
  <si>
    <t>Земельный налог</t>
  </si>
  <si>
    <t>Кадастровая стоимость используемого участка земли площадью 45 га, тыс. руб.</t>
  </si>
  <si>
    <t>ВСЕГО</t>
  </si>
  <si>
    <t>Месячная</t>
  </si>
  <si>
    <t>Этап I (получение лицензии)</t>
  </si>
  <si>
    <t>Сроки</t>
  </si>
  <si>
    <t>Стоимость, тыс. руб</t>
  </si>
  <si>
    <t xml:space="preserve">1 месяц </t>
  </si>
  <si>
    <t>Итого:</t>
  </si>
  <si>
    <t>Этап II (горно-капитальные работы)</t>
  </si>
  <si>
    <t xml:space="preserve">Удаление леса в пределах земельного отвода для строительства всех объектов, связанных с разработкой месторождения </t>
  </si>
  <si>
    <t xml:space="preserve">2 месяц </t>
  </si>
  <si>
    <t>Строительство площадки для склада готовой продукции</t>
  </si>
  <si>
    <t>Строительство площадки для временного складирования скального окола</t>
  </si>
  <si>
    <t>Строительство промплощадки</t>
  </si>
  <si>
    <t>Строительство и реконструкция автомобильных дорог</t>
  </si>
  <si>
    <t>Всего:</t>
  </si>
  <si>
    <t>другие расходы, связанные с производством и (или) реализацией (оплата услуг по взрывным работам) в т.ч лицензирование участка</t>
  </si>
  <si>
    <t>Объем капиталовложений на приобретение техники</t>
  </si>
  <si>
    <t>на приобретение работ и услуг производственного характера, выполняемых сторонними организациями или индивидуальными предпринимателями</t>
  </si>
  <si>
    <t>расходы на подготовку и освоение производств, цехов и агрегатов, приобретение оборудования</t>
  </si>
  <si>
    <t>взносы по обязательному социальному страхованию от несчастных случаев на производстве и профессиональных заболеваний (15 класс по оквэд)</t>
  </si>
  <si>
    <t xml:space="preserve">Прочие расходы, связанные с производством </t>
  </si>
  <si>
    <t>наименование этапа</t>
  </si>
  <si>
    <t>без амортизации</t>
  </si>
  <si>
    <t>Подача документов на внесения в перечень, получение лицензии на геологическое изучение, получение лицензии на разведку и добычу, геологическое изучение подтверждение запасов итд оформление акта первооткрывателя.</t>
  </si>
  <si>
    <t>1-6 месяцев</t>
  </si>
  <si>
    <t>Примечание: второй этап начинается через месяц после начала первого этапа и идёт параллельно</t>
  </si>
  <si>
    <t>256.4</t>
  </si>
  <si>
    <t>Расходы на приобретение оборудования и спецтехники</t>
  </si>
  <si>
    <t>суммы, начисленные по тарифным ставкам, должностным окладам, сдельным расценкам или в процентах от выручки в соответствии с принятыми формами и системами оплаты (85 % от штатного расписания)</t>
  </si>
  <si>
    <t>Всего  за год, тыс. руб.:</t>
  </si>
  <si>
    <t xml:space="preserve">Отчисл.в фонды (30,2% от ФОТ), руб.
Отчисл.в фонды (30,2% от ФОТ), руб.
Отчисл.в фонды (30,2% от ФОТ), руб.
Отчисл.в фонды (30,2% от ФОТ), руб.
</t>
  </si>
  <si>
    <t>ФОТ в год, руб.</t>
  </si>
  <si>
    <t>ФОТ в месяц, руб.</t>
  </si>
  <si>
    <t>Штатное расписание и ФОТ</t>
  </si>
  <si>
    <t>месячная зарплата</t>
  </si>
  <si>
    <t>ФОТ</t>
  </si>
  <si>
    <t>заполняемость штатного замещения %</t>
  </si>
  <si>
    <t>ФОТ за год</t>
  </si>
  <si>
    <t>Планирование денежных потоков</t>
  </si>
  <si>
    <t>Доходы и расходы</t>
  </si>
  <si>
    <t>Варианты расходов</t>
  </si>
  <si>
    <t>июль</t>
  </si>
  <si>
    <t>август</t>
  </si>
  <si>
    <t>сентябрь</t>
  </si>
  <si>
    <t>октябрь</t>
  </si>
  <si>
    <t>ноябрь</t>
  </si>
  <si>
    <t>декабрь</t>
  </si>
  <si>
    <t>июл.24</t>
  </si>
  <si>
    <t>авг.24</t>
  </si>
  <si>
    <t>сен.24</t>
  </si>
  <si>
    <t>окт.24</t>
  </si>
  <si>
    <t>ноя.24</t>
  </si>
  <si>
    <t>дек.24</t>
  </si>
  <si>
    <t>остаток денежных средств</t>
  </si>
  <si>
    <t>доходы, в том числе:</t>
  </si>
  <si>
    <t>выручка</t>
  </si>
  <si>
    <t>другое</t>
  </si>
  <si>
    <t>производство (м3)</t>
  </si>
  <si>
    <t>стоимость 1 м3</t>
  </si>
  <si>
    <t>расходы, в том числе:</t>
  </si>
  <si>
    <t>ЭТАП 1</t>
  </si>
  <si>
    <t>выплата по агентскому договору</t>
  </si>
  <si>
    <t>Подача документов на внесения в перечень.</t>
  </si>
  <si>
    <t>Получение лицензии на геологическое изучение.</t>
  </si>
  <si>
    <t>Геологическое изучение подтверждение запасов итд оформление акта первооткрывателя: (на этом этапе можно открыть опытный карьер)</t>
  </si>
  <si>
    <t>Получение лицензии на разведку и добычу</t>
  </si>
  <si>
    <t>ЭТАП 2</t>
  </si>
  <si>
    <t xml:space="preserve">оргтехника </t>
  </si>
  <si>
    <t>ПО</t>
  </si>
  <si>
    <t>ЗИП, материалы</t>
  </si>
  <si>
    <t>зар.плата администрации</t>
  </si>
  <si>
    <t>зар.плата рабочих</t>
  </si>
  <si>
    <t>Водитель микроавтобуса (вахтовки)</t>
  </si>
  <si>
    <t>с зар.платы администрации</t>
  </si>
  <si>
    <t>с зар.платы рабочих</t>
  </si>
  <si>
    <t>налоги НДС 20%</t>
  </si>
  <si>
    <t>налог на прибыль</t>
  </si>
  <si>
    <t>Итого: текущий ден.поток (cash-flow)</t>
  </si>
  <si>
    <t xml:space="preserve"> </t>
  </si>
  <si>
    <t>инвестиции</t>
  </si>
  <si>
    <t>отчисления страховых взн. 30%:</t>
  </si>
  <si>
    <t>расходы на содержание транспорта</t>
  </si>
  <si>
    <t>расходы на командировки</t>
  </si>
  <si>
    <t>нотариальные</t>
  </si>
  <si>
    <t>консультационные услуги</t>
  </si>
  <si>
    <t>представительские</t>
  </si>
  <si>
    <t>канцелярские товары</t>
  </si>
  <si>
    <t>расходы, связанные с приобретением права на использование программ для ЭВМ и баз данных</t>
  </si>
  <si>
    <t>расходы на рекламу производимых товаров</t>
  </si>
  <si>
    <t>расходы на содержание вахтовых и временных поселков</t>
  </si>
  <si>
    <t>аредна офиса</t>
  </si>
  <si>
    <t>расходы на услуги по ведению бухгалтерского учета, оказываемые сторонними организациями</t>
  </si>
  <si>
    <t>расходы на обеспечение пожарной безопасности</t>
  </si>
  <si>
    <t>янв.24</t>
  </si>
  <si>
    <t>фев.24</t>
  </si>
  <si>
    <t>мар.24</t>
  </si>
  <si>
    <t>апр.24</t>
  </si>
  <si>
    <t>май.24</t>
  </si>
  <si>
    <t>июн.24</t>
  </si>
  <si>
    <t>Приобретение и ввод в эксплуатацию основного и вспомогательного оборудования (см т. "техника", "Затраты")</t>
  </si>
  <si>
    <t>форс-мажорный резерв</t>
  </si>
  <si>
    <t>Канатная пила КТМ-25</t>
  </si>
  <si>
    <t>ДМС</t>
  </si>
  <si>
    <t>техника (два месяца на доставку и ввод в экпл.) в т.ч.</t>
  </si>
  <si>
    <t>техничка ГАЗОН NEXT ГАЗ-С41A23</t>
  </si>
  <si>
    <t>гидроклинья</t>
  </si>
  <si>
    <t>самоходная установка SBU-60 XL</t>
  </si>
  <si>
    <t>Канатная установка для алмазного пиления КТМ-25</t>
  </si>
  <si>
    <t>ООО "АВА Гидроком"</t>
  </si>
  <si>
    <t>Гидроклиновая установка 6 гидроклиньев</t>
  </si>
  <si>
    <t>Буровая установка с пневматическим перфоратором для бурения скважин диаметром 90мм самоходная установка SBU-60 XL</t>
  </si>
  <si>
    <t>-OLD</t>
  </si>
  <si>
    <t>КТМ-25</t>
  </si>
  <si>
    <t>аналог  «Marini Quarries Group»</t>
  </si>
  <si>
    <t>Канатная установка для алмазного пиления КТМ-25 -7400 т.р. (4 шт.)</t>
  </si>
  <si>
    <t>15800 т.р.- (4 шт.)</t>
  </si>
  <si>
    <t>Сумма за год,      тыс. руб.</t>
  </si>
  <si>
    <r>
      <t xml:space="preserve">ð   </t>
    </r>
    <r>
      <rPr>
        <sz val="12"/>
        <color theme="1"/>
        <rFont val="Times New Roman"/>
        <family val="1"/>
        <charset val="204"/>
      </rPr>
      <t>транспортный налог</t>
    </r>
  </si>
  <si>
    <r>
      <t xml:space="preserve">ð  </t>
    </r>
    <r>
      <rPr>
        <sz val="12"/>
        <color theme="1"/>
        <rFont val="Times New Roman"/>
        <family val="1"/>
        <charset val="204"/>
      </rPr>
      <t>земельный налог</t>
    </r>
  </si>
  <si>
    <r>
      <t xml:space="preserve">ð   </t>
    </r>
    <r>
      <rPr>
        <sz val="12"/>
        <color theme="1"/>
        <rFont val="Times New Roman"/>
        <family val="1"/>
        <charset val="204"/>
      </rPr>
      <t>налог на имущество</t>
    </r>
  </si>
  <si>
    <r>
      <t xml:space="preserve">ð   </t>
    </r>
    <r>
      <rPr>
        <sz val="12"/>
        <color theme="1"/>
        <rFont val="Times New Roman"/>
        <family val="1"/>
        <charset val="204"/>
      </rPr>
      <t>экологический налог</t>
    </r>
  </si>
  <si>
    <r>
      <t xml:space="preserve">ð   </t>
    </r>
    <r>
      <rPr>
        <sz val="12"/>
        <color theme="1"/>
        <rFont val="Times New Roman"/>
        <family val="1"/>
        <charset val="204"/>
      </rPr>
      <t>налог на добычу</t>
    </r>
  </si>
  <si>
    <r>
      <t xml:space="preserve">ð   </t>
    </r>
    <r>
      <rPr>
        <sz val="12"/>
        <color theme="1"/>
        <rFont val="Times New Roman"/>
        <family val="1"/>
        <charset val="204"/>
      </rPr>
      <t>налог на прибыль</t>
    </r>
  </si>
  <si>
    <r>
      <t xml:space="preserve">   ð</t>
    </r>
    <r>
      <rPr>
        <sz val="12"/>
        <color theme="1"/>
        <rFont val="Times New Roman"/>
        <family val="1"/>
        <charset val="204"/>
      </rPr>
      <t>налог на добавленную стоимость</t>
    </r>
  </si>
  <si>
    <r>
      <t xml:space="preserve">ð   </t>
    </r>
    <r>
      <rPr>
        <sz val="12"/>
        <color theme="1"/>
        <rFont val="Times New Roman"/>
        <family val="1"/>
        <charset val="204"/>
      </rPr>
      <t>без учета НДС</t>
    </r>
  </si>
  <si>
    <r>
      <t xml:space="preserve">ð   </t>
    </r>
    <r>
      <rPr>
        <sz val="12"/>
        <color theme="1"/>
        <rFont val="Times New Roman"/>
        <family val="1"/>
        <charset val="204"/>
      </rPr>
      <t>с учетом НДС</t>
    </r>
  </si>
  <si>
    <r>
      <t xml:space="preserve">ð   </t>
    </r>
    <r>
      <rPr>
        <sz val="12"/>
        <color theme="1"/>
        <rFont val="Times New Roman"/>
        <family val="1"/>
        <charset val="204"/>
      </rPr>
      <t>прочие расходы</t>
    </r>
  </si>
  <si>
    <r>
      <t xml:space="preserve">ð   </t>
    </r>
    <r>
      <rPr>
        <sz val="12"/>
        <color theme="1"/>
        <rFont val="Times New Roman"/>
        <family val="1"/>
        <charset val="204"/>
      </rPr>
      <t>ремонт основных средств</t>
    </r>
  </si>
  <si>
    <r>
      <t xml:space="preserve">ð   </t>
    </r>
    <r>
      <rPr>
        <sz val="12"/>
        <color theme="1"/>
        <rFont val="Times New Roman"/>
        <family val="1"/>
        <charset val="204"/>
      </rPr>
      <t>амортизация основных средств</t>
    </r>
  </si>
  <si>
    <r>
      <t xml:space="preserve">ð   </t>
    </r>
    <r>
      <rPr>
        <sz val="12"/>
        <color theme="1"/>
        <rFont val="Times New Roman"/>
        <family val="1"/>
        <charset val="204"/>
      </rPr>
      <t>расходы на оплату труда</t>
    </r>
  </si>
  <si>
    <r>
      <t xml:space="preserve">ð   </t>
    </r>
    <r>
      <rPr>
        <sz val="12"/>
        <color theme="1"/>
        <rFont val="Times New Roman"/>
        <family val="1"/>
        <charset val="204"/>
      </rPr>
      <t>материальные расходы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</si>
</sst>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_р_."/>
    <numFmt numFmtId="166" formatCode="0;&quot;&quot;"/>
  </numFmts>
  <fonts count="5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Wingdings"/>
      <charset val="2"/>
    </font>
    <font>
      <sz val="12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Arial"/>
      <family val="1"/>
      <charset val="1"/>
    </font>
    <font>
      <b/>
      <sz val="11"/>
      <name val="Arial"/>
      <family val="1"/>
      <charset val="1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49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2" fontId="0" fillId="0" borderId="0" xfId="0" applyNumberFormat="1"/>
    <xf numFmtId="0" fontId="10" fillId="0" borderId="1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0" xfId="0" applyNumberFormat="1"/>
    <xf numFmtId="1" fontId="0" fillId="0" borderId="0" xfId="0" applyNumberFormat="1"/>
    <xf numFmtId="0" fontId="11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/>
    <xf numFmtId="10" fontId="0" fillId="0" borderId="0" xfId="0" applyNumberFormat="1"/>
    <xf numFmtId="164" fontId="0" fillId="0" borderId="0" xfId="0" applyNumberFormat="1"/>
    <xf numFmtId="49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9" fontId="19" fillId="0" borderId="17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 wrapText="1"/>
    </xf>
    <xf numFmtId="3" fontId="15" fillId="3" borderId="46" xfId="0" applyNumberFormat="1" applyFont="1" applyFill="1" applyBorder="1" applyAlignment="1">
      <alignment horizontal="right" vertical="center" wrapText="1"/>
    </xf>
    <xf numFmtId="3" fontId="15" fillId="3" borderId="47" xfId="0" applyNumberFormat="1" applyFont="1" applyFill="1" applyBorder="1" applyAlignment="1">
      <alignment horizontal="right" vertical="center" wrapText="1"/>
    </xf>
    <xf numFmtId="3" fontId="15" fillId="3" borderId="48" xfId="0" applyNumberFormat="1" applyFont="1" applyFill="1" applyBorder="1" applyAlignment="1">
      <alignment horizontal="right" vertical="center" wrapText="1"/>
    </xf>
    <xf numFmtId="0" fontId="21" fillId="0" borderId="42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0" fillId="2" borderId="0" xfId="0" applyFill="1"/>
    <xf numFmtId="0" fontId="4" fillId="0" borderId="5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4" fontId="25" fillId="0" borderId="19" xfId="0" applyNumberFormat="1" applyFont="1" applyBorder="1" applyAlignment="1">
      <alignment horizontal="center" vertical="center" wrapText="1"/>
    </xf>
    <xf numFmtId="4" fontId="26" fillId="5" borderId="58" xfId="0" applyNumberFormat="1" applyFont="1" applyFill="1" applyBorder="1" applyAlignment="1">
      <alignment horizontal="right" vertical="center" wrapText="1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horizontal="right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4" fontId="26" fillId="5" borderId="61" xfId="0" applyNumberFormat="1" applyFont="1" applyFill="1" applyBorder="1" applyAlignment="1">
      <alignment horizontal="right" vertical="center" wrapText="1"/>
    </xf>
    <xf numFmtId="4" fontId="0" fillId="5" borderId="0" xfId="0" applyNumberFormat="1" applyFill="1"/>
    <xf numFmtId="0" fontId="27" fillId="0" borderId="0" xfId="0" applyFont="1" applyBorder="1" applyAlignment="1">
      <alignment horizontal="center" vertical="center" wrapText="1"/>
    </xf>
    <xf numFmtId="0" fontId="0" fillId="0" borderId="71" xfId="0" applyFont="1" applyBorder="1"/>
    <xf numFmtId="0" fontId="0" fillId="0" borderId="72" xfId="0" applyFont="1" applyBorder="1"/>
    <xf numFmtId="0" fontId="28" fillId="0" borderId="0" xfId="0" applyFont="1" applyBorder="1"/>
    <xf numFmtId="0" fontId="29" fillId="0" borderId="0" xfId="0" applyFont="1" applyBorder="1"/>
    <xf numFmtId="0" fontId="28" fillId="0" borderId="0" xfId="0" applyFont="1"/>
    <xf numFmtId="1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3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10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8" xfId="0" applyFont="1" applyFill="1" applyBorder="1" applyAlignment="1" applyProtection="1">
      <alignment horizontal="right" vertical="center" wrapText="1"/>
      <protection locked="0"/>
    </xf>
    <xf numFmtId="0" fontId="15" fillId="2" borderId="5" xfId="0" applyFont="1" applyFill="1" applyBorder="1" applyAlignment="1" applyProtection="1">
      <alignment horizontal="right" vertical="center" wrapText="1"/>
      <protection locked="0"/>
    </xf>
    <xf numFmtId="3" fontId="15" fillId="2" borderId="43" xfId="0" applyNumberFormat="1" applyFont="1" applyFill="1" applyBorder="1" applyAlignment="1" applyProtection="1">
      <alignment horizontal="right" vertical="center" wrapText="1"/>
      <protection locked="0"/>
    </xf>
    <xf numFmtId="3" fontId="20" fillId="2" borderId="0" xfId="0" applyNumberFormat="1" applyFont="1" applyFill="1" applyProtection="1">
      <protection locked="0"/>
    </xf>
    <xf numFmtId="0" fontId="20" fillId="2" borderId="0" xfId="0" applyFont="1" applyFill="1" applyProtection="1">
      <protection locked="0"/>
    </xf>
    <xf numFmtId="3" fontId="0" fillId="2" borderId="0" xfId="0" applyNumberFormat="1" applyFill="1" applyProtection="1">
      <protection locked="0"/>
    </xf>
    <xf numFmtId="3" fontId="15" fillId="2" borderId="48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3" fontId="15" fillId="4" borderId="48" xfId="0" applyNumberFormat="1" applyFont="1" applyFill="1" applyBorder="1" applyAlignment="1">
      <alignment horizontal="center" vertical="center" wrapText="1"/>
    </xf>
    <xf numFmtId="0" fontId="0" fillId="0" borderId="71" xfId="0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0" fontId="0" fillId="6" borderId="0" xfId="0" applyFill="1"/>
    <xf numFmtId="0" fontId="0" fillId="0" borderId="0" xfId="0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Protection="1">
      <protection locked="0"/>
    </xf>
    <xf numFmtId="0" fontId="8" fillId="0" borderId="0" xfId="0" applyFont="1" applyAlignment="1">
      <alignment horizontal="right"/>
    </xf>
    <xf numFmtId="0" fontId="33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0" fontId="0" fillId="3" borderId="0" xfId="0" applyFill="1"/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35" fillId="0" borderId="83" xfId="1" applyFont="1" applyFill="1" applyBorder="1" applyAlignment="1" applyProtection="1">
      <alignment vertical="center" wrapText="1"/>
    </xf>
    <xf numFmtId="0" fontId="30" fillId="0" borderId="83" xfId="0" applyFont="1" applyFill="1" applyBorder="1" applyAlignment="1">
      <alignment horizontal="center" vertical="center" wrapText="1"/>
    </xf>
    <xf numFmtId="17" fontId="30" fillId="0" borderId="8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2" fillId="0" borderId="85" xfId="0" applyFont="1" applyFill="1" applyBorder="1"/>
    <xf numFmtId="38" fontId="32" fillId="0" borderId="85" xfId="0" applyNumberFormat="1" applyFont="1" applyFill="1" applyBorder="1"/>
    <xf numFmtId="0" fontId="0" fillId="0" borderId="85" xfId="0" applyFont="1" applyFill="1" applyBorder="1"/>
    <xf numFmtId="165" fontId="0" fillId="0" borderId="85" xfId="0" applyNumberFormat="1" applyFont="1" applyFill="1" applyBorder="1"/>
    <xf numFmtId="165" fontId="0" fillId="0" borderId="86" xfId="0" applyNumberFormat="1" applyFont="1" applyFill="1" applyBorder="1"/>
    <xf numFmtId="0" fontId="36" fillId="0" borderId="85" xfId="0" applyFont="1" applyFill="1" applyBorder="1"/>
    <xf numFmtId="0" fontId="0" fillId="0" borderId="85" xfId="0" applyFill="1" applyBorder="1"/>
    <xf numFmtId="165" fontId="31" fillId="0" borderId="85" xfId="0" applyNumberFormat="1" applyFont="1" applyFill="1" applyBorder="1" applyAlignment="1">
      <alignment horizontal="center"/>
    </xf>
    <xf numFmtId="165" fontId="31" fillId="0" borderId="86" xfId="0" applyNumberFormat="1" applyFont="1" applyFill="1" applyBorder="1" applyAlignment="1">
      <alignment horizontal="center"/>
    </xf>
    <xf numFmtId="165" fontId="0" fillId="0" borderId="85" xfId="0" applyNumberFormat="1" applyFont="1" applyFill="1" applyBorder="1" applyAlignment="1">
      <alignment horizontal="center"/>
    </xf>
    <xf numFmtId="165" fontId="0" fillId="0" borderId="86" xfId="0" applyNumberFormat="1" applyFont="1" applyFill="1" applyBorder="1" applyAlignment="1">
      <alignment horizontal="center"/>
    </xf>
    <xf numFmtId="165" fontId="32" fillId="0" borderId="85" xfId="0" applyNumberFormat="1" applyFont="1" applyFill="1" applyBorder="1"/>
    <xf numFmtId="165" fontId="32" fillId="0" borderId="86" xfId="0" applyNumberFormat="1" applyFont="1" applyFill="1" applyBorder="1"/>
    <xf numFmtId="0" fontId="0" fillId="0" borderId="85" xfId="0" applyFont="1" applyFill="1" applyBorder="1" applyAlignment="1">
      <alignment horizontal="left" vertical="center" wrapText="1"/>
    </xf>
    <xf numFmtId="0" fontId="31" fillId="0" borderId="85" xfId="0" applyFont="1" applyFill="1" applyBorder="1"/>
    <xf numFmtId="165" fontId="17" fillId="0" borderId="85" xfId="0" applyNumberFormat="1" applyFont="1" applyFill="1" applyBorder="1"/>
    <xf numFmtId="165" fontId="31" fillId="0" borderId="85" xfId="0" applyNumberFormat="1" applyFont="1" applyFill="1" applyBorder="1"/>
    <xf numFmtId="165" fontId="31" fillId="0" borderId="86" xfId="0" applyNumberFormat="1" applyFont="1" applyFill="1" applyBorder="1"/>
    <xf numFmtId="0" fontId="0" fillId="0" borderId="85" xfId="0" applyFont="1" applyFill="1" applyBorder="1" applyAlignment="1">
      <alignment wrapText="1"/>
    </xf>
    <xf numFmtId="0" fontId="17" fillId="0" borderId="0" xfId="0" applyFont="1" applyFill="1"/>
    <xf numFmtId="0" fontId="37" fillId="0" borderId="85" xfId="0" applyFont="1" applyFill="1" applyBorder="1"/>
    <xf numFmtId="165" fontId="38" fillId="0" borderId="85" xfId="0" applyNumberFormat="1" applyFont="1" applyFill="1" applyBorder="1"/>
    <xf numFmtId="165" fontId="38" fillId="0" borderId="86" xfId="0" applyNumberFormat="1" applyFont="1" applyFill="1" applyBorder="1"/>
    <xf numFmtId="0" fontId="37" fillId="0" borderId="0" xfId="0" applyFont="1"/>
    <xf numFmtId="0" fontId="0" fillId="0" borderId="87" xfId="0" applyFill="1" applyBorder="1"/>
    <xf numFmtId="0" fontId="0" fillId="0" borderId="87" xfId="0" applyFont="1" applyFill="1" applyBorder="1"/>
    <xf numFmtId="38" fontId="17" fillId="0" borderId="85" xfId="0" applyNumberFormat="1" applyFont="1" applyFill="1" applyBorder="1"/>
    <xf numFmtId="0" fontId="32" fillId="0" borderId="0" xfId="0" applyFont="1" applyFill="1" applyBorder="1" applyAlignment="1">
      <alignment horizontal="left"/>
    </xf>
    <xf numFmtId="0" fontId="32" fillId="0" borderId="85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38" fontId="32" fillId="0" borderId="0" xfId="0" applyNumberFormat="1" applyFont="1" applyFill="1" applyBorder="1"/>
    <xf numFmtId="0" fontId="39" fillId="0" borderId="0" xfId="1" applyFont="1" applyFill="1" applyBorder="1" applyAlignment="1" applyProtection="1">
      <alignment horizontal="left"/>
    </xf>
    <xf numFmtId="0" fontId="40" fillId="0" borderId="0" xfId="1" applyFont="1" applyAlignment="1" applyProtection="1"/>
    <xf numFmtId="165" fontId="0" fillId="0" borderId="0" xfId="0" applyNumberFormat="1"/>
    <xf numFmtId="165" fontId="42" fillId="0" borderId="85" xfId="0" applyNumberFormat="1" applyFont="1" applyFill="1" applyBorder="1"/>
    <xf numFmtId="165" fontId="17" fillId="0" borderId="85" xfId="0" applyNumberFormat="1" applyFont="1" applyFill="1" applyBorder="1" applyAlignment="1">
      <alignment horizontal="center"/>
    </xf>
    <xf numFmtId="0" fontId="38" fillId="0" borderId="85" xfId="0" applyFont="1" applyFill="1" applyBorder="1"/>
    <xf numFmtId="165" fontId="32" fillId="0" borderId="0" xfId="0" applyNumberFormat="1" applyFont="1"/>
    <xf numFmtId="166" fontId="17" fillId="0" borderId="85" xfId="0" applyNumberFormat="1" applyFont="1" applyFill="1" applyBorder="1"/>
    <xf numFmtId="165" fontId="17" fillId="0" borderId="85" xfId="0" applyNumberFormat="1" applyFont="1" applyFill="1" applyBorder="1" applyAlignment="1">
      <alignment vertical="center"/>
    </xf>
    <xf numFmtId="165" fontId="17" fillId="0" borderId="86" xfId="0" applyNumberFormat="1" applyFont="1" applyFill="1" applyBorder="1" applyAlignment="1">
      <alignment vertical="center"/>
    </xf>
    <xf numFmtId="165" fontId="31" fillId="0" borderId="86" xfId="0" applyNumberFormat="1" applyFont="1" applyFill="1" applyBorder="1" applyAlignment="1">
      <alignment vertical="center"/>
    </xf>
    <xf numFmtId="0" fontId="17" fillId="0" borderId="85" xfId="0" applyFont="1" applyFill="1" applyBorder="1"/>
    <xf numFmtId="38" fontId="42" fillId="0" borderId="85" xfId="0" applyNumberFormat="1" applyFont="1" applyFill="1" applyBorder="1"/>
    <xf numFmtId="17" fontId="30" fillId="0" borderId="83" xfId="0" applyNumberFormat="1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quotePrefix="1"/>
    <xf numFmtId="0" fontId="43" fillId="0" borderId="19" xfId="0" applyFont="1" applyBorder="1" applyAlignment="1">
      <alignment horizontal="left" vertical="center" wrapText="1"/>
    </xf>
    <xf numFmtId="0" fontId="44" fillId="0" borderId="19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right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1" fillId="0" borderId="1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26" fillId="2" borderId="43" xfId="0" applyFont="1" applyFill="1" applyBorder="1" applyAlignment="1">
      <alignment horizontal="center" vertical="center" wrapText="1"/>
    </xf>
    <xf numFmtId="0" fontId="48" fillId="0" borderId="0" xfId="0" applyFont="1"/>
    <xf numFmtId="0" fontId="50" fillId="0" borderId="0" xfId="0" applyFont="1" applyAlignment="1"/>
    <xf numFmtId="3" fontId="26" fillId="2" borderId="43" xfId="0" applyNumberFormat="1" applyFont="1" applyFill="1" applyBorder="1" applyAlignment="1">
      <alignment horizontal="center" vertical="center" wrapText="1"/>
    </xf>
    <xf numFmtId="3" fontId="26" fillId="2" borderId="53" xfId="0" applyNumberFormat="1" applyFont="1" applyFill="1" applyBorder="1" applyAlignment="1">
      <alignment horizontal="center" vertical="center" wrapText="1"/>
    </xf>
    <xf numFmtId="0" fontId="48" fillId="2" borderId="0" xfId="0" applyFont="1" applyFill="1"/>
    <xf numFmtId="3" fontId="49" fillId="2" borderId="43" xfId="0" applyNumberFormat="1" applyFont="1" applyFill="1" applyBorder="1" applyAlignment="1">
      <alignment horizontal="center" vertical="center" wrapText="1"/>
    </xf>
    <xf numFmtId="3" fontId="26" fillId="4" borderId="48" xfId="0" applyNumberFormat="1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49" fillId="2" borderId="33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left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1" fontId="7" fillId="2" borderId="41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left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left" vertical="center" wrapText="1"/>
    </xf>
    <xf numFmtId="10" fontId="7" fillId="0" borderId="63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10" fontId="7" fillId="0" borderId="64" xfId="0" applyNumberFormat="1" applyFont="1" applyBorder="1" applyAlignment="1">
      <alignment horizontal="center" vertical="center" wrapText="1"/>
    </xf>
    <xf numFmtId="0" fontId="7" fillId="0" borderId="65" xfId="0" applyFont="1" applyBorder="1" applyAlignment="1">
      <alignment horizontal="right" vertical="center" wrapText="1"/>
    </xf>
    <xf numFmtId="0" fontId="7" fillId="0" borderId="66" xfId="0" applyFont="1" applyBorder="1" applyAlignment="1">
      <alignment horizontal="right" vertical="center" wrapText="1"/>
    </xf>
    <xf numFmtId="0" fontId="7" fillId="0" borderId="52" xfId="0" applyFont="1" applyBorder="1" applyAlignment="1">
      <alignment horizontal="right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51" fillId="0" borderId="80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left" vertical="center"/>
    </xf>
    <xf numFmtId="0" fontId="52" fillId="0" borderId="71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/>
    </xf>
    <xf numFmtId="0" fontId="52" fillId="0" borderId="71" xfId="0" applyFont="1" applyBorder="1" applyAlignment="1">
      <alignment horizontal="left" wrapText="1"/>
    </xf>
    <xf numFmtId="0" fontId="53" fillId="0" borderId="71" xfId="0" applyFont="1" applyBorder="1" applyAlignment="1">
      <alignment horizontal="left" wrapText="1"/>
    </xf>
    <xf numFmtId="0" fontId="54" fillId="0" borderId="71" xfId="0" applyFont="1" applyBorder="1"/>
    <xf numFmtId="0" fontId="54" fillId="2" borderId="72" xfId="0" applyFont="1" applyFill="1" applyBorder="1"/>
    <xf numFmtId="0" fontId="52" fillId="0" borderId="71" xfId="0" applyFont="1" applyBorder="1" applyAlignment="1">
      <alignment horizontal="center" vertical="center" wrapText="1"/>
    </xf>
    <xf numFmtId="0" fontId="51" fillId="0" borderId="70" xfId="0" applyFont="1" applyBorder="1" applyAlignment="1">
      <alignment vertical="center"/>
    </xf>
    <xf numFmtId="0" fontId="54" fillId="0" borderId="71" xfId="0" applyFont="1" applyBorder="1" applyAlignment="1">
      <alignment vertical="center"/>
    </xf>
    <xf numFmtId="0" fontId="54" fillId="2" borderId="72" xfId="0" applyFont="1" applyFill="1" applyBorder="1" applyAlignment="1">
      <alignment vertical="center"/>
    </xf>
    <xf numFmtId="0" fontId="51" fillId="0" borderId="76" xfId="0" applyFont="1" applyBorder="1" applyAlignment="1">
      <alignment vertical="center"/>
    </xf>
    <xf numFmtId="0" fontId="54" fillId="0" borderId="77" xfId="0" applyFont="1" applyBorder="1" applyAlignment="1">
      <alignment vertical="center"/>
    </xf>
    <xf numFmtId="0" fontId="54" fillId="2" borderId="78" xfId="0" applyFont="1" applyFill="1" applyBorder="1" applyAlignment="1">
      <alignment vertical="center"/>
    </xf>
    <xf numFmtId="0" fontId="51" fillId="0" borderId="73" xfId="0" applyFont="1" applyBorder="1" applyAlignment="1">
      <alignment vertical="center"/>
    </xf>
    <xf numFmtId="0" fontId="54" fillId="0" borderId="74" xfId="0" applyFont="1" applyBorder="1" applyAlignment="1">
      <alignment vertical="center"/>
    </xf>
    <xf numFmtId="0" fontId="54" fillId="2" borderId="75" xfId="0" applyFont="1" applyFill="1" applyBorder="1" applyAlignment="1">
      <alignment vertical="center"/>
    </xf>
    <xf numFmtId="4" fontId="8" fillId="0" borderId="0" xfId="0" applyNumberFormat="1" applyFont="1" applyAlignment="1"/>
    <xf numFmtId="4" fontId="8" fillId="2" borderId="0" xfId="0" applyNumberFormat="1" applyFont="1" applyFill="1" applyAlignment="1"/>
    <xf numFmtId="4" fontId="8" fillId="2" borderId="0" xfId="0" applyNumberFormat="1" applyFont="1" applyFill="1"/>
    <xf numFmtId="0" fontId="7" fillId="0" borderId="8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3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 applyProtection="1">
      <alignment horizontal="right" vertical="center" wrapText="1"/>
      <protection locked="0"/>
    </xf>
    <xf numFmtId="4" fontId="8" fillId="7" borderId="19" xfId="0" applyNumberFormat="1" applyFont="1" applyFill="1" applyBorder="1"/>
    <xf numFmtId="4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3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32" xfId="0" applyNumberFormat="1" applyFont="1" applyFill="1" applyBorder="1" applyAlignment="1">
      <alignment horizontal="right" vertical="center" wrapText="1"/>
    </xf>
    <xf numFmtId="3" fontId="7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/>
    <xf numFmtId="0" fontId="8" fillId="0" borderId="19" xfId="0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4" fontId="8" fillId="2" borderId="32" xfId="0" applyNumberFormat="1" applyFont="1" applyFill="1" applyBorder="1" applyProtection="1">
      <protection locked="0"/>
    </xf>
    <xf numFmtId="4" fontId="8" fillId="2" borderId="33" xfId="0" applyNumberFormat="1" applyFont="1" applyFill="1" applyBorder="1" applyProtection="1">
      <protection locked="0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92;&#1072;&#1073;&#1088;&#1080;&#1082;&#1072;\v1\&#1087;&#1083;&#1072;&#1085;\&#1058;&#1069;&#1055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92;&#1072;&#1073;&#1088;&#1080;&#1082;&#1072;\v1\&#1087;&#1083;&#1072;&#1085;\&#1090;&#1077;&#1093;&#1085;&#1080;&#1082;&#1072;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1\&#1087;&#1083;&#1072;&#1085;%20&#1080;&#1102;&#1085;&#1100;\cash-flow26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D48">
            <v>814742</v>
          </cell>
        </row>
        <row r="58">
          <cell r="D58">
            <v>586563.12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">
          <cell r="F22">
            <v>107818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ирование ден.потоков"/>
      <sheetName val="Ден.потоки план-факт"/>
    </sheetNames>
    <sheetDataSet>
      <sheetData sheetId="0">
        <row r="66">
          <cell r="B66">
            <v>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3:T105" totalsRowShown="0" headerRowDxfId="22" dataDxfId="20" headerRowBorderDxfId="21">
  <autoFilter ref="A3:T105"/>
  <tableColumns count="20">
    <tableColumn id="1" name="Доходы и расходы" dataDxfId="19"/>
    <tableColumn id="2" name="Варианты расходов" dataDxfId="18"/>
    <tableColumn id="3" name="июль" dataDxfId="17"/>
    <tableColumn id="4" name="август" dataDxfId="16"/>
    <tableColumn id="5" name="сентябрь" dataDxfId="15"/>
    <tableColumn id="6" name="октябрь" dataDxfId="14"/>
    <tableColumn id="7" name="ноябрь" dataDxfId="13"/>
    <tableColumn id="8" name="декабрь" dataDxfId="12"/>
    <tableColumn id="9" name="янв.24" dataDxfId="11"/>
    <tableColumn id="10" name="фев.24" dataDxfId="10"/>
    <tableColumn id="11" name="мар.24" dataDxfId="9"/>
    <tableColumn id="12" name="апр.24" dataDxfId="8"/>
    <tableColumn id="13" name="май.24" dataDxfId="7"/>
    <tableColumn id="14" name="июн.24" dataDxfId="6"/>
    <tableColumn id="15" name="июл.24" dataDxfId="5"/>
    <tableColumn id="16" name="авг.24" dataDxfId="4"/>
    <tableColumn id="17" name="сен.24" dataDxfId="3"/>
    <tableColumn id="18" name="окт.24" dataDxfId="2"/>
    <tableColumn id="19" name="ноя.24" dataDxfId="1"/>
    <tableColumn id="20" name="дек.24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vexcele.ru/load/dlja_biznesa/uchet_dokhodov_i_raskhodov_pp/5-1-0-15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52" workbookViewId="0">
      <selection activeCell="G3" sqref="G3"/>
    </sheetView>
  </sheetViews>
  <sheetFormatPr defaultRowHeight="14.4" x14ac:dyDescent="0.3"/>
  <cols>
    <col min="2" max="2" width="86.33203125" customWidth="1"/>
    <col min="3" max="3" width="14.109375" customWidth="1"/>
    <col min="4" max="4" width="13" customWidth="1"/>
    <col min="6" max="6" width="12" bestFit="1" customWidth="1"/>
  </cols>
  <sheetData>
    <row r="1" spans="1:4" ht="47.4" thickTop="1" x14ac:dyDescent="0.3">
      <c r="A1" s="325" t="s">
        <v>0</v>
      </c>
      <c r="B1" s="326" t="s">
        <v>1</v>
      </c>
      <c r="C1" s="326" t="s">
        <v>2</v>
      </c>
      <c r="D1" s="327" t="s">
        <v>3</v>
      </c>
    </row>
    <row r="2" spans="1:4" ht="15.6" x14ac:dyDescent="0.3">
      <c r="A2" s="1">
        <v>1</v>
      </c>
      <c r="B2" s="171" t="s">
        <v>4</v>
      </c>
      <c r="C2" s="172"/>
      <c r="D2" s="173"/>
    </row>
    <row r="3" spans="1:4" ht="15.6" x14ac:dyDescent="0.3">
      <c r="A3" s="1" t="s">
        <v>5</v>
      </c>
      <c r="B3" s="2" t="s">
        <v>6</v>
      </c>
      <c r="C3" s="3" t="s">
        <v>7</v>
      </c>
      <c r="D3" s="4">
        <v>45</v>
      </c>
    </row>
    <row r="4" spans="1:4" ht="15.6" x14ac:dyDescent="0.3">
      <c r="A4" s="1" t="s">
        <v>8</v>
      </c>
      <c r="B4" s="2" t="s">
        <v>9</v>
      </c>
      <c r="C4" s="3" t="s">
        <v>7</v>
      </c>
      <c r="D4" s="4">
        <v>30</v>
      </c>
    </row>
    <row r="5" spans="1:4" ht="15.6" x14ac:dyDescent="0.3">
      <c r="A5" s="165" t="s">
        <v>10</v>
      </c>
      <c r="B5" s="5" t="s">
        <v>11</v>
      </c>
      <c r="C5" s="6"/>
      <c r="D5" s="7"/>
    </row>
    <row r="6" spans="1:4" ht="14.4" customHeight="1" x14ac:dyDescent="0.3">
      <c r="A6" s="166"/>
      <c r="B6" s="8" t="s">
        <v>12</v>
      </c>
      <c r="C6" s="9" t="s">
        <v>13</v>
      </c>
      <c r="D6" s="10">
        <v>83333</v>
      </c>
    </row>
    <row r="7" spans="1:4" ht="15.6" customHeight="1" x14ac:dyDescent="0.3">
      <c r="A7" s="167"/>
      <c r="B7" s="11" t="s">
        <v>281</v>
      </c>
      <c r="C7" s="12" t="s">
        <v>13</v>
      </c>
      <c r="D7" s="13">
        <v>6944</v>
      </c>
    </row>
    <row r="8" spans="1:4" ht="15.6" x14ac:dyDescent="0.3">
      <c r="A8" s="1">
        <v>2</v>
      </c>
      <c r="B8" s="171" t="s">
        <v>14</v>
      </c>
      <c r="C8" s="172"/>
      <c r="D8" s="173"/>
    </row>
    <row r="9" spans="1:4" ht="15" customHeight="1" x14ac:dyDescent="0.3">
      <c r="A9" s="1" t="s">
        <v>15</v>
      </c>
      <c r="B9" s="14" t="s">
        <v>16</v>
      </c>
      <c r="C9" s="15" t="s">
        <v>17</v>
      </c>
      <c r="D9" s="4">
        <v>1</v>
      </c>
    </row>
    <row r="10" spans="1:4" ht="15.6" x14ac:dyDescent="0.3">
      <c r="A10" s="1" t="s">
        <v>18</v>
      </c>
      <c r="B10" s="16" t="s">
        <v>19</v>
      </c>
      <c r="C10" s="3" t="s">
        <v>17</v>
      </c>
      <c r="D10" s="4">
        <v>1</v>
      </c>
    </row>
    <row r="11" spans="1:4" ht="15.6" x14ac:dyDescent="0.3">
      <c r="A11" s="1" t="s">
        <v>20</v>
      </c>
      <c r="B11" s="16" t="s">
        <v>21</v>
      </c>
      <c r="C11" s="3" t="s">
        <v>17</v>
      </c>
      <c r="D11" s="4">
        <v>1</v>
      </c>
    </row>
    <row r="12" spans="1:4" ht="14.4" customHeight="1" x14ac:dyDescent="0.3">
      <c r="A12" s="1" t="s">
        <v>22</v>
      </c>
      <c r="B12" s="16" t="s">
        <v>387</v>
      </c>
      <c r="C12" s="3" t="s">
        <v>17</v>
      </c>
      <c r="D12" s="4">
        <v>4</v>
      </c>
    </row>
    <row r="13" spans="1:4" ht="32.4" customHeight="1" x14ac:dyDescent="0.3">
      <c r="A13" s="1" t="s">
        <v>23</v>
      </c>
      <c r="B13" s="16" t="s">
        <v>390</v>
      </c>
      <c r="C13" s="3" t="s">
        <v>17</v>
      </c>
      <c r="D13" s="4">
        <v>4</v>
      </c>
    </row>
    <row r="14" spans="1:4" ht="15.6" x14ac:dyDescent="0.3">
      <c r="A14" s="1" t="s">
        <v>24</v>
      </c>
      <c r="B14" s="16" t="s">
        <v>389</v>
      </c>
      <c r="C14" s="3" t="s">
        <v>17</v>
      </c>
      <c r="D14" s="4">
        <v>2</v>
      </c>
    </row>
    <row r="15" spans="1:4" ht="15.6" x14ac:dyDescent="0.3">
      <c r="A15" s="1"/>
      <c r="B15" s="16"/>
      <c r="C15" s="3"/>
      <c r="D15" s="4"/>
    </row>
    <row r="16" spans="1:4" ht="15.6" x14ac:dyDescent="0.3">
      <c r="A16" s="1">
        <v>3</v>
      </c>
      <c r="B16" s="171" t="s">
        <v>27</v>
      </c>
      <c r="C16" s="172"/>
      <c r="D16" s="173"/>
    </row>
    <row r="17" spans="1:4" ht="15.6" x14ac:dyDescent="0.3">
      <c r="A17" s="165" t="s">
        <v>28</v>
      </c>
      <c r="B17" s="168" t="s">
        <v>29</v>
      </c>
      <c r="C17" s="6" t="s">
        <v>30</v>
      </c>
      <c r="D17" s="7">
        <v>130</v>
      </c>
    </row>
    <row r="18" spans="1:4" ht="15.6" x14ac:dyDescent="0.3">
      <c r="A18" s="167"/>
      <c r="B18" s="170"/>
      <c r="C18" s="12" t="s">
        <v>31</v>
      </c>
      <c r="D18" s="13">
        <v>0.06</v>
      </c>
    </row>
    <row r="19" spans="1:4" ht="15.6" x14ac:dyDescent="0.3">
      <c r="A19" s="165" t="s">
        <v>32</v>
      </c>
      <c r="B19" s="168" t="s">
        <v>33</v>
      </c>
      <c r="C19" s="6" t="s">
        <v>34</v>
      </c>
      <c r="D19" s="7">
        <v>21840</v>
      </c>
    </row>
    <row r="20" spans="1:4" ht="15.6" x14ac:dyDescent="0.3">
      <c r="A20" s="166"/>
      <c r="B20" s="169"/>
      <c r="C20" s="9" t="s">
        <v>35</v>
      </c>
      <c r="D20" s="10">
        <v>1820</v>
      </c>
    </row>
    <row r="21" spans="1:4" ht="15.6" x14ac:dyDescent="0.3">
      <c r="A21" s="167"/>
      <c r="B21" s="170"/>
      <c r="C21" s="12" t="s">
        <v>36</v>
      </c>
      <c r="D21" s="13">
        <v>84</v>
      </c>
    </row>
    <row r="22" spans="1:4" ht="15.6" x14ac:dyDescent="0.3">
      <c r="A22" s="165" t="s">
        <v>37</v>
      </c>
      <c r="B22" s="168" t="s">
        <v>38</v>
      </c>
      <c r="C22" s="6" t="s">
        <v>34</v>
      </c>
      <c r="D22" s="7">
        <v>131040</v>
      </c>
    </row>
    <row r="23" spans="1:4" ht="15.6" x14ac:dyDescent="0.3">
      <c r="A23" s="166"/>
      <c r="B23" s="169"/>
      <c r="C23" s="9" t="s">
        <v>35</v>
      </c>
      <c r="D23" s="10">
        <v>10920</v>
      </c>
    </row>
    <row r="24" spans="1:4" ht="15.6" x14ac:dyDescent="0.3">
      <c r="A24" s="167"/>
      <c r="B24" s="170"/>
      <c r="C24" s="12" t="s">
        <v>36</v>
      </c>
      <c r="D24" s="13">
        <v>504</v>
      </c>
    </row>
    <row r="25" spans="1:4" ht="15.6" x14ac:dyDescent="0.3">
      <c r="A25" s="165" t="s">
        <v>39</v>
      </c>
      <c r="B25" s="168" t="s">
        <v>40</v>
      </c>
      <c r="C25" s="6" t="s">
        <v>34</v>
      </c>
      <c r="D25" s="7">
        <v>4576</v>
      </c>
    </row>
    <row r="26" spans="1:4" ht="15.6" x14ac:dyDescent="0.3">
      <c r="A26" s="166"/>
      <c r="B26" s="169"/>
      <c r="C26" s="9" t="s">
        <v>35</v>
      </c>
      <c r="D26" s="10">
        <v>381</v>
      </c>
    </row>
    <row r="27" spans="1:4" ht="15.6" x14ac:dyDescent="0.3">
      <c r="A27" s="167"/>
      <c r="B27" s="170"/>
      <c r="C27" s="12" t="s">
        <v>36</v>
      </c>
      <c r="D27" s="13">
        <v>17.600000000000001</v>
      </c>
    </row>
    <row r="28" spans="1:4" ht="15.6" x14ac:dyDescent="0.3">
      <c r="A28" s="165">
        <v>4</v>
      </c>
      <c r="B28" s="5" t="s">
        <v>41</v>
      </c>
      <c r="C28" s="6" t="s">
        <v>42</v>
      </c>
      <c r="D28" s="79">
        <f>ШР!$C$23</f>
        <v>29</v>
      </c>
    </row>
    <row r="29" spans="1:4" ht="15.6" x14ac:dyDescent="0.3">
      <c r="A29" s="166"/>
      <c r="B29" s="8" t="s">
        <v>43</v>
      </c>
      <c r="C29" s="9" t="s">
        <v>42</v>
      </c>
      <c r="D29" s="10">
        <v>9</v>
      </c>
    </row>
    <row r="30" spans="1:4" ht="15.6" x14ac:dyDescent="0.3">
      <c r="A30" s="167"/>
      <c r="B30" s="11" t="s">
        <v>44</v>
      </c>
      <c r="C30" s="12" t="s">
        <v>42</v>
      </c>
      <c r="D30" s="13">
        <v>20</v>
      </c>
    </row>
    <row r="31" spans="1:4" ht="16.2" customHeight="1" x14ac:dyDescent="0.3">
      <c r="A31" s="1">
        <v>5</v>
      </c>
      <c r="B31" s="2" t="s">
        <v>296</v>
      </c>
      <c r="C31" s="3" t="s">
        <v>45</v>
      </c>
      <c r="D31" s="78">
        <f>техника!$F$22</f>
        <v>107466</v>
      </c>
    </row>
    <row r="32" spans="1:4" ht="14.4" customHeight="1" x14ac:dyDescent="0.3">
      <c r="A32" s="165">
        <v>6</v>
      </c>
      <c r="B32" s="5" t="s">
        <v>46</v>
      </c>
      <c r="C32" s="6" t="s">
        <v>13</v>
      </c>
      <c r="D32" s="17">
        <v>25000</v>
      </c>
    </row>
    <row r="33" spans="1:6" ht="14.4" customHeight="1" x14ac:dyDescent="0.3">
      <c r="A33" s="166"/>
      <c r="B33" s="8" t="s">
        <v>47</v>
      </c>
      <c r="C33" s="9" t="s">
        <v>13</v>
      </c>
      <c r="D33" s="18">
        <v>2500</v>
      </c>
    </row>
    <row r="34" spans="1:6" ht="14.4" customHeight="1" x14ac:dyDescent="0.3">
      <c r="A34" s="166"/>
      <c r="B34" s="8" t="s">
        <v>48</v>
      </c>
      <c r="C34" s="9" t="s">
        <v>13</v>
      </c>
      <c r="D34" s="18">
        <v>1333</v>
      </c>
    </row>
    <row r="35" spans="1:6" ht="14.4" customHeight="1" x14ac:dyDescent="0.3">
      <c r="A35" s="166"/>
      <c r="B35" s="8" t="s">
        <v>49</v>
      </c>
      <c r="C35" s="9" t="s">
        <v>13</v>
      </c>
      <c r="D35" s="18">
        <v>3917</v>
      </c>
    </row>
    <row r="36" spans="1:6" ht="13.8" customHeight="1" x14ac:dyDescent="0.3">
      <c r="A36" s="166"/>
      <c r="B36" s="8" t="s">
        <v>50</v>
      </c>
      <c r="C36" s="9" t="s">
        <v>13</v>
      </c>
      <c r="D36" s="18">
        <v>17250</v>
      </c>
    </row>
    <row r="37" spans="1:6" ht="15.6" x14ac:dyDescent="0.3">
      <c r="A37" s="165">
        <v>7</v>
      </c>
      <c r="B37" s="5" t="s">
        <v>51</v>
      </c>
      <c r="C37" s="6" t="s">
        <v>52</v>
      </c>
      <c r="D37" s="74">
        <f>SUM(D39:D43)</f>
        <v>203077.573</v>
      </c>
    </row>
    <row r="38" spans="1:6" ht="15.6" x14ac:dyDescent="0.3">
      <c r="A38" s="166"/>
      <c r="B38" s="8" t="s">
        <v>53</v>
      </c>
      <c r="C38" s="9"/>
      <c r="D38" s="75"/>
    </row>
    <row r="39" spans="1:6" ht="15.6" x14ac:dyDescent="0.3">
      <c r="A39" s="166"/>
      <c r="B39" s="19" t="s">
        <v>410</v>
      </c>
      <c r="C39" s="9" t="s">
        <v>52</v>
      </c>
      <c r="D39" s="75">
        <f>Затраты!$C$4</f>
        <v>6227</v>
      </c>
      <c r="F39" s="20"/>
    </row>
    <row r="40" spans="1:6" ht="15.6" x14ac:dyDescent="0.3">
      <c r="A40" s="166"/>
      <c r="B40" s="19" t="s">
        <v>409</v>
      </c>
      <c r="C40" s="9" t="s">
        <v>52</v>
      </c>
      <c r="D40" s="75">
        <f>Затраты!$C$9</f>
        <v>47807.61</v>
      </c>
      <c r="F40" s="20"/>
    </row>
    <row r="41" spans="1:6" ht="15.6" x14ac:dyDescent="0.3">
      <c r="A41" s="166"/>
      <c r="B41" s="19" t="s">
        <v>408</v>
      </c>
      <c r="C41" s="9" t="s">
        <v>45</v>
      </c>
      <c r="D41" s="75">
        <f>Затраты!$C$16</f>
        <v>10895.3</v>
      </c>
      <c r="F41" s="20"/>
    </row>
    <row r="42" spans="1:6" ht="15.6" x14ac:dyDescent="0.3">
      <c r="A42" s="166"/>
      <c r="B42" s="19" t="s">
        <v>407</v>
      </c>
      <c r="C42" s="9" t="s">
        <v>45</v>
      </c>
      <c r="D42" s="75">
        <f>Затраты!$C$41</f>
        <v>350</v>
      </c>
      <c r="F42" s="20"/>
    </row>
    <row r="43" spans="1:6" ht="15.6" x14ac:dyDescent="0.3">
      <c r="A43" s="167"/>
      <c r="B43" s="21" t="s">
        <v>406</v>
      </c>
      <c r="C43" s="12" t="s">
        <v>45</v>
      </c>
      <c r="D43" s="76">
        <f>Затраты!$C$44</f>
        <v>137797.663</v>
      </c>
      <c r="F43" s="20"/>
    </row>
    <row r="44" spans="1:6" ht="18.600000000000001" x14ac:dyDescent="0.3">
      <c r="A44" s="1">
        <v>8</v>
      </c>
      <c r="B44" s="22" t="s">
        <v>54</v>
      </c>
      <c r="C44" s="3" t="s">
        <v>55</v>
      </c>
      <c r="D44" s="77">
        <f>Доход!$C$9</f>
        <v>32589.68</v>
      </c>
      <c r="F44" s="23"/>
    </row>
    <row r="45" spans="1:6" ht="17.399999999999999" customHeight="1" x14ac:dyDescent="0.3">
      <c r="A45" s="1">
        <v>9</v>
      </c>
      <c r="B45" s="22" t="s">
        <v>56</v>
      </c>
      <c r="C45" s="3" t="s">
        <v>55</v>
      </c>
      <c r="D45" s="77">
        <f>Затраты!$C$70</f>
        <v>0</v>
      </c>
    </row>
    <row r="46" spans="1:6" ht="15.6" x14ac:dyDescent="0.3">
      <c r="A46" s="165">
        <v>10</v>
      </c>
      <c r="B46" s="5" t="s">
        <v>57</v>
      </c>
      <c r="C46" s="6"/>
      <c r="D46" s="7"/>
    </row>
    <row r="47" spans="1:6" ht="15.6" x14ac:dyDescent="0.3">
      <c r="A47" s="166"/>
      <c r="B47" s="19" t="s">
        <v>405</v>
      </c>
      <c r="C47" s="9" t="s">
        <v>45</v>
      </c>
      <c r="D47" s="75">
        <f>D48/100*20+D48</f>
        <v>977690.4</v>
      </c>
    </row>
    <row r="48" spans="1:6" ht="15.6" x14ac:dyDescent="0.3">
      <c r="A48" s="167"/>
      <c r="B48" s="21" t="s">
        <v>404</v>
      </c>
      <c r="C48" s="12" t="s">
        <v>45</v>
      </c>
      <c r="D48" s="76">
        <f>Доход!$E$8</f>
        <v>814742</v>
      </c>
      <c r="F48" s="24"/>
    </row>
    <row r="49" spans="1:7" ht="15.6" x14ac:dyDescent="0.3">
      <c r="A49" s="165">
        <v>11</v>
      </c>
      <c r="B49" s="5" t="s">
        <v>58</v>
      </c>
      <c r="C49" s="6" t="s">
        <v>45</v>
      </c>
      <c r="D49" s="74">
        <f>SUM(D51:D57)</f>
        <v>327577.90500000003</v>
      </c>
      <c r="F49" s="24"/>
    </row>
    <row r="50" spans="1:7" ht="15.6" x14ac:dyDescent="0.3">
      <c r="A50" s="166"/>
      <c r="B50" s="8" t="s">
        <v>53</v>
      </c>
      <c r="C50" s="9"/>
      <c r="D50" s="25"/>
      <c r="F50" s="26"/>
    </row>
    <row r="51" spans="1:7" ht="15.6" x14ac:dyDescent="0.3">
      <c r="A51" s="166"/>
      <c r="B51" s="19" t="s">
        <v>403</v>
      </c>
      <c r="C51" s="9" t="s">
        <v>45</v>
      </c>
      <c r="D51" s="75">
        <f>Налоги!$F$2</f>
        <v>162948.40000000002</v>
      </c>
      <c r="F51" s="26"/>
    </row>
    <row r="52" spans="1:7" ht="15.6" x14ac:dyDescent="0.3">
      <c r="A52" s="166"/>
      <c r="B52" s="19" t="s">
        <v>402</v>
      </c>
      <c r="C52" s="9" t="s">
        <v>45</v>
      </c>
      <c r="D52" s="75">
        <f>Налоги!$F$4</f>
        <v>117312.62400000001</v>
      </c>
      <c r="F52" s="26"/>
    </row>
    <row r="53" spans="1:7" ht="15.6" x14ac:dyDescent="0.3">
      <c r="A53" s="166"/>
      <c r="B53" s="19" t="s">
        <v>401</v>
      </c>
      <c r="C53" s="9" t="s">
        <v>45</v>
      </c>
      <c r="D53" s="80">
        <f>Налоги!$F$6</f>
        <v>44810.81</v>
      </c>
      <c r="F53" s="26"/>
    </row>
    <row r="54" spans="1:7" ht="15.6" x14ac:dyDescent="0.3">
      <c r="A54" s="166"/>
      <c r="B54" s="19" t="s">
        <v>400</v>
      </c>
      <c r="C54" s="9" t="s">
        <v>45</v>
      </c>
      <c r="D54" s="80">
        <f>Налоги!$F$9</f>
        <v>40</v>
      </c>
      <c r="F54" s="26"/>
    </row>
    <row r="55" spans="1:7" ht="15.6" x14ac:dyDescent="0.3">
      <c r="A55" s="166"/>
      <c r="B55" s="19" t="s">
        <v>399</v>
      </c>
      <c r="C55" s="9" t="s">
        <v>45</v>
      </c>
      <c r="D55" s="80">
        <f>Налоги!$F$10</f>
        <v>2371.9959999999996</v>
      </c>
      <c r="F55" s="26"/>
      <c r="G55" s="26"/>
    </row>
    <row r="56" spans="1:7" ht="15.6" x14ac:dyDescent="0.3">
      <c r="A56" s="166"/>
      <c r="B56" s="19" t="s">
        <v>397</v>
      </c>
      <c r="C56" s="9" t="s">
        <v>45</v>
      </c>
      <c r="D56" s="80">
        <f>Налоги!$F$8</f>
        <v>93.4</v>
      </c>
      <c r="F56" s="26"/>
      <c r="G56" s="26"/>
    </row>
    <row r="57" spans="1:7" ht="15.6" x14ac:dyDescent="0.3">
      <c r="A57" s="167"/>
      <c r="B57" s="21" t="s">
        <v>398</v>
      </c>
      <c r="C57" s="12" t="s">
        <v>45</v>
      </c>
      <c r="D57" s="81">
        <f>Налоги!$F$12</f>
        <v>0.67499999999999993</v>
      </c>
      <c r="F57" s="26"/>
      <c r="G57" s="26"/>
    </row>
    <row r="58" spans="1:7" ht="15.6" x14ac:dyDescent="0.3">
      <c r="A58" s="1">
        <v>12</v>
      </c>
      <c r="B58" s="2" t="s">
        <v>59</v>
      </c>
      <c r="C58" s="3" t="s">
        <v>45</v>
      </c>
      <c r="D58" s="77">
        <f>D48-D37</f>
        <v>611664.42700000003</v>
      </c>
      <c r="F58" s="27"/>
      <c r="G58" s="26"/>
    </row>
    <row r="59" spans="1:7" ht="15.6" x14ac:dyDescent="0.3">
      <c r="A59" s="1">
        <v>13</v>
      </c>
      <c r="B59" s="2" t="s">
        <v>60</v>
      </c>
      <c r="C59" s="3" t="s">
        <v>45</v>
      </c>
      <c r="D59" s="77">
        <f>D58-D52</f>
        <v>494351.80300000001</v>
      </c>
      <c r="F59" s="24"/>
      <c r="G59" s="26"/>
    </row>
    <row r="60" spans="1:7" ht="16.2" customHeight="1" x14ac:dyDescent="0.3">
      <c r="A60" s="1">
        <v>14</v>
      </c>
      <c r="B60" s="22" t="s">
        <v>61</v>
      </c>
      <c r="C60" s="3"/>
      <c r="D60" s="82">
        <f>D59/D31</f>
        <v>4.6000763311186796</v>
      </c>
      <c r="F60" s="28"/>
    </row>
    <row r="61" spans="1:7" ht="15.6" x14ac:dyDescent="0.3">
      <c r="A61" s="1">
        <v>15</v>
      </c>
      <c r="B61" s="22" t="s">
        <v>62</v>
      </c>
      <c r="C61" s="3"/>
      <c r="D61" s="82">
        <f>D58/D31</f>
        <v>5.6917018126663317</v>
      </c>
      <c r="F61" s="29"/>
    </row>
    <row r="62" spans="1:7" ht="19.8" customHeight="1" thickBot="1" x14ac:dyDescent="0.35">
      <c r="A62" s="30">
        <v>16</v>
      </c>
      <c r="B62" s="31" t="s">
        <v>63</v>
      </c>
      <c r="C62" s="32"/>
      <c r="D62" s="83">
        <f>D59/D48</f>
        <v>0.60675870766451223</v>
      </c>
      <c r="F62" s="28"/>
    </row>
    <row r="63" spans="1:7" ht="15" thickTop="1" x14ac:dyDescent="0.3"/>
  </sheetData>
  <mergeCells count="17">
    <mergeCell ref="B2:D2"/>
    <mergeCell ref="A5:A7"/>
    <mergeCell ref="B8:D8"/>
    <mergeCell ref="B16:D16"/>
    <mergeCell ref="A17:A18"/>
    <mergeCell ref="B17:B18"/>
    <mergeCell ref="A19:A21"/>
    <mergeCell ref="B19:B21"/>
    <mergeCell ref="A22:A24"/>
    <mergeCell ref="B22:B24"/>
    <mergeCell ref="A25:A27"/>
    <mergeCell ref="B25:B27"/>
    <mergeCell ref="A28:A30"/>
    <mergeCell ref="A32:A36"/>
    <mergeCell ref="A37:A43"/>
    <mergeCell ref="A46:A48"/>
    <mergeCell ref="A49:A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6" zoomScale="130" zoomScaleNormal="130" workbookViewId="0">
      <selection activeCell="M20" sqref="M20"/>
    </sheetView>
  </sheetViews>
  <sheetFormatPr defaultRowHeight="14.4" x14ac:dyDescent="0.3"/>
  <cols>
    <col min="1" max="1" width="4.109375" customWidth="1"/>
    <col min="2" max="2" width="28" customWidth="1"/>
    <col min="3" max="3" width="6.109375" customWidth="1"/>
    <col min="4" max="4" width="8.88671875" customWidth="1"/>
    <col min="5" max="5" width="11.88671875" customWidth="1"/>
    <col min="6" max="6" width="18" customWidth="1"/>
    <col min="7" max="7" width="10" customWidth="1"/>
    <col min="8" max="8" width="12.6640625" customWidth="1"/>
    <col min="10" max="10" width="17.6640625" customWidth="1"/>
    <col min="11" max="11" width="16.109375" customWidth="1"/>
    <col min="12" max="12" width="10.109375" bestFit="1" customWidth="1"/>
  </cols>
  <sheetData>
    <row r="1" spans="1:12" x14ac:dyDescent="0.3">
      <c r="A1" s="182" t="s">
        <v>0</v>
      </c>
      <c r="B1" s="180" t="s">
        <v>115</v>
      </c>
      <c r="C1" s="180" t="s">
        <v>116</v>
      </c>
      <c r="D1" s="180" t="s">
        <v>117</v>
      </c>
      <c r="E1" s="180" t="s">
        <v>118</v>
      </c>
      <c r="F1" s="180" t="s">
        <v>119</v>
      </c>
      <c r="G1" s="174" t="s">
        <v>120</v>
      </c>
      <c r="H1" s="174" t="s">
        <v>121</v>
      </c>
      <c r="J1" s="177" t="s">
        <v>122</v>
      </c>
      <c r="K1" s="177" t="s">
        <v>123</v>
      </c>
      <c r="L1" s="179" t="s">
        <v>124</v>
      </c>
    </row>
    <row r="2" spans="1:12" x14ac:dyDescent="0.3">
      <c r="A2" s="183"/>
      <c r="B2" s="185"/>
      <c r="C2" s="185"/>
      <c r="D2" s="185"/>
      <c r="E2" s="181"/>
      <c r="F2" s="181"/>
      <c r="G2" s="175"/>
      <c r="H2" s="175"/>
      <c r="J2" s="178"/>
      <c r="K2" s="178"/>
      <c r="L2" s="179"/>
    </row>
    <row r="3" spans="1:12" x14ac:dyDescent="0.3">
      <c r="A3" s="184"/>
      <c r="B3" s="186"/>
      <c r="C3" s="186"/>
      <c r="D3" s="186"/>
      <c r="E3" s="42">
        <v>0.3</v>
      </c>
      <c r="F3" s="42">
        <v>0.5</v>
      </c>
      <c r="G3" s="176"/>
      <c r="H3" s="176"/>
      <c r="J3" s="42">
        <v>0.3</v>
      </c>
      <c r="K3" s="42">
        <v>0.5</v>
      </c>
      <c r="L3" s="179"/>
    </row>
    <row r="4" spans="1:12" x14ac:dyDescent="0.3">
      <c r="A4" s="43">
        <v>1</v>
      </c>
      <c r="B4" s="44" t="s">
        <v>125</v>
      </c>
      <c r="C4" s="45">
        <v>1</v>
      </c>
      <c r="D4" s="46">
        <v>110000</v>
      </c>
      <c r="E4" s="84">
        <f>D4*E3</f>
        <v>33000</v>
      </c>
      <c r="F4" s="85">
        <f>D4*F3</f>
        <v>55000</v>
      </c>
      <c r="G4" s="86">
        <f>SUM(D4:F4)</f>
        <v>198000</v>
      </c>
      <c r="H4" s="87">
        <f>SUM(D4:F4)*C4</f>
        <v>198000</v>
      </c>
      <c r="J4" s="84">
        <f>D4*J3*C4</f>
        <v>33000</v>
      </c>
      <c r="K4" s="85">
        <f>D4*K3*C4</f>
        <v>55000</v>
      </c>
    </row>
    <row r="5" spans="1:12" x14ac:dyDescent="0.3">
      <c r="A5" s="43">
        <f>A4+1</f>
        <v>2</v>
      </c>
      <c r="B5" s="44" t="s">
        <v>126</v>
      </c>
      <c r="C5" s="45">
        <v>1</v>
      </c>
      <c r="D5" s="46">
        <v>105000</v>
      </c>
      <c r="E5" s="84">
        <f>D5*E3</f>
        <v>31500</v>
      </c>
      <c r="F5" s="85">
        <f>D5*F3</f>
        <v>52500</v>
      </c>
      <c r="G5" s="86">
        <f t="shared" ref="G5:G22" si="0">SUM(D5:F5)</f>
        <v>189000</v>
      </c>
      <c r="H5" s="87">
        <f>SUM(D5:F5)*C5</f>
        <v>189000</v>
      </c>
      <c r="J5" s="84">
        <f>D5*J3*C5</f>
        <v>31500</v>
      </c>
      <c r="K5" s="85">
        <f>D5*K3*C5</f>
        <v>52500</v>
      </c>
    </row>
    <row r="6" spans="1:12" ht="24" x14ac:dyDescent="0.3">
      <c r="A6" s="43">
        <f t="shared" ref="A6:A22" si="1">A5+1</f>
        <v>3</v>
      </c>
      <c r="B6" s="44" t="s">
        <v>127</v>
      </c>
      <c r="C6" s="45">
        <v>1</v>
      </c>
      <c r="D6" s="46">
        <v>105000</v>
      </c>
      <c r="E6" s="84">
        <f>D6*E3</f>
        <v>31500</v>
      </c>
      <c r="F6" s="85">
        <f>D6*F3</f>
        <v>52500</v>
      </c>
      <c r="G6" s="86">
        <f t="shared" si="0"/>
        <v>189000</v>
      </c>
      <c r="H6" s="87">
        <f>SUM(D6:F6)*C6</f>
        <v>189000</v>
      </c>
      <c r="J6" s="84">
        <f>D6*J3*C6</f>
        <v>31500</v>
      </c>
      <c r="K6" s="85">
        <f>D6*K3*C6</f>
        <v>52500</v>
      </c>
    </row>
    <row r="7" spans="1:12" x14ac:dyDescent="0.3">
      <c r="A7" s="43">
        <f t="shared" si="1"/>
        <v>4</v>
      </c>
      <c r="B7" s="44" t="s">
        <v>128</v>
      </c>
      <c r="C7" s="45">
        <v>1</v>
      </c>
      <c r="D7" s="46">
        <v>100000</v>
      </c>
      <c r="E7" s="84">
        <f>D7*E3</f>
        <v>30000</v>
      </c>
      <c r="F7" s="85">
        <f>D7*F3</f>
        <v>50000</v>
      </c>
      <c r="G7" s="86">
        <f t="shared" si="0"/>
        <v>180000</v>
      </c>
      <c r="H7" s="87">
        <f t="shared" ref="H7:H22" si="2">SUM(D7:F7)*C7</f>
        <v>180000</v>
      </c>
      <c r="J7" s="84">
        <f>D7*J3*C7</f>
        <v>30000</v>
      </c>
      <c r="K7" s="85">
        <f>D7*K3*C7</f>
        <v>50000</v>
      </c>
    </row>
    <row r="8" spans="1:12" x14ac:dyDescent="0.3">
      <c r="A8" s="43">
        <f t="shared" si="1"/>
        <v>5</v>
      </c>
      <c r="B8" s="44" t="s">
        <v>129</v>
      </c>
      <c r="C8" s="45">
        <v>1</v>
      </c>
      <c r="D8" s="46">
        <v>60000</v>
      </c>
      <c r="E8" s="84">
        <f>D8*E3</f>
        <v>18000</v>
      </c>
      <c r="F8" s="85">
        <f>D8*F3</f>
        <v>30000</v>
      </c>
      <c r="G8" s="86">
        <f t="shared" si="0"/>
        <v>108000</v>
      </c>
      <c r="H8" s="87">
        <f t="shared" si="2"/>
        <v>108000</v>
      </c>
      <c r="J8" s="84">
        <f>D8*J3*C8</f>
        <v>18000</v>
      </c>
      <c r="K8" s="85">
        <f>D8*K3*C8</f>
        <v>30000</v>
      </c>
    </row>
    <row r="9" spans="1:12" x14ac:dyDescent="0.3">
      <c r="A9" s="43">
        <f t="shared" si="1"/>
        <v>6</v>
      </c>
      <c r="B9" s="44" t="s">
        <v>130</v>
      </c>
      <c r="C9" s="45">
        <v>1</v>
      </c>
      <c r="D9" s="46">
        <v>65000</v>
      </c>
      <c r="E9" s="84">
        <f>D9*E3</f>
        <v>19500</v>
      </c>
      <c r="F9" s="85">
        <f>D9*F3</f>
        <v>32500</v>
      </c>
      <c r="G9" s="86">
        <f t="shared" si="0"/>
        <v>117000</v>
      </c>
      <c r="H9" s="87">
        <f t="shared" si="2"/>
        <v>117000</v>
      </c>
      <c r="J9" s="84">
        <f>D9*J3*C9</f>
        <v>19500</v>
      </c>
      <c r="K9" s="85">
        <f>D9*K3*C9</f>
        <v>32500</v>
      </c>
    </row>
    <row r="10" spans="1:12" x14ac:dyDescent="0.3">
      <c r="A10" s="43">
        <f t="shared" si="1"/>
        <v>7</v>
      </c>
      <c r="B10" s="44" t="s">
        <v>131</v>
      </c>
      <c r="C10" s="45">
        <v>1</v>
      </c>
      <c r="D10" s="46">
        <v>35000</v>
      </c>
      <c r="E10" s="84">
        <f>D10*E3</f>
        <v>10500</v>
      </c>
      <c r="F10" s="85">
        <f>D10*F3</f>
        <v>17500</v>
      </c>
      <c r="G10" s="86">
        <f t="shared" si="0"/>
        <v>63000</v>
      </c>
      <c r="H10" s="87">
        <f t="shared" si="2"/>
        <v>63000</v>
      </c>
      <c r="J10" s="84">
        <f>D10*J3*C10</f>
        <v>10500</v>
      </c>
      <c r="K10" s="85">
        <f>D10*K3*C10</f>
        <v>17500</v>
      </c>
    </row>
    <row r="11" spans="1:12" x14ac:dyDescent="0.3">
      <c r="A11" s="43">
        <f t="shared" si="1"/>
        <v>8</v>
      </c>
      <c r="B11" s="44" t="s">
        <v>132</v>
      </c>
      <c r="C11" s="45">
        <v>1</v>
      </c>
      <c r="D11" s="46">
        <v>72000</v>
      </c>
      <c r="E11" s="84">
        <f>D11*E3</f>
        <v>21600</v>
      </c>
      <c r="F11" s="85">
        <f>D11*F3</f>
        <v>36000</v>
      </c>
      <c r="G11" s="86">
        <f t="shared" si="0"/>
        <v>129600</v>
      </c>
      <c r="H11" s="87">
        <f t="shared" si="2"/>
        <v>129600</v>
      </c>
      <c r="J11" s="84">
        <f>D11*J3*C11</f>
        <v>21600</v>
      </c>
      <c r="K11" s="85">
        <f>D11*K3*C11</f>
        <v>36000</v>
      </c>
    </row>
    <row r="12" spans="1:12" x14ac:dyDescent="0.3">
      <c r="A12" s="43">
        <f t="shared" si="1"/>
        <v>9</v>
      </c>
      <c r="B12" s="44" t="s">
        <v>133</v>
      </c>
      <c r="C12" s="45">
        <v>1</v>
      </c>
      <c r="D12" s="46">
        <v>70000</v>
      </c>
      <c r="E12" s="84">
        <f>D12*E3</f>
        <v>21000</v>
      </c>
      <c r="F12" s="85">
        <f>D12*F3</f>
        <v>35000</v>
      </c>
      <c r="G12" s="86">
        <f t="shared" si="0"/>
        <v>126000</v>
      </c>
      <c r="H12" s="87">
        <f t="shared" si="2"/>
        <v>126000</v>
      </c>
      <c r="J12" s="84">
        <f>D12*J3*C12</f>
        <v>21000</v>
      </c>
      <c r="K12" s="85">
        <f>D12*K3*C12</f>
        <v>35000</v>
      </c>
    </row>
    <row r="13" spans="1:12" x14ac:dyDescent="0.3">
      <c r="A13" s="43">
        <f t="shared" si="1"/>
        <v>10</v>
      </c>
      <c r="B13" s="44" t="s">
        <v>134</v>
      </c>
      <c r="C13" s="45">
        <v>1</v>
      </c>
      <c r="D13" s="46">
        <v>35000</v>
      </c>
      <c r="E13" s="84">
        <f>D13*E3</f>
        <v>10500</v>
      </c>
      <c r="F13" s="85">
        <f>D13*F3</f>
        <v>17500</v>
      </c>
      <c r="G13" s="86">
        <f t="shared" si="0"/>
        <v>63000</v>
      </c>
      <c r="H13" s="87">
        <f t="shared" si="2"/>
        <v>63000</v>
      </c>
      <c r="J13" s="84">
        <f>D13*J3*C13</f>
        <v>10500</v>
      </c>
      <c r="K13" s="85">
        <f>D13*K3*C13</f>
        <v>17500</v>
      </c>
    </row>
    <row r="14" spans="1:12" x14ac:dyDescent="0.3">
      <c r="A14" s="43">
        <f t="shared" si="1"/>
        <v>11</v>
      </c>
      <c r="B14" s="44" t="s">
        <v>135</v>
      </c>
      <c r="C14" s="45">
        <v>1</v>
      </c>
      <c r="D14" s="46">
        <v>53000</v>
      </c>
      <c r="E14" s="84">
        <f>D14*E3</f>
        <v>15900</v>
      </c>
      <c r="F14" s="85">
        <f>D14*F3</f>
        <v>26500</v>
      </c>
      <c r="G14" s="86">
        <f t="shared" si="0"/>
        <v>95400</v>
      </c>
      <c r="H14" s="87">
        <f t="shared" si="2"/>
        <v>95400</v>
      </c>
      <c r="J14" s="84">
        <f>D14*J3*C14</f>
        <v>15900</v>
      </c>
      <c r="K14" s="85">
        <f>D14*K3*C14</f>
        <v>26500</v>
      </c>
    </row>
    <row r="15" spans="1:12" x14ac:dyDescent="0.3">
      <c r="A15" s="43">
        <f t="shared" si="1"/>
        <v>12</v>
      </c>
      <c r="B15" s="44" t="s">
        <v>136</v>
      </c>
      <c r="C15" s="45">
        <v>0</v>
      </c>
      <c r="D15" s="46">
        <v>28000</v>
      </c>
      <c r="E15" s="84">
        <f>D15*E3</f>
        <v>8400</v>
      </c>
      <c r="F15" s="85">
        <f>D15*F3</f>
        <v>14000</v>
      </c>
      <c r="G15" s="86">
        <f t="shared" si="0"/>
        <v>50400</v>
      </c>
      <c r="H15" s="87">
        <f t="shared" si="2"/>
        <v>0</v>
      </c>
      <c r="J15" s="84">
        <f>D15*J3*C15</f>
        <v>0</v>
      </c>
      <c r="K15" s="85">
        <f>D15*K3*C15</f>
        <v>0</v>
      </c>
    </row>
    <row r="16" spans="1:12" x14ac:dyDescent="0.3">
      <c r="A16" s="43">
        <f t="shared" si="1"/>
        <v>13</v>
      </c>
      <c r="B16" s="44" t="s">
        <v>137</v>
      </c>
      <c r="C16" s="45">
        <v>2</v>
      </c>
      <c r="D16" s="46">
        <v>60000</v>
      </c>
      <c r="E16" s="84">
        <f>D16*E3</f>
        <v>18000</v>
      </c>
      <c r="F16" s="85">
        <f>D16*F3</f>
        <v>30000</v>
      </c>
      <c r="G16" s="86">
        <f t="shared" si="0"/>
        <v>108000</v>
      </c>
      <c r="H16" s="87">
        <f t="shared" si="2"/>
        <v>216000</v>
      </c>
      <c r="J16" s="84">
        <f>D16*J3*C16</f>
        <v>36000</v>
      </c>
      <c r="K16" s="85">
        <f>D16*K3*C16</f>
        <v>60000</v>
      </c>
    </row>
    <row r="17" spans="1:12" x14ac:dyDescent="0.3">
      <c r="A17" s="43">
        <f t="shared" si="1"/>
        <v>14</v>
      </c>
      <c r="B17" s="44" t="s">
        <v>138</v>
      </c>
      <c r="C17" s="45">
        <v>2</v>
      </c>
      <c r="D17" s="46">
        <v>60000</v>
      </c>
      <c r="E17" s="84">
        <f>D17*E3</f>
        <v>18000</v>
      </c>
      <c r="F17" s="85">
        <f>D17*F3</f>
        <v>30000</v>
      </c>
      <c r="G17" s="86">
        <f t="shared" si="0"/>
        <v>108000</v>
      </c>
      <c r="H17" s="87">
        <f t="shared" si="2"/>
        <v>216000</v>
      </c>
      <c r="J17" s="84">
        <f>D17*J3*C17</f>
        <v>36000</v>
      </c>
      <c r="K17" s="85">
        <f>D17*K3*C17</f>
        <v>60000</v>
      </c>
    </row>
    <row r="18" spans="1:12" x14ac:dyDescent="0.3">
      <c r="A18" s="43">
        <f t="shared" si="1"/>
        <v>15</v>
      </c>
      <c r="B18" s="44" t="s">
        <v>139</v>
      </c>
      <c r="C18" s="45">
        <v>4</v>
      </c>
      <c r="D18" s="46">
        <v>80000</v>
      </c>
      <c r="E18" s="84">
        <f>D18*E3</f>
        <v>24000</v>
      </c>
      <c r="F18" s="85">
        <f>D18*F3</f>
        <v>40000</v>
      </c>
      <c r="G18" s="86">
        <f t="shared" si="0"/>
        <v>144000</v>
      </c>
      <c r="H18" s="87">
        <f t="shared" si="2"/>
        <v>576000</v>
      </c>
      <c r="J18" s="84">
        <f>D18*J3*C18</f>
        <v>96000</v>
      </c>
      <c r="K18" s="85">
        <f>D18*K3*C18</f>
        <v>160000</v>
      </c>
    </row>
    <row r="19" spans="1:12" x14ac:dyDescent="0.3">
      <c r="A19" s="43">
        <f t="shared" si="1"/>
        <v>16</v>
      </c>
      <c r="B19" s="44" t="s">
        <v>140</v>
      </c>
      <c r="C19" s="45">
        <v>4</v>
      </c>
      <c r="D19" s="46">
        <v>80000</v>
      </c>
      <c r="E19" s="84">
        <f>D19*E3</f>
        <v>24000</v>
      </c>
      <c r="F19" s="85">
        <f>D19*F3</f>
        <v>40000</v>
      </c>
      <c r="G19" s="86">
        <f t="shared" si="0"/>
        <v>144000</v>
      </c>
      <c r="H19" s="87">
        <f t="shared" si="2"/>
        <v>576000</v>
      </c>
      <c r="J19" s="84">
        <f>D19*J3*C19</f>
        <v>96000</v>
      </c>
      <c r="K19" s="85">
        <f>D19*K3*C19</f>
        <v>160000</v>
      </c>
    </row>
    <row r="20" spans="1:12" x14ac:dyDescent="0.3">
      <c r="A20" s="43">
        <f t="shared" si="1"/>
        <v>17</v>
      </c>
      <c r="B20" s="44" t="s">
        <v>141</v>
      </c>
      <c r="C20" s="45">
        <v>4</v>
      </c>
      <c r="D20" s="46">
        <v>80000</v>
      </c>
      <c r="E20" s="84">
        <f>D20*E3</f>
        <v>24000</v>
      </c>
      <c r="F20" s="85">
        <f>D20*F3</f>
        <v>40000</v>
      </c>
      <c r="G20" s="86">
        <f t="shared" si="0"/>
        <v>144000</v>
      </c>
      <c r="H20" s="87">
        <f>SUM(D20:F20)*C20</f>
        <v>576000</v>
      </c>
      <c r="J20" s="84">
        <f>D20*J3*C20</f>
        <v>96000</v>
      </c>
      <c r="K20" s="85">
        <f>D20*K3*C20</f>
        <v>160000</v>
      </c>
    </row>
    <row r="21" spans="1:12" x14ac:dyDescent="0.3">
      <c r="A21" s="43">
        <f t="shared" si="1"/>
        <v>18</v>
      </c>
      <c r="B21" s="44" t="s">
        <v>142</v>
      </c>
      <c r="C21" s="45">
        <v>1</v>
      </c>
      <c r="D21" s="46">
        <v>55000</v>
      </c>
      <c r="E21" s="84">
        <f>D21*E3</f>
        <v>16500</v>
      </c>
      <c r="F21" s="85">
        <f>D21*F3</f>
        <v>27500</v>
      </c>
      <c r="G21" s="86">
        <f t="shared" si="0"/>
        <v>99000</v>
      </c>
      <c r="H21" s="87">
        <f t="shared" si="2"/>
        <v>99000</v>
      </c>
      <c r="J21" s="84">
        <f>D21*J3*C21</f>
        <v>16500</v>
      </c>
      <c r="K21" s="85">
        <f>D21*K3*C21</f>
        <v>27500</v>
      </c>
    </row>
    <row r="22" spans="1:12" x14ac:dyDescent="0.3">
      <c r="A22" s="43">
        <f t="shared" si="1"/>
        <v>19</v>
      </c>
      <c r="B22" s="44" t="s">
        <v>143</v>
      </c>
      <c r="C22" s="45">
        <v>1</v>
      </c>
      <c r="D22" s="46">
        <v>28000</v>
      </c>
      <c r="E22" s="84">
        <f>D22*E3</f>
        <v>8400</v>
      </c>
      <c r="F22" s="85">
        <f>D22*F3</f>
        <v>14000</v>
      </c>
      <c r="G22" s="86">
        <f t="shared" si="0"/>
        <v>50400</v>
      </c>
      <c r="H22" s="87">
        <f t="shared" si="2"/>
        <v>50400</v>
      </c>
      <c r="J22" s="84">
        <f>D22*J3*C22</f>
        <v>8400</v>
      </c>
      <c r="K22" s="85">
        <f>D22*K3*C22</f>
        <v>14000</v>
      </c>
    </row>
    <row r="23" spans="1:12" ht="15" thickBot="1" x14ac:dyDescent="0.35">
      <c r="A23" s="47"/>
      <c r="B23" s="48" t="s">
        <v>144</v>
      </c>
      <c r="C23" s="92">
        <f>SUM(C4:C22)</f>
        <v>29</v>
      </c>
      <c r="D23" s="49"/>
      <c r="E23" s="50"/>
      <c r="F23" s="50"/>
      <c r="G23" s="51"/>
      <c r="H23" s="91">
        <f>SUM(H4:H22)</f>
        <v>3767400</v>
      </c>
      <c r="J23" s="88">
        <f>SUM(J4:J22)</f>
        <v>627900</v>
      </c>
      <c r="K23" s="89">
        <f>SUM(K4:K22)</f>
        <v>1046500</v>
      </c>
      <c r="L23" s="90">
        <f>H23-J23-K23</f>
        <v>2093000</v>
      </c>
    </row>
  </sheetData>
  <mergeCells count="11">
    <mergeCell ref="F1:F2"/>
    <mergeCell ref="A1:A3"/>
    <mergeCell ref="B1:B3"/>
    <mergeCell ref="C1:C3"/>
    <mergeCell ref="D1:D3"/>
    <mergeCell ref="E1:E2"/>
    <mergeCell ref="G1:G3"/>
    <mergeCell ref="H1:H3"/>
    <mergeCell ref="J1:J2"/>
    <mergeCell ref="K1:K2"/>
    <mergeCell ref="L1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6" workbookViewId="0">
      <selection activeCell="I30" sqref="I30"/>
    </sheetView>
  </sheetViews>
  <sheetFormatPr defaultColWidth="8.6640625" defaultRowHeight="14.4" x14ac:dyDescent="0.3"/>
  <cols>
    <col min="1" max="1" width="4.5546875" customWidth="1"/>
    <col min="2" max="2" width="69.77734375" customWidth="1"/>
    <col min="3" max="3" width="13.44140625" customWidth="1"/>
    <col min="4" max="4" width="16.33203125" customWidth="1"/>
    <col min="5" max="5" width="15" customWidth="1"/>
    <col min="6" max="6" width="15.5546875" customWidth="1"/>
  </cols>
  <sheetData>
    <row r="1" spans="1:6" x14ac:dyDescent="0.3">
      <c r="A1" s="191" t="s">
        <v>0</v>
      </c>
      <c r="B1" s="193" t="s">
        <v>64</v>
      </c>
      <c r="C1" s="187" t="s">
        <v>65</v>
      </c>
      <c r="D1" s="193" t="s">
        <v>66</v>
      </c>
      <c r="E1" s="187" t="s">
        <v>67</v>
      </c>
      <c r="F1" s="188"/>
    </row>
    <row r="2" spans="1:6" x14ac:dyDescent="0.3">
      <c r="A2" s="192"/>
      <c r="B2" s="194"/>
      <c r="C2" s="195"/>
      <c r="D2" s="194"/>
      <c r="E2" s="33" t="s">
        <v>68</v>
      </c>
      <c r="F2" s="34" t="s">
        <v>69</v>
      </c>
    </row>
    <row r="3" spans="1:6" ht="39.6" x14ac:dyDescent="0.3">
      <c r="A3" s="35" t="s">
        <v>70</v>
      </c>
      <c r="B3" s="14" t="s">
        <v>16</v>
      </c>
      <c r="C3" s="36" t="s">
        <v>71</v>
      </c>
      <c r="D3" s="37">
        <v>1</v>
      </c>
      <c r="E3" s="37">
        <v>17000</v>
      </c>
      <c r="F3" s="38">
        <f t="shared" ref="F3:F21" si="0">E3*D3</f>
        <v>17000</v>
      </c>
    </row>
    <row r="4" spans="1:6" ht="27.6" x14ac:dyDescent="0.3">
      <c r="A4" s="35" t="s">
        <v>72</v>
      </c>
      <c r="B4" s="16" t="s">
        <v>19</v>
      </c>
      <c r="C4" s="33" t="s">
        <v>73</v>
      </c>
      <c r="D4" s="33">
        <v>1</v>
      </c>
      <c r="E4" s="37">
        <v>16700</v>
      </c>
      <c r="F4" s="38">
        <f t="shared" si="0"/>
        <v>16700</v>
      </c>
    </row>
    <row r="5" spans="1:6" ht="69" x14ac:dyDescent="0.3">
      <c r="A5" s="35" t="s">
        <v>74</v>
      </c>
      <c r="B5" s="163" t="s">
        <v>390</v>
      </c>
      <c r="C5" s="33" t="s">
        <v>393</v>
      </c>
      <c r="D5" s="33">
        <v>4</v>
      </c>
      <c r="E5" s="37">
        <v>3950</v>
      </c>
      <c r="F5" s="38">
        <f t="shared" si="0"/>
        <v>15800</v>
      </c>
    </row>
    <row r="6" spans="1:6" ht="30.6" x14ac:dyDescent="0.3">
      <c r="A6" s="35" t="s">
        <v>75</v>
      </c>
      <c r="B6" s="164" t="s">
        <v>25</v>
      </c>
      <c r="C6" s="33" t="s">
        <v>76</v>
      </c>
      <c r="D6" s="33">
        <v>0</v>
      </c>
      <c r="E6" s="37">
        <v>580</v>
      </c>
      <c r="F6" s="38">
        <f t="shared" si="0"/>
        <v>0</v>
      </c>
    </row>
    <row r="7" spans="1:6" ht="40.799999999999997" x14ac:dyDescent="0.3">
      <c r="A7" s="35" t="s">
        <v>77</v>
      </c>
      <c r="B7" s="164" t="s">
        <v>26</v>
      </c>
      <c r="C7" s="33" t="s">
        <v>78</v>
      </c>
      <c r="D7" s="33">
        <v>0</v>
      </c>
      <c r="E7" s="37">
        <v>732</v>
      </c>
      <c r="F7" s="38">
        <f t="shared" si="0"/>
        <v>0</v>
      </c>
    </row>
    <row r="8" spans="1:6" ht="16.2" customHeight="1" x14ac:dyDescent="0.3">
      <c r="A8" s="35" t="s">
        <v>79</v>
      </c>
      <c r="B8" s="163" t="s">
        <v>387</v>
      </c>
      <c r="C8" s="33" t="s">
        <v>392</v>
      </c>
      <c r="D8" s="33">
        <v>4</v>
      </c>
      <c r="E8" s="37">
        <v>1850</v>
      </c>
      <c r="F8" s="38">
        <f t="shared" si="0"/>
        <v>7400</v>
      </c>
    </row>
    <row r="9" spans="1:6" ht="17.399999999999999" customHeight="1" x14ac:dyDescent="0.3">
      <c r="A9" s="35" t="s">
        <v>80</v>
      </c>
      <c r="B9" s="16" t="s">
        <v>81</v>
      </c>
      <c r="C9" s="33" t="s">
        <v>82</v>
      </c>
      <c r="D9" s="33">
        <v>2</v>
      </c>
      <c r="E9" s="37">
        <v>1900</v>
      </c>
      <c r="F9" s="38">
        <f t="shared" si="0"/>
        <v>3800</v>
      </c>
    </row>
    <row r="10" spans="1:6" ht="27.6" x14ac:dyDescent="0.3">
      <c r="A10" s="35" t="s">
        <v>83</v>
      </c>
      <c r="B10" s="16" t="s">
        <v>84</v>
      </c>
      <c r="C10" s="33" t="s">
        <v>85</v>
      </c>
      <c r="D10" s="33">
        <v>2</v>
      </c>
      <c r="E10" s="37">
        <v>2280</v>
      </c>
      <c r="F10" s="38">
        <f t="shared" si="0"/>
        <v>4560</v>
      </c>
    </row>
    <row r="11" spans="1:6" ht="26.4" customHeight="1" x14ac:dyDescent="0.3">
      <c r="A11" s="35" t="s">
        <v>86</v>
      </c>
      <c r="B11" s="16" t="s">
        <v>87</v>
      </c>
      <c r="C11" s="33" t="s">
        <v>88</v>
      </c>
      <c r="D11" s="33">
        <v>2</v>
      </c>
      <c r="E11" s="37">
        <v>120</v>
      </c>
      <c r="F11" s="38">
        <f t="shared" si="0"/>
        <v>240</v>
      </c>
    </row>
    <row r="12" spans="1:6" ht="27" customHeight="1" x14ac:dyDescent="0.3">
      <c r="A12" s="35" t="s">
        <v>89</v>
      </c>
      <c r="B12" s="16" t="s">
        <v>90</v>
      </c>
      <c r="C12" s="33" t="s">
        <v>91</v>
      </c>
      <c r="D12" s="33">
        <v>2</v>
      </c>
      <c r="E12" s="37">
        <v>114</v>
      </c>
      <c r="F12" s="38">
        <f t="shared" si="0"/>
        <v>228</v>
      </c>
    </row>
    <row r="13" spans="1:6" ht="33.6" customHeight="1" x14ac:dyDescent="0.3">
      <c r="A13" s="35" t="s">
        <v>92</v>
      </c>
      <c r="B13" s="16" t="s">
        <v>93</v>
      </c>
      <c r="C13" s="33" t="s">
        <v>94</v>
      </c>
      <c r="D13" s="33">
        <v>1</v>
      </c>
      <c r="E13" s="37">
        <v>32</v>
      </c>
      <c r="F13" s="38">
        <f t="shared" si="0"/>
        <v>32</v>
      </c>
    </row>
    <row r="14" spans="1:6" ht="31.8" customHeight="1" x14ac:dyDescent="0.3">
      <c r="A14" s="35" t="s">
        <v>95</v>
      </c>
      <c r="B14" s="16" t="s">
        <v>96</v>
      </c>
      <c r="C14" s="33" t="s">
        <v>97</v>
      </c>
      <c r="D14" s="33">
        <v>2</v>
      </c>
      <c r="E14" s="37">
        <v>18</v>
      </c>
      <c r="F14" s="38">
        <f t="shared" si="0"/>
        <v>36</v>
      </c>
    </row>
    <row r="15" spans="1:6" ht="27.6" x14ac:dyDescent="0.3">
      <c r="A15" s="35" t="s">
        <v>98</v>
      </c>
      <c r="B15" s="163" t="s">
        <v>389</v>
      </c>
      <c r="C15" s="33" t="s">
        <v>388</v>
      </c>
      <c r="D15" s="33">
        <v>2</v>
      </c>
      <c r="E15" s="37">
        <v>2600</v>
      </c>
      <c r="F15" s="38">
        <f t="shared" si="0"/>
        <v>5200</v>
      </c>
    </row>
    <row r="16" spans="1:6" ht="27.6" x14ac:dyDescent="0.3">
      <c r="A16" s="35" t="s">
        <v>99</v>
      </c>
      <c r="B16" s="16" t="s">
        <v>21</v>
      </c>
      <c r="C16" s="33" t="s">
        <v>100</v>
      </c>
      <c r="D16" s="33">
        <v>1</v>
      </c>
      <c r="E16" s="37">
        <v>24000</v>
      </c>
      <c r="F16" s="38">
        <f t="shared" si="0"/>
        <v>24000</v>
      </c>
    </row>
    <row r="17" spans="1:10" ht="39.6" customHeight="1" x14ac:dyDescent="0.3">
      <c r="A17" s="35" t="s">
        <v>101</v>
      </c>
      <c r="B17" s="16" t="s">
        <v>102</v>
      </c>
      <c r="C17" s="33"/>
      <c r="D17" s="33">
        <v>4</v>
      </c>
      <c r="E17" s="37">
        <v>250</v>
      </c>
      <c r="F17" s="38">
        <f t="shared" si="0"/>
        <v>1000</v>
      </c>
    </row>
    <row r="18" spans="1:10" ht="27.6" x14ac:dyDescent="0.3">
      <c r="A18" s="35" t="s">
        <v>103</v>
      </c>
      <c r="B18" s="16" t="s">
        <v>104</v>
      </c>
      <c r="C18" s="33" t="s">
        <v>105</v>
      </c>
      <c r="D18" s="33">
        <v>1</v>
      </c>
      <c r="E18" s="37">
        <v>2990</v>
      </c>
      <c r="F18" s="38">
        <f t="shared" si="0"/>
        <v>2990</v>
      </c>
    </row>
    <row r="19" spans="1:10" ht="27.6" x14ac:dyDescent="0.3">
      <c r="A19" s="35" t="s">
        <v>106</v>
      </c>
      <c r="B19" s="16" t="s">
        <v>107</v>
      </c>
      <c r="C19" s="33" t="s">
        <v>108</v>
      </c>
      <c r="D19" s="33">
        <v>1</v>
      </c>
      <c r="E19" s="37">
        <v>8400</v>
      </c>
      <c r="F19" s="38">
        <f t="shared" si="0"/>
        <v>8400</v>
      </c>
    </row>
    <row r="20" spans="1:10" ht="30.6" x14ac:dyDescent="0.3">
      <c r="A20" s="35" t="s">
        <v>109</v>
      </c>
      <c r="B20" s="16" t="s">
        <v>110</v>
      </c>
      <c r="C20" s="33" t="s">
        <v>111</v>
      </c>
      <c r="D20" s="33">
        <v>1</v>
      </c>
      <c r="E20" s="37">
        <v>80</v>
      </c>
      <c r="F20" s="38">
        <f t="shared" si="0"/>
        <v>80</v>
      </c>
    </row>
    <row r="21" spans="1:10" ht="47.4" customHeight="1" x14ac:dyDescent="0.3">
      <c r="A21" s="35" t="s">
        <v>112</v>
      </c>
      <c r="B21" s="16" t="s">
        <v>113</v>
      </c>
      <c r="C21" s="33"/>
      <c r="D21" s="33"/>
      <c r="E21" s="39"/>
      <c r="F21" s="38">
        <f t="shared" si="0"/>
        <v>0</v>
      </c>
    </row>
    <row r="22" spans="1:10" ht="15" thickBot="1" x14ac:dyDescent="0.35">
      <c r="A22" s="189" t="s">
        <v>114</v>
      </c>
      <c r="B22" s="190"/>
      <c r="C22" s="190"/>
      <c r="D22" s="40"/>
      <c r="E22" s="40"/>
      <c r="F22" s="41">
        <f>SUM(F3:F21)</f>
        <v>107466</v>
      </c>
      <c r="I22">
        <v>107818</v>
      </c>
      <c r="J22" s="162" t="s">
        <v>391</v>
      </c>
    </row>
  </sheetData>
  <mergeCells count="6">
    <mergeCell ref="E1:F1"/>
    <mergeCell ref="A22:C22"/>
    <mergeCell ref="A1:A2"/>
    <mergeCell ref="B1:B2"/>
    <mergeCell ref="C1:C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2" zoomScale="115" zoomScaleNormal="115" workbookViewId="0">
      <selection activeCell="A44" sqref="A44:C69"/>
    </sheetView>
  </sheetViews>
  <sheetFormatPr defaultRowHeight="14.4" x14ac:dyDescent="0.3"/>
  <cols>
    <col min="1" max="1" width="7.109375" customWidth="1"/>
    <col min="2" max="2" width="102.77734375" customWidth="1"/>
    <col min="3" max="3" width="13.44140625" style="227" customWidth="1"/>
    <col min="5" max="5" width="10" bestFit="1" customWidth="1"/>
    <col min="6" max="6" width="10.109375" bestFit="1" customWidth="1"/>
    <col min="7" max="7" width="12" bestFit="1" customWidth="1"/>
  </cols>
  <sheetData>
    <row r="1" spans="1:7" x14ac:dyDescent="0.3">
      <c r="A1" s="202" t="s">
        <v>145</v>
      </c>
      <c r="B1" s="203" t="s">
        <v>146</v>
      </c>
      <c r="C1" s="206" t="s">
        <v>396</v>
      </c>
    </row>
    <row r="2" spans="1:7" x14ac:dyDescent="0.3">
      <c r="A2" s="198"/>
      <c r="B2" s="204"/>
      <c r="C2" s="207"/>
    </row>
    <row r="3" spans="1:7" ht="1.2" customHeight="1" x14ac:dyDescent="0.3">
      <c r="A3" s="199"/>
      <c r="B3" s="205"/>
      <c r="C3" s="208"/>
    </row>
    <row r="4" spans="1:7" x14ac:dyDescent="0.3">
      <c r="A4" s="52">
        <v>254</v>
      </c>
      <c r="B4" s="221" t="s">
        <v>147</v>
      </c>
      <c r="C4" s="226">
        <f>SUM(C5:C8)</f>
        <v>6227</v>
      </c>
      <c r="E4" s="96"/>
    </row>
    <row r="5" spans="1:7" ht="24" x14ac:dyDescent="0.3">
      <c r="A5" s="52" t="s">
        <v>148</v>
      </c>
      <c r="B5" s="218" t="s">
        <v>149</v>
      </c>
      <c r="C5" s="219">
        <v>427</v>
      </c>
    </row>
    <row r="6" spans="1:7" ht="24" x14ac:dyDescent="0.3">
      <c r="A6" s="52" t="s">
        <v>150</v>
      </c>
      <c r="B6" s="218" t="s">
        <v>151</v>
      </c>
      <c r="C6" s="219">
        <v>800</v>
      </c>
    </row>
    <row r="7" spans="1:7" ht="24" x14ac:dyDescent="0.3">
      <c r="A7" s="52" t="s">
        <v>152</v>
      </c>
      <c r="B7" s="218" t="s">
        <v>153</v>
      </c>
      <c r="C7" s="219">
        <v>5000</v>
      </c>
    </row>
    <row r="8" spans="1:7" ht="14.4" customHeight="1" x14ac:dyDescent="0.3">
      <c r="A8" s="52" t="s">
        <v>154</v>
      </c>
      <c r="B8" s="218" t="s">
        <v>297</v>
      </c>
      <c r="C8" s="219">
        <v>0</v>
      </c>
    </row>
    <row r="9" spans="1:7" s="107" customFormat="1" x14ac:dyDescent="0.3">
      <c r="A9" s="220">
        <v>255</v>
      </c>
      <c r="B9" s="221" t="s">
        <v>155</v>
      </c>
      <c r="C9" s="232">
        <f>SUM(C10:C14)</f>
        <v>47807.61</v>
      </c>
    </row>
    <row r="10" spans="1:7" ht="24.6" thickBot="1" x14ac:dyDescent="0.35">
      <c r="A10" s="52" t="s">
        <v>156</v>
      </c>
      <c r="B10" s="218" t="s">
        <v>308</v>
      </c>
      <c r="C10" s="233">
        <f>(ШР!$L$23*12/1000)/100*85</f>
        <v>21348.6</v>
      </c>
      <c r="E10" s="53"/>
      <c r="F10" s="93">
        <f>ШР!$L$23</f>
        <v>2093000</v>
      </c>
      <c r="G10" s="23"/>
    </row>
    <row r="11" spans="1:7" ht="36" x14ac:dyDescent="0.3">
      <c r="A11" s="52" t="s">
        <v>157</v>
      </c>
      <c r="B11" s="218" t="s">
        <v>158</v>
      </c>
      <c r="C11" s="229">
        <f>(C10+C12+C13)/100*15</f>
        <v>6216.2099999999991</v>
      </c>
      <c r="E11" s="53"/>
    </row>
    <row r="12" spans="1:7" ht="24" x14ac:dyDescent="0.3">
      <c r="A12" s="52" t="s">
        <v>159</v>
      </c>
      <c r="B12" s="218" t="s">
        <v>160</v>
      </c>
      <c r="C12" s="229">
        <f>ШР!$J$23*12/1000</f>
        <v>7534.8</v>
      </c>
    </row>
    <row r="13" spans="1:7" ht="24" x14ac:dyDescent="0.3">
      <c r="A13" s="52" t="s">
        <v>161</v>
      </c>
      <c r="B13" s="218" t="s">
        <v>162</v>
      </c>
      <c r="C13" s="229">
        <f>ШР!$K$23*12/1000</f>
        <v>12558</v>
      </c>
    </row>
    <row r="14" spans="1:7" ht="36" x14ac:dyDescent="0.3">
      <c r="A14" s="52" t="s">
        <v>163</v>
      </c>
      <c r="B14" s="218" t="s">
        <v>164</v>
      </c>
      <c r="C14" s="234">
        <v>150</v>
      </c>
    </row>
    <row r="15" spans="1:7" ht="15" thickBot="1" x14ac:dyDescent="0.35">
      <c r="A15" s="220" t="s">
        <v>306</v>
      </c>
      <c r="B15" s="221" t="s">
        <v>307</v>
      </c>
      <c r="C15" s="235">
        <f>техника!$F$22</f>
        <v>107466</v>
      </c>
      <c r="E15" s="96"/>
    </row>
    <row r="16" spans="1:7" x14ac:dyDescent="0.3">
      <c r="A16" s="52">
        <v>258</v>
      </c>
      <c r="B16" s="218" t="s">
        <v>165</v>
      </c>
      <c r="C16" s="226">
        <f>SUM(C17:C40)</f>
        <v>10895.3</v>
      </c>
    </row>
    <row r="17" spans="1:3" x14ac:dyDescent="0.3">
      <c r="A17" s="52" t="s">
        <v>166</v>
      </c>
      <c r="B17" s="218" t="s">
        <v>167</v>
      </c>
      <c r="C17" s="234">
        <v>5</v>
      </c>
    </row>
    <row r="18" spans="1:3" x14ac:dyDescent="0.3">
      <c r="A18" s="52" t="s">
        <v>168</v>
      </c>
      <c r="B18" s="218" t="s">
        <v>169</v>
      </c>
      <c r="C18" s="234">
        <v>10</v>
      </c>
    </row>
    <row r="19" spans="1:3" x14ac:dyDescent="0.3">
      <c r="A19" s="197" t="s">
        <v>170</v>
      </c>
      <c r="B19" s="223" t="s">
        <v>171</v>
      </c>
      <c r="C19" s="236">
        <v>4111.6000000000004</v>
      </c>
    </row>
    <row r="20" spans="1:3" x14ac:dyDescent="0.3">
      <c r="A20" s="198"/>
      <c r="B20" s="224" t="s">
        <v>172</v>
      </c>
      <c r="C20" s="237"/>
    </row>
    <row r="21" spans="1:3" x14ac:dyDescent="0.3">
      <c r="A21" s="198"/>
      <c r="B21" s="224" t="s">
        <v>390</v>
      </c>
      <c r="C21" s="237"/>
    </row>
    <row r="22" spans="1:3" x14ac:dyDescent="0.3">
      <c r="A22" s="198"/>
      <c r="B22" s="224" t="s">
        <v>395</v>
      </c>
      <c r="C22" s="237"/>
    </row>
    <row r="23" spans="1:3" x14ac:dyDescent="0.3">
      <c r="A23" s="198"/>
      <c r="B23" s="224" t="s">
        <v>173</v>
      </c>
      <c r="C23" s="237"/>
    </row>
    <row r="24" spans="1:3" x14ac:dyDescent="0.3">
      <c r="A24" s="198"/>
      <c r="B24" s="224" t="s">
        <v>174</v>
      </c>
      <c r="C24" s="237"/>
    </row>
    <row r="25" spans="1:3" x14ac:dyDescent="0.3">
      <c r="A25" s="199"/>
      <c r="B25" s="225" t="s">
        <v>175</v>
      </c>
      <c r="C25" s="238"/>
    </row>
    <row r="26" spans="1:3" x14ac:dyDescent="0.3">
      <c r="A26" s="197" t="s">
        <v>176</v>
      </c>
      <c r="B26" s="223" t="s">
        <v>177</v>
      </c>
      <c r="C26" s="236">
        <v>4809.3999999999996</v>
      </c>
    </row>
    <row r="27" spans="1:3" x14ac:dyDescent="0.3">
      <c r="A27" s="198"/>
      <c r="B27" s="224" t="s">
        <v>178</v>
      </c>
      <c r="C27" s="237"/>
    </row>
    <row r="28" spans="1:3" x14ac:dyDescent="0.3">
      <c r="A28" s="198"/>
      <c r="B28" s="224" t="s">
        <v>179</v>
      </c>
      <c r="C28" s="237"/>
    </row>
    <row r="29" spans="1:3" x14ac:dyDescent="0.3">
      <c r="A29" s="198"/>
      <c r="B29" s="224" t="s">
        <v>180</v>
      </c>
      <c r="C29" s="237"/>
    </row>
    <row r="30" spans="1:3" x14ac:dyDescent="0.3">
      <c r="A30" s="198"/>
      <c r="B30" s="224" t="s">
        <v>394</v>
      </c>
      <c r="C30" s="237"/>
    </row>
    <row r="31" spans="1:3" x14ac:dyDescent="0.3">
      <c r="A31" s="198"/>
      <c r="B31" s="224" t="s">
        <v>181</v>
      </c>
      <c r="C31" s="237"/>
    </row>
    <row r="32" spans="1:3" x14ac:dyDescent="0.3">
      <c r="A32" s="199"/>
      <c r="B32" s="225" t="s">
        <v>182</v>
      </c>
      <c r="C32" s="238"/>
    </row>
    <row r="33" spans="1:7" x14ac:dyDescent="0.3">
      <c r="A33" s="197" t="s">
        <v>183</v>
      </c>
      <c r="B33" s="223" t="s">
        <v>184</v>
      </c>
      <c r="C33" s="236">
        <v>1909.3</v>
      </c>
    </row>
    <row r="34" spans="1:7" x14ac:dyDescent="0.3">
      <c r="A34" s="198"/>
      <c r="B34" s="224" t="s">
        <v>185</v>
      </c>
      <c r="C34" s="237"/>
    </row>
    <row r="35" spans="1:7" x14ac:dyDescent="0.3">
      <c r="A35" s="198"/>
      <c r="B35" s="224" t="s">
        <v>186</v>
      </c>
      <c r="C35" s="237"/>
    </row>
    <row r="36" spans="1:7" x14ac:dyDescent="0.3">
      <c r="A36" s="198"/>
      <c r="B36" s="224" t="s">
        <v>187</v>
      </c>
      <c r="C36" s="237"/>
    </row>
    <row r="37" spans="1:7" x14ac:dyDescent="0.3">
      <c r="A37" s="199"/>
      <c r="B37" s="225" t="s">
        <v>188</v>
      </c>
      <c r="C37" s="238"/>
    </row>
    <row r="38" spans="1:7" x14ac:dyDescent="0.3">
      <c r="A38" s="197" t="s">
        <v>189</v>
      </c>
      <c r="B38" s="223" t="s">
        <v>190</v>
      </c>
      <c r="C38" s="236">
        <v>50</v>
      </c>
    </row>
    <row r="39" spans="1:7" x14ac:dyDescent="0.3">
      <c r="A39" s="198"/>
      <c r="B39" s="224" t="s">
        <v>191</v>
      </c>
      <c r="C39" s="237"/>
    </row>
    <row r="40" spans="1:7" x14ac:dyDescent="0.3">
      <c r="A40" s="199"/>
      <c r="B40" s="225" t="s">
        <v>192</v>
      </c>
      <c r="C40" s="238"/>
      <c r="G40" s="54"/>
    </row>
    <row r="41" spans="1:7" ht="15.6" x14ac:dyDescent="0.3">
      <c r="A41" s="239">
        <v>260</v>
      </c>
      <c r="B41" s="221" t="s">
        <v>193</v>
      </c>
      <c r="C41" s="226">
        <f>C42+C43</f>
        <v>350</v>
      </c>
      <c r="D41" s="228"/>
      <c r="G41" s="98"/>
    </row>
    <row r="42" spans="1:7" x14ac:dyDescent="0.3">
      <c r="A42" s="52" t="s">
        <v>194</v>
      </c>
      <c r="B42" s="218" t="s">
        <v>195</v>
      </c>
      <c r="C42" s="234">
        <v>200</v>
      </c>
      <c r="G42" s="99"/>
    </row>
    <row r="43" spans="1:7" ht="15.6" x14ac:dyDescent="0.3">
      <c r="A43" s="52" t="s">
        <v>196</v>
      </c>
      <c r="B43" s="218" t="s">
        <v>197</v>
      </c>
      <c r="C43" s="234">
        <v>150</v>
      </c>
      <c r="G43" s="100"/>
    </row>
    <row r="44" spans="1:7" ht="15.6" x14ac:dyDescent="0.3">
      <c r="A44" s="222">
        <v>264</v>
      </c>
      <c r="B44" s="221" t="s">
        <v>300</v>
      </c>
      <c r="C44" s="229">
        <f>SUM(C45:C68)</f>
        <v>137797.663</v>
      </c>
      <c r="E44" s="55"/>
      <c r="F44" s="55"/>
      <c r="G44" s="101"/>
    </row>
    <row r="45" spans="1:7" x14ac:dyDescent="0.3">
      <c r="A45" s="52" t="s">
        <v>198</v>
      </c>
      <c r="B45" s="218" t="s">
        <v>199</v>
      </c>
      <c r="C45" s="229">
        <f>(C10+C11+C12+C13)/100*30</f>
        <v>14297.282999999999</v>
      </c>
      <c r="E45" s="54"/>
      <c r="F45" s="54"/>
      <c r="G45" s="97"/>
    </row>
    <row r="46" spans="1:7" x14ac:dyDescent="0.3">
      <c r="A46" s="52" t="s">
        <v>200</v>
      </c>
      <c r="B46" s="218" t="s">
        <v>201</v>
      </c>
      <c r="C46" s="234">
        <v>650</v>
      </c>
      <c r="G46" s="53">
        <f>G41-G45</f>
        <v>0</v>
      </c>
    </row>
    <row r="47" spans="1:7" ht="60" x14ac:dyDescent="0.3">
      <c r="A47" s="52" t="s">
        <v>202</v>
      </c>
      <c r="B47" s="218" t="s">
        <v>203</v>
      </c>
      <c r="C47" s="234">
        <v>16</v>
      </c>
    </row>
    <row r="48" spans="1:7" ht="24" x14ac:dyDescent="0.3">
      <c r="A48" s="52" t="s">
        <v>204</v>
      </c>
      <c r="B48" s="218" t="s">
        <v>205</v>
      </c>
      <c r="C48" s="234">
        <v>400</v>
      </c>
    </row>
    <row r="49" spans="1:5" x14ac:dyDescent="0.3">
      <c r="A49" s="197" t="s">
        <v>206</v>
      </c>
      <c r="B49" s="215" t="s">
        <v>207</v>
      </c>
      <c r="C49" s="236">
        <v>150</v>
      </c>
    </row>
    <row r="50" spans="1:5" x14ac:dyDescent="0.3">
      <c r="A50" s="198"/>
      <c r="B50" s="216" t="s">
        <v>208</v>
      </c>
      <c r="C50" s="237"/>
    </row>
    <row r="51" spans="1:5" x14ac:dyDescent="0.3">
      <c r="A51" s="198"/>
      <c r="B51" s="216" t="s">
        <v>209</v>
      </c>
      <c r="C51" s="237"/>
    </row>
    <row r="52" spans="1:5" x14ac:dyDescent="0.3">
      <c r="A52" s="198"/>
      <c r="B52" s="216" t="s">
        <v>210</v>
      </c>
      <c r="C52" s="237"/>
    </row>
    <row r="53" spans="1:5" x14ac:dyDescent="0.3">
      <c r="A53" s="198"/>
      <c r="B53" s="216" t="s">
        <v>211</v>
      </c>
      <c r="C53" s="237"/>
    </row>
    <row r="54" spans="1:5" ht="24" x14ac:dyDescent="0.3">
      <c r="A54" s="199"/>
      <c r="B54" s="217" t="s">
        <v>212</v>
      </c>
      <c r="C54" s="238"/>
    </row>
    <row r="55" spans="1:5" x14ac:dyDescent="0.3">
      <c r="A55" s="52" t="s">
        <v>213</v>
      </c>
      <c r="B55" s="218" t="s">
        <v>214</v>
      </c>
      <c r="C55" s="234">
        <v>8</v>
      </c>
    </row>
    <row r="56" spans="1:5" ht="24" x14ac:dyDescent="0.3">
      <c r="A56" s="52" t="s">
        <v>215</v>
      </c>
      <c r="B56" s="218" t="s">
        <v>216</v>
      </c>
      <c r="C56" s="234">
        <v>72</v>
      </c>
    </row>
    <row r="57" spans="1:5" ht="18.600000000000001" customHeight="1" x14ac:dyDescent="0.3">
      <c r="A57" s="52" t="s">
        <v>217</v>
      </c>
      <c r="B57" s="218" t="s">
        <v>218</v>
      </c>
      <c r="C57" s="234">
        <v>50</v>
      </c>
    </row>
    <row r="58" spans="1:5" x14ac:dyDescent="0.3">
      <c r="A58" s="52" t="s">
        <v>219</v>
      </c>
      <c r="B58" s="218" t="s">
        <v>220</v>
      </c>
      <c r="C58" s="234">
        <v>40</v>
      </c>
    </row>
    <row r="59" spans="1:5" ht="36" x14ac:dyDescent="0.3">
      <c r="A59" s="52" t="s">
        <v>221</v>
      </c>
      <c r="B59" s="218" t="s">
        <v>222</v>
      </c>
      <c r="C59" s="234">
        <v>96</v>
      </c>
    </row>
    <row r="60" spans="1:5" ht="24" x14ac:dyDescent="0.3">
      <c r="A60" s="52" t="s">
        <v>223</v>
      </c>
      <c r="B60" s="218" t="s">
        <v>224</v>
      </c>
      <c r="C60" s="234">
        <v>137</v>
      </c>
    </row>
    <row r="61" spans="1:5" ht="28.2" customHeight="1" x14ac:dyDescent="0.3">
      <c r="A61" s="52" t="s">
        <v>225</v>
      </c>
      <c r="B61" s="218" t="s">
        <v>226</v>
      </c>
      <c r="C61" s="234">
        <f>300*12</f>
        <v>3600</v>
      </c>
    </row>
    <row r="62" spans="1:5" x14ac:dyDescent="0.3">
      <c r="A62" s="52" t="s">
        <v>227</v>
      </c>
      <c r="B62" s="218" t="s">
        <v>298</v>
      </c>
      <c r="C62" s="226">
        <f>Этапы!$D$15</f>
        <v>16000</v>
      </c>
      <c r="E62" s="96"/>
    </row>
    <row r="63" spans="1:5" x14ac:dyDescent="0.3">
      <c r="A63" s="52" t="s">
        <v>228</v>
      </c>
      <c r="B63" s="218" t="s">
        <v>229</v>
      </c>
      <c r="C63" s="234">
        <f>8*12</f>
        <v>96</v>
      </c>
    </row>
    <row r="64" spans="1:5" ht="36" x14ac:dyDescent="0.3">
      <c r="A64" s="52" t="s">
        <v>230</v>
      </c>
      <c r="B64" s="218" t="s">
        <v>231</v>
      </c>
      <c r="C64" s="234">
        <v>35</v>
      </c>
    </row>
    <row r="65" spans="1:6" ht="24" x14ac:dyDescent="0.3">
      <c r="A65" s="52" t="s">
        <v>232</v>
      </c>
      <c r="B65" s="218" t="s">
        <v>233</v>
      </c>
      <c r="C65" s="234">
        <v>1500</v>
      </c>
    </row>
    <row r="66" spans="1:6" ht="24" x14ac:dyDescent="0.3">
      <c r="A66" s="52" t="s">
        <v>234</v>
      </c>
      <c r="B66" s="218" t="s">
        <v>299</v>
      </c>
      <c r="C66" s="229">
        <f>(C10+C12+C13)*1.7</f>
        <v>70450.37999999999</v>
      </c>
    </row>
    <row r="67" spans="1:6" ht="36" x14ac:dyDescent="0.3">
      <c r="A67" s="52" t="s">
        <v>235</v>
      </c>
      <c r="B67" s="218" t="s">
        <v>236</v>
      </c>
      <c r="C67" s="234">
        <v>1200</v>
      </c>
    </row>
    <row r="68" spans="1:6" x14ac:dyDescent="0.3">
      <c r="A68" s="52" t="s">
        <v>237</v>
      </c>
      <c r="B68" s="218" t="s">
        <v>295</v>
      </c>
      <c r="C68" s="226">
        <f>Этапы!$D$7</f>
        <v>29000</v>
      </c>
      <c r="E68" s="96"/>
    </row>
    <row r="69" spans="1:6" ht="16.2" thickBot="1" x14ac:dyDescent="0.35">
      <c r="A69" s="200" t="s">
        <v>309</v>
      </c>
      <c r="B69" s="201"/>
      <c r="C69" s="230" t="e">
        <f>C44+#REF!+C41+C16+C9+C4+C15-C16</f>
        <v>#REF!</v>
      </c>
      <c r="E69" s="53" t="e">
        <f>C69-C16</f>
        <v>#REF!</v>
      </c>
      <c r="F69" t="s">
        <v>302</v>
      </c>
    </row>
    <row r="70" spans="1:6" ht="15.6" x14ac:dyDescent="0.3">
      <c r="A70" s="196"/>
      <c r="B70" s="196"/>
      <c r="C70" s="231"/>
    </row>
    <row r="71" spans="1:6" x14ac:dyDescent="0.3">
      <c r="B71" s="56"/>
      <c r="C71" s="231"/>
    </row>
  </sheetData>
  <mergeCells count="15">
    <mergeCell ref="A19:A25"/>
    <mergeCell ref="C19:C25"/>
    <mergeCell ref="A1:A3"/>
    <mergeCell ref="B1:B3"/>
    <mergeCell ref="C1:C3"/>
    <mergeCell ref="A70:B70"/>
    <mergeCell ref="A26:A32"/>
    <mergeCell ref="C26:C32"/>
    <mergeCell ref="A33:A37"/>
    <mergeCell ref="C33:C37"/>
    <mergeCell ref="A38:A40"/>
    <mergeCell ref="C38:C40"/>
    <mergeCell ref="A49:A54"/>
    <mergeCell ref="C49:C54"/>
    <mergeCell ref="A69:B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9" sqref="C9"/>
    </sheetView>
  </sheetViews>
  <sheetFormatPr defaultColWidth="8.6640625" defaultRowHeight="14.4" x14ac:dyDescent="0.3"/>
  <cols>
    <col min="2" max="2" width="42" customWidth="1"/>
    <col min="3" max="3" width="15.33203125" customWidth="1"/>
    <col min="4" max="4" width="17.109375" customWidth="1"/>
    <col min="5" max="5" width="11.88671875" customWidth="1"/>
  </cols>
  <sheetData>
    <row r="1" spans="1:5" ht="15.6" thickTop="1" thickBot="1" x14ac:dyDescent="0.35">
      <c r="A1" s="211" t="s">
        <v>0</v>
      </c>
      <c r="B1" s="212" t="s">
        <v>238</v>
      </c>
      <c r="C1" s="212" t="s">
        <v>239</v>
      </c>
      <c r="D1" s="212" t="s">
        <v>240</v>
      </c>
      <c r="E1" s="209" t="s">
        <v>241</v>
      </c>
    </row>
    <row r="2" spans="1:5" ht="15.6" thickTop="1" thickBot="1" x14ac:dyDescent="0.35">
      <c r="A2" s="211"/>
      <c r="B2" s="212"/>
      <c r="C2" s="212"/>
      <c r="D2" s="212"/>
      <c r="E2" s="209"/>
    </row>
    <row r="3" spans="1:5" ht="15" thickTop="1" x14ac:dyDescent="0.3">
      <c r="A3" s="211"/>
      <c r="B3" s="212"/>
      <c r="C3" s="212"/>
      <c r="D3" s="212"/>
      <c r="E3" s="209"/>
    </row>
    <row r="4" spans="1:5" ht="18.600000000000001" x14ac:dyDescent="0.3">
      <c r="A4" s="57">
        <v>1</v>
      </c>
      <c r="B4" s="58" t="s">
        <v>242</v>
      </c>
      <c r="C4" s="59">
        <v>2500</v>
      </c>
      <c r="D4" s="60">
        <v>65000</v>
      </c>
      <c r="E4" s="61">
        <f>D4*C4/1000</f>
        <v>162500</v>
      </c>
    </row>
    <row r="5" spans="1:5" ht="18.600000000000001" x14ac:dyDescent="0.3">
      <c r="A5" s="57">
        <v>2</v>
      </c>
      <c r="B5" s="58" t="s">
        <v>243</v>
      </c>
      <c r="C5" s="59">
        <v>1333</v>
      </c>
      <c r="D5" s="60">
        <v>60000</v>
      </c>
      <c r="E5" s="61">
        <f>D5*C5/1000</f>
        <v>79980</v>
      </c>
    </row>
    <row r="6" spans="1:5" ht="18.600000000000001" x14ac:dyDescent="0.3">
      <c r="A6" s="57">
        <v>3</v>
      </c>
      <c r="B6" s="58" t="s">
        <v>244</v>
      </c>
      <c r="C6" s="59">
        <v>3917</v>
      </c>
      <c r="D6" s="60">
        <v>36000</v>
      </c>
      <c r="E6" s="61">
        <f>D6*C6/1000</f>
        <v>141012</v>
      </c>
    </row>
    <row r="7" spans="1:5" ht="18.600000000000001" x14ac:dyDescent="0.3">
      <c r="A7" s="57">
        <v>4</v>
      </c>
      <c r="B7" s="58" t="s">
        <v>245</v>
      </c>
      <c r="C7" s="59">
        <v>17250</v>
      </c>
      <c r="D7" s="60">
        <v>25000</v>
      </c>
      <c r="E7" s="61">
        <f>D7*C7/1000</f>
        <v>431250</v>
      </c>
    </row>
    <row r="8" spans="1:5" ht="16.2" thickBot="1" x14ac:dyDescent="0.35">
      <c r="A8" s="62"/>
      <c r="B8" s="63" t="s">
        <v>246</v>
      </c>
      <c r="C8" s="64">
        <f>SUM(C4:C7)</f>
        <v>25000</v>
      </c>
      <c r="D8" s="65" t="s">
        <v>247</v>
      </c>
      <c r="E8" s="66">
        <f>SUM(E4:E7)</f>
        <v>814742</v>
      </c>
    </row>
    <row r="9" spans="1:5" ht="15" thickTop="1" x14ac:dyDescent="0.3">
      <c r="A9" s="210" t="s">
        <v>248</v>
      </c>
      <c r="B9" s="210"/>
      <c r="C9" s="67">
        <f>E8/C8*1000</f>
        <v>32589.68</v>
      </c>
    </row>
  </sheetData>
  <mergeCells count="6">
    <mergeCell ref="E1:E3"/>
    <mergeCell ref="A9:B9"/>
    <mergeCell ref="A1:A3"/>
    <mergeCell ref="B1:B3"/>
    <mergeCell ref="C1:C3"/>
    <mergeCell ref="D1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" sqref="B1"/>
    </sheetView>
  </sheetViews>
  <sheetFormatPr defaultRowHeight="14.4" x14ac:dyDescent="0.3"/>
  <cols>
    <col min="1" max="1" width="4.5546875" customWidth="1"/>
    <col min="2" max="2" width="20.77734375" customWidth="1"/>
    <col min="3" max="3" width="28.109375" customWidth="1"/>
    <col min="4" max="4" width="33.6640625" customWidth="1"/>
    <col min="5" max="5" width="12.109375" customWidth="1"/>
    <col min="6" max="6" width="16" bestFit="1" customWidth="1"/>
  </cols>
  <sheetData>
    <row r="1" spans="1:8" ht="41.4" x14ac:dyDescent="0.3">
      <c r="A1" s="240" t="s">
        <v>0</v>
      </c>
      <c r="B1" s="241" t="s">
        <v>249</v>
      </c>
      <c r="C1" s="241" t="s">
        <v>250</v>
      </c>
      <c r="D1" s="241" t="s">
        <v>251</v>
      </c>
      <c r="E1" s="241" t="s">
        <v>252</v>
      </c>
      <c r="F1" s="242" t="s">
        <v>253</v>
      </c>
    </row>
    <row r="2" spans="1:8" ht="27.6" x14ac:dyDescent="0.3">
      <c r="A2" s="243" t="s">
        <v>254</v>
      </c>
      <c r="B2" s="244" t="s">
        <v>255</v>
      </c>
      <c r="C2" s="244" t="s">
        <v>256</v>
      </c>
      <c r="D2" s="245" t="s">
        <v>257</v>
      </c>
      <c r="E2" s="246">
        <v>0.2</v>
      </c>
      <c r="F2" s="247">
        <f>D3*E2</f>
        <v>162948.40000000002</v>
      </c>
    </row>
    <row r="3" spans="1:8" x14ac:dyDescent="0.3">
      <c r="A3" s="248"/>
      <c r="B3" s="249"/>
      <c r="C3" s="249"/>
      <c r="D3" s="250">
        <f>[1]Лист1!$D$48</f>
        <v>814742</v>
      </c>
      <c r="E3" s="251"/>
      <c r="F3" s="252"/>
    </row>
    <row r="4" spans="1:8" ht="27.6" x14ac:dyDescent="0.3">
      <c r="A4" s="243" t="s">
        <v>258</v>
      </c>
      <c r="B4" s="244">
        <v>284</v>
      </c>
      <c r="C4" s="244" t="s">
        <v>259</v>
      </c>
      <c r="D4" s="245" t="s">
        <v>260</v>
      </c>
      <c r="E4" s="246">
        <v>0.2</v>
      </c>
      <c r="F4" s="247">
        <f>D5*E4</f>
        <v>117312.62400000001</v>
      </c>
    </row>
    <row r="5" spans="1:8" x14ac:dyDescent="0.3">
      <c r="A5" s="248"/>
      <c r="B5" s="249"/>
      <c r="C5" s="249"/>
      <c r="D5" s="253">
        <f>[1]Лист1!$D$58</f>
        <v>586563.12</v>
      </c>
      <c r="E5" s="251"/>
      <c r="F5" s="252"/>
    </row>
    <row r="6" spans="1:8" ht="27.6" x14ac:dyDescent="0.3">
      <c r="A6" s="243" t="s">
        <v>261</v>
      </c>
      <c r="B6" s="244">
        <v>342</v>
      </c>
      <c r="C6" s="244" t="s">
        <v>262</v>
      </c>
      <c r="D6" s="245" t="s">
        <v>263</v>
      </c>
      <c r="E6" s="254">
        <v>5.5E-2</v>
      </c>
      <c r="F6" s="255">
        <f>D7*E6</f>
        <v>44810.81</v>
      </c>
    </row>
    <row r="7" spans="1:8" x14ac:dyDescent="0.3">
      <c r="A7" s="248"/>
      <c r="B7" s="249"/>
      <c r="C7" s="249"/>
      <c r="D7" s="250">
        <f>[1]Лист1!$D$48</f>
        <v>814742</v>
      </c>
      <c r="E7" s="256"/>
      <c r="F7" s="257"/>
    </row>
    <row r="8" spans="1:8" ht="55.2" x14ac:dyDescent="0.3">
      <c r="A8" s="258" t="s">
        <v>264</v>
      </c>
      <c r="B8" s="259" t="s">
        <v>265</v>
      </c>
      <c r="C8" s="259" t="s">
        <v>266</v>
      </c>
      <c r="D8" s="245" t="s">
        <v>267</v>
      </c>
      <c r="E8" s="259" t="s">
        <v>268</v>
      </c>
      <c r="F8" s="260">
        <v>93.4</v>
      </c>
    </row>
    <row r="9" spans="1:8" ht="57" customHeight="1" x14ac:dyDescent="0.3">
      <c r="A9" s="258" t="s">
        <v>269</v>
      </c>
      <c r="B9" s="259" t="s">
        <v>270</v>
      </c>
      <c r="C9" s="259" t="s">
        <v>271</v>
      </c>
      <c r="D9" s="245" t="s">
        <v>272</v>
      </c>
      <c r="E9" s="259"/>
      <c r="F9" s="260">
        <v>40</v>
      </c>
    </row>
    <row r="10" spans="1:8" ht="27.6" x14ac:dyDescent="0.3">
      <c r="A10" s="243" t="s">
        <v>273</v>
      </c>
      <c r="B10" s="244">
        <v>380</v>
      </c>
      <c r="C10" s="244" t="s">
        <v>274</v>
      </c>
      <c r="D10" s="245" t="s">
        <v>275</v>
      </c>
      <c r="E10" s="254">
        <v>2.1999999999999999E-2</v>
      </c>
      <c r="F10" s="255">
        <f>D11*E10</f>
        <v>2371.9959999999996</v>
      </c>
    </row>
    <row r="11" spans="1:8" x14ac:dyDescent="0.3">
      <c r="A11" s="261"/>
      <c r="B11" s="262"/>
      <c r="C11" s="262"/>
      <c r="D11" s="263">
        <f>[2]Лист1!$F$22</f>
        <v>107818</v>
      </c>
      <c r="E11" s="256"/>
      <c r="F11" s="257"/>
    </row>
    <row r="12" spans="1:8" ht="41.4" x14ac:dyDescent="0.3">
      <c r="A12" s="264" t="s">
        <v>276</v>
      </c>
      <c r="B12" s="265" t="s">
        <v>277</v>
      </c>
      <c r="C12" s="265" t="s">
        <v>278</v>
      </c>
      <c r="D12" s="266" t="s">
        <v>279</v>
      </c>
      <c r="E12" s="267">
        <v>1.4999999999999999E-2</v>
      </c>
      <c r="F12" s="255">
        <f>D13*E12</f>
        <v>0.67499999999999993</v>
      </c>
      <c r="H12" s="54"/>
    </row>
    <row r="13" spans="1:8" x14ac:dyDescent="0.3">
      <c r="A13" s="264"/>
      <c r="B13" s="265"/>
      <c r="C13" s="265"/>
      <c r="D13" s="268">
        <v>45</v>
      </c>
      <c r="E13" s="269"/>
      <c r="F13" s="257"/>
      <c r="H13" s="54"/>
    </row>
    <row r="14" spans="1:8" ht="18.600000000000001" thickBot="1" x14ac:dyDescent="0.35">
      <c r="A14" s="270" t="s">
        <v>280</v>
      </c>
      <c r="B14" s="271"/>
      <c r="C14" s="271"/>
      <c r="D14" s="271"/>
      <c r="E14" s="272"/>
      <c r="F14" s="273">
        <f>SUM(F2:F12)</f>
        <v>327577.90500000003</v>
      </c>
      <c r="H14" s="68"/>
    </row>
    <row r="15" spans="1:8" x14ac:dyDescent="0.3">
      <c r="H15" s="54"/>
    </row>
  </sheetData>
  <mergeCells count="26">
    <mergeCell ref="A4:A5"/>
    <mergeCell ref="B4:B5"/>
    <mergeCell ref="C4:C5"/>
    <mergeCell ref="E4:E5"/>
    <mergeCell ref="F4:F5"/>
    <mergeCell ref="A2:A3"/>
    <mergeCell ref="B2:B3"/>
    <mergeCell ref="C2:C3"/>
    <mergeCell ref="E2:E3"/>
    <mergeCell ref="F2:F3"/>
    <mergeCell ref="F12:F13"/>
    <mergeCell ref="A14:E14"/>
    <mergeCell ref="A6:A7"/>
    <mergeCell ref="B6:B7"/>
    <mergeCell ref="C6:C7"/>
    <mergeCell ref="E6:E7"/>
    <mergeCell ref="A12:A13"/>
    <mergeCell ref="B12:B13"/>
    <mergeCell ref="C12:C13"/>
    <mergeCell ref="E12:E13"/>
    <mergeCell ref="F6:F7"/>
    <mergeCell ref="A10:A11"/>
    <mergeCell ref="B10:B11"/>
    <mergeCell ref="C10:C11"/>
    <mergeCell ref="E10:E11"/>
    <mergeCell ref="F10:F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D17"/>
    </sheetView>
  </sheetViews>
  <sheetFormatPr defaultRowHeight="14.4" x14ac:dyDescent="0.3"/>
  <cols>
    <col min="2" max="2" width="61.88671875" customWidth="1"/>
    <col min="3" max="4" width="12.33203125" customWidth="1"/>
  </cols>
  <sheetData>
    <row r="1" spans="1:4" ht="27.6" x14ac:dyDescent="0.3">
      <c r="A1" s="274" t="s">
        <v>0</v>
      </c>
      <c r="B1" s="275" t="s">
        <v>301</v>
      </c>
      <c r="C1" s="275" t="s">
        <v>283</v>
      </c>
      <c r="D1" s="276" t="s">
        <v>284</v>
      </c>
    </row>
    <row r="2" spans="1:4" x14ac:dyDescent="0.3">
      <c r="A2" s="277"/>
      <c r="B2" s="278" t="s">
        <v>282</v>
      </c>
      <c r="C2" s="279"/>
      <c r="D2" s="280"/>
    </row>
    <row r="3" spans="1:4" ht="55.2" x14ac:dyDescent="0.3">
      <c r="A3" s="281">
        <v>1</v>
      </c>
      <c r="B3" s="282" t="s">
        <v>303</v>
      </c>
      <c r="C3" s="94" t="s">
        <v>304</v>
      </c>
      <c r="D3" s="95">
        <v>29000</v>
      </c>
    </row>
    <row r="4" spans="1:4" hidden="1" x14ac:dyDescent="0.3">
      <c r="A4" s="283">
        <v>2</v>
      </c>
      <c r="B4" s="284"/>
      <c r="C4" s="69"/>
      <c r="D4" s="70"/>
    </row>
    <row r="5" spans="1:4" hidden="1" x14ac:dyDescent="0.3">
      <c r="A5" s="283">
        <v>3</v>
      </c>
      <c r="B5" s="284"/>
      <c r="C5" s="69"/>
      <c r="D5" s="70"/>
    </row>
    <row r="6" spans="1:4" hidden="1" x14ac:dyDescent="0.3">
      <c r="A6" s="283">
        <v>4</v>
      </c>
      <c r="B6" s="284"/>
      <c r="C6" s="69"/>
      <c r="D6" s="70"/>
    </row>
    <row r="7" spans="1:4" x14ac:dyDescent="0.3">
      <c r="A7" s="283"/>
      <c r="B7" s="285" t="s">
        <v>286</v>
      </c>
      <c r="C7" s="286"/>
      <c r="D7" s="287">
        <f>SUM(D3:D6)</f>
        <v>29000</v>
      </c>
    </row>
    <row r="8" spans="1:4" x14ac:dyDescent="0.3">
      <c r="A8" s="281"/>
      <c r="B8" s="288" t="s">
        <v>287</v>
      </c>
      <c r="C8" s="94"/>
      <c r="D8" s="95"/>
    </row>
    <row r="9" spans="1:4" ht="41.4" x14ac:dyDescent="0.3">
      <c r="A9" s="281">
        <v>1</v>
      </c>
      <c r="B9" s="282" t="s">
        <v>288</v>
      </c>
      <c r="C9" s="94" t="s">
        <v>289</v>
      </c>
      <c r="D9" s="95">
        <v>4500</v>
      </c>
    </row>
    <row r="10" spans="1:4" x14ac:dyDescent="0.3">
      <c r="A10" s="281">
        <v>2</v>
      </c>
      <c r="B10" s="282" t="s">
        <v>290</v>
      </c>
      <c r="C10" s="94" t="s">
        <v>285</v>
      </c>
      <c r="D10" s="95">
        <v>3000</v>
      </c>
    </row>
    <row r="11" spans="1:4" ht="27.6" x14ac:dyDescent="0.3">
      <c r="A11" s="281">
        <v>3</v>
      </c>
      <c r="B11" s="282" t="s">
        <v>291</v>
      </c>
      <c r="C11" s="94" t="s">
        <v>285</v>
      </c>
      <c r="D11" s="95">
        <v>1500</v>
      </c>
    </row>
    <row r="12" spans="1:4" x14ac:dyDescent="0.3">
      <c r="A12" s="281">
        <v>4</v>
      </c>
      <c r="B12" s="282" t="s">
        <v>292</v>
      </c>
      <c r="C12" s="94" t="s">
        <v>285</v>
      </c>
      <c r="D12" s="95">
        <v>4000</v>
      </c>
    </row>
    <row r="13" spans="1:4" x14ac:dyDescent="0.3">
      <c r="A13" s="281">
        <v>5</v>
      </c>
      <c r="B13" s="282" t="s">
        <v>293</v>
      </c>
      <c r="C13" s="94" t="s">
        <v>285</v>
      </c>
      <c r="D13" s="95">
        <v>3000</v>
      </c>
    </row>
    <row r="14" spans="1:4" x14ac:dyDescent="0.3">
      <c r="A14" s="281"/>
      <c r="B14" s="282"/>
      <c r="C14" s="94"/>
      <c r="D14" s="95"/>
    </row>
    <row r="15" spans="1:4" x14ac:dyDescent="0.3">
      <c r="A15" s="289"/>
      <c r="B15" s="290" t="s">
        <v>286</v>
      </c>
      <c r="C15" s="290"/>
      <c r="D15" s="291">
        <f>SUM(D9:D14)</f>
        <v>16000</v>
      </c>
    </row>
    <row r="16" spans="1:4" x14ac:dyDescent="0.3">
      <c r="A16" s="292"/>
      <c r="B16" s="293"/>
      <c r="C16" s="293"/>
      <c r="D16" s="294"/>
    </row>
    <row r="17" spans="1:4" ht="15" thickBot="1" x14ac:dyDescent="0.35">
      <c r="A17" s="295"/>
      <c r="B17" s="296" t="s">
        <v>294</v>
      </c>
      <c r="C17" s="296"/>
      <c r="D17" s="297">
        <f>D7+D15</f>
        <v>45000</v>
      </c>
    </row>
    <row r="18" spans="1:4" ht="17.399999999999999" x14ac:dyDescent="0.3">
      <c r="A18" s="71"/>
      <c r="B18" s="71"/>
      <c r="C18" s="71"/>
      <c r="D18" s="71"/>
    </row>
    <row r="19" spans="1:4" ht="17.399999999999999" x14ac:dyDescent="0.3">
      <c r="A19" s="72" t="s">
        <v>305</v>
      </c>
      <c r="B19" s="73"/>
      <c r="C19" s="71"/>
      <c r="D19" s="7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zoomScaleNormal="100" workbookViewId="0">
      <selection activeCell="Q11" sqref="Q11"/>
    </sheetView>
  </sheetViews>
  <sheetFormatPr defaultRowHeight="14.4" x14ac:dyDescent="0.3"/>
  <cols>
    <col min="1" max="1" width="4.109375" customWidth="1"/>
    <col min="2" max="2" width="23.33203125" customWidth="1"/>
    <col min="3" max="3" width="6.109375" customWidth="1"/>
    <col min="4" max="4" width="10.44140625" customWidth="1"/>
    <col min="5" max="5" width="11.88671875" customWidth="1"/>
    <col min="6" max="6" width="18" customWidth="1"/>
    <col min="7" max="7" width="10" customWidth="1"/>
    <col min="8" max="8" width="12.6640625" customWidth="1"/>
    <col min="9" max="9" width="18.88671875" customWidth="1"/>
    <col min="10" max="10" width="14" bestFit="1" customWidth="1"/>
    <col min="11" max="11" width="16.109375" customWidth="1"/>
    <col min="12" max="12" width="12" customWidth="1"/>
  </cols>
  <sheetData>
    <row r="1" spans="1:12" x14ac:dyDescent="0.3">
      <c r="A1" s="213" t="s">
        <v>313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2" x14ac:dyDescent="0.3">
      <c r="A2" s="161"/>
      <c r="B2" s="320"/>
      <c r="C2" s="320"/>
      <c r="D2" s="103" t="s">
        <v>316</v>
      </c>
      <c r="E2" s="298">
        <v>85</v>
      </c>
      <c r="F2" s="161"/>
      <c r="G2" s="161"/>
      <c r="H2" s="161"/>
      <c r="I2" s="161"/>
      <c r="J2" s="161"/>
      <c r="K2" s="161"/>
    </row>
    <row r="3" spans="1:12" x14ac:dyDescent="0.3">
      <c r="A3" s="161"/>
      <c r="B3" s="320"/>
      <c r="C3" s="320"/>
      <c r="D3" s="103" t="s">
        <v>314</v>
      </c>
      <c r="E3" s="299">
        <f>H28/100*E2</f>
        <v>3202290</v>
      </c>
      <c r="F3" s="161"/>
      <c r="G3" s="161"/>
      <c r="H3" s="161"/>
      <c r="I3" s="161"/>
      <c r="J3" s="161"/>
      <c r="K3" s="161"/>
    </row>
    <row r="4" spans="1:12" x14ac:dyDescent="0.3">
      <c r="A4" s="161"/>
      <c r="B4" s="320"/>
      <c r="C4" s="320"/>
      <c r="D4" s="103" t="s">
        <v>315</v>
      </c>
      <c r="E4" s="299">
        <f>J28/100*E2</f>
        <v>4169381.5799999996</v>
      </c>
      <c r="F4" s="161"/>
      <c r="G4" s="161"/>
      <c r="H4" s="161"/>
      <c r="I4" s="161"/>
      <c r="J4" s="161"/>
      <c r="K4" s="161"/>
    </row>
    <row r="5" spans="1:12" ht="15" thickBot="1" x14ac:dyDescent="0.35">
      <c r="A5" s="320"/>
      <c r="B5" s="320"/>
      <c r="C5" s="320"/>
      <c r="D5" s="103" t="s">
        <v>317</v>
      </c>
      <c r="E5" s="300">
        <f>K28/100*E2</f>
        <v>50032578.960000001</v>
      </c>
      <c r="F5" s="320"/>
      <c r="G5" s="320"/>
      <c r="H5" s="320"/>
      <c r="I5" s="320"/>
      <c r="J5" s="320"/>
      <c r="K5" s="320"/>
    </row>
    <row r="6" spans="1:12" ht="15" customHeight="1" x14ac:dyDescent="0.3">
      <c r="A6" s="301" t="s">
        <v>0</v>
      </c>
      <c r="B6" s="302" t="s">
        <v>115</v>
      </c>
      <c r="C6" s="302" t="s">
        <v>116</v>
      </c>
      <c r="D6" s="302" t="s">
        <v>117</v>
      </c>
      <c r="E6" s="302" t="s">
        <v>118</v>
      </c>
      <c r="F6" s="302" t="s">
        <v>119</v>
      </c>
      <c r="G6" s="302" t="s">
        <v>120</v>
      </c>
      <c r="H6" s="302" t="s">
        <v>121</v>
      </c>
      <c r="I6" s="303" t="s">
        <v>310</v>
      </c>
      <c r="J6" s="302" t="s">
        <v>312</v>
      </c>
      <c r="K6" s="304" t="s">
        <v>311</v>
      </c>
      <c r="L6" s="214"/>
    </row>
    <row r="7" spans="1:12" ht="21" customHeight="1" x14ac:dyDescent="0.3">
      <c r="A7" s="264"/>
      <c r="B7" s="265"/>
      <c r="C7" s="265"/>
      <c r="D7" s="265"/>
      <c r="E7" s="321"/>
      <c r="F7" s="321"/>
      <c r="G7" s="265"/>
      <c r="H7" s="265"/>
      <c r="I7" s="305"/>
      <c r="J7" s="265"/>
      <c r="K7" s="306"/>
      <c r="L7" s="214"/>
    </row>
    <row r="8" spans="1:12" x14ac:dyDescent="0.3">
      <c r="A8" s="264"/>
      <c r="B8" s="265"/>
      <c r="C8" s="265"/>
      <c r="D8" s="265"/>
      <c r="E8" s="322">
        <v>0.3</v>
      </c>
      <c r="F8" s="322">
        <v>0.5</v>
      </c>
      <c r="G8" s="265"/>
      <c r="H8" s="265"/>
      <c r="I8" s="305"/>
      <c r="J8" s="265"/>
      <c r="K8" s="306"/>
      <c r="L8" s="214"/>
    </row>
    <row r="9" spans="1:12" x14ac:dyDescent="0.3">
      <c r="A9" s="307">
        <v>1</v>
      </c>
      <c r="B9" s="268" t="s">
        <v>125</v>
      </c>
      <c r="C9" s="37">
        <v>1</v>
      </c>
      <c r="D9" s="308">
        <v>110000</v>
      </c>
      <c r="E9" s="309">
        <f>D9*E8</f>
        <v>33000</v>
      </c>
      <c r="F9" s="310">
        <f>D9*F8</f>
        <v>55000</v>
      </c>
      <c r="G9" s="310">
        <f>SUM(D9:F9)</f>
        <v>198000</v>
      </c>
      <c r="H9" s="309">
        <f>SUM(D9:F9)*C9</f>
        <v>198000</v>
      </c>
      <c r="I9" s="311">
        <f>H9/100*30.2</f>
        <v>59796</v>
      </c>
      <c r="J9" s="312">
        <f>H9+I9</f>
        <v>257796</v>
      </c>
      <c r="K9" s="313">
        <f>J9*12</f>
        <v>3093552</v>
      </c>
    </row>
    <row r="10" spans="1:12" x14ac:dyDescent="0.3">
      <c r="A10" s="307">
        <f>A9+1</f>
        <v>2</v>
      </c>
      <c r="B10" s="268" t="s">
        <v>126</v>
      </c>
      <c r="C10" s="37">
        <v>1</v>
      </c>
      <c r="D10" s="308">
        <v>105000</v>
      </c>
      <c r="E10" s="309">
        <f>D10*E8</f>
        <v>31500</v>
      </c>
      <c r="F10" s="310">
        <f>D10*F8</f>
        <v>52500</v>
      </c>
      <c r="G10" s="310">
        <f t="shared" ref="G10:G27" si="0">SUM(D10:F10)</f>
        <v>189000</v>
      </c>
      <c r="H10" s="309">
        <f>SUM(D10:F10)*C10</f>
        <v>189000</v>
      </c>
      <c r="I10" s="311">
        <f t="shared" ref="I10:I27" si="1">H10/100*30.2</f>
        <v>57078</v>
      </c>
      <c r="J10" s="312">
        <f t="shared" ref="J10:J27" si="2">H10+I10</f>
        <v>246078</v>
      </c>
      <c r="K10" s="313">
        <f t="shared" ref="K10:K26" si="3">J10*12</f>
        <v>2952936</v>
      </c>
    </row>
    <row r="11" spans="1:12" ht="41.4" x14ac:dyDescent="0.3">
      <c r="A11" s="307">
        <f t="shared" ref="A11:A27" si="4">A10+1</f>
        <v>3</v>
      </c>
      <c r="B11" s="268" t="s">
        <v>127</v>
      </c>
      <c r="C11" s="37">
        <v>1</v>
      </c>
      <c r="D11" s="308">
        <v>105000</v>
      </c>
      <c r="E11" s="309">
        <f>D11*E8</f>
        <v>31500</v>
      </c>
      <c r="F11" s="310">
        <f>D11*F8</f>
        <v>52500</v>
      </c>
      <c r="G11" s="310">
        <f t="shared" si="0"/>
        <v>189000</v>
      </c>
      <c r="H11" s="309">
        <f>SUM(D11:F11)*C11</f>
        <v>189000</v>
      </c>
      <c r="I11" s="311">
        <f t="shared" si="1"/>
        <v>57078</v>
      </c>
      <c r="J11" s="312">
        <f t="shared" si="2"/>
        <v>246078</v>
      </c>
      <c r="K11" s="313">
        <f t="shared" si="3"/>
        <v>2952936</v>
      </c>
    </row>
    <row r="12" spans="1:12" x14ac:dyDescent="0.3">
      <c r="A12" s="307">
        <f t="shared" si="4"/>
        <v>4</v>
      </c>
      <c r="B12" s="268" t="s">
        <v>128</v>
      </c>
      <c r="C12" s="37">
        <v>1</v>
      </c>
      <c r="D12" s="308">
        <v>100000</v>
      </c>
      <c r="E12" s="309">
        <f>D12*E8</f>
        <v>30000</v>
      </c>
      <c r="F12" s="310">
        <f>D12*F8</f>
        <v>50000</v>
      </c>
      <c r="G12" s="310">
        <f t="shared" si="0"/>
        <v>180000</v>
      </c>
      <c r="H12" s="309">
        <f t="shared" ref="H12:H27" si="5">SUM(D12:F12)*C12</f>
        <v>180000</v>
      </c>
      <c r="I12" s="311">
        <f t="shared" si="1"/>
        <v>54360</v>
      </c>
      <c r="J12" s="312">
        <f t="shared" si="2"/>
        <v>234360</v>
      </c>
      <c r="K12" s="313">
        <f t="shared" si="3"/>
        <v>2812320</v>
      </c>
    </row>
    <row r="13" spans="1:12" x14ac:dyDescent="0.3">
      <c r="A13" s="307">
        <f t="shared" si="4"/>
        <v>5</v>
      </c>
      <c r="B13" s="268" t="s">
        <v>129</v>
      </c>
      <c r="C13" s="37">
        <v>1</v>
      </c>
      <c r="D13" s="308">
        <v>60000</v>
      </c>
      <c r="E13" s="309">
        <f>D13*E8</f>
        <v>18000</v>
      </c>
      <c r="F13" s="310">
        <f>D13*F8</f>
        <v>30000</v>
      </c>
      <c r="G13" s="310">
        <f t="shared" si="0"/>
        <v>108000</v>
      </c>
      <c r="H13" s="309">
        <f t="shared" si="5"/>
        <v>108000</v>
      </c>
      <c r="I13" s="311">
        <f t="shared" si="1"/>
        <v>32616</v>
      </c>
      <c r="J13" s="312">
        <f t="shared" si="2"/>
        <v>140616</v>
      </c>
      <c r="K13" s="313">
        <f t="shared" si="3"/>
        <v>1687392</v>
      </c>
    </row>
    <row r="14" spans="1:12" x14ac:dyDescent="0.3">
      <c r="A14" s="307">
        <f t="shared" si="4"/>
        <v>6</v>
      </c>
      <c r="B14" s="268" t="s">
        <v>130</v>
      </c>
      <c r="C14" s="37">
        <v>1</v>
      </c>
      <c r="D14" s="308">
        <v>65000</v>
      </c>
      <c r="E14" s="309">
        <f>D14*E8</f>
        <v>19500</v>
      </c>
      <c r="F14" s="310">
        <f>D14*F8</f>
        <v>32500</v>
      </c>
      <c r="G14" s="310">
        <f t="shared" si="0"/>
        <v>117000</v>
      </c>
      <c r="H14" s="309">
        <f t="shared" si="5"/>
        <v>117000</v>
      </c>
      <c r="I14" s="311">
        <f t="shared" si="1"/>
        <v>35334</v>
      </c>
      <c r="J14" s="312">
        <f t="shared" si="2"/>
        <v>152334</v>
      </c>
      <c r="K14" s="313">
        <f t="shared" si="3"/>
        <v>1828008</v>
      </c>
    </row>
    <row r="15" spans="1:12" x14ac:dyDescent="0.3">
      <c r="A15" s="307">
        <f t="shared" si="4"/>
        <v>7</v>
      </c>
      <c r="B15" s="268" t="s">
        <v>131</v>
      </c>
      <c r="C15" s="37">
        <v>1</v>
      </c>
      <c r="D15" s="308">
        <v>35000</v>
      </c>
      <c r="E15" s="309">
        <f>D15*E8</f>
        <v>10500</v>
      </c>
      <c r="F15" s="310">
        <f>D15*F8</f>
        <v>17500</v>
      </c>
      <c r="G15" s="310">
        <f t="shared" si="0"/>
        <v>63000</v>
      </c>
      <c r="H15" s="309">
        <f t="shared" si="5"/>
        <v>63000</v>
      </c>
      <c r="I15" s="311">
        <f t="shared" si="1"/>
        <v>19026</v>
      </c>
      <c r="J15" s="312">
        <f t="shared" si="2"/>
        <v>82026</v>
      </c>
      <c r="K15" s="313">
        <f t="shared" si="3"/>
        <v>984312</v>
      </c>
    </row>
    <row r="16" spans="1:12" x14ac:dyDescent="0.3">
      <c r="A16" s="307">
        <f t="shared" si="4"/>
        <v>8</v>
      </c>
      <c r="B16" s="268" t="s">
        <v>132</v>
      </c>
      <c r="C16" s="37">
        <v>1</v>
      </c>
      <c r="D16" s="308">
        <v>72000</v>
      </c>
      <c r="E16" s="309">
        <f>D16*E8</f>
        <v>21600</v>
      </c>
      <c r="F16" s="310">
        <f>D16*F8</f>
        <v>36000</v>
      </c>
      <c r="G16" s="310">
        <f t="shared" si="0"/>
        <v>129600</v>
      </c>
      <c r="H16" s="309">
        <f t="shared" si="5"/>
        <v>129600</v>
      </c>
      <c r="I16" s="311">
        <f t="shared" si="1"/>
        <v>39139.199999999997</v>
      </c>
      <c r="J16" s="312">
        <f t="shared" si="2"/>
        <v>168739.20000000001</v>
      </c>
      <c r="K16" s="313">
        <f t="shared" si="3"/>
        <v>2024870.4000000001</v>
      </c>
    </row>
    <row r="17" spans="1:12" x14ac:dyDescent="0.3">
      <c r="A17" s="307">
        <f t="shared" si="4"/>
        <v>9</v>
      </c>
      <c r="B17" s="268" t="s">
        <v>133</v>
      </c>
      <c r="C17" s="37">
        <v>1</v>
      </c>
      <c r="D17" s="308">
        <v>70000</v>
      </c>
      <c r="E17" s="309">
        <f>D17*E8</f>
        <v>21000</v>
      </c>
      <c r="F17" s="310">
        <f>D17*F8</f>
        <v>35000</v>
      </c>
      <c r="G17" s="310">
        <f t="shared" si="0"/>
        <v>126000</v>
      </c>
      <c r="H17" s="309">
        <f t="shared" si="5"/>
        <v>126000</v>
      </c>
      <c r="I17" s="311">
        <f t="shared" si="1"/>
        <v>38052</v>
      </c>
      <c r="J17" s="312">
        <f t="shared" si="2"/>
        <v>164052</v>
      </c>
      <c r="K17" s="313">
        <f t="shared" si="3"/>
        <v>1968624</v>
      </c>
    </row>
    <row r="18" spans="1:12" x14ac:dyDescent="0.3">
      <c r="A18" s="307">
        <f t="shared" si="4"/>
        <v>10</v>
      </c>
      <c r="B18" s="268" t="s">
        <v>134</v>
      </c>
      <c r="C18" s="37">
        <v>1</v>
      </c>
      <c r="D18" s="308">
        <v>35000</v>
      </c>
      <c r="E18" s="309">
        <f>D18*E8</f>
        <v>10500</v>
      </c>
      <c r="F18" s="310">
        <f>D18*F8</f>
        <v>17500</v>
      </c>
      <c r="G18" s="310">
        <f t="shared" si="0"/>
        <v>63000</v>
      </c>
      <c r="H18" s="309">
        <f t="shared" si="5"/>
        <v>63000</v>
      </c>
      <c r="I18" s="311">
        <f t="shared" si="1"/>
        <v>19026</v>
      </c>
      <c r="J18" s="312">
        <f t="shared" si="2"/>
        <v>82026</v>
      </c>
      <c r="K18" s="313">
        <f t="shared" si="3"/>
        <v>984312</v>
      </c>
    </row>
    <row r="19" spans="1:12" x14ac:dyDescent="0.3">
      <c r="A19" s="307">
        <f t="shared" si="4"/>
        <v>11</v>
      </c>
      <c r="B19" s="268" t="s">
        <v>135</v>
      </c>
      <c r="C19" s="37">
        <v>1</v>
      </c>
      <c r="D19" s="308">
        <v>53000</v>
      </c>
      <c r="E19" s="309">
        <f>D19*E8</f>
        <v>15900</v>
      </c>
      <c r="F19" s="310">
        <f>D19*F8</f>
        <v>26500</v>
      </c>
      <c r="G19" s="310">
        <f t="shared" si="0"/>
        <v>95400</v>
      </c>
      <c r="H19" s="309">
        <f t="shared" si="5"/>
        <v>95400</v>
      </c>
      <c r="I19" s="311">
        <f t="shared" si="1"/>
        <v>28810.799999999999</v>
      </c>
      <c r="J19" s="312">
        <f t="shared" si="2"/>
        <v>124210.8</v>
      </c>
      <c r="K19" s="313">
        <f t="shared" si="3"/>
        <v>1490529.6</v>
      </c>
    </row>
    <row r="20" spans="1:12" x14ac:dyDescent="0.3">
      <c r="A20" s="307">
        <f t="shared" si="4"/>
        <v>12</v>
      </c>
      <c r="B20" s="268" t="s">
        <v>136</v>
      </c>
      <c r="C20" s="37">
        <v>0</v>
      </c>
      <c r="D20" s="308">
        <v>28000</v>
      </c>
      <c r="E20" s="309">
        <f>D20*E8</f>
        <v>8400</v>
      </c>
      <c r="F20" s="310">
        <f>D20*F8</f>
        <v>14000</v>
      </c>
      <c r="G20" s="310">
        <f t="shared" si="0"/>
        <v>50400</v>
      </c>
      <c r="H20" s="309">
        <f t="shared" si="5"/>
        <v>0</v>
      </c>
      <c r="I20" s="311">
        <f t="shared" si="1"/>
        <v>0</v>
      </c>
      <c r="J20" s="312">
        <f t="shared" si="2"/>
        <v>0</v>
      </c>
      <c r="K20" s="313">
        <f t="shared" si="3"/>
        <v>0</v>
      </c>
    </row>
    <row r="21" spans="1:12" x14ac:dyDescent="0.3">
      <c r="A21" s="307">
        <f t="shared" si="4"/>
        <v>13</v>
      </c>
      <c r="B21" s="268" t="s">
        <v>137</v>
      </c>
      <c r="C21" s="37">
        <v>2</v>
      </c>
      <c r="D21" s="308">
        <v>60000</v>
      </c>
      <c r="E21" s="309">
        <f>D21*E8</f>
        <v>18000</v>
      </c>
      <c r="F21" s="310">
        <f>D21*F8</f>
        <v>30000</v>
      </c>
      <c r="G21" s="310">
        <f t="shared" si="0"/>
        <v>108000</v>
      </c>
      <c r="H21" s="309">
        <f t="shared" si="5"/>
        <v>216000</v>
      </c>
      <c r="I21" s="311">
        <f t="shared" si="1"/>
        <v>65232</v>
      </c>
      <c r="J21" s="312">
        <f t="shared" si="2"/>
        <v>281232</v>
      </c>
      <c r="K21" s="313">
        <f t="shared" si="3"/>
        <v>3374784</v>
      </c>
    </row>
    <row r="22" spans="1:12" x14ac:dyDescent="0.3">
      <c r="A22" s="307">
        <f t="shared" si="4"/>
        <v>14</v>
      </c>
      <c r="B22" s="268" t="s">
        <v>138</v>
      </c>
      <c r="C22" s="37">
        <v>2</v>
      </c>
      <c r="D22" s="308">
        <v>60000</v>
      </c>
      <c r="E22" s="309">
        <f>D22*E8</f>
        <v>18000</v>
      </c>
      <c r="F22" s="310">
        <f>D22*F8</f>
        <v>30000</v>
      </c>
      <c r="G22" s="310">
        <f t="shared" si="0"/>
        <v>108000</v>
      </c>
      <c r="H22" s="309">
        <f t="shared" si="5"/>
        <v>216000</v>
      </c>
      <c r="I22" s="311">
        <f t="shared" si="1"/>
        <v>65232</v>
      </c>
      <c r="J22" s="312">
        <f t="shared" si="2"/>
        <v>281232</v>
      </c>
      <c r="K22" s="313">
        <f t="shared" si="3"/>
        <v>3374784</v>
      </c>
    </row>
    <row r="23" spans="1:12" ht="27.6" x14ac:dyDescent="0.3">
      <c r="A23" s="307">
        <f t="shared" si="4"/>
        <v>15</v>
      </c>
      <c r="B23" s="268" t="s">
        <v>139</v>
      </c>
      <c r="C23" s="37">
        <v>4</v>
      </c>
      <c r="D23" s="308">
        <v>80000</v>
      </c>
      <c r="E23" s="309">
        <f>D23*E8</f>
        <v>24000</v>
      </c>
      <c r="F23" s="310">
        <f>D23*F8</f>
        <v>40000</v>
      </c>
      <c r="G23" s="310">
        <f t="shared" si="0"/>
        <v>144000</v>
      </c>
      <c r="H23" s="309">
        <f t="shared" si="5"/>
        <v>576000</v>
      </c>
      <c r="I23" s="311">
        <f t="shared" si="1"/>
        <v>173952</v>
      </c>
      <c r="J23" s="312">
        <f t="shared" si="2"/>
        <v>749952</v>
      </c>
      <c r="K23" s="313">
        <f t="shared" si="3"/>
        <v>8999424</v>
      </c>
    </row>
    <row r="24" spans="1:12" x14ac:dyDescent="0.3">
      <c r="A24" s="307">
        <f t="shared" si="4"/>
        <v>16</v>
      </c>
      <c r="B24" s="268" t="s">
        <v>140</v>
      </c>
      <c r="C24" s="37">
        <v>4</v>
      </c>
      <c r="D24" s="308">
        <v>80000</v>
      </c>
      <c r="E24" s="309">
        <f>D24*E8</f>
        <v>24000</v>
      </c>
      <c r="F24" s="310">
        <f>D24*F8</f>
        <v>40000</v>
      </c>
      <c r="G24" s="310">
        <f t="shared" si="0"/>
        <v>144000</v>
      </c>
      <c r="H24" s="309">
        <f t="shared" si="5"/>
        <v>576000</v>
      </c>
      <c r="I24" s="311">
        <f t="shared" si="1"/>
        <v>173952</v>
      </c>
      <c r="J24" s="312">
        <f t="shared" si="2"/>
        <v>749952</v>
      </c>
      <c r="K24" s="313">
        <f t="shared" si="3"/>
        <v>8999424</v>
      </c>
    </row>
    <row r="25" spans="1:12" x14ac:dyDescent="0.3">
      <c r="A25" s="307">
        <f t="shared" si="4"/>
        <v>17</v>
      </c>
      <c r="B25" s="268" t="s">
        <v>141</v>
      </c>
      <c r="C25" s="37">
        <v>4</v>
      </c>
      <c r="D25" s="308">
        <v>80000</v>
      </c>
      <c r="E25" s="309">
        <f>D25*E8</f>
        <v>24000</v>
      </c>
      <c r="F25" s="310">
        <f>D25*F8</f>
        <v>40000</v>
      </c>
      <c r="G25" s="310">
        <f t="shared" si="0"/>
        <v>144000</v>
      </c>
      <c r="H25" s="309">
        <f>SUM(D25:F25)*C25</f>
        <v>576000</v>
      </c>
      <c r="I25" s="311">
        <f t="shared" si="1"/>
        <v>173952</v>
      </c>
      <c r="J25" s="312">
        <f t="shared" si="2"/>
        <v>749952</v>
      </c>
      <c r="K25" s="313">
        <f t="shared" si="3"/>
        <v>8999424</v>
      </c>
    </row>
    <row r="26" spans="1:12" x14ac:dyDescent="0.3">
      <c r="A26" s="307">
        <f t="shared" si="4"/>
        <v>18</v>
      </c>
      <c r="B26" s="268" t="s">
        <v>142</v>
      </c>
      <c r="C26" s="37">
        <v>1</v>
      </c>
      <c r="D26" s="308">
        <v>55000</v>
      </c>
      <c r="E26" s="309">
        <f>D26*E8</f>
        <v>16500</v>
      </c>
      <c r="F26" s="310">
        <f>D26*F8</f>
        <v>27500</v>
      </c>
      <c r="G26" s="310">
        <f t="shared" si="0"/>
        <v>99000</v>
      </c>
      <c r="H26" s="309">
        <f t="shared" si="5"/>
        <v>99000</v>
      </c>
      <c r="I26" s="311">
        <f t="shared" si="1"/>
        <v>29898</v>
      </c>
      <c r="J26" s="312">
        <f t="shared" si="2"/>
        <v>128898</v>
      </c>
      <c r="K26" s="313">
        <f t="shared" si="3"/>
        <v>1546776</v>
      </c>
    </row>
    <row r="27" spans="1:12" x14ac:dyDescent="0.3">
      <c r="A27" s="307">
        <f t="shared" si="4"/>
        <v>19</v>
      </c>
      <c r="B27" s="268" t="s">
        <v>143</v>
      </c>
      <c r="C27" s="37">
        <v>1</v>
      </c>
      <c r="D27" s="308">
        <v>28000</v>
      </c>
      <c r="E27" s="309">
        <f>D27*E8</f>
        <v>8400</v>
      </c>
      <c r="F27" s="310">
        <f>D27*F8</f>
        <v>14000</v>
      </c>
      <c r="G27" s="310">
        <f t="shared" si="0"/>
        <v>50400</v>
      </c>
      <c r="H27" s="309">
        <f t="shared" si="5"/>
        <v>50400</v>
      </c>
      <c r="I27" s="311">
        <f t="shared" si="1"/>
        <v>15220.8</v>
      </c>
      <c r="J27" s="312">
        <f t="shared" si="2"/>
        <v>65620.800000000003</v>
      </c>
      <c r="K27" s="313">
        <f>J27*12</f>
        <v>787449.60000000009</v>
      </c>
    </row>
    <row r="28" spans="1:12" ht="15" thickBot="1" x14ac:dyDescent="0.35">
      <c r="A28" s="314"/>
      <c r="B28" s="315" t="s">
        <v>144</v>
      </c>
      <c r="C28" s="316">
        <f>SUM(C9:C27)</f>
        <v>29</v>
      </c>
      <c r="D28" s="317"/>
      <c r="E28" s="317"/>
      <c r="F28" s="317"/>
      <c r="G28" s="317"/>
      <c r="H28" s="318">
        <f>SUM(H9:H27)</f>
        <v>3767400</v>
      </c>
      <c r="I28" s="319">
        <f>SUM(I9:I27)</f>
        <v>1137754.8</v>
      </c>
      <c r="J28" s="323">
        <f>SUM(J9:J27)</f>
        <v>4905154.8</v>
      </c>
      <c r="K28" s="324">
        <f>SUM(K9:K27)</f>
        <v>58861857.600000001</v>
      </c>
      <c r="L28" s="102"/>
    </row>
  </sheetData>
  <mergeCells count="13">
    <mergeCell ref="A1:K1"/>
    <mergeCell ref="G6:G8"/>
    <mergeCell ref="H6:H8"/>
    <mergeCell ref="L6:L8"/>
    <mergeCell ref="I6:I8"/>
    <mergeCell ref="J6:J8"/>
    <mergeCell ref="K6:K8"/>
    <mergeCell ref="A6:A8"/>
    <mergeCell ref="B6:B8"/>
    <mergeCell ref="C6:C8"/>
    <mergeCell ref="D6:D8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0"/>
  <sheetViews>
    <sheetView zoomScaleNormal="100" workbookViewId="0">
      <selection activeCell="B17" sqref="B17"/>
    </sheetView>
  </sheetViews>
  <sheetFormatPr defaultRowHeight="14.4" x14ac:dyDescent="0.3"/>
  <cols>
    <col min="1" max="1" width="43.44140625" customWidth="1"/>
    <col min="2" max="2" width="14.5546875" bestFit="1" customWidth="1"/>
    <col min="3" max="3" width="13.88671875" customWidth="1"/>
    <col min="4" max="4" width="12.5546875" bestFit="1" customWidth="1"/>
    <col min="5" max="5" width="12.88671875" customWidth="1"/>
    <col min="6" max="8" width="13.33203125" bestFit="1" customWidth="1"/>
    <col min="9" max="11" width="12.6640625" bestFit="1" customWidth="1"/>
    <col min="12" max="12" width="13.6640625" bestFit="1" customWidth="1"/>
    <col min="13" max="20" width="13.44140625" bestFit="1" customWidth="1"/>
  </cols>
  <sheetData>
    <row r="1" spans="1:20" s="107" customFormat="1" ht="18" x14ac:dyDescent="0.35">
      <c r="A1" s="104" t="s">
        <v>318</v>
      </c>
      <c r="B1" s="105"/>
      <c r="C1" s="106"/>
      <c r="G1" s="152"/>
      <c r="H1" s="152"/>
    </row>
    <row r="2" spans="1:20" s="108" customFormat="1" x14ac:dyDescent="0.3">
      <c r="B2" s="109"/>
      <c r="C2" s="110"/>
    </row>
    <row r="3" spans="1:20" s="114" customFormat="1" ht="29.4" thickBot="1" x14ac:dyDescent="0.35">
      <c r="A3" s="111" t="s">
        <v>319</v>
      </c>
      <c r="B3" s="112" t="s">
        <v>320</v>
      </c>
      <c r="C3" s="112" t="s">
        <v>321</v>
      </c>
      <c r="D3" s="112" t="s">
        <v>322</v>
      </c>
      <c r="E3" s="112" t="s">
        <v>323</v>
      </c>
      <c r="F3" s="112" t="s">
        <v>324</v>
      </c>
      <c r="G3" s="112" t="s">
        <v>325</v>
      </c>
      <c r="H3" s="112" t="s">
        <v>326</v>
      </c>
      <c r="I3" s="159" t="s">
        <v>373</v>
      </c>
      <c r="J3" s="159" t="s">
        <v>374</v>
      </c>
      <c r="K3" s="159" t="s">
        <v>375</v>
      </c>
      <c r="L3" s="159" t="s">
        <v>376</v>
      </c>
      <c r="M3" s="159" t="s">
        <v>377</v>
      </c>
      <c r="N3" s="113" t="s">
        <v>378</v>
      </c>
      <c r="O3" s="113" t="s">
        <v>327</v>
      </c>
      <c r="P3" s="113" t="s">
        <v>328</v>
      </c>
      <c r="Q3" s="113" t="s">
        <v>329</v>
      </c>
      <c r="R3" s="113" t="s">
        <v>330</v>
      </c>
      <c r="S3" s="113" t="s">
        <v>331</v>
      </c>
      <c r="T3" s="113" t="s">
        <v>332</v>
      </c>
    </row>
    <row r="4" spans="1:20" s="107" customFormat="1" ht="15" thickTop="1" x14ac:dyDescent="0.3">
      <c r="A4" s="115" t="s">
        <v>333</v>
      </c>
      <c r="B4" s="115"/>
      <c r="C4" s="158">
        <f>C5</f>
        <v>45000000</v>
      </c>
      <c r="D4" s="116">
        <f>C105+D5</f>
        <v>33829957.997199997</v>
      </c>
      <c r="E4" s="116">
        <f>D105+E5</f>
        <v>35810067.994399995</v>
      </c>
      <c r="F4" s="116">
        <f t="shared" ref="F4:T4" si="0">E105+F5</f>
        <v>139727582.63159999</v>
      </c>
      <c r="G4" s="116">
        <f t="shared" si="0"/>
        <v>90085028.62879999</v>
      </c>
      <c r="H4" s="116">
        <f t="shared" si="0"/>
        <v>77527426.625999987</v>
      </c>
      <c r="I4" s="116">
        <f t="shared" si="0"/>
        <v>85901376.271199986</v>
      </c>
      <c r="J4" s="116">
        <f t="shared" si="0"/>
        <v>85131084.76439999</v>
      </c>
      <c r="K4" s="116">
        <f t="shared" si="0"/>
        <v>98301961.881599993</v>
      </c>
      <c r="L4" s="116">
        <f t="shared" si="0"/>
        <v>116275358.11879998</v>
      </c>
      <c r="M4" s="116">
        <f t="shared" si="0"/>
        <v>154976872.59599999</v>
      </c>
      <c r="N4" s="116">
        <f t="shared" si="0"/>
        <v>178236345.3132</v>
      </c>
      <c r="O4" s="116">
        <f t="shared" si="0"/>
        <v>211859336.27039999</v>
      </c>
      <c r="P4" s="116">
        <f t="shared" si="0"/>
        <v>246381393.2304</v>
      </c>
      <c r="Q4" s="116">
        <f t="shared" si="0"/>
        <v>280903450.19039994</v>
      </c>
      <c r="R4" s="116">
        <f t="shared" si="0"/>
        <v>315425507.15039992</v>
      </c>
      <c r="S4" s="116">
        <f t="shared" si="0"/>
        <v>349947564.1103999</v>
      </c>
      <c r="T4" s="116">
        <f t="shared" si="0"/>
        <v>384469621.07039988</v>
      </c>
    </row>
    <row r="5" spans="1:20" x14ac:dyDescent="0.3">
      <c r="A5" s="117" t="s">
        <v>359</v>
      </c>
      <c r="B5" s="130">
        <f>SUM(C5:N5)</f>
        <v>300000000</v>
      </c>
      <c r="C5" s="118">
        <v>45000000</v>
      </c>
      <c r="D5" s="118">
        <v>4900000</v>
      </c>
      <c r="E5" s="118">
        <v>12100000</v>
      </c>
      <c r="F5" s="118">
        <v>121000000</v>
      </c>
      <c r="G5" s="118">
        <v>26000000</v>
      </c>
      <c r="H5" s="118">
        <v>8200000</v>
      </c>
      <c r="I5" s="118">
        <v>12600000</v>
      </c>
      <c r="J5" s="118">
        <v>10500000</v>
      </c>
      <c r="K5" s="118">
        <v>14715000</v>
      </c>
      <c r="L5" s="118">
        <v>19166000</v>
      </c>
      <c r="M5" s="118">
        <v>25819000</v>
      </c>
      <c r="N5" s="119"/>
      <c r="O5" s="119"/>
      <c r="P5" s="119"/>
      <c r="Q5" s="119"/>
      <c r="R5" s="119"/>
      <c r="S5" s="119"/>
      <c r="T5" s="119"/>
    </row>
    <row r="6" spans="1:20" s="107" customFormat="1" x14ac:dyDescent="0.3">
      <c r="A6" s="115" t="s">
        <v>334</v>
      </c>
      <c r="B6" s="120"/>
      <c r="C6" s="149">
        <f t="shared" ref="C6:K6" si="1">SUM(C7:C8)</f>
        <v>0</v>
      </c>
      <c r="D6" s="149">
        <f t="shared" si="1"/>
        <v>0</v>
      </c>
      <c r="E6" s="149">
        <f t="shared" si="1"/>
        <v>0</v>
      </c>
      <c r="F6" s="149">
        <f t="shared" si="1"/>
        <v>0</v>
      </c>
      <c r="G6" s="149">
        <f t="shared" si="1"/>
        <v>0</v>
      </c>
      <c r="H6" s="149">
        <f t="shared" si="1"/>
        <v>3258968</v>
      </c>
      <c r="I6" s="149">
        <f t="shared" si="1"/>
        <v>6517936</v>
      </c>
      <c r="J6" s="149">
        <f t="shared" si="1"/>
        <v>8147420</v>
      </c>
      <c r="K6" s="149">
        <f t="shared" si="1"/>
        <v>16294840</v>
      </c>
      <c r="L6" s="149">
        <f>SUM(L7:L8)</f>
        <v>32589680</v>
      </c>
      <c r="M6" s="149">
        <f t="shared" ref="M6:T6" si="2">SUM(M7:M8)</f>
        <v>48884520</v>
      </c>
      <c r="N6" s="149">
        <f t="shared" si="2"/>
        <v>65179360</v>
      </c>
      <c r="O6" s="149">
        <f t="shared" si="2"/>
        <v>65179360</v>
      </c>
      <c r="P6" s="149">
        <f t="shared" si="2"/>
        <v>65179360</v>
      </c>
      <c r="Q6" s="149">
        <f t="shared" si="2"/>
        <v>65179360</v>
      </c>
      <c r="R6" s="149">
        <f t="shared" si="2"/>
        <v>65179360</v>
      </c>
      <c r="S6" s="149">
        <f t="shared" si="2"/>
        <v>65179360</v>
      </c>
      <c r="T6" s="149">
        <f t="shared" si="2"/>
        <v>65179360</v>
      </c>
    </row>
    <row r="7" spans="1:20" x14ac:dyDescent="0.3">
      <c r="A7" s="121" t="s">
        <v>335</v>
      </c>
      <c r="B7" s="122"/>
      <c r="C7" s="150">
        <f t="shared" ref="C7:K7" si="3">C9*C10</f>
        <v>0</v>
      </c>
      <c r="D7" s="150">
        <f t="shared" si="3"/>
        <v>0</v>
      </c>
      <c r="E7" s="150">
        <f t="shared" si="3"/>
        <v>0</v>
      </c>
      <c r="F7" s="150">
        <f t="shared" si="3"/>
        <v>0</v>
      </c>
      <c r="G7" s="150">
        <f t="shared" si="3"/>
        <v>0</v>
      </c>
      <c r="H7" s="150">
        <f t="shared" si="3"/>
        <v>3258968</v>
      </c>
      <c r="I7" s="150">
        <f t="shared" si="3"/>
        <v>6517936</v>
      </c>
      <c r="J7" s="150">
        <f t="shared" si="3"/>
        <v>8147420</v>
      </c>
      <c r="K7" s="150">
        <f t="shared" si="3"/>
        <v>16294840</v>
      </c>
      <c r="L7" s="150">
        <f>L9*L10</f>
        <v>32589680</v>
      </c>
      <c r="M7" s="150">
        <f t="shared" ref="M7:T7" si="4">M9*M10</f>
        <v>48884520</v>
      </c>
      <c r="N7" s="150">
        <f t="shared" si="4"/>
        <v>65179360</v>
      </c>
      <c r="O7" s="150">
        <f t="shared" si="4"/>
        <v>65179360</v>
      </c>
      <c r="P7" s="150">
        <f t="shared" si="4"/>
        <v>65179360</v>
      </c>
      <c r="Q7" s="150">
        <f t="shared" si="4"/>
        <v>65179360</v>
      </c>
      <c r="R7" s="150">
        <f t="shared" si="4"/>
        <v>65179360</v>
      </c>
      <c r="S7" s="150">
        <f t="shared" si="4"/>
        <v>65179360</v>
      </c>
      <c r="T7" s="150">
        <f t="shared" si="4"/>
        <v>65179360</v>
      </c>
    </row>
    <row r="8" spans="1:20" x14ac:dyDescent="0.3">
      <c r="A8" s="121" t="s">
        <v>336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  <c r="O8" s="123"/>
      <c r="P8" s="123"/>
      <c r="Q8" s="123"/>
      <c r="R8" s="123"/>
      <c r="S8" s="123"/>
      <c r="T8" s="123"/>
    </row>
    <row r="9" spans="1:20" x14ac:dyDescent="0.3">
      <c r="A9" s="121" t="s">
        <v>337</v>
      </c>
      <c r="B9" s="124"/>
      <c r="C9" s="124"/>
      <c r="D9" s="124"/>
      <c r="E9" s="124"/>
      <c r="F9" s="124"/>
      <c r="G9" s="124"/>
      <c r="H9" s="124">
        <v>100</v>
      </c>
      <c r="I9" s="124">
        <v>200</v>
      </c>
      <c r="J9" s="124">
        <v>250</v>
      </c>
      <c r="K9" s="124">
        <v>500</v>
      </c>
      <c r="L9" s="124">
        <v>1000</v>
      </c>
      <c r="M9" s="124">
        <v>1500</v>
      </c>
      <c r="N9" s="125">
        <v>2000</v>
      </c>
      <c r="O9" s="125">
        <v>2000</v>
      </c>
      <c r="P9" s="125">
        <v>2000</v>
      </c>
      <c r="Q9" s="125">
        <v>2000</v>
      </c>
      <c r="R9" s="125">
        <v>2000</v>
      </c>
      <c r="S9" s="125">
        <v>2000</v>
      </c>
      <c r="T9" s="125">
        <v>2000</v>
      </c>
    </row>
    <row r="10" spans="1:20" x14ac:dyDescent="0.3">
      <c r="A10" s="121" t="s">
        <v>338</v>
      </c>
      <c r="B10" s="124"/>
      <c r="C10" s="124">
        <v>32589.68</v>
      </c>
      <c r="D10" s="124">
        <v>32589.68</v>
      </c>
      <c r="E10" s="124">
        <v>32589.68</v>
      </c>
      <c r="F10" s="124">
        <v>32589.68</v>
      </c>
      <c r="G10" s="124">
        <v>32589.68</v>
      </c>
      <c r="H10" s="124">
        <v>32589.68</v>
      </c>
      <c r="I10" s="124">
        <v>32589.68</v>
      </c>
      <c r="J10" s="124">
        <v>32589.68</v>
      </c>
      <c r="K10" s="124">
        <v>32589.68</v>
      </c>
      <c r="L10" s="124">
        <v>32589.68</v>
      </c>
      <c r="M10" s="124">
        <v>32589.68</v>
      </c>
      <c r="N10" s="124">
        <v>32589.68</v>
      </c>
      <c r="O10" s="124">
        <v>32589.68</v>
      </c>
      <c r="P10" s="124">
        <v>32589.68</v>
      </c>
      <c r="Q10" s="124">
        <v>32589.68</v>
      </c>
      <c r="R10" s="124">
        <v>32589.68</v>
      </c>
      <c r="S10" s="124">
        <v>32589.68</v>
      </c>
      <c r="T10" s="124">
        <v>32589.68</v>
      </c>
    </row>
    <row r="11" spans="1:20" x14ac:dyDescent="0.3">
      <c r="A11" s="12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125"/>
      <c r="P11" s="125"/>
      <c r="Q11" s="125"/>
      <c r="R11" s="125"/>
      <c r="S11" s="125"/>
      <c r="T11" s="125"/>
    </row>
    <row r="12" spans="1:20" x14ac:dyDescent="0.3">
      <c r="A12" s="117"/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/>
      <c r="O12" s="119"/>
      <c r="P12" s="119"/>
      <c r="Q12" s="119"/>
      <c r="R12" s="119"/>
      <c r="S12" s="119"/>
      <c r="T12" s="119"/>
    </row>
    <row r="13" spans="1:20" s="107" customFormat="1" x14ac:dyDescent="0.3">
      <c r="A13" s="115" t="s">
        <v>339</v>
      </c>
      <c r="B13" s="130">
        <f>SUM(C13:N13)</f>
        <v>300092189.86199993</v>
      </c>
      <c r="C13" s="126">
        <f>SUM(C15:C102)</f>
        <v>20087552.5035</v>
      </c>
      <c r="D13" s="126">
        <f t="shared" ref="D13:T13" si="5">SUM(D15:D102)</f>
        <v>12649862.5035</v>
      </c>
      <c r="E13" s="126">
        <f t="shared" si="5"/>
        <v>21353106.703500003</v>
      </c>
      <c r="F13" s="126">
        <f t="shared" si="5"/>
        <v>94553192.5035</v>
      </c>
      <c r="G13" s="126">
        <f t="shared" si="5"/>
        <v>25947002.5035</v>
      </c>
      <c r="H13" s="126">
        <f t="shared" si="5"/>
        <v>8704479.3434999995</v>
      </c>
      <c r="I13" s="126">
        <f t="shared" si="5"/>
        <v>20931697.183499999</v>
      </c>
      <c r="J13" s="126">
        <f t="shared" si="5"/>
        <v>10484944.603499999</v>
      </c>
      <c r="K13" s="126">
        <f t="shared" si="5"/>
        <v>18600336.703499999</v>
      </c>
      <c r="L13" s="126">
        <f t="shared" si="5"/>
        <v>18116020.903499998</v>
      </c>
      <c r="M13" s="126">
        <f t="shared" si="5"/>
        <v>22254405.103500001</v>
      </c>
      <c r="N13" s="126">
        <f t="shared" si="5"/>
        <v>26409589.3035</v>
      </c>
      <c r="O13" s="126">
        <f t="shared" si="5"/>
        <v>25285756.800000001</v>
      </c>
      <c r="P13" s="126">
        <f t="shared" si="5"/>
        <v>25285756.800000001</v>
      </c>
      <c r="Q13" s="126">
        <f t="shared" si="5"/>
        <v>25285756.800000001</v>
      </c>
      <c r="R13" s="126">
        <f t="shared" si="5"/>
        <v>25285756.800000001</v>
      </c>
      <c r="S13" s="126">
        <f t="shared" si="5"/>
        <v>25285756.800000001</v>
      </c>
      <c r="T13" s="126">
        <f t="shared" si="5"/>
        <v>25379156.800000001</v>
      </c>
    </row>
    <row r="14" spans="1:20" s="107" customFormat="1" x14ac:dyDescent="0.3">
      <c r="A14" s="115" t="s">
        <v>340</v>
      </c>
      <c r="B14" s="11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  <c r="O14" s="127"/>
      <c r="P14" s="127"/>
      <c r="Q14" s="127"/>
      <c r="R14" s="127"/>
      <c r="S14" s="127"/>
      <c r="T14" s="127"/>
    </row>
    <row r="15" spans="1:20" x14ac:dyDescent="0.3">
      <c r="A15" s="128" t="s">
        <v>341</v>
      </c>
      <c r="B15" s="117"/>
      <c r="C15" s="118">
        <f>SUM(C16:C58)/100*5+15000000</f>
        <v>15140735.8335</v>
      </c>
      <c r="D15" s="118">
        <f>SUM(D16:D58)/100*5</f>
        <v>500845.83350000001</v>
      </c>
      <c r="E15" s="118">
        <f t="shared" ref="E15:N15" si="6">SUM(E16:E58)/100*5</f>
        <v>915286.03350000002</v>
      </c>
      <c r="F15" s="118">
        <f t="shared" si="6"/>
        <v>4360195.8335000006</v>
      </c>
      <c r="G15" s="118">
        <f t="shared" si="6"/>
        <v>1070365.8335000002</v>
      </c>
      <c r="H15" s="118">
        <f t="shared" si="6"/>
        <v>127905.83349999999</v>
      </c>
      <c r="I15" s="118">
        <f t="shared" si="6"/>
        <v>507265.83350000001</v>
      </c>
      <c r="J15" s="118">
        <f t="shared" si="6"/>
        <v>106015.83349999999</v>
      </c>
      <c r="K15" s="118">
        <f t="shared" si="6"/>
        <v>291015.83350000001</v>
      </c>
      <c r="L15" s="118">
        <f t="shared" si="6"/>
        <v>54315.833500000001</v>
      </c>
      <c r="M15" s="118">
        <f t="shared" si="6"/>
        <v>53515.833500000001</v>
      </c>
      <c r="N15" s="118">
        <f t="shared" si="6"/>
        <v>53515.833500000001</v>
      </c>
      <c r="O15" s="119"/>
      <c r="P15" s="119"/>
      <c r="Q15" s="119"/>
      <c r="R15" s="119"/>
      <c r="S15" s="119"/>
      <c r="T15" s="119"/>
    </row>
    <row r="16" spans="1:20" x14ac:dyDescent="0.3">
      <c r="A16" s="128" t="s">
        <v>342</v>
      </c>
      <c r="B16" s="129"/>
      <c r="C16" s="130">
        <v>1500000</v>
      </c>
      <c r="D16" s="130"/>
      <c r="E16" s="130"/>
      <c r="F16" s="130"/>
      <c r="G16" s="130"/>
      <c r="H16" s="130"/>
      <c r="I16" s="131"/>
      <c r="J16" s="131"/>
      <c r="K16" s="131"/>
      <c r="L16" s="131"/>
      <c r="M16" s="131"/>
      <c r="N16" s="132"/>
      <c r="O16" s="132"/>
      <c r="P16" s="132"/>
      <c r="Q16" s="132"/>
      <c r="R16" s="132"/>
      <c r="S16" s="132"/>
      <c r="T16" s="132"/>
    </row>
    <row r="17" spans="1:20" ht="28.8" x14ac:dyDescent="0.3">
      <c r="A17" s="128" t="s">
        <v>343</v>
      </c>
      <c r="B17" s="129"/>
      <c r="C17" s="130"/>
      <c r="D17" s="130">
        <v>1000000</v>
      </c>
      <c r="E17" s="130"/>
      <c r="F17" s="130"/>
      <c r="G17" s="130"/>
      <c r="H17" s="130"/>
      <c r="I17" s="131"/>
      <c r="J17" s="131"/>
      <c r="K17" s="131"/>
      <c r="L17" s="131"/>
      <c r="M17" s="131"/>
      <c r="N17" s="132"/>
      <c r="O17" s="132"/>
      <c r="P17" s="132"/>
      <c r="Q17" s="132"/>
      <c r="R17" s="132"/>
      <c r="S17" s="132"/>
      <c r="T17" s="132"/>
    </row>
    <row r="18" spans="1:20" ht="57.6" x14ac:dyDescent="0.3">
      <c r="A18" s="128" t="s">
        <v>344</v>
      </c>
      <c r="B18" s="129"/>
      <c r="C18" s="130"/>
      <c r="D18" s="130"/>
      <c r="E18" s="130"/>
      <c r="F18" s="130"/>
      <c r="G18" s="130">
        <v>10000000</v>
      </c>
      <c r="H18" s="130"/>
      <c r="I18" s="131"/>
      <c r="J18" s="131"/>
      <c r="K18" s="131"/>
      <c r="L18" s="131"/>
      <c r="M18" s="131"/>
      <c r="N18" s="132"/>
      <c r="O18" s="132"/>
      <c r="P18" s="132"/>
      <c r="Q18" s="132"/>
      <c r="R18" s="132"/>
      <c r="S18" s="132"/>
      <c r="T18" s="132"/>
    </row>
    <row r="19" spans="1:20" x14ac:dyDescent="0.3">
      <c r="A19" s="128" t="s">
        <v>345</v>
      </c>
      <c r="B19" s="129"/>
      <c r="C19" s="130"/>
      <c r="D19" s="130"/>
      <c r="E19" s="130"/>
      <c r="F19" s="130">
        <v>1500000</v>
      </c>
      <c r="G19" s="130"/>
      <c r="H19" s="130"/>
      <c r="I19" s="131"/>
      <c r="J19" s="131"/>
      <c r="K19" s="131"/>
      <c r="L19" s="131"/>
      <c r="M19" s="131"/>
      <c r="N19" s="132"/>
      <c r="O19" s="132"/>
      <c r="P19" s="132"/>
      <c r="Q19" s="132"/>
      <c r="R19" s="132"/>
      <c r="S19" s="132"/>
      <c r="T19" s="132"/>
    </row>
    <row r="20" spans="1:20" x14ac:dyDescent="0.3">
      <c r="A20" s="115" t="s">
        <v>346</v>
      </c>
      <c r="B20" s="129"/>
      <c r="C20" s="130"/>
      <c r="D20" s="130"/>
      <c r="E20" s="130"/>
      <c r="F20" s="130"/>
      <c r="G20" s="130"/>
      <c r="H20" s="130"/>
      <c r="I20" s="131"/>
      <c r="J20" s="131"/>
      <c r="K20" s="131"/>
      <c r="L20" s="131"/>
      <c r="M20" s="131"/>
      <c r="N20" s="132"/>
      <c r="O20" s="132"/>
      <c r="P20" s="132"/>
      <c r="Q20" s="132"/>
      <c r="R20" s="132"/>
      <c r="S20" s="132"/>
      <c r="T20" s="132"/>
    </row>
    <row r="21" spans="1:20" ht="43.2" x14ac:dyDescent="0.3">
      <c r="A21" s="133" t="s">
        <v>288</v>
      </c>
      <c r="B21" s="129"/>
      <c r="C21" s="26"/>
      <c r="D21" s="130"/>
      <c r="E21" s="130">
        <v>4500000</v>
      </c>
      <c r="F21" s="130"/>
      <c r="G21" s="130"/>
      <c r="H21" s="130"/>
      <c r="I21" s="131"/>
      <c r="J21" s="131"/>
      <c r="K21" s="131"/>
      <c r="L21" s="131"/>
      <c r="M21" s="131"/>
      <c r="N21" s="132"/>
      <c r="O21" s="132"/>
      <c r="P21" s="132"/>
      <c r="Q21" s="132"/>
      <c r="R21" s="132"/>
      <c r="S21" s="132"/>
      <c r="T21" s="132"/>
    </row>
    <row r="22" spans="1:20" ht="28.8" x14ac:dyDescent="0.3">
      <c r="A22" s="133" t="s">
        <v>290</v>
      </c>
      <c r="B22" s="129"/>
      <c r="C22" s="26"/>
      <c r="D22" s="131"/>
      <c r="E22" s="131"/>
      <c r="F22" s="131"/>
      <c r="G22" s="130">
        <v>3000000</v>
      </c>
      <c r="H22" s="131"/>
      <c r="I22" s="131"/>
      <c r="J22" s="131"/>
      <c r="K22" s="131"/>
      <c r="L22" s="131"/>
      <c r="M22" s="131"/>
      <c r="N22" s="132"/>
      <c r="O22" s="132"/>
      <c r="P22" s="132"/>
      <c r="Q22" s="132"/>
      <c r="R22" s="132"/>
      <c r="S22" s="132"/>
      <c r="T22" s="132"/>
    </row>
    <row r="23" spans="1:20" ht="28.8" x14ac:dyDescent="0.3">
      <c r="A23" s="133" t="s">
        <v>291</v>
      </c>
      <c r="B23" s="129"/>
      <c r="C23" s="26"/>
      <c r="D23" s="131"/>
      <c r="E23" s="131"/>
      <c r="F23" s="131"/>
      <c r="G23" s="130">
        <v>1500000</v>
      </c>
      <c r="H23" s="131"/>
      <c r="I23" s="131"/>
      <c r="J23" s="131"/>
      <c r="K23" s="131"/>
      <c r="L23" s="131"/>
      <c r="M23" s="131"/>
      <c r="N23" s="132"/>
      <c r="O23" s="132"/>
      <c r="P23" s="132"/>
      <c r="Q23" s="132"/>
      <c r="R23" s="132"/>
      <c r="S23" s="132"/>
      <c r="T23" s="132"/>
    </row>
    <row r="24" spans="1:20" x14ac:dyDescent="0.3">
      <c r="A24" s="133" t="s">
        <v>292</v>
      </c>
      <c r="B24" s="129"/>
      <c r="C24" s="26"/>
      <c r="D24" s="131"/>
      <c r="E24" s="131"/>
      <c r="F24" s="131"/>
      <c r="G24" s="130">
        <v>4000000</v>
      </c>
      <c r="H24" s="131"/>
      <c r="I24" s="131"/>
      <c r="J24" s="131"/>
      <c r="K24" s="131"/>
      <c r="L24" s="131"/>
      <c r="M24" s="131"/>
      <c r="N24" s="132"/>
      <c r="O24" s="132"/>
      <c r="P24" s="132"/>
      <c r="Q24" s="132"/>
      <c r="R24" s="132"/>
      <c r="S24" s="132"/>
      <c r="T24" s="132"/>
    </row>
    <row r="25" spans="1:20" ht="28.8" x14ac:dyDescent="0.3">
      <c r="A25" s="133" t="s">
        <v>293</v>
      </c>
      <c r="B25" s="129"/>
      <c r="C25" s="26"/>
      <c r="D25" s="131"/>
      <c r="E25" s="130">
        <v>3000000</v>
      </c>
      <c r="F25" s="131"/>
      <c r="G25" s="131"/>
      <c r="H25" s="131"/>
      <c r="I25" s="131"/>
      <c r="J25" s="131"/>
      <c r="K25" s="131"/>
      <c r="L25" s="131"/>
      <c r="M25" s="131"/>
      <c r="N25" s="132"/>
      <c r="O25" s="132"/>
      <c r="P25" s="132"/>
      <c r="Q25" s="132"/>
      <c r="R25" s="132"/>
      <c r="S25" s="132"/>
      <c r="T25" s="132"/>
    </row>
    <row r="26" spans="1:20" x14ac:dyDescent="0.3">
      <c r="A26" s="115" t="s">
        <v>379</v>
      </c>
      <c r="B26" s="129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2"/>
      <c r="O26" s="132"/>
      <c r="P26" s="132"/>
      <c r="Q26" s="132"/>
      <c r="R26" s="132"/>
      <c r="S26" s="132"/>
      <c r="T26" s="132"/>
    </row>
    <row r="27" spans="1:20" x14ac:dyDescent="0.3">
      <c r="A27" s="157" t="s">
        <v>370</v>
      </c>
      <c r="B27" s="129"/>
      <c r="C27" s="130">
        <v>30000</v>
      </c>
      <c r="D27" s="130">
        <v>15000</v>
      </c>
      <c r="E27" s="130">
        <v>15000</v>
      </c>
      <c r="F27" s="130">
        <v>15000</v>
      </c>
      <c r="G27" s="130">
        <v>15000</v>
      </c>
      <c r="H27" s="130">
        <v>15000</v>
      </c>
      <c r="I27" s="130">
        <v>15000</v>
      </c>
      <c r="J27" s="130">
        <v>15000</v>
      </c>
      <c r="K27" s="130">
        <v>15000</v>
      </c>
      <c r="L27" s="130">
        <v>15000</v>
      </c>
      <c r="M27" s="130">
        <v>15000</v>
      </c>
      <c r="N27" s="130">
        <v>15000</v>
      </c>
      <c r="O27" s="132"/>
      <c r="P27" s="132"/>
      <c r="Q27" s="132"/>
      <c r="R27" s="132"/>
      <c r="S27" s="132"/>
      <c r="T27" s="132"/>
    </row>
    <row r="28" spans="1:20" x14ac:dyDescent="0.3">
      <c r="A28" s="117" t="s">
        <v>347</v>
      </c>
      <c r="B28" s="129"/>
      <c r="C28" s="130">
        <v>140000</v>
      </c>
      <c r="D28" s="130"/>
      <c r="E28" s="130"/>
      <c r="F28" s="130"/>
      <c r="G28" s="131"/>
      <c r="H28" s="131"/>
      <c r="I28" s="131"/>
      <c r="J28" s="131"/>
      <c r="K28" s="131"/>
      <c r="L28" s="131"/>
      <c r="M28" s="131"/>
      <c r="N28" s="132"/>
      <c r="O28" s="132"/>
      <c r="P28" s="132"/>
      <c r="Q28" s="132"/>
      <c r="R28" s="132"/>
      <c r="S28" s="132"/>
      <c r="T28" s="132"/>
    </row>
    <row r="29" spans="1:20" x14ac:dyDescent="0.3">
      <c r="A29" s="117" t="s">
        <v>348</v>
      </c>
      <c r="B29" s="129"/>
      <c r="C29" s="130">
        <v>60000</v>
      </c>
      <c r="D29" s="130"/>
      <c r="E29" s="130"/>
      <c r="F29" s="130"/>
      <c r="G29" s="131"/>
      <c r="H29" s="131"/>
      <c r="I29" s="131"/>
      <c r="J29" s="131"/>
      <c r="K29" s="131"/>
      <c r="L29" s="131"/>
      <c r="M29" s="131"/>
      <c r="N29" s="132"/>
      <c r="O29" s="132"/>
      <c r="P29" s="132"/>
      <c r="Q29" s="132"/>
      <c r="R29" s="132"/>
      <c r="S29" s="132"/>
      <c r="T29" s="132"/>
    </row>
    <row r="30" spans="1:20" x14ac:dyDescent="0.3">
      <c r="A30" s="117" t="s">
        <v>383</v>
      </c>
      <c r="B30" s="129"/>
      <c r="C30" s="130"/>
      <c r="D30" s="130"/>
      <c r="E30" s="130"/>
      <c r="F30" s="130">
        <f>107818000--1850000-1850000-1850000-1850000-6750000-2600000-3950000-3950000-3950000-3950000</f>
        <v>78968000</v>
      </c>
      <c r="G30" s="131"/>
      <c r="H30" s="131"/>
      <c r="I30" s="131"/>
      <c r="J30" s="131"/>
      <c r="K30" s="131"/>
      <c r="L30" s="131"/>
      <c r="M30" s="131"/>
      <c r="N30" s="132"/>
      <c r="O30" s="132"/>
      <c r="P30" s="132"/>
      <c r="Q30" s="132"/>
      <c r="R30" s="132"/>
      <c r="S30" s="132"/>
      <c r="T30" s="132"/>
    </row>
    <row r="31" spans="1:20" x14ac:dyDescent="0.3">
      <c r="A31" s="160" t="s">
        <v>381</v>
      </c>
      <c r="B31" s="129"/>
      <c r="C31" s="130"/>
      <c r="D31" s="130"/>
      <c r="E31" s="130"/>
      <c r="F31" s="130"/>
      <c r="G31" s="131"/>
      <c r="H31" s="131"/>
      <c r="I31" s="131"/>
      <c r="J31" s="131"/>
      <c r="K31" s="130">
        <v>1850000</v>
      </c>
      <c r="L31" s="131"/>
      <c r="M31" s="131"/>
      <c r="N31" s="132"/>
      <c r="O31" s="132"/>
      <c r="P31" s="132"/>
      <c r="Q31" s="132"/>
      <c r="R31" s="132"/>
      <c r="S31" s="132"/>
      <c r="T31" s="132"/>
    </row>
    <row r="32" spans="1:20" x14ac:dyDescent="0.3">
      <c r="A32" s="160" t="s">
        <v>381</v>
      </c>
      <c r="B32" s="129"/>
      <c r="C32" s="130"/>
      <c r="D32" s="130"/>
      <c r="E32" s="130"/>
      <c r="F32" s="130"/>
      <c r="G32" s="131"/>
      <c r="H32" s="131"/>
      <c r="I32" s="131"/>
      <c r="J32" s="131"/>
      <c r="K32" s="130">
        <v>1850000</v>
      </c>
      <c r="L32" s="131"/>
      <c r="M32" s="131"/>
      <c r="N32" s="132"/>
      <c r="O32" s="132"/>
      <c r="P32" s="132"/>
      <c r="Q32" s="132"/>
      <c r="R32" s="132"/>
      <c r="S32" s="132"/>
      <c r="T32" s="132"/>
    </row>
    <row r="33" spans="1:20" x14ac:dyDescent="0.3">
      <c r="A33" s="160" t="s">
        <v>381</v>
      </c>
      <c r="B33" s="129"/>
      <c r="C33" s="130"/>
      <c r="D33" s="130"/>
      <c r="E33" s="130"/>
      <c r="F33" s="130">
        <v>1850000</v>
      </c>
      <c r="G33" s="131"/>
      <c r="H33" s="131"/>
      <c r="I33" s="131"/>
      <c r="J33" s="131"/>
      <c r="K33" s="131"/>
      <c r="L33" s="131"/>
      <c r="M33" s="131"/>
      <c r="N33" s="132"/>
      <c r="O33" s="132"/>
      <c r="P33" s="132"/>
      <c r="Q33" s="132"/>
      <c r="R33" s="132"/>
      <c r="S33" s="132"/>
      <c r="T33" s="132"/>
    </row>
    <row r="34" spans="1:20" x14ac:dyDescent="0.3">
      <c r="A34" s="160" t="s">
        <v>381</v>
      </c>
      <c r="B34" s="129"/>
      <c r="C34" s="130"/>
      <c r="D34" s="130"/>
      <c r="E34" s="130"/>
      <c r="F34" s="130">
        <v>1850000</v>
      </c>
      <c r="G34" s="131"/>
      <c r="H34" s="131"/>
      <c r="I34" s="131"/>
      <c r="J34" s="131"/>
      <c r="K34" s="131"/>
      <c r="L34" s="131"/>
      <c r="M34" s="131"/>
      <c r="N34" s="132"/>
      <c r="O34" s="132"/>
      <c r="P34" s="132"/>
      <c r="Q34" s="132"/>
      <c r="R34" s="132"/>
      <c r="S34" s="132"/>
      <c r="T34" s="132"/>
    </row>
    <row r="35" spans="1:20" x14ac:dyDescent="0.3">
      <c r="A35" s="160" t="s">
        <v>385</v>
      </c>
      <c r="B35" s="129"/>
      <c r="C35" s="130"/>
      <c r="D35" s="130"/>
      <c r="E35" s="130">
        <v>2600000</v>
      </c>
      <c r="F35" s="130"/>
      <c r="G35" s="131"/>
      <c r="H35" s="131"/>
      <c r="I35" s="131"/>
      <c r="J35" s="131"/>
      <c r="K35" s="131"/>
      <c r="L35" s="131"/>
      <c r="M35" s="131"/>
      <c r="N35" s="132"/>
      <c r="O35" s="132"/>
      <c r="P35" s="132"/>
      <c r="Q35" s="132"/>
      <c r="R35" s="132"/>
      <c r="S35" s="132"/>
      <c r="T35" s="132"/>
    </row>
    <row r="36" spans="1:20" x14ac:dyDescent="0.3">
      <c r="A36" s="160" t="s">
        <v>386</v>
      </c>
      <c r="B36" s="129"/>
      <c r="C36" s="130"/>
      <c r="D36" s="130">
        <v>3950000</v>
      </c>
      <c r="E36" s="130"/>
      <c r="F36" s="130"/>
      <c r="G36" s="131"/>
      <c r="H36" s="131"/>
      <c r="I36" s="131"/>
      <c r="J36" s="131"/>
      <c r="K36" s="131"/>
      <c r="L36" s="131"/>
      <c r="M36" s="131"/>
      <c r="N36" s="132"/>
      <c r="O36" s="132"/>
      <c r="P36" s="132"/>
      <c r="Q36" s="132"/>
      <c r="R36" s="132"/>
      <c r="S36" s="132"/>
      <c r="T36" s="132"/>
    </row>
    <row r="37" spans="1:20" x14ac:dyDescent="0.3">
      <c r="A37" s="160" t="s">
        <v>386</v>
      </c>
      <c r="B37" s="129"/>
      <c r="C37" s="130"/>
      <c r="D37" s="130">
        <v>3950000</v>
      </c>
      <c r="E37" s="130"/>
      <c r="F37" s="130"/>
      <c r="G37" s="131"/>
      <c r="H37" s="131"/>
      <c r="I37" s="131"/>
      <c r="J37" s="131"/>
      <c r="K37" s="131"/>
      <c r="L37" s="131"/>
      <c r="M37" s="131"/>
      <c r="N37" s="132"/>
      <c r="O37" s="132"/>
      <c r="P37" s="132"/>
      <c r="Q37" s="132"/>
      <c r="R37" s="132"/>
      <c r="S37" s="132"/>
      <c r="T37" s="132"/>
    </row>
    <row r="38" spans="1:20" x14ac:dyDescent="0.3">
      <c r="A38" s="160" t="s">
        <v>386</v>
      </c>
      <c r="B38" s="129"/>
      <c r="C38" s="130"/>
      <c r="D38" s="130"/>
      <c r="E38" s="130"/>
      <c r="F38" s="130"/>
      <c r="G38" s="131"/>
      <c r="H38" s="131"/>
      <c r="I38" s="130">
        <v>3950000</v>
      </c>
      <c r="J38" s="131"/>
      <c r="K38" s="131"/>
      <c r="L38" s="131"/>
      <c r="M38" s="131"/>
      <c r="N38" s="132"/>
      <c r="O38" s="132"/>
      <c r="P38" s="132"/>
      <c r="Q38" s="132"/>
      <c r="R38" s="132"/>
      <c r="S38" s="132"/>
      <c r="T38" s="132"/>
    </row>
    <row r="39" spans="1:20" x14ac:dyDescent="0.3">
      <c r="A39" s="160" t="s">
        <v>386</v>
      </c>
      <c r="B39" s="129"/>
      <c r="C39" s="130"/>
      <c r="D39" s="130"/>
      <c r="E39" s="130"/>
      <c r="F39" s="130"/>
      <c r="G39" s="131"/>
      <c r="H39" s="131"/>
      <c r="I39" s="130">
        <v>3950000</v>
      </c>
      <c r="J39" s="131"/>
      <c r="K39" s="131"/>
      <c r="L39" s="131"/>
      <c r="M39" s="131"/>
      <c r="N39" s="132"/>
      <c r="O39" s="132"/>
      <c r="P39" s="132"/>
      <c r="Q39" s="132"/>
      <c r="R39" s="132"/>
      <c r="S39" s="132"/>
      <c r="T39" s="132"/>
    </row>
    <row r="40" spans="1:20" x14ac:dyDescent="0.3">
      <c r="A40" s="160" t="s">
        <v>384</v>
      </c>
      <c r="B40" s="129"/>
      <c r="C40" s="130"/>
      <c r="D40" s="130"/>
      <c r="E40" s="130">
        <v>6750000</v>
      </c>
      <c r="F40" s="130"/>
      <c r="G40" s="131"/>
      <c r="H40" s="131"/>
      <c r="I40" s="131"/>
      <c r="J40" s="131"/>
      <c r="K40" s="131"/>
      <c r="L40" s="131"/>
      <c r="M40" s="131"/>
      <c r="N40" s="132"/>
      <c r="O40" s="132"/>
      <c r="P40" s="132"/>
      <c r="Q40" s="132"/>
      <c r="R40" s="132"/>
      <c r="S40" s="132"/>
      <c r="T40" s="132"/>
    </row>
    <row r="41" spans="1:20" x14ac:dyDescent="0.3">
      <c r="A41" s="117" t="s">
        <v>349</v>
      </c>
      <c r="B41" s="130">
        <f>SUM(C41:N41)+C28+C29</f>
        <v>6227000.04</v>
      </c>
      <c r="C41" s="130">
        <v>318916.67</v>
      </c>
      <c r="D41" s="130">
        <v>518916.67</v>
      </c>
      <c r="E41" s="130">
        <v>518916.67</v>
      </c>
      <c r="F41" s="130">
        <v>518916.67</v>
      </c>
      <c r="G41" s="130">
        <v>518916.67</v>
      </c>
      <c r="H41" s="130">
        <v>518916.67</v>
      </c>
      <c r="I41" s="130">
        <v>518916.67</v>
      </c>
      <c r="J41" s="130">
        <v>518916.67</v>
      </c>
      <c r="K41" s="130">
        <v>518916.67</v>
      </c>
      <c r="L41" s="130">
        <v>518916.67</v>
      </c>
      <c r="M41" s="130">
        <v>518916.67</v>
      </c>
      <c r="N41" s="130">
        <v>518916.67</v>
      </c>
      <c r="O41" s="132"/>
      <c r="P41" s="132"/>
      <c r="Q41" s="132"/>
      <c r="R41" s="132"/>
      <c r="S41" s="132"/>
      <c r="T41" s="132"/>
    </row>
    <row r="42" spans="1:20" x14ac:dyDescent="0.3">
      <c r="A42" s="117" t="s">
        <v>195</v>
      </c>
      <c r="B42" s="129"/>
      <c r="C42" s="130"/>
      <c r="D42" s="130"/>
      <c r="E42" s="130"/>
      <c r="F42" s="130">
        <v>350000</v>
      </c>
      <c r="G42" s="131"/>
      <c r="H42" s="131"/>
      <c r="I42" s="131"/>
      <c r="J42" s="131"/>
      <c r="K42" s="131"/>
      <c r="L42" s="131"/>
      <c r="M42" s="131"/>
      <c r="N42" s="132"/>
      <c r="O42" s="132"/>
      <c r="P42" s="132"/>
      <c r="Q42" s="132"/>
      <c r="R42" s="132"/>
      <c r="S42" s="132"/>
      <c r="T42" s="132"/>
    </row>
    <row r="43" spans="1:20" x14ac:dyDescent="0.3">
      <c r="A43" s="117" t="s">
        <v>361</v>
      </c>
      <c r="B43" s="129"/>
      <c r="C43" s="130"/>
      <c r="D43" s="130"/>
      <c r="E43" s="130"/>
      <c r="F43" s="130"/>
      <c r="G43" s="130">
        <v>400000</v>
      </c>
      <c r="H43" s="131"/>
      <c r="I43" s="131"/>
      <c r="J43" s="131"/>
      <c r="K43" s="131"/>
      <c r="L43" s="131"/>
      <c r="M43" s="131"/>
      <c r="N43" s="132"/>
      <c r="O43" s="132"/>
      <c r="P43" s="132"/>
      <c r="Q43" s="132"/>
      <c r="R43" s="132"/>
      <c r="S43" s="132"/>
      <c r="T43" s="132"/>
    </row>
    <row r="44" spans="1:20" x14ac:dyDescent="0.3">
      <c r="A44" s="117" t="s">
        <v>362</v>
      </c>
      <c r="B44" s="129"/>
      <c r="C44" s="130">
        <v>150000</v>
      </c>
      <c r="D44" s="130"/>
      <c r="E44" s="130"/>
      <c r="F44" s="130"/>
      <c r="G44" s="130"/>
      <c r="H44" s="131"/>
      <c r="I44" s="130">
        <v>125000</v>
      </c>
      <c r="J44" s="130"/>
      <c r="K44" s="130"/>
      <c r="L44" s="131"/>
      <c r="M44" s="131"/>
      <c r="N44" s="132"/>
      <c r="O44" s="132"/>
      <c r="P44" s="132"/>
      <c r="Q44" s="132"/>
      <c r="R44" s="132"/>
      <c r="S44" s="132"/>
      <c r="T44" s="132"/>
    </row>
    <row r="45" spans="1:20" x14ac:dyDescent="0.3">
      <c r="A45" s="117" t="s">
        <v>363</v>
      </c>
      <c r="B45" s="129"/>
      <c r="C45" s="130">
        <v>8000</v>
      </c>
      <c r="D45" s="130"/>
      <c r="E45" s="130"/>
      <c r="F45" s="130"/>
      <c r="G45" s="130"/>
      <c r="H45" s="131"/>
      <c r="I45" s="131"/>
      <c r="J45" s="130"/>
      <c r="K45" s="130"/>
      <c r="L45" s="131"/>
      <c r="M45" s="131"/>
      <c r="N45" s="132"/>
      <c r="O45" s="132"/>
      <c r="P45" s="132"/>
      <c r="Q45" s="132"/>
      <c r="R45" s="132"/>
      <c r="S45" s="132"/>
      <c r="T45" s="132"/>
    </row>
    <row r="46" spans="1:20" x14ac:dyDescent="0.3">
      <c r="A46" s="117" t="s">
        <v>364</v>
      </c>
      <c r="B46" s="129"/>
      <c r="C46" s="130"/>
      <c r="D46" s="130">
        <v>72000</v>
      </c>
      <c r="E46" s="130"/>
      <c r="F46" s="130"/>
      <c r="G46" s="130"/>
      <c r="H46" s="131"/>
      <c r="I46" s="131"/>
      <c r="J46" s="130">
        <v>50000</v>
      </c>
      <c r="K46" s="130"/>
      <c r="L46" s="131"/>
      <c r="M46" s="131"/>
      <c r="N46" s="132"/>
      <c r="O46" s="132"/>
      <c r="P46" s="132"/>
      <c r="Q46" s="132"/>
      <c r="R46" s="132"/>
      <c r="S46" s="132"/>
      <c r="T46" s="132"/>
    </row>
    <row r="47" spans="1:20" x14ac:dyDescent="0.3">
      <c r="A47" s="117" t="s">
        <v>365</v>
      </c>
      <c r="B47" s="129"/>
      <c r="C47" s="130"/>
      <c r="D47" s="130"/>
      <c r="E47" s="130">
        <v>50000</v>
      </c>
      <c r="F47" s="130"/>
      <c r="G47" s="130"/>
      <c r="H47" s="131"/>
      <c r="I47" s="131"/>
      <c r="J47" s="130"/>
      <c r="K47" s="130">
        <v>50000</v>
      </c>
      <c r="L47" s="131"/>
      <c r="M47" s="131"/>
      <c r="N47" s="132"/>
      <c r="O47" s="132"/>
      <c r="P47" s="132"/>
      <c r="Q47" s="132"/>
      <c r="R47" s="132"/>
      <c r="S47" s="132"/>
      <c r="T47" s="132"/>
    </row>
    <row r="48" spans="1:20" x14ac:dyDescent="0.3">
      <c r="A48" s="117" t="s">
        <v>366</v>
      </c>
      <c r="B48" s="130">
        <f>SUM(C48:N48)</f>
        <v>40000</v>
      </c>
      <c r="C48" s="130">
        <v>3800</v>
      </c>
      <c r="D48" s="130">
        <v>3000</v>
      </c>
      <c r="E48" s="130">
        <v>3000</v>
      </c>
      <c r="F48" s="130">
        <v>3000</v>
      </c>
      <c r="G48" s="130">
        <v>3400</v>
      </c>
      <c r="H48" s="130">
        <v>3400</v>
      </c>
      <c r="I48" s="130">
        <v>3400</v>
      </c>
      <c r="J48" s="130">
        <v>3400</v>
      </c>
      <c r="K48" s="130">
        <v>3400</v>
      </c>
      <c r="L48" s="130">
        <v>3400</v>
      </c>
      <c r="M48" s="130">
        <v>3400</v>
      </c>
      <c r="N48" s="130">
        <v>3400</v>
      </c>
      <c r="O48" s="132"/>
      <c r="P48" s="132"/>
      <c r="Q48" s="132"/>
      <c r="R48" s="132"/>
      <c r="S48" s="132"/>
      <c r="T48" s="132"/>
    </row>
    <row r="49" spans="1:20" ht="43.2" x14ac:dyDescent="0.3">
      <c r="A49" s="133" t="s">
        <v>367</v>
      </c>
      <c r="B49" s="154"/>
      <c r="C49" s="154">
        <v>96000</v>
      </c>
      <c r="D49" s="154"/>
      <c r="E49" s="154"/>
      <c r="F49" s="154"/>
      <c r="G49" s="154"/>
      <c r="H49" s="154"/>
      <c r="I49" s="154">
        <v>50000</v>
      </c>
      <c r="J49" s="154"/>
      <c r="K49" s="154"/>
      <c r="L49" s="154"/>
      <c r="M49" s="154"/>
      <c r="N49" s="155"/>
      <c r="O49" s="156"/>
      <c r="P49" s="156"/>
      <c r="Q49" s="156"/>
      <c r="R49" s="156"/>
      <c r="S49" s="156"/>
      <c r="T49" s="156"/>
    </row>
    <row r="50" spans="1:20" x14ac:dyDescent="0.3">
      <c r="A50" s="133" t="s">
        <v>368</v>
      </c>
      <c r="B50" s="154"/>
      <c r="C50" s="154"/>
      <c r="D50" s="154"/>
      <c r="E50" s="154"/>
      <c r="F50" s="154"/>
      <c r="G50" s="154">
        <v>137000</v>
      </c>
      <c r="H50" s="154"/>
      <c r="I50" s="154"/>
      <c r="J50" s="154"/>
      <c r="K50" s="154"/>
      <c r="L50" s="154"/>
      <c r="M50" s="154"/>
      <c r="N50" s="155"/>
      <c r="O50" s="156"/>
      <c r="P50" s="156"/>
      <c r="Q50" s="156"/>
      <c r="R50" s="156"/>
      <c r="S50" s="156"/>
      <c r="T50" s="156"/>
    </row>
    <row r="51" spans="1:20" ht="28.8" x14ac:dyDescent="0.3">
      <c r="A51" s="133" t="s">
        <v>369</v>
      </c>
      <c r="B51" s="154">
        <f t="shared" ref="B51:B55" si="7">SUM(C51:N51)</f>
        <v>3600000</v>
      </c>
      <c r="C51" s="154"/>
      <c r="D51" s="154"/>
      <c r="E51" s="154"/>
      <c r="F51" s="154">
        <v>900000</v>
      </c>
      <c r="G51" s="154">
        <v>600000</v>
      </c>
      <c r="H51" s="154">
        <v>300000</v>
      </c>
      <c r="I51" s="154">
        <v>300000</v>
      </c>
      <c r="J51" s="154">
        <v>300000</v>
      </c>
      <c r="K51" s="154">
        <v>300000</v>
      </c>
      <c r="L51" s="154">
        <v>300000</v>
      </c>
      <c r="M51" s="154">
        <v>300000</v>
      </c>
      <c r="N51" s="154">
        <v>300000</v>
      </c>
      <c r="O51" s="156"/>
      <c r="P51" s="156"/>
      <c r="Q51" s="156"/>
      <c r="R51" s="156"/>
      <c r="S51" s="156"/>
      <c r="T51" s="156"/>
    </row>
    <row r="52" spans="1:20" ht="43.2" x14ac:dyDescent="0.3">
      <c r="A52" s="133" t="s">
        <v>371</v>
      </c>
      <c r="B52" s="154">
        <f t="shared" si="7"/>
        <v>96000</v>
      </c>
      <c r="C52" s="154">
        <v>8000</v>
      </c>
      <c r="D52" s="154">
        <v>8000</v>
      </c>
      <c r="E52" s="154">
        <v>8000</v>
      </c>
      <c r="F52" s="154">
        <v>8000</v>
      </c>
      <c r="G52" s="154">
        <v>8000</v>
      </c>
      <c r="H52" s="154">
        <v>8000</v>
      </c>
      <c r="I52" s="154">
        <v>8000</v>
      </c>
      <c r="J52" s="154">
        <v>8000</v>
      </c>
      <c r="K52" s="154">
        <v>8000</v>
      </c>
      <c r="L52" s="154">
        <v>8000</v>
      </c>
      <c r="M52" s="154">
        <v>8000</v>
      </c>
      <c r="N52" s="154">
        <v>8000</v>
      </c>
      <c r="O52" s="156"/>
      <c r="P52" s="156"/>
      <c r="Q52" s="156"/>
      <c r="R52" s="156"/>
      <c r="S52" s="156"/>
      <c r="T52" s="156"/>
    </row>
    <row r="53" spans="1:20" ht="135.75" customHeight="1" x14ac:dyDescent="0.3">
      <c r="A53" s="133" t="s">
        <v>231</v>
      </c>
      <c r="B53" s="154"/>
      <c r="C53" s="154"/>
      <c r="D53" s="154"/>
      <c r="E53" s="154">
        <v>35804</v>
      </c>
      <c r="F53" s="154"/>
      <c r="G53" s="154"/>
      <c r="H53" s="154"/>
      <c r="I53" s="154"/>
      <c r="J53" s="154"/>
      <c r="K53" s="154"/>
      <c r="L53" s="154"/>
      <c r="M53" s="154"/>
      <c r="N53" s="155"/>
      <c r="O53" s="156"/>
      <c r="P53" s="156"/>
      <c r="Q53" s="156"/>
      <c r="R53" s="156"/>
      <c r="S53" s="156"/>
      <c r="T53" s="156"/>
    </row>
    <row r="54" spans="1:20" ht="72" x14ac:dyDescent="0.3">
      <c r="A54" s="133" t="s">
        <v>233</v>
      </c>
      <c r="B54" s="154">
        <f t="shared" si="7"/>
        <v>1250000</v>
      </c>
      <c r="C54" s="154"/>
      <c r="D54" s="154"/>
      <c r="E54" s="154">
        <v>125000</v>
      </c>
      <c r="F54" s="154">
        <v>125000</v>
      </c>
      <c r="G54" s="154">
        <v>125000</v>
      </c>
      <c r="H54" s="154">
        <v>125000</v>
      </c>
      <c r="I54" s="154">
        <v>125000</v>
      </c>
      <c r="J54" s="154">
        <v>125000</v>
      </c>
      <c r="K54" s="154">
        <v>125000</v>
      </c>
      <c r="L54" s="154">
        <v>125000</v>
      </c>
      <c r="M54" s="154">
        <v>125000</v>
      </c>
      <c r="N54" s="154">
        <v>125000</v>
      </c>
      <c r="O54" s="156"/>
      <c r="P54" s="156"/>
      <c r="Q54" s="156"/>
      <c r="R54" s="156"/>
      <c r="S54" s="156"/>
      <c r="T54" s="156"/>
    </row>
    <row r="55" spans="1:20" ht="115.2" x14ac:dyDescent="0.3">
      <c r="A55" s="133" t="s">
        <v>236</v>
      </c>
      <c r="B55" s="154">
        <f t="shared" si="7"/>
        <v>1100000</v>
      </c>
      <c r="C55" s="154"/>
      <c r="D55" s="154"/>
      <c r="E55" s="154">
        <v>200000</v>
      </c>
      <c r="F55" s="154">
        <v>100000</v>
      </c>
      <c r="G55" s="154">
        <v>100000</v>
      </c>
      <c r="H55" s="154">
        <v>100000</v>
      </c>
      <c r="I55" s="154">
        <v>100000</v>
      </c>
      <c r="J55" s="154">
        <v>100000</v>
      </c>
      <c r="K55" s="154">
        <v>100000</v>
      </c>
      <c r="L55" s="154">
        <v>100000</v>
      </c>
      <c r="M55" s="154">
        <v>100000</v>
      </c>
      <c r="N55" s="154">
        <v>100000</v>
      </c>
      <c r="O55" s="156"/>
      <c r="P55" s="156"/>
      <c r="Q55" s="156"/>
      <c r="R55" s="156"/>
      <c r="S55" s="156"/>
      <c r="T55" s="156"/>
    </row>
    <row r="56" spans="1:20" ht="28.8" x14ac:dyDescent="0.3">
      <c r="A56" s="133" t="s">
        <v>372</v>
      </c>
      <c r="B56" s="154"/>
      <c r="C56" s="154"/>
      <c r="D56" s="154"/>
      <c r="E56" s="154"/>
      <c r="F56" s="154">
        <v>16000</v>
      </c>
      <c r="G56" s="154"/>
      <c r="H56" s="154"/>
      <c r="I56" s="154"/>
      <c r="J56" s="154"/>
      <c r="K56" s="154"/>
      <c r="L56" s="154">
        <v>16000</v>
      </c>
      <c r="M56" s="154"/>
      <c r="N56" s="155"/>
      <c r="O56" s="156"/>
      <c r="P56" s="156"/>
      <c r="Q56" s="156"/>
      <c r="R56" s="156"/>
      <c r="S56" s="156"/>
      <c r="T56" s="156"/>
    </row>
    <row r="57" spans="1:20" x14ac:dyDescent="0.3">
      <c r="A57" s="133" t="s">
        <v>380</v>
      </c>
      <c r="B57" s="154"/>
      <c r="C57" s="154">
        <v>500000</v>
      </c>
      <c r="D57" s="154">
        <v>500000</v>
      </c>
      <c r="E57" s="154">
        <v>500000</v>
      </c>
      <c r="F57" s="154">
        <v>1000000</v>
      </c>
      <c r="G57" s="154">
        <v>1000000</v>
      </c>
      <c r="H57" s="154">
        <v>1000000</v>
      </c>
      <c r="I57" s="154">
        <v>1000000</v>
      </c>
      <c r="J57" s="154">
        <v>1000000</v>
      </c>
      <c r="K57" s="154">
        <v>1000000</v>
      </c>
      <c r="L57" s="154"/>
      <c r="M57" s="154"/>
      <c r="N57" s="154"/>
      <c r="O57" s="156"/>
      <c r="P57" s="156"/>
      <c r="Q57" s="156"/>
      <c r="R57" s="156"/>
      <c r="S57" s="156"/>
      <c r="T57" s="156"/>
    </row>
    <row r="58" spans="1:20" x14ac:dyDescent="0.3">
      <c r="A58" s="115" t="s">
        <v>382</v>
      </c>
      <c r="B58" s="129"/>
      <c r="C58" s="131"/>
      <c r="D58" s="131"/>
      <c r="E58" s="131"/>
      <c r="F58" s="131"/>
      <c r="G58" s="131"/>
      <c r="H58" s="130">
        <v>487800</v>
      </c>
      <c r="I58" s="131"/>
      <c r="J58" s="131"/>
      <c r="K58" s="131"/>
      <c r="L58" s="131"/>
      <c r="M58" s="131"/>
      <c r="N58" s="132"/>
      <c r="O58" s="132"/>
      <c r="P58" s="132"/>
      <c r="Q58" s="132"/>
      <c r="R58" s="132"/>
      <c r="S58" s="132"/>
      <c r="T58" s="132"/>
    </row>
    <row r="59" spans="1:20" x14ac:dyDescent="0.3">
      <c r="A59" s="115"/>
      <c r="B59" s="129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2"/>
      <c r="O59" s="132"/>
      <c r="P59" s="132"/>
      <c r="Q59" s="132"/>
      <c r="R59" s="132"/>
      <c r="S59" s="132"/>
      <c r="T59" s="132"/>
    </row>
    <row r="60" spans="1:20" x14ac:dyDescent="0.3">
      <c r="A60" s="115" t="s">
        <v>350</v>
      </c>
      <c r="B60" s="130">
        <f>SUM(C60:N60)</f>
        <v>14477400</v>
      </c>
      <c r="C60" s="130">
        <f>SUM(C61:C69)</f>
        <v>927000</v>
      </c>
      <c r="D60" s="130">
        <f t="shared" ref="D60:T60" si="8">SUM(D61:D69)</f>
        <v>927000</v>
      </c>
      <c r="E60" s="130">
        <f t="shared" si="8"/>
        <v>927000</v>
      </c>
      <c r="F60" s="130">
        <f t="shared" si="8"/>
        <v>1299600</v>
      </c>
      <c r="G60" s="130">
        <f t="shared" si="8"/>
        <v>1299600</v>
      </c>
      <c r="H60" s="130">
        <f>SUM(H61:H69)</f>
        <v>1299600</v>
      </c>
      <c r="I60" s="130">
        <f t="shared" si="8"/>
        <v>1299600</v>
      </c>
      <c r="J60" s="130">
        <f t="shared" si="8"/>
        <v>1299600</v>
      </c>
      <c r="K60" s="130">
        <f t="shared" si="8"/>
        <v>1299600</v>
      </c>
      <c r="L60" s="130">
        <f t="shared" si="8"/>
        <v>1299600</v>
      </c>
      <c r="M60" s="130">
        <f t="shared" si="8"/>
        <v>1299600</v>
      </c>
      <c r="N60" s="130">
        <f t="shared" si="8"/>
        <v>1299600</v>
      </c>
      <c r="O60" s="130">
        <f t="shared" si="8"/>
        <v>1299600</v>
      </c>
      <c r="P60" s="130">
        <f t="shared" si="8"/>
        <v>1299600</v>
      </c>
      <c r="Q60" s="130">
        <f t="shared" si="8"/>
        <v>1299600</v>
      </c>
      <c r="R60" s="130">
        <f t="shared" si="8"/>
        <v>1299600</v>
      </c>
      <c r="S60" s="130">
        <f t="shared" si="8"/>
        <v>1299600</v>
      </c>
      <c r="T60" s="130">
        <f t="shared" si="8"/>
        <v>1299600</v>
      </c>
    </row>
    <row r="61" spans="1:20" x14ac:dyDescent="0.3">
      <c r="A61" s="133" t="s">
        <v>125</v>
      </c>
      <c r="B61" s="131"/>
      <c r="C61" s="130">
        <v>198000</v>
      </c>
      <c r="D61" s="130">
        <v>198000</v>
      </c>
      <c r="E61" s="130">
        <v>198000</v>
      </c>
      <c r="F61" s="130">
        <v>198000</v>
      </c>
      <c r="G61" s="130">
        <v>198000</v>
      </c>
      <c r="H61" s="130">
        <v>198000</v>
      </c>
      <c r="I61" s="130">
        <v>198000</v>
      </c>
      <c r="J61" s="130">
        <v>198000</v>
      </c>
      <c r="K61" s="130">
        <v>198000</v>
      </c>
      <c r="L61" s="130">
        <v>198000</v>
      </c>
      <c r="M61" s="130">
        <v>198000</v>
      </c>
      <c r="N61" s="130">
        <v>198000</v>
      </c>
      <c r="O61" s="130">
        <v>198000</v>
      </c>
      <c r="P61" s="130">
        <v>198000</v>
      </c>
      <c r="Q61" s="130">
        <v>198000</v>
      </c>
      <c r="R61" s="130">
        <v>198000</v>
      </c>
      <c r="S61" s="130">
        <v>198000</v>
      </c>
      <c r="T61" s="130">
        <v>198000</v>
      </c>
    </row>
    <row r="62" spans="1:20" x14ac:dyDescent="0.3">
      <c r="A62" s="133" t="s">
        <v>126</v>
      </c>
      <c r="B62" s="131"/>
      <c r="C62" s="130">
        <v>189000</v>
      </c>
      <c r="D62" s="130">
        <v>189000</v>
      </c>
      <c r="E62" s="130">
        <v>189000</v>
      </c>
      <c r="F62" s="130">
        <v>189000</v>
      </c>
      <c r="G62" s="130">
        <v>189000</v>
      </c>
      <c r="H62" s="130">
        <v>189000</v>
      </c>
      <c r="I62" s="130">
        <v>189000</v>
      </c>
      <c r="J62" s="130">
        <v>189000</v>
      </c>
      <c r="K62" s="130">
        <v>189000</v>
      </c>
      <c r="L62" s="130">
        <v>189000</v>
      </c>
      <c r="M62" s="130">
        <v>189000</v>
      </c>
      <c r="N62" s="130">
        <v>189000</v>
      </c>
      <c r="O62" s="130">
        <v>189000</v>
      </c>
      <c r="P62" s="130">
        <v>189000</v>
      </c>
      <c r="Q62" s="130">
        <v>189000</v>
      </c>
      <c r="R62" s="130">
        <v>189000</v>
      </c>
      <c r="S62" s="130">
        <v>189000</v>
      </c>
      <c r="T62" s="130">
        <v>189000</v>
      </c>
    </row>
    <row r="63" spans="1:20" ht="28.8" x14ac:dyDescent="0.3">
      <c r="A63" s="133" t="s">
        <v>127</v>
      </c>
      <c r="B63" s="131"/>
      <c r="C63" s="130">
        <v>189000</v>
      </c>
      <c r="D63" s="130">
        <v>189000</v>
      </c>
      <c r="E63" s="130">
        <v>189000</v>
      </c>
      <c r="F63" s="130">
        <v>189000</v>
      </c>
      <c r="G63" s="130">
        <v>189000</v>
      </c>
      <c r="H63" s="130">
        <v>189000</v>
      </c>
      <c r="I63" s="130">
        <v>189000</v>
      </c>
      <c r="J63" s="130">
        <v>189000</v>
      </c>
      <c r="K63" s="130">
        <v>189000</v>
      </c>
      <c r="L63" s="130">
        <v>189000</v>
      </c>
      <c r="M63" s="130">
        <v>189000</v>
      </c>
      <c r="N63" s="130">
        <v>189000</v>
      </c>
      <c r="O63" s="130">
        <v>189000</v>
      </c>
      <c r="P63" s="130">
        <v>189000</v>
      </c>
      <c r="Q63" s="130">
        <v>189000</v>
      </c>
      <c r="R63" s="130">
        <v>189000</v>
      </c>
      <c r="S63" s="130">
        <v>189000</v>
      </c>
      <c r="T63" s="130">
        <v>189000</v>
      </c>
    </row>
    <row r="64" spans="1:20" x14ac:dyDescent="0.3">
      <c r="A64" s="133" t="s">
        <v>128</v>
      </c>
      <c r="B64" s="131"/>
      <c r="C64" s="130">
        <v>180000</v>
      </c>
      <c r="D64" s="130">
        <v>180000</v>
      </c>
      <c r="E64" s="130">
        <v>180000</v>
      </c>
      <c r="F64" s="130">
        <v>180000</v>
      </c>
      <c r="G64" s="130">
        <v>180000</v>
      </c>
      <c r="H64" s="130">
        <v>180000</v>
      </c>
      <c r="I64" s="130">
        <v>180000</v>
      </c>
      <c r="J64" s="130">
        <v>180000</v>
      </c>
      <c r="K64" s="130">
        <v>180000</v>
      </c>
      <c r="L64" s="130">
        <v>180000</v>
      </c>
      <c r="M64" s="130">
        <v>180000</v>
      </c>
      <c r="N64" s="130">
        <v>180000</v>
      </c>
      <c r="O64" s="130">
        <v>180000</v>
      </c>
      <c r="P64" s="130">
        <v>180000</v>
      </c>
      <c r="Q64" s="130">
        <v>180000</v>
      </c>
      <c r="R64" s="130">
        <v>180000</v>
      </c>
      <c r="S64" s="130">
        <v>180000</v>
      </c>
      <c r="T64" s="130">
        <v>180000</v>
      </c>
    </row>
    <row r="65" spans="1:20" x14ac:dyDescent="0.3">
      <c r="A65" s="133" t="s">
        <v>129</v>
      </c>
      <c r="B65" s="131"/>
      <c r="C65" s="130">
        <v>108000</v>
      </c>
      <c r="D65" s="130">
        <v>108000</v>
      </c>
      <c r="E65" s="130">
        <v>108000</v>
      </c>
      <c r="F65" s="130">
        <v>108000</v>
      </c>
      <c r="G65" s="130">
        <v>108000</v>
      </c>
      <c r="H65" s="130">
        <v>108000</v>
      </c>
      <c r="I65" s="130">
        <v>108000</v>
      </c>
      <c r="J65" s="130">
        <v>108000</v>
      </c>
      <c r="K65" s="130">
        <v>108000</v>
      </c>
      <c r="L65" s="130">
        <v>108000</v>
      </c>
      <c r="M65" s="130">
        <v>108000</v>
      </c>
      <c r="N65" s="130">
        <v>108000</v>
      </c>
      <c r="O65" s="130">
        <v>108000</v>
      </c>
      <c r="P65" s="130">
        <v>108000</v>
      </c>
      <c r="Q65" s="130">
        <v>108000</v>
      </c>
      <c r="R65" s="130">
        <v>108000</v>
      </c>
      <c r="S65" s="130">
        <v>108000</v>
      </c>
      <c r="T65" s="130">
        <v>108000</v>
      </c>
    </row>
    <row r="66" spans="1:20" x14ac:dyDescent="0.3">
      <c r="A66" s="133" t="s">
        <v>130</v>
      </c>
      <c r="B66" s="131"/>
      <c r="C66" s="130"/>
      <c r="D66" s="130"/>
      <c r="E66" s="130"/>
      <c r="F66" s="130">
        <v>117000</v>
      </c>
      <c r="G66" s="130">
        <v>117000</v>
      </c>
      <c r="H66" s="130">
        <v>117000</v>
      </c>
      <c r="I66" s="130">
        <v>117000</v>
      </c>
      <c r="J66" s="130">
        <v>117000</v>
      </c>
      <c r="K66" s="130">
        <v>117000</v>
      </c>
      <c r="L66" s="130">
        <v>117000</v>
      </c>
      <c r="M66" s="130">
        <v>117000</v>
      </c>
      <c r="N66" s="130">
        <v>117000</v>
      </c>
      <c r="O66" s="130">
        <v>117000</v>
      </c>
      <c r="P66" s="130">
        <v>117000</v>
      </c>
      <c r="Q66" s="130">
        <v>117000</v>
      </c>
      <c r="R66" s="130">
        <v>117000</v>
      </c>
      <c r="S66" s="130">
        <v>117000</v>
      </c>
      <c r="T66" s="130">
        <v>117000</v>
      </c>
    </row>
    <row r="67" spans="1:20" x14ac:dyDescent="0.3">
      <c r="A67" s="133" t="s">
        <v>131</v>
      </c>
      <c r="B67" s="131"/>
      <c r="C67" s="130">
        <v>63000</v>
      </c>
      <c r="D67" s="130">
        <v>63000</v>
      </c>
      <c r="E67" s="130">
        <v>63000</v>
      </c>
      <c r="F67" s="130">
        <v>63000</v>
      </c>
      <c r="G67" s="130">
        <v>63000</v>
      </c>
      <c r="H67" s="130">
        <v>63000</v>
      </c>
      <c r="I67" s="130">
        <v>63000</v>
      </c>
      <c r="J67" s="130">
        <v>63000</v>
      </c>
      <c r="K67" s="130">
        <v>63000</v>
      </c>
      <c r="L67" s="130">
        <v>63000</v>
      </c>
      <c r="M67" s="130">
        <v>63000</v>
      </c>
      <c r="N67" s="130">
        <v>63000</v>
      </c>
      <c r="O67" s="130">
        <v>63000</v>
      </c>
      <c r="P67" s="130">
        <v>63000</v>
      </c>
      <c r="Q67" s="130">
        <v>63000</v>
      </c>
      <c r="R67" s="130">
        <v>63000</v>
      </c>
      <c r="S67" s="130">
        <v>63000</v>
      </c>
      <c r="T67" s="130">
        <v>63000</v>
      </c>
    </row>
    <row r="68" spans="1:20" x14ac:dyDescent="0.3">
      <c r="A68" s="133" t="s">
        <v>132</v>
      </c>
      <c r="B68" s="131"/>
      <c r="C68" s="130"/>
      <c r="D68" s="130"/>
      <c r="E68" s="130"/>
      <c r="F68" s="130">
        <v>129600</v>
      </c>
      <c r="G68" s="130">
        <v>129600</v>
      </c>
      <c r="H68" s="130">
        <v>129600</v>
      </c>
      <c r="I68" s="130">
        <v>129600</v>
      </c>
      <c r="J68" s="130">
        <v>129600</v>
      </c>
      <c r="K68" s="130">
        <v>129600</v>
      </c>
      <c r="L68" s="130">
        <v>129600</v>
      </c>
      <c r="M68" s="130">
        <v>129600</v>
      </c>
      <c r="N68" s="130">
        <v>129600</v>
      </c>
      <c r="O68" s="130">
        <v>129600</v>
      </c>
      <c r="P68" s="130">
        <v>129600</v>
      </c>
      <c r="Q68" s="130">
        <v>129600</v>
      </c>
      <c r="R68" s="130">
        <v>129600</v>
      </c>
      <c r="S68" s="130">
        <v>129600</v>
      </c>
      <c r="T68" s="130">
        <v>129600</v>
      </c>
    </row>
    <row r="69" spans="1:20" x14ac:dyDescent="0.3">
      <c r="A69" s="133" t="s">
        <v>133</v>
      </c>
      <c r="B69" s="131"/>
      <c r="C69" s="130"/>
      <c r="D69" s="130"/>
      <c r="E69" s="130"/>
      <c r="F69" s="130">
        <v>126000</v>
      </c>
      <c r="G69" s="130">
        <v>126000</v>
      </c>
      <c r="H69" s="130">
        <v>126000</v>
      </c>
      <c r="I69" s="130">
        <v>126000</v>
      </c>
      <c r="J69" s="130">
        <v>126000</v>
      </c>
      <c r="K69" s="130">
        <v>126000</v>
      </c>
      <c r="L69" s="130">
        <v>126000</v>
      </c>
      <c r="M69" s="130">
        <v>126000</v>
      </c>
      <c r="N69" s="130">
        <v>126000</v>
      </c>
      <c r="O69" s="130">
        <v>126000</v>
      </c>
      <c r="P69" s="130">
        <v>126000</v>
      </c>
      <c r="Q69" s="130">
        <v>126000</v>
      </c>
      <c r="R69" s="130">
        <v>126000</v>
      </c>
      <c r="S69" s="130">
        <v>126000</v>
      </c>
      <c r="T69" s="130">
        <v>126000</v>
      </c>
    </row>
    <row r="70" spans="1:20" x14ac:dyDescent="0.3">
      <c r="A70" s="115" t="s">
        <v>351</v>
      </c>
      <c r="B70" s="130">
        <f>SUM(C70:N70)</f>
        <v>13667400</v>
      </c>
      <c r="C70" s="130">
        <f>SUM(C71:C91)</f>
        <v>0</v>
      </c>
      <c r="D70" s="130">
        <f t="shared" ref="D70:T70" si="9">SUM(D71:D91)</f>
        <v>0</v>
      </c>
      <c r="E70" s="130">
        <f t="shared" si="9"/>
        <v>0</v>
      </c>
      <c r="F70" s="130">
        <f t="shared" si="9"/>
        <v>0</v>
      </c>
      <c r="G70" s="130">
        <f t="shared" si="9"/>
        <v>208800</v>
      </c>
      <c r="H70" s="130">
        <f t="shared" si="9"/>
        <v>955800</v>
      </c>
      <c r="I70" s="130">
        <f t="shared" si="9"/>
        <v>1387800</v>
      </c>
      <c r="J70" s="130">
        <f t="shared" si="9"/>
        <v>1387800</v>
      </c>
      <c r="K70" s="130">
        <f t="shared" si="9"/>
        <v>2323800</v>
      </c>
      <c r="L70" s="130">
        <f t="shared" si="9"/>
        <v>2467800</v>
      </c>
      <c r="M70" s="130">
        <f t="shared" si="9"/>
        <v>2467800</v>
      </c>
      <c r="N70" s="130">
        <f t="shared" si="9"/>
        <v>2467800</v>
      </c>
      <c r="O70" s="130">
        <f t="shared" si="9"/>
        <v>2467800</v>
      </c>
      <c r="P70" s="130">
        <f t="shared" si="9"/>
        <v>2467800</v>
      </c>
      <c r="Q70" s="130">
        <f t="shared" si="9"/>
        <v>2467800</v>
      </c>
      <c r="R70" s="130">
        <f t="shared" si="9"/>
        <v>2467800</v>
      </c>
      <c r="S70" s="130">
        <f t="shared" si="9"/>
        <v>2467800</v>
      </c>
      <c r="T70" s="130">
        <f t="shared" si="9"/>
        <v>2467800</v>
      </c>
    </row>
    <row r="71" spans="1:20" x14ac:dyDescent="0.3">
      <c r="A71" s="117" t="s">
        <v>134</v>
      </c>
      <c r="B71" s="129"/>
      <c r="C71" s="130"/>
      <c r="D71" s="130"/>
      <c r="E71" s="130"/>
      <c r="F71" s="130"/>
      <c r="G71" s="130">
        <v>63000</v>
      </c>
      <c r="H71" s="130">
        <v>63000</v>
      </c>
      <c r="I71" s="130">
        <v>63000</v>
      </c>
      <c r="J71" s="130">
        <v>63000</v>
      </c>
      <c r="K71" s="130">
        <v>63000</v>
      </c>
      <c r="L71" s="130">
        <v>63000</v>
      </c>
      <c r="M71" s="130">
        <v>63000</v>
      </c>
      <c r="N71" s="130">
        <v>63000</v>
      </c>
      <c r="O71" s="130">
        <v>63000</v>
      </c>
      <c r="P71" s="130">
        <v>63000</v>
      </c>
      <c r="Q71" s="130">
        <v>63000</v>
      </c>
      <c r="R71" s="130">
        <v>63000</v>
      </c>
      <c r="S71" s="130">
        <v>63000</v>
      </c>
      <c r="T71" s="130">
        <v>63000</v>
      </c>
    </row>
    <row r="72" spans="1:20" x14ac:dyDescent="0.3">
      <c r="A72" s="117" t="s">
        <v>352</v>
      </c>
      <c r="B72" s="129"/>
      <c r="C72" s="130"/>
      <c r="D72" s="130"/>
      <c r="E72" s="130"/>
      <c r="F72" s="130"/>
      <c r="G72" s="130">
        <v>95400</v>
      </c>
      <c r="H72" s="130">
        <v>95400</v>
      </c>
      <c r="I72" s="130">
        <v>95400</v>
      </c>
      <c r="J72" s="130">
        <v>95400</v>
      </c>
      <c r="K72" s="130">
        <v>95400</v>
      </c>
      <c r="L72" s="130">
        <v>95400</v>
      </c>
      <c r="M72" s="130">
        <v>95400</v>
      </c>
      <c r="N72" s="130">
        <v>95400</v>
      </c>
      <c r="O72" s="130">
        <v>95400</v>
      </c>
      <c r="P72" s="130">
        <v>95400</v>
      </c>
      <c r="Q72" s="130">
        <v>95400</v>
      </c>
      <c r="R72" s="130">
        <v>95400</v>
      </c>
      <c r="S72" s="130">
        <v>95400</v>
      </c>
      <c r="T72" s="130">
        <v>95400</v>
      </c>
    </row>
    <row r="73" spans="1:20" x14ac:dyDescent="0.3">
      <c r="A73" s="117" t="s">
        <v>136</v>
      </c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</row>
    <row r="74" spans="1:20" x14ac:dyDescent="0.3">
      <c r="A74" s="117" t="s">
        <v>137</v>
      </c>
      <c r="B74" s="129"/>
      <c r="C74" s="130"/>
      <c r="D74" s="130"/>
      <c r="E74" s="130"/>
      <c r="F74" s="130"/>
      <c r="G74" s="130"/>
      <c r="H74" s="130">
        <v>108000</v>
      </c>
      <c r="I74" s="130">
        <v>108000</v>
      </c>
      <c r="J74" s="130">
        <v>108000</v>
      </c>
      <c r="K74" s="130">
        <v>108000</v>
      </c>
      <c r="L74" s="130">
        <v>108000</v>
      </c>
      <c r="M74" s="130">
        <v>108000</v>
      </c>
      <c r="N74" s="130">
        <v>108000</v>
      </c>
      <c r="O74" s="130">
        <v>108000</v>
      </c>
      <c r="P74" s="130">
        <v>108000</v>
      </c>
      <c r="Q74" s="130">
        <v>108000</v>
      </c>
      <c r="R74" s="130">
        <v>108000</v>
      </c>
      <c r="S74" s="130">
        <v>108000</v>
      </c>
      <c r="T74" s="130">
        <v>108000</v>
      </c>
    </row>
    <row r="75" spans="1:20" x14ac:dyDescent="0.3">
      <c r="A75" s="117" t="s">
        <v>137</v>
      </c>
      <c r="B75" s="129"/>
      <c r="C75" s="130"/>
      <c r="D75" s="130"/>
      <c r="E75" s="130"/>
      <c r="F75" s="130"/>
      <c r="G75" s="130"/>
      <c r="H75" s="130"/>
      <c r="I75" s="130"/>
      <c r="J75" s="130"/>
      <c r="K75" s="130">
        <v>108000</v>
      </c>
      <c r="L75" s="130">
        <v>108000</v>
      </c>
      <c r="M75" s="130">
        <v>108000</v>
      </c>
      <c r="N75" s="130">
        <v>108000</v>
      </c>
      <c r="O75" s="130">
        <v>108000</v>
      </c>
      <c r="P75" s="130">
        <v>108000</v>
      </c>
      <c r="Q75" s="130">
        <v>108000</v>
      </c>
      <c r="R75" s="130">
        <v>108000</v>
      </c>
      <c r="S75" s="130">
        <v>108000</v>
      </c>
      <c r="T75" s="130">
        <v>108000</v>
      </c>
    </row>
    <row r="76" spans="1:20" x14ac:dyDescent="0.3">
      <c r="A76" s="117" t="s">
        <v>138</v>
      </c>
      <c r="B76" s="129"/>
      <c r="C76" s="130"/>
      <c r="D76" s="130"/>
      <c r="E76" s="130"/>
      <c r="F76" s="130"/>
      <c r="G76" s="130"/>
      <c r="H76" s="130">
        <v>108000</v>
      </c>
      <c r="I76" s="130">
        <v>108000</v>
      </c>
      <c r="J76" s="130">
        <v>108000</v>
      </c>
      <c r="K76" s="130">
        <v>108000</v>
      </c>
      <c r="L76" s="130">
        <v>108000</v>
      </c>
      <c r="M76" s="130">
        <v>108000</v>
      </c>
      <c r="N76" s="130">
        <v>108000</v>
      </c>
      <c r="O76" s="130">
        <v>108000</v>
      </c>
      <c r="P76" s="130">
        <v>108000</v>
      </c>
      <c r="Q76" s="130">
        <v>108000</v>
      </c>
      <c r="R76" s="130">
        <v>108000</v>
      </c>
      <c r="S76" s="130">
        <v>108000</v>
      </c>
      <c r="T76" s="130">
        <v>108000</v>
      </c>
    </row>
    <row r="77" spans="1:20" x14ac:dyDescent="0.3">
      <c r="A77" s="117" t="s">
        <v>138</v>
      </c>
      <c r="B77" s="129"/>
      <c r="C77" s="130"/>
      <c r="D77" s="130"/>
      <c r="E77" s="130"/>
      <c r="F77" s="130"/>
      <c r="G77" s="130"/>
      <c r="H77" s="130"/>
      <c r="I77" s="130"/>
      <c r="J77" s="130"/>
      <c r="K77" s="130">
        <v>108000</v>
      </c>
      <c r="L77" s="130">
        <v>108000</v>
      </c>
      <c r="M77" s="130">
        <v>108000</v>
      </c>
      <c r="N77" s="130">
        <v>108000</v>
      </c>
      <c r="O77" s="130">
        <v>108000</v>
      </c>
      <c r="P77" s="130">
        <v>108000</v>
      </c>
      <c r="Q77" s="130">
        <v>108000</v>
      </c>
      <c r="R77" s="130">
        <v>108000</v>
      </c>
      <c r="S77" s="130">
        <v>108000</v>
      </c>
      <c r="T77" s="130">
        <v>108000</v>
      </c>
    </row>
    <row r="78" spans="1:20" x14ac:dyDescent="0.3">
      <c r="A78" s="117" t="s">
        <v>139</v>
      </c>
      <c r="B78" s="129"/>
      <c r="C78" s="130"/>
      <c r="D78" s="130"/>
      <c r="E78" s="130"/>
      <c r="F78" s="130"/>
      <c r="G78" s="130"/>
      <c r="H78" s="130">
        <v>144000</v>
      </c>
      <c r="I78" s="130">
        <v>144000</v>
      </c>
      <c r="J78" s="130">
        <v>144000</v>
      </c>
      <c r="K78" s="130">
        <v>144000</v>
      </c>
      <c r="L78" s="130">
        <v>144000</v>
      </c>
      <c r="M78" s="130">
        <v>144000</v>
      </c>
      <c r="N78" s="130">
        <v>144000</v>
      </c>
      <c r="O78" s="130">
        <v>144000</v>
      </c>
      <c r="P78" s="130">
        <v>144000</v>
      </c>
      <c r="Q78" s="130">
        <v>144000</v>
      </c>
      <c r="R78" s="130">
        <v>144000</v>
      </c>
      <c r="S78" s="130">
        <v>144000</v>
      </c>
      <c r="T78" s="130">
        <v>144000</v>
      </c>
    </row>
    <row r="79" spans="1:20" x14ac:dyDescent="0.3">
      <c r="A79" s="117" t="s">
        <v>139</v>
      </c>
      <c r="B79" s="129"/>
      <c r="C79" s="130"/>
      <c r="D79" s="130"/>
      <c r="E79" s="130"/>
      <c r="F79" s="130"/>
      <c r="G79" s="130"/>
      <c r="H79" s="130"/>
      <c r="I79" s="130">
        <v>144000</v>
      </c>
      <c r="J79" s="130">
        <v>144000</v>
      </c>
      <c r="K79" s="130">
        <v>144000</v>
      </c>
      <c r="L79" s="130">
        <v>144000</v>
      </c>
      <c r="M79" s="130">
        <v>144000</v>
      </c>
      <c r="N79" s="130">
        <v>144000</v>
      </c>
      <c r="O79" s="130">
        <v>144000</v>
      </c>
      <c r="P79" s="130">
        <v>144000</v>
      </c>
      <c r="Q79" s="130">
        <v>144000</v>
      </c>
      <c r="R79" s="130">
        <v>144000</v>
      </c>
      <c r="S79" s="130">
        <v>144000</v>
      </c>
      <c r="T79" s="130">
        <v>144000</v>
      </c>
    </row>
    <row r="80" spans="1:20" x14ac:dyDescent="0.3">
      <c r="A80" s="117" t="s">
        <v>139</v>
      </c>
      <c r="B80" s="129"/>
      <c r="C80" s="130"/>
      <c r="D80" s="130"/>
      <c r="E80" s="130"/>
      <c r="F80" s="130"/>
      <c r="G80" s="130"/>
      <c r="H80" s="130"/>
      <c r="I80" s="130"/>
      <c r="J80" s="130"/>
      <c r="K80" s="130">
        <v>144000</v>
      </c>
      <c r="L80" s="130">
        <v>144000</v>
      </c>
      <c r="M80" s="130">
        <v>144000</v>
      </c>
      <c r="N80" s="130">
        <v>144000</v>
      </c>
      <c r="O80" s="130">
        <v>144000</v>
      </c>
      <c r="P80" s="130">
        <v>144000</v>
      </c>
      <c r="Q80" s="130">
        <v>144000</v>
      </c>
      <c r="R80" s="130">
        <v>144000</v>
      </c>
      <c r="S80" s="130">
        <v>144000</v>
      </c>
      <c r="T80" s="130">
        <v>144000</v>
      </c>
    </row>
    <row r="81" spans="1:20" x14ac:dyDescent="0.3">
      <c r="A81" s="117" t="s">
        <v>139</v>
      </c>
      <c r="B81" s="129"/>
      <c r="C81" s="130"/>
      <c r="D81" s="130"/>
      <c r="E81" s="130"/>
      <c r="F81" s="130"/>
      <c r="G81" s="130"/>
      <c r="H81" s="130"/>
      <c r="I81" s="130"/>
      <c r="J81" s="130"/>
      <c r="K81" s="130">
        <v>144000</v>
      </c>
      <c r="L81" s="130">
        <v>144000</v>
      </c>
      <c r="M81" s="130">
        <v>144000</v>
      </c>
      <c r="N81" s="130">
        <v>144000</v>
      </c>
      <c r="O81" s="130">
        <v>144000</v>
      </c>
      <c r="P81" s="130">
        <v>144000</v>
      </c>
      <c r="Q81" s="130">
        <v>144000</v>
      </c>
      <c r="R81" s="130">
        <v>144000</v>
      </c>
      <c r="S81" s="130">
        <v>144000</v>
      </c>
      <c r="T81" s="130">
        <v>144000</v>
      </c>
    </row>
    <row r="82" spans="1:20" x14ac:dyDescent="0.3">
      <c r="A82" s="117" t="s">
        <v>140</v>
      </c>
      <c r="B82" s="129"/>
      <c r="C82" s="130"/>
      <c r="D82" s="130"/>
      <c r="E82" s="130"/>
      <c r="F82" s="130"/>
      <c r="G82" s="130"/>
      <c r="H82" s="130">
        <v>144000</v>
      </c>
      <c r="I82" s="130">
        <v>144000</v>
      </c>
      <c r="J82" s="130">
        <v>144000</v>
      </c>
      <c r="K82" s="130">
        <v>144000</v>
      </c>
      <c r="L82" s="130">
        <v>144000</v>
      </c>
      <c r="M82" s="130">
        <v>144000</v>
      </c>
      <c r="N82" s="130">
        <v>144000</v>
      </c>
      <c r="O82" s="130">
        <v>144000</v>
      </c>
      <c r="P82" s="130">
        <v>144000</v>
      </c>
      <c r="Q82" s="130">
        <v>144000</v>
      </c>
      <c r="R82" s="130">
        <v>144000</v>
      </c>
      <c r="S82" s="130">
        <v>144000</v>
      </c>
      <c r="T82" s="130">
        <v>144000</v>
      </c>
    </row>
    <row r="83" spans="1:20" x14ac:dyDescent="0.3">
      <c r="A83" s="117" t="s">
        <v>140</v>
      </c>
      <c r="B83" s="129"/>
      <c r="C83" s="130"/>
      <c r="D83" s="130"/>
      <c r="E83" s="130"/>
      <c r="F83" s="130"/>
      <c r="G83" s="130"/>
      <c r="H83" s="130"/>
      <c r="I83" s="130">
        <v>144000</v>
      </c>
      <c r="J83" s="130">
        <v>144000</v>
      </c>
      <c r="K83" s="130">
        <v>144000</v>
      </c>
      <c r="L83" s="130">
        <v>144000</v>
      </c>
      <c r="M83" s="130">
        <v>144000</v>
      </c>
      <c r="N83" s="130">
        <v>144000</v>
      </c>
      <c r="O83" s="130">
        <v>144000</v>
      </c>
      <c r="P83" s="130">
        <v>144000</v>
      </c>
      <c r="Q83" s="130">
        <v>144000</v>
      </c>
      <c r="R83" s="130">
        <v>144000</v>
      </c>
      <c r="S83" s="130">
        <v>144000</v>
      </c>
      <c r="T83" s="130">
        <v>144000</v>
      </c>
    </row>
    <row r="84" spans="1:20" x14ac:dyDescent="0.3">
      <c r="A84" s="117" t="s">
        <v>140</v>
      </c>
      <c r="B84" s="129"/>
      <c r="C84" s="130"/>
      <c r="D84" s="130"/>
      <c r="E84" s="130"/>
      <c r="F84" s="130"/>
      <c r="G84" s="130"/>
      <c r="H84" s="130"/>
      <c r="I84" s="130"/>
      <c r="J84" s="130"/>
      <c r="K84" s="130">
        <v>144000</v>
      </c>
      <c r="L84" s="130">
        <v>144000</v>
      </c>
      <c r="M84" s="130">
        <v>144000</v>
      </c>
      <c r="N84" s="130">
        <v>144000</v>
      </c>
      <c r="O84" s="130">
        <v>144000</v>
      </c>
      <c r="P84" s="130">
        <v>144000</v>
      </c>
      <c r="Q84" s="130">
        <v>144000</v>
      </c>
      <c r="R84" s="130">
        <v>144000</v>
      </c>
      <c r="S84" s="130">
        <v>144000</v>
      </c>
      <c r="T84" s="130">
        <v>144000</v>
      </c>
    </row>
    <row r="85" spans="1:20" x14ac:dyDescent="0.3">
      <c r="A85" s="117" t="s">
        <v>140</v>
      </c>
      <c r="B85" s="129"/>
      <c r="C85" s="130"/>
      <c r="D85" s="130"/>
      <c r="E85" s="130"/>
      <c r="F85" s="130"/>
      <c r="G85" s="130"/>
      <c r="H85" s="130"/>
      <c r="I85" s="130"/>
      <c r="J85" s="130"/>
      <c r="K85" s="134"/>
      <c r="L85" s="130">
        <v>144000</v>
      </c>
      <c r="M85" s="130">
        <v>144000</v>
      </c>
      <c r="N85" s="130">
        <v>144000</v>
      </c>
      <c r="O85" s="130">
        <v>144000</v>
      </c>
      <c r="P85" s="130">
        <v>144000</v>
      </c>
      <c r="Q85" s="130">
        <v>144000</v>
      </c>
      <c r="R85" s="130">
        <v>144000</v>
      </c>
      <c r="S85" s="130">
        <v>144000</v>
      </c>
      <c r="T85" s="130">
        <v>144000</v>
      </c>
    </row>
    <row r="86" spans="1:20" x14ac:dyDescent="0.3">
      <c r="A86" s="117" t="s">
        <v>141</v>
      </c>
      <c r="B86" s="129"/>
      <c r="C86" s="130"/>
      <c r="D86" s="130"/>
      <c r="E86" s="130"/>
      <c r="F86" s="130"/>
      <c r="G86" s="130"/>
      <c r="H86" s="130">
        <v>144000</v>
      </c>
      <c r="I86" s="130">
        <v>144000</v>
      </c>
      <c r="J86" s="130">
        <v>144000</v>
      </c>
      <c r="K86" s="130">
        <v>144000</v>
      </c>
      <c r="L86" s="130">
        <v>144000</v>
      </c>
      <c r="M86" s="130">
        <v>144000</v>
      </c>
      <c r="N86" s="130">
        <v>144000</v>
      </c>
      <c r="O86" s="130">
        <v>144000</v>
      </c>
      <c r="P86" s="130">
        <v>144000</v>
      </c>
      <c r="Q86" s="130">
        <v>144000</v>
      </c>
      <c r="R86" s="130">
        <v>144000</v>
      </c>
      <c r="S86" s="130">
        <v>144000</v>
      </c>
      <c r="T86" s="130">
        <v>144000</v>
      </c>
    </row>
    <row r="87" spans="1:20" x14ac:dyDescent="0.3">
      <c r="A87" s="117" t="s">
        <v>141</v>
      </c>
      <c r="B87" s="129"/>
      <c r="C87" s="130"/>
      <c r="D87" s="130"/>
      <c r="E87" s="130"/>
      <c r="F87" s="130"/>
      <c r="G87" s="130"/>
      <c r="H87" s="130"/>
      <c r="I87" s="130">
        <v>144000</v>
      </c>
      <c r="J87" s="130">
        <v>144000</v>
      </c>
      <c r="K87" s="130">
        <v>144000</v>
      </c>
      <c r="L87" s="130">
        <v>144000</v>
      </c>
      <c r="M87" s="130">
        <v>144000</v>
      </c>
      <c r="N87" s="130">
        <v>144000</v>
      </c>
      <c r="O87" s="130">
        <v>144000</v>
      </c>
      <c r="P87" s="130">
        <v>144000</v>
      </c>
      <c r="Q87" s="130">
        <v>144000</v>
      </c>
      <c r="R87" s="130">
        <v>144000</v>
      </c>
      <c r="S87" s="130">
        <v>144000</v>
      </c>
      <c r="T87" s="130">
        <v>144000</v>
      </c>
    </row>
    <row r="88" spans="1:20" x14ac:dyDescent="0.3">
      <c r="A88" s="117" t="s">
        <v>141</v>
      </c>
      <c r="B88" s="129"/>
      <c r="C88" s="130"/>
      <c r="D88" s="130"/>
      <c r="E88" s="130"/>
      <c r="F88" s="130"/>
      <c r="G88" s="130"/>
      <c r="H88" s="130"/>
      <c r="I88" s="130"/>
      <c r="J88" s="130"/>
      <c r="K88" s="130">
        <v>144000</v>
      </c>
      <c r="L88" s="130">
        <v>144000</v>
      </c>
      <c r="M88" s="130">
        <v>144000</v>
      </c>
      <c r="N88" s="130">
        <v>144000</v>
      </c>
      <c r="O88" s="130">
        <v>144000</v>
      </c>
      <c r="P88" s="130">
        <v>144000</v>
      </c>
      <c r="Q88" s="130">
        <v>144000</v>
      </c>
      <c r="R88" s="130">
        <v>144000</v>
      </c>
      <c r="S88" s="130">
        <v>144000</v>
      </c>
      <c r="T88" s="130">
        <v>144000</v>
      </c>
    </row>
    <row r="89" spans="1:20" x14ac:dyDescent="0.3">
      <c r="A89" s="117" t="s">
        <v>141</v>
      </c>
      <c r="B89" s="129"/>
      <c r="C89" s="130"/>
      <c r="D89" s="130"/>
      <c r="E89" s="130"/>
      <c r="F89" s="130"/>
      <c r="G89" s="130"/>
      <c r="H89" s="130"/>
      <c r="I89" s="130"/>
      <c r="J89" s="130"/>
      <c r="K89" s="130">
        <v>144000</v>
      </c>
      <c r="L89" s="130">
        <v>144000</v>
      </c>
      <c r="M89" s="130">
        <v>144000</v>
      </c>
      <c r="N89" s="130">
        <v>144000</v>
      </c>
      <c r="O89" s="130">
        <v>144000</v>
      </c>
      <c r="P89" s="130">
        <v>144000</v>
      </c>
      <c r="Q89" s="130">
        <v>144000</v>
      </c>
      <c r="R89" s="130">
        <v>144000</v>
      </c>
      <c r="S89" s="130">
        <v>144000</v>
      </c>
      <c r="T89" s="130">
        <v>144000</v>
      </c>
    </row>
    <row r="90" spans="1:20" x14ac:dyDescent="0.3">
      <c r="A90" s="117" t="s">
        <v>142</v>
      </c>
      <c r="B90" s="129"/>
      <c r="C90" s="130"/>
      <c r="D90" s="130"/>
      <c r="E90" s="130"/>
      <c r="F90" s="130"/>
      <c r="G90" s="130"/>
      <c r="H90" s="130">
        <v>99000</v>
      </c>
      <c r="I90" s="130">
        <v>99000</v>
      </c>
      <c r="J90" s="130">
        <v>99000</v>
      </c>
      <c r="K90" s="130">
        <v>99000</v>
      </c>
      <c r="L90" s="130">
        <v>99000</v>
      </c>
      <c r="M90" s="130">
        <v>99000</v>
      </c>
      <c r="N90" s="130">
        <v>99000</v>
      </c>
      <c r="O90" s="130">
        <v>99000</v>
      </c>
      <c r="P90" s="130">
        <v>99000</v>
      </c>
      <c r="Q90" s="130">
        <v>99000</v>
      </c>
      <c r="R90" s="130">
        <v>99000</v>
      </c>
      <c r="S90" s="130">
        <v>99000</v>
      </c>
      <c r="T90" s="130">
        <v>99000</v>
      </c>
    </row>
    <row r="91" spans="1:20" x14ac:dyDescent="0.3">
      <c r="A91" s="117" t="s">
        <v>143</v>
      </c>
      <c r="B91" s="129"/>
      <c r="C91" s="130"/>
      <c r="D91" s="130"/>
      <c r="E91" s="130"/>
      <c r="F91" s="130"/>
      <c r="G91" s="130">
        <v>50400</v>
      </c>
      <c r="H91" s="130">
        <v>50400</v>
      </c>
      <c r="I91" s="130">
        <v>50400</v>
      </c>
      <c r="J91" s="130">
        <v>50400</v>
      </c>
      <c r="K91" s="130">
        <v>50400</v>
      </c>
      <c r="L91" s="130">
        <v>50400</v>
      </c>
      <c r="M91" s="130">
        <v>50400</v>
      </c>
      <c r="N91" s="130">
        <v>50400</v>
      </c>
      <c r="O91" s="130">
        <v>50400</v>
      </c>
      <c r="P91" s="130">
        <v>50400</v>
      </c>
      <c r="Q91" s="130">
        <v>50400</v>
      </c>
      <c r="R91" s="130">
        <v>50400</v>
      </c>
      <c r="S91" s="130">
        <v>50400</v>
      </c>
      <c r="T91" s="130">
        <v>50400</v>
      </c>
    </row>
    <row r="92" spans="1:20" x14ac:dyDescent="0.3">
      <c r="A92" s="121" t="s">
        <v>351</v>
      </c>
      <c r="B92" s="130">
        <f>B70</f>
        <v>13667400</v>
      </c>
      <c r="C92" s="130">
        <f>'[3]Планирование ден.потоков'!$B66</f>
        <v>0</v>
      </c>
      <c r="D92" s="130">
        <f>'[3]Планирование ден.потоков'!$B66</f>
        <v>0</v>
      </c>
      <c r="E92" s="130">
        <f>'[3]Планирование ден.потоков'!$B66</f>
        <v>0</v>
      </c>
      <c r="F92" s="130">
        <f>'[3]Планирование ден.потоков'!$B66</f>
        <v>0</v>
      </c>
      <c r="G92" s="130">
        <f>'[3]Планирование ден.потоков'!$B66</f>
        <v>0</v>
      </c>
      <c r="H92" s="130">
        <f>'[3]Планирование ден.потоков'!$B66</f>
        <v>0</v>
      </c>
      <c r="I92" s="130">
        <f>'[3]Планирование ден.потоков'!$B66</f>
        <v>0</v>
      </c>
      <c r="J92" s="130">
        <f>'[3]Планирование ден.потоков'!$B66</f>
        <v>0</v>
      </c>
      <c r="K92" s="130">
        <f>'[3]Планирование ден.потоков'!$B66</f>
        <v>0</v>
      </c>
      <c r="L92" s="130">
        <f>'[3]Планирование ден.потоков'!$B66</f>
        <v>0</v>
      </c>
      <c r="M92" s="130">
        <f>'[3]Планирование ден.потоков'!$B66</f>
        <v>0</v>
      </c>
      <c r="N92" s="130">
        <f>'[3]Планирование ден.потоков'!$B66</f>
        <v>0</v>
      </c>
      <c r="O92" s="130">
        <f>'[3]Планирование ден.потоков'!$B66</f>
        <v>0</v>
      </c>
      <c r="P92" s="130">
        <f>'[3]Планирование ден.потоков'!$B66</f>
        <v>0</v>
      </c>
      <c r="Q92" s="130">
        <f>'[3]Планирование ден.потоков'!$B66</f>
        <v>0</v>
      </c>
      <c r="R92" s="130">
        <f>'[3]Планирование ден.потоков'!$B66</f>
        <v>0</v>
      </c>
      <c r="S92" s="130">
        <f>'[3]Планирование ден.потоков'!$B66</f>
        <v>0</v>
      </c>
      <c r="T92" s="130">
        <f>'[3]Планирование ден.потоков'!$B66</f>
        <v>0</v>
      </c>
    </row>
    <row r="93" spans="1:20" s="138" customFormat="1" x14ac:dyDescent="0.3">
      <c r="A93" s="135" t="s">
        <v>360</v>
      </c>
      <c r="B93" s="151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7"/>
      <c r="O93" s="137"/>
      <c r="P93" s="137"/>
      <c r="Q93" s="137"/>
      <c r="R93" s="137"/>
      <c r="S93" s="137"/>
      <c r="T93" s="137"/>
    </row>
    <row r="94" spans="1:20" x14ac:dyDescent="0.3">
      <c r="A94" s="117" t="s">
        <v>353</v>
      </c>
      <c r="B94" s="130">
        <f>B60*0.3</f>
        <v>4343220</v>
      </c>
      <c r="C94" s="130">
        <f>C60*0.3</f>
        <v>278100</v>
      </c>
      <c r="D94" s="130">
        <f t="shared" ref="D94:T94" si="10">D60*0.3</f>
        <v>278100</v>
      </c>
      <c r="E94" s="130">
        <f t="shared" si="10"/>
        <v>278100</v>
      </c>
      <c r="F94" s="130">
        <f t="shared" si="10"/>
        <v>389880</v>
      </c>
      <c r="G94" s="130">
        <f t="shared" si="10"/>
        <v>389880</v>
      </c>
      <c r="H94" s="130">
        <f t="shared" si="10"/>
        <v>389880</v>
      </c>
      <c r="I94" s="130">
        <f t="shared" si="10"/>
        <v>389880</v>
      </c>
      <c r="J94" s="130">
        <f t="shared" si="10"/>
        <v>389880</v>
      </c>
      <c r="K94" s="130">
        <f t="shared" si="10"/>
        <v>389880</v>
      </c>
      <c r="L94" s="130">
        <f t="shared" si="10"/>
        <v>389880</v>
      </c>
      <c r="M94" s="130">
        <f t="shared" si="10"/>
        <v>389880</v>
      </c>
      <c r="N94" s="130">
        <f>N60*0.3</f>
        <v>389880</v>
      </c>
      <c r="O94" s="130">
        <f t="shared" si="10"/>
        <v>389880</v>
      </c>
      <c r="P94" s="130">
        <f t="shared" si="10"/>
        <v>389880</v>
      </c>
      <c r="Q94" s="130">
        <f t="shared" si="10"/>
        <v>389880</v>
      </c>
      <c r="R94" s="130">
        <f t="shared" si="10"/>
        <v>389880</v>
      </c>
      <c r="S94" s="130">
        <f t="shared" si="10"/>
        <v>389880</v>
      </c>
      <c r="T94" s="130">
        <f t="shared" si="10"/>
        <v>389880</v>
      </c>
    </row>
    <row r="95" spans="1:20" x14ac:dyDescent="0.3">
      <c r="A95" s="121" t="s">
        <v>354</v>
      </c>
      <c r="B95" s="130">
        <f>B70*0.3</f>
        <v>4100220</v>
      </c>
      <c r="C95" s="130">
        <f>C70*0.3</f>
        <v>0</v>
      </c>
      <c r="D95" s="130">
        <f t="shared" ref="D95:T95" si="11">D70*0.3</f>
        <v>0</v>
      </c>
      <c r="E95" s="130">
        <f t="shared" si="11"/>
        <v>0</v>
      </c>
      <c r="F95" s="130">
        <f t="shared" si="11"/>
        <v>0</v>
      </c>
      <c r="G95" s="130">
        <f t="shared" si="11"/>
        <v>62640</v>
      </c>
      <c r="H95" s="130">
        <f t="shared" si="11"/>
        <v>286740</v>
      </c>
      <c r="I95" s="130">
        <f t="shared" si="11"/>
        <v>416340</v>
      </c>
      <c r="J95" s="130">
        <f t="shared" si="11"/>
        <v>416340</v>
      </c>
      <c r="K95" s="130">
        <f t="shared" si="11"/>
        <v>697140</v>
      </c>
      <c r="L95" s="130">
        <f t="shared" si="11"/>
        <v>740340</v>
      </c>
      <c r="M95" s="130">
        <f t="shared" si="11"/>
        <v>740340</v>
      </c>
      <c r="N95" s="130">
        <f t="shared" si="11"/>
        <v>740340</v>
      </c>
      <c r="O95" s="130">
        <f t="shared" si="11"/>
        <v>740340</v>
      </c>
      <c r="P95" s="130">
        <f t="shared" si="11"/>
        <v>740340</v>
      </c>
      <c r="Q95" s="130">
        <f t="shared" si="11"/>
        <v>740340</v>
      </c>
      <c r="R95" s="130">
        <f t="shared" si="11"/>
        <v>740340</v>
      </c>
      <c r="S95" s="130">
        <f t="shared" si="11"/>
        <v>740340</v>
      </c>
      <c r="T95" s="130">
        <f t="shared" si="11"/>
        <v>740340</v>
      </c>
    </row>
    <row r="96" spans="1:20" x14ac:dyDescent="0.3">
      <c r="A96" s="139"/>
      <c r="B96" s="131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</row>
    <row r="97" spans="1:20" x14ac:dyDescent="0.3">
      <c r="A97" s="139" t="s">
        <v>355</v>
      </c>
      <c r="B97" s="131"/>
      <c r="C97" s="130">
        <f>C6/100*20</f>
        <v>0</v>
      </c>
      <c r="D97" s="130">
        <f t="shared" ref="D97:T97" si="12">D6/100*20</f>
        <v>0</v>
      </c>
      <c r="E97" s="130">
        <f t="shared" si="12"/>
        <v>0</v>
      </c>
      <c r="F97" s="130">
        <f t="shared" si="12"/>
        <v>0</v>
      </c>
      <c r="G97" s="130">
        <f t="shared" si="12"/>
        <v>0</v>
      </c>
      <c r="H97" s="130">
        <f t="shared" si="12"/>
        <v>651793.6</v>
      </c>
      <c r="I97" s="130">
        <f t="shared" si="12"/>
        <v>1303587.2</v>
      </c>
      <c r="J97" s="130">
        <f t="shared" si="12"/>
        <v>1629484</v>
      </c>
      <c r="K97" s="130">
        <f t="shared" si="12"/>
        <v>3258968</v>
      </c>
      <c r="L97" s="130">
        <f t="shared" si="12"/>
        <v>6517936</v>
      </c>
      <c r="M97" s="130">
        <f t="shared" si="12"/>
        <v>9776904</v>
      </c>
      <c r="N97" s="130">
        <f t="shared" si="12"/>
        <v>13035872</v>
      </c>
      <c r="O97" s="130">
        <f t="shared" si="12"/>
        <v>13035872</v>
      </c>
      <c r="P97" s="130">
        <f t="shared" si="12"/>
        <v>13035872</v>
      </c>
      <c r="Q97" s="130">
        <f t="shared" si="12"/>
        <v>13035872</v>
      </c>
      <c r="R97" s="130">
        <f t="shared" si="12"/>
        <v>13035872</v>
      </c>
      <c r="S97" s="130">
        <f t="shared" si="12"/>
        <v>13035872</v>
      </c>
      <c r="T97" s="130">
        <f t="shared" si="12"/>
        <v>13035872</v>
      </c>
    </row>
    <row r="98" spans="1:20" x14ac:dyDescent="0.3">
      <c r="A98" s="139" t="s">
        <v>262</v>
      </c>
      <c r="B98" s="131"/>
      <c r="C98" s="130">
        <f>(C6-C104)/100*5.5</f>
        <v>0</v>
      </c>
      <c r="D98" s="130">
        <f t="shared" ref="D98:T98" si="13">(D6-D104)/100*5.5</f>
        <v>0</v>
      </c>
      <c r="E98" s="130">
        <f t="shared" si="13"/>
        <v>0</v>
      </c>
      <c r="F98" s="130">
        <f t="shared" si="13"/>
        <v>0</v>
      </c>
      <c r="G98" s="130">
        <f t="shared" si="13"/>
        <v>0</v>
      </c>
      <c r="H98" s="130">
        <f t="shared" si="13"/>
        <v>179243.24</v>
      </c>
      <c r="I98" s="130">
        <f t="shared" si="13"/>
        <v>358486.48</v>
      </c>
      <c r="J98" s="130">
        <f t="shared" si="13"/>
        <v>448108.1</v>
      </c>
      <c r="K98" s="130">
        <f t="shared" si="13"/>
        <v>896216.2</v>
      </c>
      <c r="L98" s="130">
        <f t="shared" si="13"/>
        <v>1792432.4</v>
      </c>
      <c r="M98" s="130">
        <f t="shared" si="13"/>
        <v>2688648.6</v>
      </c>
      <c r="N98" s="130">
        <f t="shared" si="13"/>
        <v>3584864.8</v>
      </c>
      <c r="O98" s="130">
        <f t="shared" si="13"/>
        <v>3584864.8</v>
      </c>
      <c r="P98" s="130">
        <f t="shared" si="13"/>
        <v>3584864.8</v>
      </c>
      <c r="Q98" s="130">
        <f t="shared" si="13"/>
        <v>3584864.8</v>
      </c>
      <c r="R98" s="130">
        <f t="shared" si="13"/>
        <v>3584864.8</v>
      </c>
      <c r="S98" s="130">
        <f t="shared" si="13"/>
        <v>3584864.8</v>
      </c>
      <c r="T98" s="130">
        <f t="shared" si="13"/>
        <v>3584864.8</v>
      </c>
    </row>
    <row r="99" spans="1:20" x14ac:dyDescent="0.3">
      <c r="A99" s="139" t="s">
        <v>266</v>
      </c>
      <c r="B99" s="131"/>
      <c r="C99" s="130"/>
      <c r="D99" s="130"/>
      <c r="E99" s="130"/>
      <c r="F99" s="130"/>
      <c r="G99" s="130"/>
      <c r="H99" s="130"/>
      <c r="I99" s="130">
        <v>23350</v>
      </c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>
        <v>93400</v>
      </c>
    </row>
    <row r="100" spans="1:20" x14ac:dyDescent="0.3">
      <c r="A100" s="139" t="s">
        <v>271</v>
      </c>
      <c r="B100" s="131"/>
      <c r="C100" s="130"/>
      <c r="D100" s="130"/>
      <c r="E100" s="130"/>
      <c r="F100" s="130"/>
      <c r="G100" s="130"/>
      <c r="H100" s="130"/>
      <c r="I100" s="130">
        <v>40000</v>
      </c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</row>
    <row r="101" spans="1:20" x14ac:dyDescent="0.3">
      <c r="A101" s="139" t="s">
        <v>274</v>
      </c>
      <c r="B101" s="131"/>
      <c r="C101" s="130"/>
      <c r="D101" s="130"/>
      <c r="E101" s="130"/>
      <c r="F101" s="130"/>
      <c r="G101" s="130"/>
      <c r="H101" s="130"/>
      <c r="I101" s="130">
        <v>2371996</v>
      </c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</row>
    <row r="102" spans="1:20" x14ac:dyDescent="0.3">
      <c r="A102" s="139" t="s">
        <v>278</v>
      </c>
      <c r="B102" s="131"/>
      <c r="C102" s="130"/>
      <c r="D102" s="130"/>
      <c r="E102" s="130"/>
      <c r="F102" s="130"/>
      <c r="G102" s="130"/>
      <c r="H102" s="130"/>
      <c r="I102" s="130">
        <v>675</v>
      </c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</row>
    <row r="103" spans="1:20" x14ac:dyDescent="0.3">
      <c r="A103" s="139" t="s">
        <v>356</v>
      </c>
      <c r="B103" s="131"/>
      <c r="C103" s="153">
        <f>((C6-C97)-C13)/100*20</f>
        <v>-4017510.5006999997</v>
      </c>
      <c r="D103" s="153">
        <f t="shared" ref="D103:T103" si="14">((D6-D97)-D13)/100*20</f>
        <v>-2529972.5006999997</v>
      </c>
      <c r="E103" s="153">
        <f t="shared" si="14"/>
        <v>-4270621.3407000005</v>
      </c>
      <c r="F103" s="153">
        <f t="shared" si="14"/>
        <v>-18910638.500700001</v>
      </c>
      <c r="G103" s="153">
        <f t="shared" si="14"/>
        <v>-5189400.5006999997</v>
      </c>
      <c r="H103" s="153">
        <f t="shared" si="14"/>
        <v>-1219460.9886999999</v>
      </c>
      <c r="I103" s="153">
        <f t="shared" si="14"/>
        <v>-3143469.6766999997</v>
      </c>
      <c r="J103" s="153">
        <f t="shared" si="14"/>
        <v>-793401.72069999983</v>
      </c>
      <c r="K103" s="153">
        <f t="shared" si="14"/>
        <v>-1112892.9406999997</v>
      </c>
      <c r="L103" s="153">
        <f t="shared" si="14"/>
        <v>1591144.6193000004</v>
      </c>
      <c r="M103" s="153">
        <f t="shared" si="14"/>
        <v>3370642.1793</v>
      </c>
      <c r="N103" s="153">
        <f t="shared" si="14"/>
        <v>5146779.7392999995</v>
      </c>
      <c r="O103" s="153">
        <f t="shared" si="14"/>
        <v>5371546.2399999993</v>
      </c>
      <c r="P103" s="153">
        <f t="shared" si="14"/>
        <v>5371546.2399999993</v>
      </c>
      <c r="Q103" s="153">
        <f t="shared" si="14"/>
        <v>5371546.2399999993</v>
      </c>
      <c r="R103" s="153">
        <f t="shared" si="14"/>
        <v>5371546.2399999993</v>
      </c>
      <c r="S103" s="153">
        <f t="shared" si="14"/>
        <v>5371546.2399999993</v>
      </c>
      <c r="T103" s="153">
        <f t="shared" si="14"/>
        <v>5352866.2399999993</v>
      </c>
    </row>
    <row r="104" spans="1:20" x14ac:dyDescent="0.3">
      <c r="A104" s="140"/>
      <c r="B104" s="129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</row>
    <row r="105" spans="1:20" s="107" customFormat="1" x14ac:dyDescent="0.3">
      <c r="A105" s="142" t="s">
        <v>357</v>
      </c>
      <c r="B105" s="143"/>
      <c r="C105" s="116">
        <f>C4+C6-SUM(C15:C104)</f>
        <v>28929957.997200001</v>
      </c>
      <c r="D105" s="116">
        <f t="shared" ref="D105:T105" si="15">D4+D6-SUM(D15:D104)</f>
        <v>23710067.994399998</v>
      </c>
      <c r="E105" s="116">
        <f t="shared" si="15"/>
        <v>18727582.631599993</v>
      </c>
      <c r="F105" s="116">
        <f t="shared" si="15"/>
        <v>64085028.62879999</v>
      </c>
      <c r="G105" s="116">
        <f t="shared" si="15"/>
        <v>69327426.625999987</v>
      </c>
      <c r="H105" s="116">
        <f t="shared" si="15"/>
        <v>73301376.271199986</v>
      </c>
      <c r="I105" s="116">
        <f t="shared" si="15"/>
        <v>74631084.76439999</v>
      </c>
      <c r="J105" s="116">
        <f t="shared" si="15"/>
        <v>83586961.881599993</v>
      </c>
      <c r="K105" s="116">
        <f t="shared" si="15"/>
        <v>97109358.118799984</v>
      </c>
      <c r="L105" s="116">
        <f t="shared" si="15"/>
        <v>129157872.59599999</v>
      </c>
      <c r="M105" s="116">
        <f t="shared" si="15"/>
        <v>178236345.3132</v>
      </c>
      <c r="N105" s="116">
        <f t="shared" si="15"/>
        <v>211859336.27039999</v>
      </c>
      <c r="O105" s="116">
        <f t="shared" si="15"/>
        <v>246381393.2304</v>
      </c>
      <c r="P105" s="116">
        <f t="shared" si="15"/>
        <v>280903450.19039994</v>
      </c>
      <c r="Q105" s="116">
        <f t="shared" si="15"/>
        <v>315425507.15039992</v>
      </c>
      <c r="R105" s="116">
        <f t="shared" si="15"/>
        <v>349947564.1103999</v>
      </c>
      <c r="S105" s="116">
        <f t="shared" si="15"/>
        <v>384469621.07039988</v>
      </c>
      <c r="T105" s="116">
        <f t="shared" si="15"/>
        <v>418916958.03039986</v>
      </c>
    </row>
    <row r="106" spans="1:20" s="107" customFormat="1" x14ac:dyDescent="0.3">
      <c r="A106" s="142"/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1:20" s="107" customFormat="1" x14ac:dyDescent="0.3">
      <c r="A107" s="146"/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1:20" s="107" customFormat="1" x14ac:dyDescent="0.3">
      <c r="A108" s="142"/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1:20" x14ac:dyDescent="0.3">
      <c r="A109" s="147"/>
      <c r="C109" s="148"/>
    </row>
    <row r="110" spans="1:20" x14ac:dyDescent="0.3">
      <c r="A110" s="147"/>
      <c r="C110" t="s">
        <v>358</v>
      </c>
    </row>
  </sheetData>
  <hyperlinks>
    <hyperlink ref="A3" r:id="rId1" tooltip="Подробный учет доходов и расходов"/>
  </hyperlinks>
  <pageMargins left="0.7" right="0.7" top="0.75" bottom="0.75" header="0.3" footer="0.3"/>
  <pageSetup paperSize="9" orientation="portrait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ТЭП</vt:lpstr>
      <vt:lpstr>ШР</vt:lpstr>
      <vt:lpstr>техника</vt:lpstr>
      <vt:lpstr>Затраты</vt:lpstr>
      <vt:lpstr>Доход</vt:lpstr>
      <vt:lpstr>Налоги</vt:lpstr>
      <vt:lpstr>Этапы</vt:lpstr>
      <vt:lpstr>ФОТ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Shalovskih Vladimir</cp:lastModifiedBy>
  <dcterms:created xsi:type="dcterms:W3CDTF">2023-01-18T17:46:18Z</dcterms:created>
  <dcterms:modified xsi:type="dcterms:W3CDTF">2023-07-07T16:03:10Z</dcterms:modified>
</cp:coreProperties>
</file>